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4\"/>
    </mc:Choice>
  </mc:AlternateContent>
  <bookViews>
    <workbookView xWindow="-120" yWindow="-120" windowWidth="29040" windowHeight="15840" tabRatio="737" activeTab="13"/>
  </bookViews>
  <sheets>
    <sheet name="Lista_CUIT" sheetId="8" r:id="rId1"/>
    <sheet name="Ene-24" sheetId="2" r:id="rId2"/>
    <sheet name="Feb-24" sheetId="10" r:id="rId3"/>
    <sheet name="Mar-24" sheetId="11" r:id="rId4"/>
    <sheet name="Abr-24" sheetId="12" r:id="rId5"/>
    <sheet name="May-24" sheetId="16" r:id="rId6"/>
    <sheet name="May-24 (2)" sheetId="23" r:id="rId7"/>
    <sheet name="Jun-24" sheetId="13" r:id="rId8"/>
    <sheet name="Jul-24" sheetId="25" r:id="rId9"/>
    <sheet name="Agost-24" sheetId="18" r:id="rId10"/>
    <sheet name="Sept-24" sheetId="19" r:id="rId11"/>
    <sheet name="Oct-24" sheetId="14" r:id="rId12"/>
    <sheet name="Nov-24 " sheetId="22" r:id="rId13"/>
    <sheet name="Dic-24" sheetId="20" r:id="rId14"/>
    <sheet name="Asto-Cpras" sheetId="3" r:id="rId15"/>
    <sheet name="Asto-Vtas" sheetId="4" r:id="rId16"/>
  </sheets>
  <definedNames>
    <definedName name="_xlnm._FilterDatabase" localSheetId="9" hidden="1">'Agost-24'!$S$9:$T$148</definedName>
    <definedName name="_xlnm._FilterDatabase" localSheetId="7" hidden="1">'Jun-24'!$H$2782:$J$4988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" i="20" l="1"/>
  <c r="H174" i="20"/>
  <c r="G4" i="20"/>
  <c r="I170" i="20"/>
  <c r="H171" i="20"/>
  <c r="L171" i="20"/>
  <c r="M171" i="20"/>
  <c r="N171" i="20"/>
  <c r="O171" i="20"/>
  <c r="H211" i="22"/>
  <c r="L211" i="22"/>
  <c r="M211" i="22"/>
  <c r="N211" i="22"/>
  <c r="O211" i="22"/>
  <c r="I260" i="22"/>
  <c r="H176" i="14"/>
  <c r="J176" i="14"/>
  <c r="L176" i="14"/>
  <c r="M176" i="14"/>
  <c r="N176" i="14"/>
  <c r="O176" i="14"/>
  <c r="Q54" i="19"/>
  <c r="H171" i="19"/>
  <c r="L171" i="19"/>
  <c r="M171" i="19"/>
  <c r="N171" i="19"/>
  <c r="O171" i="19"/>
  <c r="I210" i="18"/>
  <c r="H162" i="18"/>
  <c r="L162" i="18"/>
  <c r="M162" i="18"/>
  <c r="N162" i="18"/>
  <c r="O162" i="18"/>
  <c r="Q85" i="25"/>
  <c r="H166" i="25"/>
  <c r="L166" i="25"/>
  <c r="M166" i="25"/>
  <c r="N166" i="25"/>
  <c r="O166" i="25"/>
  <c r="H168" i="13"/>
  <c r="L168" i="13"/>
  <c r="M168" i="13"/>
  <c r="N168" i="13"/>
  <c r="O168" i="13"/>
  <c r="I249" i="16"/>
  <c r="H207" i="16"/>
  <c r="L207" i="16"/>
  <c r="M207" i="16"/>
  <c r="N207" i="16"/>
  <c r="O207" i="16"/>
  <c r="Q147" i="12"/>
  <c r="Q146" i="12"/>
  <c r="J157" i="20" l="1"/>
  <c r="J154" i="20"/>
  <c r="J155" i="20"/>
  <c r="J126" i="20"/>
  <c r="J95" i="20"/>
  <c r="J21" i="20"/>
  <c r="J52" i="20"/>
  <c r="J171" i="20" s="1"/>
  <c r="K32" i="20"/>
  <c r="K171" i="20" s="1"/>
  <c r="J25" i="20"/>
  <c r="P25" i="20" s="1"/>
  <c r="H214" i="22"/>
  <c r="G214" i="22"/>
  <c r="J209" i="22" l="1"/>
  <c r="J199" i="22"/>
  <c r="J211" i="22" s="1"/>
  <c r="K53" i="22"/>
  <c r="I131" i="22"/>
  <c r="I32" i="22"/>
  <c r="I123" i="22"/>
  <c r="K51" i="22" l="1"/>
  <c r="P51" i="22" s="1"/>
  <c r="K41" i="22"/>
  <c r="K116" i="22"/>
  <c r="I18" i="22"/>
  <c r="P18" i="22" s="1"/>
  <c r="I122" i="22"/>
  <c r="I56" i="22"/>
  <c r="P56" i="22" s="1"/>
  <c r="I64" i="22"/>
  <c r="P64" i="22" s="1"/>
  <c r="I76" i="22"/>
  <c r="P76" i="22" s="1"/>
  <c r="I90" i="22"/>
  <c r="P90" i="22" s="1"/>
  <c r="I97" i="22"/>
  <c r="P97" i="22" s="1"/>
  <c r="I194" i="22"/>
  <c r="P194" i="22" s="1"/>
  <c r="I19" i="22"/>
  <c r="P19" i="22" s="1"/>
  <c r="I21" i="22"/>
  <c r="I43" i="22"/>
  <c r="P43" i="22" s="1"/>
  <c r="P66" i="22"/>
  <c r="I47" i="22"/>
  <c r="P47" i="22" s="1"/>
  <c r="I61" i="22"/>
  <c r="P61" i="22" s="1"/>
  <c r="I69" i="22"/>
  <c r="P69" i="22" s="1"/>
  <c r="I82" i="22"/>
  <c r="P82" i="22" s="1"/>
  <c r="I128" i="22"/>
  <c r="P128" i="22" s="1"/>
  <c r="P122" i="22"/>
  <c r="P57" i="22"/>
  <c r="P73" i="22"/>
  <c r="P85" i="22"/>
  <c r="P21" i="22"/>
  <c r="P78" i="22"/>
  <c r="P88" i="22"/>
  <c r="P98" i="22"/>
  <c r="I127" i="22"/>
  <c r="P127" i="22" s="1"/>
  <c r="I148" i="22"/>
  <c r="P148" i="22" s="1"/>
  <c r="I111" i="22"/>
  <c r="P111" i="22" s="1"/>
  <c r="P32" i="22"/>
  <c r="P101" i="22"/>
  <c r="I89" i="22"/>
  <c r="P89" i="22" s="1"/>
  <c r="I155" i="22"/>
  <c r="P155" i="22" s="1"/>
  <c r="I158" i="22"/>
  <c r="P158" i="22" s="1"/>
  <c r="I163" i="22"/>
  <c r="P163" i="22" s="1"/>
  <c r="I165" i="22"/>
  <c r="P165" i="22" s="1"/>
  <c r="I34" i="22"/>
  <c r="P34" i="22" s="1"/>
  <c r="I156" i="22"/>
  <c r="P156" i="22" s="1"/>
  <c r="I164" i="22"/>
  <c r="P164" i="22" s="1"/>
  <c r="I154" i="22"/>
  <c r="P154" i="22" s="1"/>
  <c r="I162" i="22"/>
  <c r="P162" i="22" s="1"/>
  <c r="I205" i="22"/>
  <c r="P205" i="22" s="1"/>
  <c r="I102" i="22"/>
  <c r="P102" i="22" s="1"/>
  <c r="I159" i="22"/>
  <c r="P159" i="22" s="1"/>
  <c r="P55" i="22"/>
  <c r="P65" i="22"/>
  <c r="P75" i="22"/>
  <c r="P86" i="22"/>
  <c r="P91" i="22"/>
  <c r="P99" i="22"/>
  <c r="G9" i="22"/>
  <c r="G10" i="22"/>
  <c r="G11" i="22"/>
  <c r="G12" i="22"/>
  <c r="I45" i="22"/>
  <c r="P45" i="22" s="1"/>
  <c r="I166" i="22"/>
  <c r="P166" i="22" s="1"/>
  <c r="I50" i="22"/>
  <c r="P50" i="22" s="1"/>
  <c r="I201" i="22"/>
  <c r="P201" i="22" s="1"/>
  <c r="I202" i="22"/>
  <c r="P202" i="22" s="1"/>
  <c r="I203" i="22"/>
  <c r="P203" i="22" s="1"/>
  <c r="I152" i="22"/>
  <c r="P152" i="22" s="1"/>
  <c r="I160" i="22"/>
  <c r="P160" i="22" s="1"/>
  <c r="I153" i="22"/>
  <c r="P153" i="22" s="1"/>
  <c r="I161" i="22"/>
  <c r="P161" i="22" s="1"/>
  <c r="I157" i="22"/>
  <c r="P157" i="22" s="1"/>
  <c r="I35" i="22"/>
  <c r="P35" i="22" s="1"/>
  <c r="I36" i="22"/>
  <c r="P36" i="22" s="1"/>
  <c r="I25" i="22"/>
  <c r="P25" i="22" s="1"/>
  <c r="I115" i="22"/>
  <c r="P115" i="22" s="1"/>
  <c r="I26" i="22"/>
  <c r="P26" i="22" s="1"/>
  <c r="I27" i="22"/>
  <c r="P27" i="22" s="1"/>
  <c r="I9" i="22"/>
  <c r="I10" i="22"/>
  <c r="P10" i="22" s="1"/>
  <c r="I11" i="22"/>
  <c r="P11" i="22" s="1"/>
  <c r="I12" i="22"/>
  <c r="P12" i="22" s="1"/>
  <c r="Q9" i="22"/>
  <c r="Q10" i="22"/>
  <c r="Q11" i="22"/>
  <c r="Q12" i="22"/>
  <c r="R9" i="22"/>
  <c r="R10" i="22"/>
  <c r="R11" i="22"/>
  <c r="R12" i="22"/>
  <c r="I147" i="22"/>
  <c r="I193" i="22"/>
  <c r="K58" i="22"/>
  <c r="I60" i="22"/>
  <c r="I149" i="22"/>
  <c r="I84" i="22"/>
  <c r="I72" i="22"/>
  <c r="I74" i="22"/>
  <c r="I105" i="22"/>
  <c r="I141" i="22"/>
  <c r="I48" i="22"/>
  <c r="I49" i="22"/>
  <c r="I81" i="22"/>
  <c r="I117" i="22"/>
  <c r="I119" i="22"/>
  <c r="I120" i="22"/>
  <c r="I33" i="22"/>
  <c r="I28" i="22"/>
  <c r="I29" i="22"/>
  <c r="I30" i="22"/>
  <c r="I95" i="22"/>
  <c r="I113" i="22"/>
  <c r="I44" i="22"/>
  <c r="I175" i="22"/>
  <c r="I178" i="22"/>
  <c r="I176" i="22"/>
  <c r="I180" i="22"/>
  <c r="I79" i="22"/>
  <c r="I181" i="22"/>
  <c r="I182" i="22"/>
  <c r="I179" i="22"/>
  <c r="I112" i="22"/>
  <c r="I150" i="22"/>
  <c r="I151" i="22"/>
  <c r="I183" i="22"/>
  <c r="I24" i="22"/>
  <c r="I184" i="22"/>
  <c r="I137" i="22"/>
  <c r="I134" i="22"/>
  <c r="I200" i="22"/>
  <c r="I52" i="22"/>
  <c r="I197" i="22"/>
  <c r="I198" i="22"/>
  <c r="I109" i="22"/>
  <c r="I146" i="22"/>
  <c r="I173" i="22"/>
  <c r="I54" i="22"/>
  <c r="I110" i="22"/>
  <c r="I42" i="22"/>
  <c r="I124" i="22"/>
  <c r="I14" i="22"/>
  <c r="I167" i="22"/>
  <c r="I140" i="22"/>
  <c r="I17" i="22"/>
  <c r="I142" i="22"/>
  <c r="I106" i="22"/>
  <c r="I168" i="22"/>
  <c r="I31" i="22"/>
  <c r="I125" i="22"/>
  <c r="I16" i="22"/>
  <c r="I59" i="22"/>
  <c r="I169" i="22"/>
  <c r="I170" i="22"/>
  <c r="I143" i="22"/>
  <c r="I129" i="22"/>
  <c r="I108" i="22"/>
  <c r="I107" i="22"/>
  <c r="I191" i="22"/>
  <c r="I15" i="14"/>
  <c r="K42" i="14"/>
  <c r="K176" i="14" s="1"/>
  <c r="K70" i="14"/>
  <c r="K65" i="14"/>
  <c r="I131" i="14"/>
  <c r="I79" i="14"/>
  <c r="I43" i="14"/>
  <c r="I96" i="14"/>
  <c r="I32" i="14"/>
  <c r="I10" i="14"/>
  <c r="I9" i="14"/>
  <c r="I80" i="14"/>
  <c r="I44" i="14"/>
  <c r="I132" i="14"/>
  <c r="I45" i="14"/>
  <c r="I81" i="14"/>
  <c r="I118" i="14"/>
  <c r="I119" i="14"/>
  <c r="I27" i="14"/>
  <c r="I11" i="14"/>
  <c r="I133" i="14"/>
  <c r="I166" i="14"/>
  <c r="I134" i="14"/>
  <c r="I46" i="14"/>
  <c r="I47" i="14"/>
  <c r="I22" i="14"/>
  <c r="I135" i="14"/>
  <c r="I136" i="14"/>
  <c r="I49" i="14"/>
  <c r="I82" i="14"/>
  <c r="I137" i="14"/>
  <c r="I83" i="14"/>
  <c r="I97" i="14"/>
  <c r="I168" i="14"/>
  <c r="I169" i="14"/>
  <c r="I51" i="14"/>
  <c r="I110" i="14"/>
  <c r="I52" i="14"/>
  <c r="I98" i="14"/>
  <c r="I53" i="14"/>
  <c r="I120" i="14"/>
  <c r="I121" i="14"/>
  <c r="I138" i="14"/>
  <c r="I111" i="14"/>
  <c r="I140" i="14"/>
  <c r="I99" i="14"/>
  <c r="I141" i="14"/>
  <c r="I23" i="14"/>
  <c r="I55" i="14"/>
  <c r="I28" i="14"/>
  <c r="I100" i="14"/>
  <c r="I101" i="14"/>
  <c r="I112" i="14"/>
  <c r="I142" i="14"/>
  <c r="I76" i="14"/>
  <c r="I102" i="14"/>
  <c r="I56" i="14"/>
  <c r="I24" i="14"/>
  <c r="I122" i="14"/>
  <c r="I123" i="14"/>
  <c r="I37" i="14"/>
  <c r="I143" i="14"/>
  <c r="I58" i="14"/>
  <c r="I124" i="14"/>
  <c r="I57" i="14"/>
  <c r="I113" i="14"/>
  <c r="I59" i="14"/>
  <c r="I61" i="14"/>
  <c r="I60" i="14"/>
  <c r="I62" i="14"/>
  <c r="I144" i="14"/>
  <c r="I91" i="14"/>
  <c r="I125" i="14"/>
  <c r="I64" i="14"/>
  <c r="I103" i="14"/>
  <c r="I172" i="14"/>
  <c r="I173" i="14"/>
  <c r="I174" i="14"/>
  <c r="I126" i="14"/>
  <c r="I29" i="14"/>
  <c r="I145" i="14"/>
  <c r="I146" i="14"/>
  <c r="I147" i="14"/>
  <c r="I38" i="14"/>
  <c r="I114" i="14"/>
  <c r="I148" i="14"/>
  <c r="I104" i="14"/>
  <c r="I30" i="14"/>
  <c r="I149" i="14"/>
  <c r="I175" i="14"/>
  <c r="I25" i="14"/>
  <c r="I150" i="14"/>
  <c r="I151" i="14"/>
  <c r="I127" i="14"/>
  <c r="I39" i="14"/>
  <c r="I105" i="14"/>
  <c r="I152" i="14"/>
  <c r="I153" i="14"/>
  <c r="I77" i="14"/>
  <c r="I154" i="14"/>
  <c r="I84" i="14"/>
  <c r="I156" i="14"/>
  <c r="I86" i="14"/>
  <c r="I68" i="14"/>
  <c r="I155" i="14"/>
  <c r="I157" i="14"/>
  <c r="I69" i="14"/>
  <c r="I92" i="14"/>
  <c r="I26" i="14"/>
  <c r="I115" i="14"/>
  <c r="I106" i="14"/>
  <c r="I116" i="14"/>
  <c r="I107" i="14"/>
  <c r="I158" i="14"/>
  <c r="I159" i="14"/>
  <c r="I160" i="14"/>
  <c r="I71" i="14"/>
  <c r="I128" i="14"/>
  <c r="I117" i="14"/>
  <c r="I72" i="14"/>
  <c r="I161" i="14"/>
  <c r="I73" i="14"/>
  <c r="I87" i="14"/>
  <c r="I162" i="14"/>
  <c r="I74" i="14"/>
  <c r="I108" i="14"/>
  <c r="I163" i="14"/>
  <c r="I164" i="14"/>
  <c r="I165" i="14"/>
  <c r="I41" i="14"/>
  <c r="I94" i="14"/>
  <c r="I75" i="14"/>
  <c r="I109" i="14"/>
  <c r="I95" i="14"/>
  <c r="I89" i="14"/>
  <c r="I31" i="14"/>
  <c r="I129" i="14"/>
  <c r="I130" i="14"/>
  <c r="I40" i="14"/>
  <c r="I12" i="14"/>
  <c r="I85" i="14"/>
  <c r="I93" i="14"/>
  <c r="I139" i="14"/>
  <c r="I13" i="14"/>
  <c r="I14" i="14"/>
  <c r="I90" i="14"/>
  <c r="I16" i="14"/>
  <c r="I20" i="14"/>
  <c r="I19" i="14"/>
  <c r="I17" i="14"/>
  <c r="I18" i="14"/>
  <c r="I21" i="14"/>
  <c r="K93" i="19"/>
  <c r="K27" i="19"/>
  <c r="K171" i="19" s="1"/>
  <c r="J169" i="19"/>
  <c r="J159" i="19"/>
  <c r="J171" i="19" s="1"/>
  <c r="I26" i="19"/>
  <c r="P26" i="19" s="1"/>
  <c r="I121" i="19"/>
  <c r="P121" i="19" s="1"/>
  <c r="I124" i="19"/>
  <c r="P124" i="19" s="1"/>
  <c r="I117" i="19"/>
  <c r="P117" i="19" s="1"/>
  <c r="I123" i="19"/>
  <c r="P123" i="19" s="1"/>
  <c r="I116" i="19"/>
  <c r="P116" i="19" s="1"/>
  <c r="I166" i="19"/>
  <c r="P166" i="19" s="1"/>
  <c r="I165" i="19"/>
  <c r="P165" i="19" s="1"/>
  <c r="P9" i="22" l="1"/>
  <c r="K211" i="22"/>
  <c r="I102" i="19"/>
  <c r="I103" i="19"/>
  <c r="I130" i="19"/>
  <c r="I105" i="19"/>
  <c r="I153" i="19"/>
  <c r="I9" i="19"/>
  <c r="I131" i="19"/>
  <c r="I82" i="19"/>
  <c r="I133" i="19"/>
  <c r="I40" i="19"/>
  <c r="I74" i="19"/>
  <c r="I104" i="19"/>
  <c r="I41" i="19"/>
  <c r="I12" i="19"/>
  <c r="I135" i="19"/>
  <c r="I45" i="19"/>
  <c r="I134" i="19"/>
  <c r="I44" i="19"/>
  <c r="I156" i="19"/>
  <c r="I107" i="19"/>
  <c r="I76" i="19"/>
  <c r="I29" i="19"/>
  <c r="I106" i="19"/>
  <c r="I138" i="19"/>
  <c r="I136" i="19"/>
  <c r="I158" i="19"/>
  <c r="I157" i="19"/>
  <c r="I154" i="19"/>
  <c r="I17" i="19"/>
  <c r="P17" i="19" s="1"/>
  <c r="I77" i="19"/>
  <c r="I160" i="19"/>
  <c r="I161" i="19"/>
  <c r="I108" i="19"/>
  <c r="I94" i="19"/>
  <c r="I109" i="19"/>
  <c r="I53" i="19"/>
  <c r="I54" i="19"/>
  <c r="I162" i="19"/>
  <c r="I137" i="19"/>
  <c r="I110" i="19"/>
  <c r="I139" i="19"/>
  <c r="I141" i="19"/>
  <c r="I163" i="19"/>
  <c r="I140" i="19"/>
  <c r="I111" i="19"/>
  <c r="I73" i="19"/>
  <c r="I58" i="19"/>
  <c r="I168" i="19"/>
  <c r="I167" i="19"/>
  <c r="I142" i="19"/>
  <c r="I21" i="19"/>
  <c r="I95" i="19"/>
  <c r="I46" i="19"/>
  <c r="I96" i="19"/>
  <c r="I97" i="19"/>
  <c r="I34" i="19"/>
  <c r="I64" i="19"/>
  <c r="I113" i="19"/>
  <c r="I147" i="19"/>
  <c r="I144" i="19"/>
  <c r="I112" i="19"/>
  <c r="I145" i="19"/>
  <c r="I146" i="19"/>
  <c r="I65" i="19"/>
  <c r="I78" i="19"/>
  <c r="I67" i="19"/>
  <c r="I79" i="19"/>
  <c r="I84" i="19"/>
  <c r="I148" i="19"/>
  <c r="I114" i="19"/>
  <c r="I115" i="19"/>
  <c r="I149" i="19"/>
  <c r="I151" i="19"/>
  <c r="I152" i="19"/>
  <c r="I23" i="19"/>
  <c r="I101" i="19"/>
  <c r="I150" i="19"/>
  <c r="I85" i="19"/>
  <c r="I81" i="19"/>
  <c r="I143" i="19"/>
  <c r="I10" i="19"/>
  <c r="I80" i="19"/>
  <c r="I24" i="19"/>
  <c r="I48" i="19"/>
  <c r="I55" i="19"/>
  <c r="I52" i="19"/>
  <c r="I89" i="19"/>
  <c r="I49" i="19"/>
  <c r="I62" i="19"/>
  <c r="I63" i="19"/>
  <c r="I86" i="19"/>
  <c r="I37" i="19"/>
  <c r="I98" i="19"/>
  <c r="I72" i="19"/>
  <c r="I20" i="19"/>
  <c r="I43" i="19"/>
  <c r="I87" i="19"/>
  <c r="I132" i="19"/>
  <c r="I11" i="19"/>
  <c r="I13" i="19"/>
  <c r="I99" i="19"/>
  <c r="I155" i="19"/>
  <c r="I16" i="19"/>
  <c r="I18" i="19"/>
  <c r="I22" i="19"/>
  <c r="I32" i="19"/>
  <c r="I69" i="19"/>
  <c r="I19" i="19"/>
  <c r="I14" i="19"/>
  <c r="I100" i="19"/>
  <c r="I90" i="19"/>
  <c r="I92" i="19"/>
  <c r="I75" i="19"/>
  <c r="I70" i="19"/>
  <c r="I15" i="19"/>
  <c r="I88" i="19"/>
  <c r="I119" i="19"/>
  <c r="I122" i="19"/>
  <c r="I125" i="19"/>
  <c r="I128" i="19"/>
  <c r="I25" i="19"/>
  <c r="I120" i="19"/>
  <c r="I127" i="19"/>
  <c r="I118" i="19"/>
  <c r="I126" i="19"/>
  <c r="I71" i="19"/>
  <c r="I170" i="19"/>
  <c r="I129" i="19"/>
  <c r="I33" i="19"/>
  <c r="I35" i="19"/>
  <c r="I164" i="19"/>
  <c r="K84" i="18"/>
  <c r="J156" i="18"/>
  <c r="J157" i="18"/>
  <c r="I157" i="18"/>
  <c r="I60" i="18"/>
  <c r="K60" i="18"/>
  <c r="I33" i="18"/>
  <c r="K33" i="18"/>
  <c r="I63" i="18"/>
  <c r="K63" i="18"/>
  <c r="I65" i="18"/>
  <c r="K65" i="18"/>
  <c r="I69" i="18"/>
  <c r="K69" i="18"/>
  <c r="K80" i="18"/>
  <c r="K35" i="18"/>
  <c r="I35" i="18"/>
  <c r="I71" i="18"/>
  <c r="K71" i="18"/>
  <c r="K43" i="18"/>
  <c r="I72" i="18"/>
  <c r="K72" i="18"/>
  <c r="K54" i="18"/>
  <c r="I73" i="18"/>
  <c r="K73" i="18"/>
  <c r="K36" i="18"/>
  <c r="I94" i="18"/>
  <c r="K94" i="18"/>
  <c r="I77" i="18"/>
  <c r="K77" i="18"/>
  <c r="I78" i="18"/>
  <c r="K78" i="18"/>
  <c r="I58" i="18"/>
  <c r="K58" i="18"/>
  <c r="J151" i="18"/>
  <c r="J162" i="18" s="1"/>
  <c r="I37" i="18"/>
  <c r="I55" i="18"/>
  <c r="I44" i="18"/>
  <c r="I56" i="18"/>
  <c r="I88" i="18"/>
  <c r="I34" i="18"/>
  <c r="I11" i="18"/>
  <c r="I123" i="18"/>
  <c r="I57" i="18"/>
  <c r="I89" i="18"/>
  <c r="I12" i="18"/>
  <c r="I13" i="18"/>
  <c r="I14" i="18"/>
  <c r="I15" i="18"/>
  <c r="I107" i="18"/>
  <c r="I108" i="18"/>
  <c r="I59" i="18"/>
  <c r="I17" i="18"/>
  <c r="I45" i="18"/>
  <c r="I152" i="18"/>
  <c r="I153" i="18"/>
  <c r="I104" i="18"/>
  <c r="I105" i="18"/>
  <c r="I124" i="18"/>
  <c r="I46" i="18"/>
  <c r="I154" i="18"/>
  <c r="I125" i="18"/>
  <c r="I47" i="18"/>
  <c r="I109" i="18"/>
  <c r="I126" i="18"/>
  <c r="I155" i="18"/>
  <c r="I127" i="18"/>
  <c r="I98" i="18"/>
  <c r="I128" i="18"/>
  <c r="I99" i="18"/>
  <c r="I48" i="18"/>
  <c r="I110" i="18"/>
  <c r="I41" i="18"/>
  <c r="I129" i="18"/>
  <c r="I130" i="18"/>
  <c r="I131" i="18"/>
  <c r="I132" i="18"/>
  <c r="I106" i="18"/>
  <c r="I133" i="18"/>
  <c r="I49" i="18"/>
  <c r="I20" i="18"/>
  <c r="I22" i="18"/>
  <c r="I38" i="18"/>
  <c r="I134" i="18"/>
  <c r="I25" i="18"/>
  <c r="I86" i="18"/>
  <c r="I87" i="18"/>
  <c r="I61" i="18"/>
  <c r="I62" i="18"/>
  <c r="I111" i="18"/>
  <c r="I81" i="18"/>
  <c r="I85" i="18"/>
  <c r="I112" i="18"/>
  <c r="I135" i="18"/>
  <c r="I113" i="18"/>
  <c r="I50" i="18"/>
  <c r="I136" i="18"/>
  <c r="I64" i="18"/>
  <c r="I100" i="18"/>
  <c r="I42" i="18"/>
  <c r="I51" i="18"/>
  <c r="I39" i="18"/>
  <c r="I137" i="18"/>
  <c r="I52" i="18"/>
  <c r="I114" i="18"/>
  <c r="I66" i="18"/>
  <c r="I67" i="18"/>
  <c r="I68" i="18"/>
  <c r="I115" i="18"/>
  <c r="I116" i="18"/>
  <c r="I70" i="18"/>
  <c r="I158" i="18"/>
  <c r="I159" i="18"/>
  <c r="I160" i="18"/>
  <c r="I82" i="18"/>
  <c r="I83" i="18"/>
  <c r="I90" i="18"/>
  <c r="I117" i="18"/>
  <c r="I138" i="18"/>
  <c r="I101" i="18"/>
  <c r="I161" i="18"/>
  <c r="I139" i="18"/>
  <c r="I140" i="18"/>
  <c r="I118" i="18"/>
  <c r="I141" i="18"/>
  <c r="I53" i="18"/>
  <c r="I142" i="18"/>
  <c r="I91" i="18"/>
  <c r="I143" i="18"/>
  <c r="I144" i="18"/>
  <c r="I145" i="18"/>
  <c r="I30" i="18"/>
  <c r="I146" i="18"/>
  <c r="I102" i="18"/>
  <c r="I92" i="18"/>
  <c r="I103" i="18"/>
  <c r="I93" i="18"/>
  <c r="I119" i="18"/>
  <c r="I147" i="18"/>
  <c r="I74" i="18"/>
  <c r="I75" i="18"/>
  <c r="I120" i="18"/>
  <c r="I76" i="18"/>
  <c r="I148" i="18"/>
  <c r="I149" i="18"/>
  <c r="I95" i="18"/>
  <c r="I150" i="18"/>
  <c r="I31" i="18"/>
  <c r="I32" i="18"/>
  <c r="I121" i="18"/>
  <c r="I122" i="18"/>
  <c r="I40" i="18"/>
  <c r="I96" i="18"/>
  <c r="I97" i="18"/>
  <c r="I9" i="18"/>
  <c r="I16" i="18"/>
  <c r="I18" i="18"/>
  <c r="I19" i="18"/>
  <c r="I21" i="18"/>
  <c r="I23" i="18"/>
  <c r="I24" i="18"/>
  <c r="I26" i="18"/>
  <c r="I27" i="18"/>
  <c r="I28" i="18"/>
  <c r="I29" i="18"/>
  <c r="I79" i="18"/>
  <c r="I10" i="18"/>
  <c r="K57" i="18"/>
  <c r="I171" i="18"/>
  <c r="G228" i="18"/>
  <c r="I228" i="18"/>
  <c r="L228" i="18" s="1"/>
  <c r="G229" i="18"/>
  <c r="I229" i="18"/>
  <c r="L229" i="18" s="1"/>
  <c r="G230" i="18"/>
  <c r="I230" i="18"/>
  <c r="L230" i="18" s="1"/>
  <c r="G227" i="18"/>
  <c r="I227" i="18"/>
  <c r="L227" i="18" s="1"/>
  <c r="I30" i="25"/>
  <c r="I13" i="25"/>
  <c r="P13" i="25" s="1"/>
  <c r="I15" i="25"/>
  <c r="P15" i="25" s="1"/>
  <c r="I17" i="25"/>
  <c r="P17" i="25" s="1"/>
  <c r="I18" i="25"/>
  <c r="P18" i="25" s="1"/>
  <c r="I107" i="25"/>
  <c r="P107" i="25" s="1"/>
  <c r="I20" i="25"/>
  <c r="P20" i="25" s="1"/>
  <c r="I22" i="25"/>
  <c r="P22" i="25" s="1"/>
  <c r="I23" i="25"/>
  <c r="P23" i="25" s="1"/>
  <c r="I24" i="25"/>
  <c r="P24" i="25" s="1"/>
  <c r="I26" i="25"/>
  <c r="P26" i="25" s="1"/>
  <c r="I28" i="25"/>
  <c r="P28" i="25" s="1"/>
  <c r="I84" i="25"/>
  <c r="P84" i="25" s="1"/>
  <c r="I21" i="25"/>
  <c r="P21" i="25" s="1"/>
  <c r="K92" i="25"/>
  <c r="I81" i="25"/>
  <c r="K81" i="25"/>
  <c r="I75" i="25"/>
  <c r="K75" i="25"/>
  <c r="I74" i="25"/>
  <c r="K74" i="25"/>
  <c r="I69" i="25"/>
  <c r="K69" i="25"/>
  <c r="K42" i="25"/>
  <c r="I68" i="25"/>
  <c r="K68" i="25"/>
  <c r="I67" i="25"/>
  <c r="K67" i="25"/>
  <c r="I41" i="25"/>
  <c r="K41" i="25"/>
  <c r="I162" i="18" l="1"/>
  <c r="K162" i="18"/>
  <c r="I61" i="25"/>
  <c r="K61" i="25"/>
  <c r="I160" i="25"/>
  <c r="J160" i="25"/>
  <c r="J159" i="25"/>
  <c r="P159" i="25" s="1"/>
  <c r="I59" i="25"/>
  <c r="K59" i="25"/>
  <c r="K89" i="25"/>
  <c r="P89" i="25" s="1"/>
  <c r="K40" i="25"/>
  <c r="I40" i="25"/>
  <c r="K104" i="25"/>
  <c r="P104" i="25" s="1"/>
  <c r="I56" i="25"/>
  <c r="K56" i="25"/>
  <c r="K110" i="25"/>
  <c r="P110" i="25" s="1"/>
  <c r="J156" i="25"/>
  <c r="I114" i="25"/>
  <c r="I52" i="25"/>
  <c r="P52" i="25" s="1"/>
  <c r="I53" i="25"/>
  <c r="I12" i="25"/>
  <c r="P12" i="25" s="1"/>
  <c r="I11" i="25"/>
  <c r="P11" i="25" s="1"/>
  <c r="I132" i="25"/>
  <c r="P132" i="25" s="1"/>
  <c r="I10" i="25"/>
  <c r="I135" i="25"/>
  <c r="P135" i="25" s="1"/>
  <c r="I54" i="25"/>
  <c r="P54" i="25" s="1"/>
  <c r="I94" i="25"/>
  <c r="P94" i="25" s="1"/>
  <c r="I95" i="25"/>
  <c r="I96" i="25"/>
  <c r="P96" i="25" s="1"/>
  <c r="I97" i="25"/>
  <c r="P97" i="25" s="1"/>
  <c r="I98" i="25"/>
  <c r="P98" i="25" s="1"/>
  <c r="I133" i="25"/>
  <c r="I39" i="25"/>
  <c r="P39" i="25" s="1"/>
  <c r="I134" i="25"/>
  <c r="P134" i="25" s="1"/>
  <c r="I55" i="25"/>
  <c r="P55" i="25" s="1"/>
  <c r="I118" i="25"/>
  <c r="I119" i="25"/>
  <c r="P119" i="25" s="1"/>
  <c r="I155" i="25"/>
  <c r="P155" i="25" s="1"/>
  <c r="I137" i="25"/>
  <c r="I136" i="25"/>
  <c r="P136" i="25" s="1"/>
  <c r="I139" i="25"/>
  <c r="P139" i="25" s="1"/>
  <c r="I138" i="25"/>
  <c r="P138" i="25" s="1"/>
  <c r="I14" i="25"/>
  <c r="I120" i="25"/>
  <c r="P120" i="25" s="1"/>
  <c r="I157" i="25"/>
  <c r="I158" i="25"/>
  <c r="P158" i="25" s="1"/>
  <c r="I57" i="25"/>
  <c r="P57" i="25" s="1"/>
  <c r="I58" i="25"/>
  <c r="P40" i="25"/>
  <c r="I140" i="25"/>
  <c r="P140" i="25" s="1"/>
  <c r="I121" i="25"/>
  <c r="I34" i="25"/>
  <c r="P34" i="25" s="1"/>
  <c r="I35" i="25"/>
  <c r="I36" i="25"/>
  <c r="P36" i="25" s="1"/>
  <c r="I32" i="25"/>
  <c r="P32" i="25" s="1"/>
  <c r="I99" i="25"/>
  <c r="P99" i="25" s="1"/>
  <c r="I33" i="25"/>
  <c r="I16" i="25"/>
  <c r="P16" i="25" s="1"/>
  <c r="I86" i="25"/>
  <c r="P86" i="25" s="1"/>
  <c r="I85" i="25"/>
  <c r="I31" i="25"/>
  <c r="P31" i="25" s="1"/>
  <c r="I142" i="25"/>
  <c r="P142" i="25" s="1"/>
  <c r="I100" i="25"/>
  <c r="P100" i="25" s="1"/>
  <c r="I141" i="25"/>
  <c r="I111" i="25"/>
  <c r="P111" i="25" s="1"/>
  <c r="I143" i="25"/>
  <c r="P143" i="25" s="1"/>
  <c r="I60" i="25"/>
  <c r="P60" i="25" s="1"/>
  <c r="I63" i="25"/>
  <c r="P63" i="25" s="1"/>
  <c r="I62" i="25"/>
  <c r="P62" i="25" s="1"/>
  <c r="I19" i="25"/>
  <c r="P19" i="25" s="1"/>
  <c r="I122" i="25"/>
  <c r="I108" i="25"/>
  <c r="P108" i="25" s="1"/>
  <c r="I112" i="25"/>
  <c r="P112" i="25" s="1"/>
  <c r="I43" i="25"/>
  <c r="P43" i="25" s="1"/>
  <c r="I144" i="25"/>
  <c r="I64" i="25"/>
  <c r="P64" i="25" s="1"/>
  <c r="I115" i="25"/>
  <c r="P115" i="25" s="1"/>
  <c r="I145" i="25"/>
  <c r="I123" i="25"/>
  <c r="P123" i="25" s="1"/>
  <c r="I146" i="25"/>
  <c r="P146" i="25" s="1"/>
  <c r="I109" i="25"/>
  <c r="P109" i="25" s="1"/>
  <c r="I162" i="25"/>
  <c r="I163" i="25"/>
  <c r="P163" i="25" s="1"/>
  <c r="I161" i="25"/>
  <c r="P161" i="25" s="1"/>
  <c r="I93" i="25"/>
  <c r="P93" i="25" s="1"/>
  <c r="I148" i="25"/>
  <c r="I147" i="25"/>
  <c r="P147" i="25" s="1"/>
  <c r="I65" i="25"/>
  <c r="P65" i="25" s="1"/>
  <c r="I101" i="25"/>
  <c r="P101" i="25" s="1"/>
  <c r="I90" i="25"/>
  <c r="I149" i="25"/>
  <c r="I102" i="25"/>
  <c r="P102" i="25" s="1"/>
  <c r="I125" i="25"/>
  <c r="P125" i="25" s="1"/>
  <c r="I124" i="25"/>
  <c r="P124" i="25" s="1"/>
  <c r="I66" i="25"/>
  <c r="P66" i="25" s="1"/>
  <c r="P68" i="25"/>
  <c r="P69" i="25"/>
  <c r="I48" i="25"/>
  <c r="P48" i="25" s="1"/>
  <c r="I164" i="25"/>
  <c r="P164" i="25" s="1"/>
  <c r="I47" i="25"/>
  <c r="I103" i="25"/>
  <c r="I126" i="25"/>
  <c r="P126" i="25" s="1"/>
  <c r="I70" i="25"/>
  <c r="P70" i="25" s="1"/>
  <c r="I71" i="25"/>
  <c r="I127" i="25"/>
  <c r="P127" i="25" s="1"/>
  <c r="I25" i="25"/>
  <c r="P25" i="25" s="1"/>
  <c r="I72" i="25"/>
  <c r="P72" i="25" s="1"/>
  <c r="I150" i="25"/>
  <c r="I91" i="25"/>
  <c r="P91" i="25" s="1"/>
  <c r="I151" i="25"/>
  <c r="P151" i="25" s="1"/>
  <c r="I73" i="25"/>
  <c r="P73" i="25" s="1"/>
  <c r="I113" i="25"/>
  <c r="I49" i="25"/>
  <c r="P49" i="25" s="1"/>
  <c r="I106" i="25"/>
  <c r="P106" i="25" s="1"/>
  <c r="I87" i="25"/>
  <c r="P87" i="25" s="1"/>
  <c r="I116" i="25"/>
  <c r="P74" i="25"/>
  <c r="I152" i="25"/>
  <c r="I105" i="25"/>
  <c r="P105" i="25" s="1"/>
  <c r="I27" i="25"/>
  <c r="P27" i="25" s="1"/>
  <c r="I77" i="25"/>
  <c r="P77" i="25" s="1"/>
  <c r="I76" i="25"/>
  <c r="P76" i="25" s="1"/>
  <c r="I80" i="25"/>
  <c r="I79" i="25"/>
  <c r="I78" i="25"/>
  <c r="P78" i="25" s="1"/>
  <c r="I128" i="25"/>
  <c r="I153" i="25"/>
  <c r="I82" i="25"/>
  <c r="P82" i="25" s="1"/>
  <c r="I129" i="25"/>
  <c r="P129" i="25" s="1"/>
  <c r="I50" i="25"/>
  <c r="P92" i="25"/>
  <c r="I117" i="25"/>
  <c r="P117" i="25" s="1"/>
  <c r="I83" i="25"/>
  <c r="P83" i="25" s="1"/>
  <c r="I165" i="25"/>
  <c r="I29" i="25"/>
  <c r="P29" i="25" s="1"/>
  <c r="I88" i="25"/>
  <c r="P88" i="25" s="1"/>
  <c r="I45" i="25"/>
  <c r="P45" i="25" s="1"/>
  <c r="I44" i="25"/>
  <c r="I51" i="25"/>
  <c r="P51" i="25" s="1"/>
  <c r="I38" i="25"/>
  <c r="P38" i="25" s="1"/>
  <c r="I131" i="25"/>
  <c r="P131" i="25" s="1"/>
  <c r="I46" i="25"/>
  <c r="I130" i="25"/>
  <c r="P130" i="25" s="1"/>
  <c r="I154" i="25"/>
  <c r="P154" i="25" s="1"/>
  <c r="I37" i="25"/>
  <c r="P37" i="25" s="1"/>
  <c r="P30" i="25"/>
  <c r="G236" i="25"/>
  <c r="G235" i="25"/>
  <c r="G234" i="25"/>
  <c r="G233" i="25"/>
  <c r="G232" i="25"/>
  <c r="M223" i="25"/>
  <c r="K223" i="25"/>
  <c r="J223" i="25"/>
  <c r="I223" i="25"/>
  <c r="H223" i="25"/>
  <c r="L222" i="25"/>
  <c r="G222" i="25"/>
  <c r="L221" i="25"/>
  <c r="G221" i="25"/>
  <c r="L220" i="25"/>
  <c r="G220" i="25"/>
  <c r="L219" i="25"/>
  <c r="G219" i="25"/>
  <c r="L218" i="25"/>
  <c r="G218" i="25"/>
  <c r="L217" i="25"/>
  <c r="G217" i="25"/>
  <c r="L216" i="25"/>
  <c r="G216" i="25"/>
  <c r="I205" i="25"/>
  <c r="K186" i="25"/>
  <c r="J186" i="25"/>
  <c r="H186" i="25"/>
  <c r="L180" i="25"/>
  <c r="K180" i="25"/>
  <c r="J180" i="25"/>
  <c r="I180" i="25"/>
  <c r="G180" i="25"/>
  <c r="H179" i="25"/>
  <c r="H178" i="25"/>
  <c r="H177" i="25"/>
  <c r="H176" i="25"/>
  <c r="H175" i="25"/>
  <c r="H174" i="25"/>
  <c r="H173" i="25"/>
  <c r="B4" i="25"/>
  <c r="R9" i="25"/>
  <c r="Q9" i="25"/>
  <c r="I9" i="25"/>
  <c r="G9" i="25"/>
  <c r="P41" i="25"/>
  <c r="N1" i="25"/>
  <c r="K211" i="25" s="1"/>
  <c r="G1" i="25"/>
  <c r="I220" i="18"/>
  <c r="H173" i="18"/>
  <c r="M173" i="18" s="1"/>
  <c r="I513" i="13"/>
  <c r="L513" i="13" s="1"/>
  <c r="I514" i="13"/>
  <c r="L514" i="13" s="1"/>
  <c r="I515" i="13"/>
  <c r="L515" i="13" s="1"/>
  <c r="I516" i="13"/>
  <c r="L516" i="13" s="1"/>
  <c r="I517" i="13"/>
  <c r="L517" i="13" s="1"/>
  <c r="I518" i="13"/>
  <c r="L518" i="13" s="1"/>
  <c r="I519" i="13"/>
  <c r="L519" i="13" s="1"/>
  <c r="I520" i="13"/>
  <c r="L520" i="13" s="1"/>
  <c r="I521" i="13"/>
  <c r="L521" i="13" s="1"/>
  <c r="I522" i="13"/>
  <c r="L522" i="13" s="1"/>
  <c r="I523" i="13"/>
  <c r="L523" i="13" s="1"/>
  <c r="I524" i="13"/>
  <c r="L524" i="13" s="1"/>
  <c r="I525" i="13"/>
  <c r="L525" i="13" s="1"/>
  <c r="I526" i="13"/>
  <c r="L526" i="13" s="1"/>
  <c r="I527" i="13"/>
  <c r="L527" i="13" s="1"/>
  <c r="I528" i="13"/>
  <c r="L528" i="13" s="1"/>
  <c r="I529" i="13"/>
  <c r="L529" i="13" s="1"/>
  <c r="I530" i="13"/>
  <c r="L530" i="13" s="1"/>
  <c r="I531" i="13"/>
  <c r="I532" i="13"/>
  <c r="L532" i="13" s="1"/>
  <c r="I533" i="13"/>
  <c r="L533" i="13" s="1"/>
  <c r="I534" i="13"/>
  <c r="L534" i="13" s="1"/>
  <c r="I535" i="13"/>
  <c r="L535" i="13" s="1"/>
  <c r="I536" i="13"/>
  <c r="L536" i="13" s="1"/>
  <c r="I537" i="13"/>
  <c r="L537" i="13" s="1"/>
  <c r="I538" i="13"/>
  <c r="L538" i="13" s="1"/>
  <c r="I539" i="13"/>
  <c r="L539" i="13" s="1"/>
  <c r="I540" i="13"/>
  <c r="L540" i="13" s="1"/>
  <c r="I541" i="13"/>
  <c r="L541" i="13" s="1"/>
  <c r="I542" i="13"/>
  <c r="L542" i="13" s="1"/>
  <c r="I543" i="13"/>
  <c r="L543" i="13" s="1"/>
  <c r="I544" i="13"/>
  <c r="L544" i="13" s="1"/>
  <c r="I545" i="13"/>
  <c r="L545" i="13" s="1"/>
  <c r="I546" i="13"/>
  <c r="L546" i="13" s="1"/>
  <c r="L531" i="13"/>
  <c r="I547" i="13"/>
  <c r="L547" i="13" s="1"/>
  <c r="I548" i="13"/>
  <c r="L548" i="13" s="1"/>
  <c r="I549" i="13"/>
  <c r="L549" i="13" s="1"/>
  <c r="I550" i="13"/>
  <c r="L550" i="13" s="1"/>
  <c r="I551" i="13"/>
  <c r="L551" i="13" s="1"/>
  <c r="I552" i="13"/>
  <c r="L552" i="13" s="1"/>
  <c r="I553" i="13"/>
  <c r="L553" i="13" s="1"/>
  <c r="I554" i="13"/>
  <c r="L554" i="13" s="1"/>
  <c r="I555" i="13"/>
  <c r="L555" i="13" s="1"/>
  <c r="I556" i="13"/>
  <c r="L556" i="13" s="1"/>
  <c r="I557" i="13"/>
  <c r="L557" i="13" s="1"/>
  <c r="I558" i="13"/>
  <c r="L558" i="13" s="1"/>
  <c r="I559" i="13"/>
  <c r="L559" i="13" s="1"/>
  <c r="I560" i="13"/>
  <c r="L560" i="13" s="1"/>
  <c r="I561" i="13"/>
  <c r="L561" i="13" s="1"/>
  <c r="I562" i="13"/>
  <c r="L562" i="13" s="1"/>
  <c r="I563" i="13"/>
  <c r="L563" i="13" s="1"/>
  <c r="I564" i="13"/>
  <c r="L564" i="13" s="1"/>
  <c r="I565" i="13"/>
  <c r="I566" i="13"/>
  <c r="L566" i="13" s="1"/>
  <c r="I567" i="13"/>
  <c r="L567" i="13" s="1"/>
  <c r="I568" i="13"/>
  <c r="L568" i="13" s="1"/>
  <c r="I569" i="13"/>
  <c r="L569" i="13" s="1"/>
  <c r="I570" i="13"/>
  <c r="L570" i="13" s="1"/>
  <c r="I571" i="13"/>
  <c r="L571" i="13" s="1"/>
  <c r="I572" i="13"/>
  <c r="L572" i="13" s="1"/>
  <c r="I573" i="13"/>
  <c r="L573" i="13" s="1"/>
  <c r="I574" i="13"/>
  <c r="L574" i="13" s="1"/>
  <c r="I575" i="13"/>
  <c r="L575" i="13" s="1"/>
  <c r="I576" i="13"/>
  <c r="L576" i="13" s="1"/>
  <c r="I577" i="13"/>
  <c r="L577" i="13" s="1"/>
  <c r="I578" i="13"/>
  <c r="L578" i="13" s="1"/>
  <c r="I579" i="13"/>
  <c r="L579" i="13" s="1"/>
  <c r="I580" i="13"/>
  <c r="L580" i="13" s="1"/>
  <c r="L565" i="13"/>
  <c r="I581" i="13"/>
  <c r="L581" i="13" s="1"/>
  <c r="I582" i="13"/>
  <c r="L582" i="13" s="1"/>
  <c r="I583" i="13"/>
  <c r="L583" i="13" s="1"/>
  <c r="I584" i="13"/>
  <c r="L584" i="13" s="1"/>
  <c r="I585" i="13"/>
  <c r="L585" i="13" s="1"/>
  <c r="I586" i="13"/>
  <c r="L586" i="13" s="1"/>
  <c r="I587" i="13"/>
  <c r="L587" i="13" s="1"/>
  <c r="I588" i="13"/>
  <c r="L588" i="13" s="1"/>
  <c r="I589" i="13"/>
  <c r="L589" i="13" s="1"/>
  <c r="I590" i="13"/>
  <c r="L590" i="13" s="1"/>
  <c r="I591" i="13"/>
  <c r="L591" i="13" s="1"/>
  <c r="I592" i="13"/>
  <c r="L592" i="13" s="1"/>
  <c r="I593" i="13"/>
  <c r="L593" i="13" s="1"/>
  <c r="I594" i="13"/>
  <c r="L594" i="13" s="1"/>
  <c r="I595" i="13"/>
  <c r="L595" i="13" s="1"/>
  <c r="I596" i="13"/>
  <c r="L596" i="13" s="1"/>
  <c r="I597" i="13"/>
  <c r="L597" i="13" s="1"/>
  <c r="I598" i="13"/>
  <c r="L598" i="13" s="1"/>
  <c r="I599" i="13"/>
  <c r="I600" i="13"/>
  <c r="L600" i="13" s="1"/>
  <c r="I601" i="13"/>
  <c r="L601" i="13" s="1"/>
  <c r="I602" i="13"/>
  <c r="L602" i="13" s="1"/>
  <c r="I603" i="13"/>
  <c r="L603" i="13" s="1"/>
  <c r="I604" i="13"/>
  <c r="L604" i="13" s="1"/>
  <c r="I605" i="13"/>
  <c r="L605" i="13" s="1"/>
  <c r="I606" i="13"/>
  <c r="L606" i="13" s="1"/>
  <c r="I607" i="13"/>
  <c r="L607" i="13" s="1"/>
  <c r="I608" i="13"/>
  <c r="L608" i="13" s="1"/>
  <c r="I609" i="13"/>
  <c r="L609" i="13" s="1"/>
  <c r="I610" i="13"/>
  <c r="L610" i="13" s="1"/>
  <c r="I611" i="13"/>
  <c r="L611" i="13" s="1"/>
  <c r="I612" i="13"/>
  <c r="L612" i="13" s="1"/>
  <c r="I613" i="13"/>
  <c r="L613" i="13" s="1"/>
  <c r="I614" i="13"/>
  <c r="L614" i="13" s="1"/>
  <c r="L599" i="13"/>
  <c r="I615" i="13"/>
  <c r="L615" i="13" s="1"/>
  <c r="I616" i="13"/>
  <c r="L616" i="13" s="1"/>
  <c r="I617" i="13"/>
  <c r="L617" i="13" s="1"/>
  <c r="I618" i="13"/>
  <c r="L618" i="13" s="1"/>
  <c r="I619" i="13"/>
  <c r="L619" i="13" s="1"/>
  <c r="I620" i="13"/>
  <c r="L620" i="13" s="1"/>
  <c r="I621" i="13"/>
  <c r="L621" i="13" s="1"/>
  <c r="I622" i="13"/>
  <c r="L622" i="13" s="1"/>
  <c r="I623" i="13"/>
  <c r="L623" i="13" s="1"/>
  <c r="I624" i="13"/>
  <c r="L624" i="13" s="1"/>
  <c r="I625" i="13"/>
  <c r="L625" i="13" s="1"/>
  <c r="I626" i="13"/>
  <c r="L626" i="13" s="1"/>
  <c r="I627" i="13"/>
  <c r="L627" i="13" s="1"/>
  <c r="I628" i="13"/>
  <c r="L628" i="13" s="1"/>
  <c r="I629" i="13"/>
  <c r="L629" i="13" s="1"/>
  <c r="I630" i="13"/>
  <c r="L630" i="13" s="1"/>
  <c r="I631" i="13"/>
  <c r="L631" i="13" s="1"/>
  <c r="I632" i="13"/>
  <c r="L632" i="13" s="1"/>
  <c r="I633" i="13"/>
  <c r="L633" i="13" s="1"/>
  <c r="I634" i="13"/>
  <c r="L634" i="13" s="1"/>
  <c r="I635" i="13"/>
  <c r="L635" i="13" s="1"/>
  <c r="I636" i="13"/>
  <c r="L636" i="13" s="1"/>
  <c r="I637" i="13"/>
  <c r="L637" i="13" s="1"/>
  <c r="I638" i="13"/>
  <c r="L638" i="13" s="1"/>
  <c r="I639" i="13"/>
  <c r="L639" i="13" s="1"/>
  <c r="I640" i="13"/>
  <c r="L640" i="13" s="1"/>
  <c r="I641" i="13"/>
  <c r="L641" i="13" s="1"/>
  <c r="I642" i="13"/>
  <c r="L642" i="13" s="1"/>
  <c r="I643" i="13"/>
  <c r="L643" i="13" s="1"/>
  <c r="I644" i="13"/>
  <c r="L644" i="13" s="1"/>
  <c r="I645" i="13"/>
  <c r="L645" i="13" s="1"/>
  <c r="I646" i="13"/>
  <c r="L646" i="13" s="1"/>
  <c r="I647" i="13"/>
  <c r="L647" i="13" s="1"/>
  <c r="I648" i="13"/>
  <c r="L648" i="13" s="1"/>
  <c r="I649" i="13"/>
  <c r="L649" i="13" s="1"/>
  <c r="I650" i="13"/>
  <c r="L650" i="13" s="1"/>
  <c r="I651" i="13"/>
  <c r="L651" i="13" s="1"/>
  <c r="I652" i="13"/>
  <c r="L652" i="13" s="1"/>
  <c r="I653" i="13"/>
  <c r="L653" i="13" s="1"/>
  <c r="I654" i="13"/>
  <c r="L654" i="13" s="1"/>
  <c r="I655" i="13"/>
  <c r="L655" i="13" s="1"/>
  <c r="I656" i="13"/>
  <c r="L656" i="13" s="1"/>
  <c r="I657" i="13"/>
  <c r="L657" i="13" s="1"/>
  <c r="I658" i="13"/>
  <c r="L658" i="13" s="1"/>
  <c r="I659" i="13"/>
  <c r="L659" i="13" s="1"/>
  <c r="I660" i="13"/>
  <c r="L660" i="13" s="1"/>
  <c r="I661" i="13"/>
  <c r="L661" i="13" s="1"/>
  <c r="I662" i="13"/>
  <c r="L662" i="13" s="1"/>
  <c r="I663" i="13"/>
  <c r="L663" i="13" s="1"/>
  <c r="I664" i="13"/>
  <c r="L664" i="13" s="1"/>
  <c r="I665" i="13"/>
  <c r="L665" i="13" s="1"/>
  <c r="I666" i="13"/>
  <c r="L666" i="13" s="1"/>
  <c r="I667" i="13"/>
  <c r="L667" i="13" s="1"/>
  <c r="I668" i="13"/>
  <c r="L668" i="13" s="1"/>
  <c r="I669" i="13"/>
  <c r="L669" i="13" s="1"/>
  <c r="I670" i="13"/>
  <c r="L670" i="13" s="1"/>
  <c r="I671" i="13"/>
  <c r="L671" i="13" s="1"/>
  <c r="I672" i="13"/>
  <c r="L672" i="13" s="1"/>
  <c r="I673" i="13"/>
  <c r="L673" i="13" s="1"/>
  <c r="I674" i="13"/>
  <c r="L674" i="13" s="1"/>
  <c r="I675" i="13"/>
  <c r="L675" i="13" s="1"/>
  <c r="I676" i="13"/>
  <c r="L676" i="13" s="1"/>
  <c r="I677" i="13"/>
  <c r="L677" i="13" s="1"/>
  <c r="I678" i="13"/>
  <c r="L678" i="13" s="1"/>
  <c r="I679" i="13"/>
  <c r="L679" i="13" s="1"/>
  <c r="I680" i="13"/>
  <c r="L680" i="13" s="1"/>
  <c r="I681" i="13"/>
  <c r="L681" i="13" s="1"/>
  <c r="I682" i="13"/>
  <c r="L682" i="13" s="1"/>
  <c r="I384" i="13"/>
  <c r="L384" i="13" s="1"/>
  <c r="I385" i="13"/>
  <c r="L385" i="13" s="1"/>
  <c r="I386" i="13"/>
  <c r="L386" i="13" s="1"/>
  <c r="I387" i="13"/>
  <c r="L387" i="13" s="1"/>
  <c r="I388" i="13"/>
  <c r="L388" i="13" s="1"/>
  <c r="I389" i="13"/>
  <c r="L389" i="13" s="1"/>
  <c r="I390" i="13"/>
  <c r="L390" i="13" s="1"/>
  <c r="I391" i="13"/>
  <c r="L391" i="13" s="1"/>
  <c r="I392" i="13"/>
  <c r="L392" i="13" s="1"/>
  <c r="I393" i="13"/>
  <c r="L393" i="13" s="1"/>
  <c r="I394" i="13"/>
  <c r="L394" i="13" s="1"/>
  <c r="I395" i="13"/>
  <c r="L395" i="13" s="1"/>
  <c r="I396" i="13"/>
  <c r="L396" i="13" s="1"/>
  <c r="I397" i="13"/>
  <c r="L397" i="13" s="1"/>
  <c r="I398" i="13"/>
  <c r="L398" i="13" s="1"/>
  <c r="I399" i="13"/>
  <c r="L399" i="13" s="1"/>
  <c r="I400" i="13"/>
  <c r="L400" i="13" s="1"/>
  <c r="I401" i="13"/>
  <c r="L401" i="13" s="1"/>
  <c r="I402" i="13"/>
  <c r="L402" i="13" s="1"/>
  <c r="I403" i="13"/>
  <c r="L403" i="13" s="1"/>
  <c r="I404" i="13"/>
  <c r="L404" i="13" s="1"/>
  <c r="I405" i="13"/>
  <c r="L405" i="13" s="1"/>
  <c r="I406" i="13"/>
  <c r="L406" i="13" s="1"/>
  <c r="I407" i="13"/>
  <c r="L407" i="13" s="1"/>
  <c r="I408" i="13"/>
  <c r="L408" i="13" s="1"/>
  <c r="I409" i="13"/>
  <c r="L409" i="13" s="1"/>
  <c r="I410" i="13"/>
  <c r="L410" i="13" s="1"/>
  <c r="I411" i="13"/>
  <c r="L411" i="13" s="1"/>
  <c r="I412" i="13"/>
  <c r="L412" i="13" s="1"/>
  <c r="I413" i="13"/>
  <c r="L413" i="13" s="1"/>
  <c r="I414" i="13"/>
  <c r="L414" i="13" s="1"/>
  <c r="I415" i="13"/>
  <c r="L415" i="13" s="1"/>
  <c r="I416" i="13"/>
  <c r="L416" i="13" s="1"/>
  <c r="I417" i="13"/>
  <c r="L417" i="13" s="1"/>
  <c r="I418" i="13"/>
  <c r="L418" i="13" s="1"/>
  <c r="I419" i="13"/>
  <c r="L419" i="13" s="1"/>
  <c r="I420" i="13"/>
  <c r="L420" i="13" s="1"/>
  <c r="I421" i="13"/>
  <c r="L421" i="13" s="1"/>
  <c r="I422" i="13"/>
  <c r="L422" i="13" s="1"/>
  <c r="I423" i="13"/>
  <c r="L423" i="13" s="1"/>
  <c r="I424" i="13"/>
  <c r="L424" i="13" s="1"/>
  <c r="I425" i="13"/>
  <c r="L425" i="13" s="1"/>
  <c r="I426" i="13"/>
  <c r="L426" i="13" s="1"/>
  <c r="I427" i="13"/>
  <c r="L427" i="13" s="1"/>
  <c r="I428" i="13"/>
  <c r="L428" i="13" s="1"/>
  <c r="I429" i="13"/>
  <c r="L429" i="13" s="1"/>
  <c r="I430" i="13"/>
  <c r="L430" i="13" s="1"/>
  <c r="I431" i="13"/>
  <c r="L431" i="13" s="1"/>
  <c r="I432" i="13"/>
  <c r="L432" i="13" s="1"/>
  <c r="I433" i="13"/>
  <c r="L433" i="13" s="1"/>
  <c r="I434" i="13"/>
  <c r="L434" i="13" s="1"/>
  <c r="I435" i="13"/>
  <c r="L435" i="13" s="1"/>
  <c r="I436" i="13"/>
  <c r="L436" i="13" s="1"/>
  <c r="I437" i="13"/>
  <c r="L437" i="13" s="1"/>
  <c r="I438" i="13"/>
  <c r="L438" i="13" s="1"/>
  <c r="I439" i="13"/>
  <c r="L439" i="13" s="1"/>
  <c r="I440" i="13"/>
  <c r="L440" i="13" s="1"/>
  <c r="I441" i="13"/>
  <c r="L441" i="13" s="1"/>
  <c r="I442" i="13"/>
  <c r="L442" i="13" s="1"/>
  <c r="I443" i="13"/>
  <c r="L443" i="13" s="1"/>
  <c r="I444" i="13"/>
  <c r="L444" i="13" s="1"/>
  <c r="I445" i="13"/>
  <c r="L445" i="13" s="1"/>
  <c r="I446" i="13"/>
  <c r="L446" i="13" s="1"/>
  <c r="I447" i="13"/>
  <c r="L447" i="13" s="1"/>
  <c r="I448" i="13"/>
  <c r="L448" i="13" s="1"/>
  <c r="I449" i="13"/>
  <c r="L449" i="13" s="1"/>
  <c r="I450" i="13"/>
  <c r="L450" i="13" s="1"/>
  <c r="I451" i="13"/>
  <c r="L451" i="13" s="1"/>
  <c r="I452" i="13"/>
  <c r="L452" i="13" s="1"/>
  <c r="I453" i="13"/>
  <c r="L453" i="13" s="1"/>
  <c r="I454" i="13"/>
  <c r="L454" i="13" s="1"/>
  <c r="I455" i="13"/>
  <c r="L455" i="13" s="1"/>
  <c r="I456" i="13"/>
  <c r="L456" i="13" s="1"/>
  <c r="I457" i="13"/>
  <c r="L457" i="13" s="1"/>
  <c r="I458" i="13"/>
  <c r="L458" i="13" s="1"/>
  <c r="I459" i="13"/>
  <c r="L459" i="13" s="1"/>
  <c r="I460" i="13"/>
  <c r="L460" i="13" s="1"/>
  <c r="I461" i="13"/>
  <c r="L461" i="13" s="1"/>
  <c r="I462" i="13"/>
  <c r="L462" i="13" s="1"/>
  <c r="I463" i="13"/>
  <c r="L463" i="13" s="1"/>
  <c r="I464" i="13"/>
  <c r="L464" i="13" s="1"/>
  <c r="I465" i="13"/>
  <c r="L465" i="13" s="1"/>
  <c r="I466" i="13"/>
  <c r="L466" i="13" s="1"/>
  <c r="I467" i="13"/>
  <c r="L467" i="13" s="1"/>
  <c r="I468" i="13"/>
  <c r="L468" i="13" s="1"/>
  <c r="I469" i="13"/>
  <c r="L469" i="13" s="1"/>
  <c r="I470" i="13"/>
  <c r="L470" i="13" s="1"/>
  <c r="I471" i="13"/>
  <c r="L471" i="13" s="1"/>
  <c r="I472" i="13"/>
  <c r="L472" i="13" s="1"/>
  <c r="I473" i="13"/>
  <c r="L473" i="13" s="1"/>
  <c r="I474" i="13"/>
  <c r="L474" i="13" s="1"/>
  <c r="I475" i="13"/>
  <c r="L475" i="13" s="1"/>
  <c r="I476" i="13"/>
  <c r="L476" i="13" s="1"/>
  <c r="I477" i="13"/>
  <c r="L477" i="13" s="1"/>
  <c r="I478" i="13"/>
  <c r="L478" i="13" s="1"/>
  <c r="I479" i="13"/>
  <c r="L479" i="13" s="1"/>
  <c r="I480" i="13"/>
  <c r="L480" i="13" s="1"/>
  <c r="I481" i="13"/>
  <c r="L481" i="13" s="1"/>
  <c r="I482" i="13"/>
  <c r="L482" i="13" s="1"/>
  <c r="I483" i="13"/>
  <c r="L483" i="13" s="1"/>
  <c r="I484" i="13"/>
  <c r="L484" i="13" s="1"/>
  <c r="I485" i="13"/>
  <c r="L485" i="13" s="1"/>
  <c r="I486" i="13"/>
  <c r="L486" i="13" s="1"/>
  <c r="I487" i="13"/>
  <c r="L487" i="13" s="1"/>
  <c r="I488" i="13"/>
  <c r="L488" i="13" s="1"/>
  <c r="I489" i="13"/>
  <c r="L489" i="13" s="1"/>
  <c r="I490" i="13"/>
  <c r="L490" i="13" s="1"/>
  <c r="I491" i="13"/>
  <c r="L491" i="13" s="1"/>
  <c r="I492" i="13"/>
  <c r="L492" i="13" s="1"/>
  <c r="I493" i="13"/>
  <c r="L493" i="13" s="1"/>
  <c r="I494" i="13"/>
  <c r="L494" i="13" s="1"/>
  <c r="I495" i="13"/>
  <c r="L495" i="13" s="1"/>
  <c r="I496" i="13"/>
  <c r="L496" i="13" s="1"/>
  <c r="I497" i="13"/>
  <c r="L497" i="13" s="1"/>
  <c r="I498" i="13"/>
  <c r="L498" i="13" s="1"/>
  <c r="I499" i="13"/>
  <c r="L499" i="13" s="1"/>
  <c r="I500" i="13"/>
  <c r="L500" i="13" s="1"/>
  <c r="I501" i="13"/>
  <c r="L501" i="13" s="1"/>
  <c r="I502" i="13"/>
  <c r="L502" i="13" s="1"/>
  <c r="I503" i="13"/>
  <c r="L503" i="13" s="1"/>
  <c r="I504" i="13"/>
  <c r="L504" i="13" s="1"/>
  <c r="I505" i="13"/>
  <c r="L505" i="13" s="1"/>
  <c r="I506" i="13"/>
  <c r="L506" i="13" s="1"/>
  <c r="I507" i="13"/>
  <c r="L507" i="13" s="1"/>
  <c r="I508" i="13"/>
  <c r="L508" i="13" s="1"/>
  <c r="I509" i="13"/>
  <c r="L509" i="13" s="1"/>
  <c r="I510" i="13"/>
  <c r="L510" i="13" s="1"/>
  <c r="I511" i="13"/>
  <c r="L511" i="13" s="1"/>
  <c r="I512" i="13"/>
  <c r="L512" i="13" s="1"/>
  <c r="I683" i="13"/>
  <c r="L683" i="13" s="1"/>
  <c r="I684" i="13"/>
  <c r="L684" i="13" s="1"/>
  <c r="I685" i="13"/>
  <c r="L685" i="13" s="1"/>
  <c r="I686" i="13"/>
  <c r="L686" i="13" s="1"/>
  <c r="I687" i="13"/>
  <c r="L687" i="13" s="1"/>
  <c r="I688" i="13"/>
  <c r="L688" i="13" s="1"/>
  <c r="I689" i="13"/>
  <c r="L689" i="13" s="1"/>
  <c r="I690" i="13"/>
  <c r="L690" i="13" s="1"/>
  <c r="I691" i="13"/>
  <c r="L691" i="13" s="1"/>
  <c r="I692" i="13"/>
  <c r="L692" i="13" s="1"/>
  <c r="I693" i="13"/>
  <c r="L693" i="13" s="1"/>
  <c r="I694" i="13"/>
  <c r="L694" i="13" s="1"/>
  <c r="I695" i="13"/>
  <c r="L695" i="13" s="1"/>
  <c r="I696" i="13"/>
  <c r="L696" i="13" s="1"/>
  <c r="I697" i="13"/>
  <c r="L697" i="13" s="1"/>
  <c r="I698" i="13"/>
  <c r="L698" i="13" s="1"/>
  <c r="I699" i="13"/>
  <c r="L699" i="13" s="1"/>
  <c r="I700" i="13"/>
  <c r="L700" i="13" s="1"/>
  <c r="I701" i="13"/>
  <c r="L701" i="13" s="1"/>
  <c r="I702" i="13"/>
  <c r="L702" i="13" s="1"/>
  <c r="I703" i="13"/>
  <c r="L703" i="13" s="1"/>
  <c r="I704" i="13"/>
  <c r="L704" i="13" s="1"/>
  <c r="I705" i="13"/>
  <c r="L705" i="13" s="1"/>
  <c r="I706" i="13"/>
  <c r="L706" i="13" s="1"/>
  <c r="I707" i="13"/>
  <c r="L707" i="13" s="1"/>
  <c r="I708" i="13"/>
  <c r="L708" i="13" s="1"/>
  <c r="I709" i="13"/>
  <c r="L709" i="13" s="1"/>
  <c r="I710" i="13"/>
  <c r="L710" i="13" s="1"/>
  <c r="I711" i="13"/>
  <c r="L711" i="13" s="1"/>
  <c r="I712" i="13"/>
  <c r="L712" i="13" s="1"/>
  <c r="I713" i="13"/>
  <c r="L713" i="13" s="1"/>
  <c r="I714" i="13"/>
  <c r="L714" i="13" s="1"/>
  <c r="I715" i="13"/>
  <c r="L715" i="13" s="1"/>
  <c r="I716" i="13"/>
  <c r="L716" i="13" s="1"/>
  <c r="I717" i="13"/>
  <c r="L717" i="13" s="1"/>
  <c r="I718" i="13"/>
  <c r="L718" i="13" s="1"/>
  <c r="I719" i="13"/>
  <c r="L719" i="13" s="1"/>
  <c r="I720" i="13"/>
  <c r="L720" i="13" s="1"/>
  <c r="I721" i="13"/>
  <c r="L721" i="13" s="1"/>
  <c r="I722" i="13"/>
  <c r="L722" i="13" s="1"/>
  <c r="I723" i="13"/>
  <c r="L723" i="13" s="1"/>
  <c r="I724" i="13"/>
  <c r="L724" i="13" s="1"/>
  <c r="I725" i="13"/>
  <c r="L725" i="13" s="1"/>
  <c r="I726" i="13"/>
  <c r="L726" i="13" s="1"/>
  <c r="I727" i="13"/>
  <c r="L727" i="13" s="1"/>
  <c r="I728" i="13"/>
  <c r="L728" i="13" s="1"/>
  <c r="I729" i="13"/>
  <c r="L729" i="13" s="1"/>
  <c r="I730" i="13"/>
  <c r="L730" i="13" s="1"/>
  <c r="I731" i="13"/>
  <c r="L731" i="13" s="1"/>
  <c r="I732" i="13"/>
  <c r="L732" i="13" s="1"/>
  <c r="I733" i="13"/>
  <c r="L733" i="13" s="1"/>
  <c r="I734" i="13"/>
  <c r="L734" i="13" s="1"/>
  <c r="I735" i="13"/>
  <c r="L735" i="13" s="1"/>
  <c r="I736" i="13"/>
  <c r="L736" i="13" s="1"/>
  <c r="I737" i="13"/>
  <c r="L737" i="13" s="1"/>
  <c r="I738" i="13"/>
  <c r="L738" i="13" s="1"/>
  <c r="I739" i="13"/>
  <c r="L739" i="13" s="1"/>
  <c r="I740" i="13"/>
  <c r="L740" i="13" s="1"/>
  <c r="I741" i="13"/>
  <c r="L741" i="13" s="1"/>
  <c r="I742" i="13"/>
  <c r="L742" i="13" s="1"/>
  <c r="I743" i="13"/>
  <c r="L743" i="13" s="1"/>
  <c r="I744" i="13"/>
  <c r="L744" i="13" s="1"/>
  <c r="I745" i="13"/>
  <c r="L745" i="13" s="1"/>
  <c r="I746" i="13"/>
  <c r="L746" i="13" s="1"/>
  <c r="I747" i="13"/>
  <c r="L747" i="13" s="1"/>
  <c r="I748" i="13"/>
  <c r="L748" i="13" s="1"/>
  <c r="I749" i="13"/>
  <c r="L749" i="13" s="1"/>
  <c r="I750" i="13"/>
  <c r="L750" i="13" s="1"/>
  <c r="I751" i="13"/>
  <c r="L751" i="13" s="1"/>
  <c r="I752" i="13"/>
  <c r="L752" i="13" s="1"/>
  <c r="I753" i="13"/>
  <c r="L753" i="13" s="1"/>
  <c r="I754" i="13"/>
  <c r="L754" i="13" s="1"/>
  <c r="I755" i="13"/>
  <c r="L755" i="13" s="1"/>
  <c r="I756" i="13"/>
  <c r="L756" i="13" s="1"/>
  <c r="I757" i="13"/>
  <c r="L757" i="13" s="1"/>
  <c r="I758" i="13"/>
  <c r="L758" i="13" s="1"/>
  <c r="I759" i="13"/>
  <c r="L759" i="13" s="1"/>
  <c r="I760" i="13"/>
  <c r="L760" i="13" s="1"/>
  <c r="I761" i="13"/>
  <c r="L761" i="13" s="1"/>
  <c r="I762" i="13"/>
  <c r="L762" i="13" s="1"/>
  <c r="I763" i="13"/>
  <c r="L763" i="13" s="1"/>
  <c r="I764" i="13"/>
  <c r="L764" i="13" s="1"/>
  <c r="I765" i="13"/>
  <c r="L765" i="13" s="1"/>
  <c r="I766" i="13"/>
  <c r="L766" i="13" s="1"/>
  <c r="I767" i="13"/>
  <c r="L767" i="13" s="1"/>
  <c r="I768" i="13"/>
  <c r="L768" i="13" s="1"/>
  <c r="I769" i="13"/>
  <c r="L769" i="13" s="1"/>
  <c r="I770" i="13"/>
  <c r="L770" i="13" s="1"/>
  <c r="I771" i="13"/>
  <c r="L771" i="13" s="1"/>
  <c r="I772" i="13"/>
  <c r="L772" i="13" s="1"/>
  <c r="I773" i="13"/>
  <c r="L773" i="13" s="1"/>
  <c r="I774" i="13"/>
  <c r="L774" i="13" s="1"/>
  <c r="I775" i="13"/>
  <c r="L775" i="13" s="1"/>
  <c r="I776" i="13"/>
  <c r="L776" i="13" s="1"/>
  <c r="I777" i="13"/>
  <c r="L777" i="13" s="1"/>
  <c r="I778" i="13"/>
  <c r="L778" i="13" s="1"/>
  <c r="I779" i="13"/>
  <c r="L779" i="13" s="1"/>
  <c r="I780" i="13"/>
  <c r="L780" i="13" s="1"/>
  <c r="I781" i="13"/>
  <c r="L781" i="13" s="1"/>
  <c r="I782" i="13"/>
  <c r="L782" i="13" s="1"/>
  <c r="I783" i="13"/>
  <c r="L783" i="13" s="1"/>
  <c r="I784" i="13"/>
  <c r="L784" i="13" s="1"/>
  <c r="I785" i="13"/>
  <c r="L785" i="13" s="1"/>
  <c r="I786" i="13"/>
  <c r="L786" i="13" s="1"/>
  <c r="I787" i="13"/>
  <c r="L787" i="13" s="1"/>
  <c r="I788" i="13"/>
  <c r="L788" i="13" s="1"/>
  <c r="I789" i="13"/>
  <c r="L789" i="13" s="1"/>
  <c r="I790" i="13"/>
  <c r="L790" i="13" s="1"/>
  <c r="I791" i="13"/>
  <c r="L791" i="13" s="1"/>
  <c r="I792" i="13"/>
  <c r="L792" i="13" s="1"/>
  <c r="I793" i="13"/>
  <c r="L793" i="13" s="1"/>
  <c r="I794" i="13"/>
  <c r="L794" i="13" s="1"/>
  <c r="I795" i="13"/>
  <c r="L795" i="13" s="1"/>
  <c r="I796" i="13"/>
  <c r="L796" i="13" s="1"/>
  <c r="I797" i="13"/>
  <c r="L797" i="13" s="1"/>
  <c r="I798" i="13"/>
  <c r="L798" i="13" s="1"/>
  <c r="I799" i="13"/>
  <c r="L799" i="13" s="1"/>
  <c r="I800" i="13"/>
  <c r="L800" i="13" s="1"/>
  <c r="I801" i="13"/>
  <c r="L801" i="13" s="1"/>
  <c r="I802" i="13"/>
  <c r="L802" i="13" s="1"/>
  <c r="I803" i="13"/>
  <c r="L803" i="13" s="1"/>
  <c r="I804" i="13"/>
  <c r="L804" i="13" s="1"/>
  <c r="I805" i="13"/>
  <c r="L805" i="13" s="1"/>
  <c r="I806" i="13"/>
  <c r="L806" i="13" s="1"/>
  <c r="I807" i="13"/>
  <c r="L807" i="13" s="1"/>
  <c r="I808" i="13"/>
  <c r="L808" i="13" s="1"/>
  <c r="I809" i="13"/>
  <c r="L809" i="13" s="1"/>
  <c r="I810" i="13"/>
  <c r="L810" i="13" s="1"/>
  <c r="I811" i="13"/>
  <c r="L811" i="13" s="1"/>
  <c r="I812" i="13"/>
  <c r="L812" i="13" s="1"/>
  <c r="I813" i="13"/>
  <c r="L813" i="13" s="1"/>
  <c r="I814" i="13"/>
  <c r="L814" i="13" s="1"/>
  <c r="I815" i="13"/>
  <c r="L815" i="13" s="1"/>
  <c r="I816" i="13"/>
  <c r="L816" i="13" s="1"/>
  <c r="I817" i="13"/>
  <c r="L817" i="13" s="1"/>
  <c r="I818" i="13"/>
  <c r="L818" i="13" s="1"/>
  <c r="I819" i="13"/>
  <c r="L819" i="13" s="1"/>
  <c r="I820" i="13"/>
  <c r="L820" i="13" s="1"/>
  <c r="I821" i="13"/>
  <c r="L821" i="13" s="1"/>
  <c r="I822" i="13"/>
  <c r="L822" i="13" s="1"/>
  <c r="I823" i="13"/>
  <c r="L823" i="13" s="1"/>
  <c r="I824" i="13"/>
  <c r="L824" i="13" s="1"/>
  <c r="I825" i="13"/>
  <c r="L825" i="13" s="1"/>
  <c r="I826" i="13"/>
  <c r="L826" i="13" s="1"/>
  <c r="I827" i="13"/>
  <c r="L827" i="13" s="1"/>
  <c r="I828" i="13"/>
  <c r="L828" i="13" s="1"/>
  <c r="I829" i="13"/>
  <c r="L829" i="13" s="1"/>
  <c r="I830" i="13"/>
  <c r="L830" i="13" s="1"/>
  <c r="I831" i="13"/>
  <c r="L831" i="13" s="1"/>
  <c r="I832" i="13"/>
  <c r="L832" i="13" s="1"/>
  <c r="I833" i="13"/>
  <c r="L833" i="13" s="1"/>
  <c r="I834" i="13"/>
  <c r="L834" i="13" s="1"/>
  <c r="I835" i="13"/>
  <c r="L835" i="13" s="1"/>
  <c r="I836" i="13"/>
  <c r="L836" i="13" s="1"/>
  <c r="I837" i="13"/>
  <c r="L837" i="13" s="1"/>
  <c r="I838" i="13"/>
  <c r="L838" i="13" s="1"/>
  <c r="I839" i="13"/>
  <c r="L839" i="13" s="1"/>
  <c r="I840" i="13"/>
  <c r="L840" i="13" s="1"/>
  <c r="I841" i="13"/>
  <c r="L841" i="13" s="1"/>
  <c r="I842" i="13"/>
  <c r="L842" i="13" s="1"/>
  <c r="I843" i="13"/>
  <c r="L843" i="13" s="1"/>
  <c r="I844" i="13"/>
  <c r="L844" i="13" s="1"/>
  <c r="I845" i="13"/>
  <c r="L845" i="13" s="1"/>
  <c r="I846" i="13"/>
  <c r="L846" i="13" s="1"/>
  <c r="I847" i="13"/>
  <c r="L847" i="13" s="1"/>
  <c r="I848" i="13"/>
  <c r="L848" i="13" s="1"/>
  <c r="I849" i="13"/>
  <c r="L849" i="13" s="1"/>
  <c r="I850" i="13"/>
  <c r="L850" i="13" s="1"/>
  <c r="I851" i="13"/>
  <c r="L851" i="13" s="1"/>
  <c r="I852" i="13"/>
  <c r="L852" i="13" s="1"/>
  <c r="I853" i="13"/>
  <c r="L853" i="13" s="1"/>
  <c r="I854" i="13"/>
  <c r="L854" i="13" s="1"/>
  <c r="I855" i="13"/>
  <c r="L855" i="13" s="1"/>
  <c r="I856" i="13"/>
  <c r="L856" i="13" s="1"/>
  <c r="I857" i="13"/>
  <c r="L857" i="13" s="1"/>
  <c r="I858" i="13"/>
  <c r="L858" i="13" s="1"/>
  <c r="I859" i="13"/>
  <c r="L859" i="13" s="1"/>
  <c r="I860" i="13"/>
  <c r="L860" i="13" s="1"/>
  <c r="I861" i="13"/>
  <c r="L861" i="13" s="1"/>
  <c r="I862" i="13"/>
  <c r="L862" i="13" s="1"/>
  <c r="I863" i="13"/>
  <c r="L863" i="13" s="1"/>
  <c r="I864" i="13"/>
  <c r="L864" i="13" s="1"/>
  <c r="I865" i="13"/>
  <c r="L865" i="13" s="1"/>
  <c r="I866" i="13"/>
  <c r="L866" i="13" s="1"/>
  <c r="I867" i="13"/>
  <c r="L867" i="13" s="1"/>
  <c r="I868" i="13"/>
  <c r="L868" i="13" s="1"/>
  <c r="I869" i="13"/>
  <c r="L869" i="13" s="1"/>
  <c r="I870" i="13"/>
  <c r="L870" i="13" s="1"/>
  <c r="I871" i="13"/>
  <c r="L871" i="13" s="1"/>
  <c r="I872" i="13"/>
  <c r="L872" i="13" s="1"/>
  <c r="I873" i="13"/>
  <c r="L873" i="13" s="1"/>
  <c r="I874" i="13"/>
  <c r="L874" i="13" s="1"/>
  <c r="I875" i="13"/>
  <c r="L875" i="13" s="1"/>
  <c r="I876" i="13"/>
  <c r="L876" i="13" s="1"/>
  <c r="I877" i="13"/>
  <c r="L877" i="13" s="1"/>
  <c r="I878" i="13"/>
  <c r="L878" i="13" s="1"/>
  <c r="I879" i="13"/>
  <c r="L879" i="13" s="1"/>
  <c r="I880" i="13"/>
  <c r="L880" i="13" s="1"/>
  <c r="I881" i="13"/>
  <c r="L881" i="13" s="1"/>
  <c r="I882" i="13"/>
  <c r="L882" i="13" s="1"/>
  <c r="I883" i="13"/>
  <c r="L883" i="13" s="1"/>
  <c r="I884" i="13"/>
  <c r="L884" i="13" s="1"/>
  <c r="I885" i="13"/>
  <c r="L885" i="13" s="1"/>
  <c r="I886" i="13"/>
  <c r="L886" i="13" s="1"/>
  <c r="I887" i="13"/>
  <c r="L887" i="13" s="1"/>
  <c r="I888" i="13"/>
  <c r="L888" i="13" s="1"/>
  <c r="I889" i="13"/>
  <c r="L889" i="13" s="1"/>
  <c r="I890" i="13"/>
  <c r="L890" i="13" s="1"/>
  <c r="I891" i="13"/>
  <c r="L891" i="13" s="1"/>
  <c r="I892" i="13"/>
  <c r="L892" i="13" s="1"/>
  <c r="I893" i="13"/>
  <c r="L893" i="13" s="1"/>
  <c r="I894" i="13"/>
  <c r="L894" i="13" s="1"/>
  <c r="I895" i="13"/>
  <c r="L895" i="13" s="1"/>
  <c r="I896" i="13"/>
  <c r="L896" i="13" s="1"/>
  <c r="I897" i="13"/>
  <c r="L897" i="13" s="1"/>
  <c r="I898" i="13"/>
  <c r="L898" i="13" s="1"/>
  <c r="I899" i="13"/>
  <c r="L899" i="13" s="1"/>
  <c r="I900" i="13"/>
  <c r="L900" i="13" s="1"/>
  <c r="I901" i="13"/>
  <c r="L901" i="13" s="1"/>
  <c r="I902" i="13"/>
  <c r="L902" i="13" s="1"/>
  <c r="I903" i="13"/>
  <c r="L903" i="13" s="1"/>
  <c r="I904" i="13"/>
  <c r="L904" i="13" s="1"/>
  <c r="I905" i="13"/>
  <c r="L905" i="13" s="1"/>
  <c r="I906" i="13"/>
  <c r="L906" i="13" s="1"/>
  <c r="I907" i="13"/>
  <c r="L907" i="13" s="1"/>
  <c r="I908" i="13"/>
  <c r="L908" i="13" s="1"/>
  <c r="I909" i="13"/>
  <c r="L909" i="13" s="1"/>
  <c r="I910" i="13"/>
  <c r="L910" i="13" s="1"/>
  <c r="I911" i="13"/>
  <c r="L911" i="13" s="1"/>
  <c r="I912" i="13"/>
  <c r="L912" i="13" s="1"/>
  <c r="I913" i="13"/>
  <c r="L913" i="13" s="1"/>
  <c r="I914" i="13"/>
  <c r="L914" i="13" s="1"/>
  <c r="I915" i="13"/>
  <c r="L915" i="13" s="1"/>
  <c r="I916" i="13"/>
  <c r="L916" i="13" s="1"/>
  <c r="I917" i="13"/>
  <c r="L917" i="13" s="1"/>
  <c r="I918" i="13"/>
  <c r="L918" i="13" s="1"/>
  <c r="I919" i="13"/>
  <c r="L919" i="13" s="1"/>
  <c r="I920" i="13"/>
  <c r="L920" i="13" s="1"/>
  <c r="I921" i="13"/>
  <c r="L921" i="13" s="1"/>
  <c r="I922" i="13"/>
  <c r="L922" i="13" s="1"/>
  <c r="I923" i="13"/>
  <c r="L923" i="13" s="1"/>
  <c r="I924" i="13"/>
  <c r="L924" i="13" s="1"/>
  <c r="I925" i="13"/>
  <c r="L925" i="13" s="1"/>
  <c r="I926" i="13"/>
  <c r="L926" i="13" s="1"/>
  <c r="I927" i="13"/>
  <c r="L927" i="13" s="1"/>
  <c r="I928" i="13"/>
  <c r="L928" i="13" s="1"/>
  <c r="I929" i="13"/>
  <c r="L929" i="13" s="1"/>
  <c r="I930" i="13"/>
  <c r="L930" i="13" s="1"/>
  <c r="I931" i="13"/>
  <c r="L931" i="13" s="1"/>
  <c r="I932" i="13"/>
  <c r="L932" i="13" s="1"/>
  <c r="I933" i="13"/>
  <c r="L933" i="13" s="1"/>
  <c r="I934" i="13"/>
  <c r="L934" i="13" s="1"/>
  <c r="I935" i="13"/>
  <c r="L935" i="13" s="1"/>
  <c r="I936" i="13"/>
  <c r="L936" i="13" s="1"/>
  <c r="I937" i="13"/>
  <c r="L937" i="13" s="1"/>
  <c r="I938" i="13"/>
  <c r="L938" i="13" s="1"/>
  <c r="I939" i="13"/>
  <c r="L939" i="13" s="1"/>
  <c r="I940" i="13"/>
  <c r="L940" i="13" s="1"/>
  <c r="I941" i="13"/>
  <c r="L941" i="13" s="1"/>
  <c r="I942" i="13"/>
  <c r="L942" i="13" s="1"/>
  <c r="I943" i="13"/>
  <c r="L943" i="13" s="1"/>
  <c r="I944" i="13"/>
  <c r="L944" i="13" s="1"/>
  <c r="I945" i="13"/>
  <c r="L945" i="13" s="1"/>
  <c r="I946" i="13"/>
  <c r="L946" i="13" s="1"/>
  <c r="I947" i="13"/>
  <c r="L947" i="13" s="1"/>
  <c r="I948" i="13"/>
  <c r="L948" i="13" s="1"/>
  <c r="I949" i="13"/>
  <c r="L949" i="13" s="1"/>
  <c r="I950" i="13"/>
  <c r="L950" i="13" s="1"/>
  <c r="I951" i="13"/>
  <c r="L951" i="13" s="1"/>
  <c r="I952" i="13"/>
  <c r="L952" i="13" s="1"/>
  <c r="I953" i="13"/>
  <c r="L953" i="13" s="1"/>
  <c r="I954" i="13"/>
  <c r="L954" i="13" s="1"/>
  <c r="I955" i="13"/>
  <c r="L955" i="13" s="1"/>
  <c r="I956" i="13"/>
  <c r="L956" i="13" s="1"/>
  <c r="I957" i="13"/>
  <c r="L957" i="13" s="1"/>
  <c r="I958" i="13"/>
  <c r="L958" i="13" s="1"/>
  <c r="I959" i="13"/>
  <c r="L959" i="13" s="1"/>
  <c r="I960" i="13"/>
  <c r="L960" i="13" s="1"/>
  <c r="I961" i="13"/>
  <c r="L961" i="13" s="1"/>
  <c r="I962" i="13"/>
  <c r="L962" i="13" s="1"/>
  <c r="I963" i="13"/>
  <c r="L963" i="13" s="1"/>
  <c r="I964" i="13"/>
  <c r="L964" i="13" s="1"/>
  <c r="I965" i="13"/>
  <c r="L965" i="13" s="1"/>
  <c r="I966" i="13"/>
  <c r="L966" i="13" s="1"/>
  <c r="I967" i="13"/>
  <c r="L967" i="13" s="1"/>
  <c r="I968" i="13"/>
  <c r="L968" i="13" s="1"/>
  <c r="I969" i="13"/>
  <c r="L969" i="13" s="1"/>
  <c r="I970" i="13"/>
  <c r="L970" i="13" s="1"/>
  <c r="I971" i="13"/>
  <c r="L971" i="13" s="1"/>
  <c r="I972" i="13"/>
  <c r="L972" i="13" s="1"/>
  <c r="I973" i="13"/>
  <c r="L973" i="13" s="1"/>
  <c r="I974" i="13"/>
  <c r="L974" i="13" s="1"/>
  <c r="I975" i="13"/>
  <c r="L975" i="13" s="1"/>
  <c r="I976" i="13"/>
  <c r="L976" i="13" s="1"/>
  <c r="I977" i="13"/>
  <c r="L977" i="13" s="1"/>
  <c r="I978" i="13"/>
  <c r="L978" i="13" s="1"/>
  <c r="I979" i="13"/>
  <c r="L979" i="13" s="1"/>
  <c r="I980" i="13"/>
  <c r="L980" i="13" s="1"/>
  <c r="I981" i="13"/>
  <c r="L981" i="13" s="1"/>
  <c r="I982" i="13"/>
  <c r="L982" i="13" s="1"/>
  <c r="I983" i="13"/>
  <c r="L983" i="13" s="1"/>
  <c r="I984" i="13"/>
  <c r="L984" i="13" s="1"/>
  <c r="I985" i="13"/>
  <c r="L985" i="13" s="1"/>
  <c r="I986" i="13"/>
  <c r="L986" i="13" s="1"/>
  <c r="I987" i="13"/>
  <c r="L987" i="13" s="1"/>
  <c r="I988" i="13"/>
  <c r="L988" i="13" s="1"/>
  <c r="I989" i="13"/>
  <c r="L989" i="13" s="1"/>
  <c r="I990" i="13"/>
  <c r="L990" i="13" s="1"/>
  <c r="I991" i="13"/>
  <c r="L991" i="13" s="1"/>
  <c r="I992" i="13"/>
  <c r="L992" i="13" s="1"/>
  <c r="I993" i="13"/>
  <c r="L993" i="13" s="1"/>
  <c r="I994" i="13"/>
  <c r="L994" i="13" s="1"/>
  <c r="I995" i="13"/>
  <c r="L995" i="13" s="1"/>
  <c r="I996" i="13"/>
  <c r="L996" i="13" s="1"/>
  <c r="I997" i="13"/>
  <c r="L997" i="13" s="1"/>
  <c r="I998" i="13"/>
  <c r="L998" i="13" s="1"/>
  <c r="I999" i="13"/>
  <c r="L999" i="13" s="1"/>
  <c r="I1000" i="13"/>
  <c r="L1000" i="13" s="1"/>
  <c r="I1001" i="13"/>
  <c r="L1001" i="13" s="1"/>
  <c r="I1002" i="13"/>
  <c r="L1002" i="13" s="1"/>
  <c r="I1003" i="13"/>
  <c r="L1003" i="13" s="1"/>
  <c r="I1004" i="13"/>
  <c r="L1004" i="13" s="1"/>
  <c r="I1005" i="13"/>
  <c r="L1005" i="13" s="1"/>
  <c r="I1006" i="13"/>
  <c r="L1006" i="13" s="1"/>
  <c r="I1007" i="13"/>
  <c r="L1007" i="13" s="1"/>
  <c r="I1008" i="13"/>
  <c r="L1008" i="13" s="1"/>
  <c r="I1009" i="13"/>
  <c r="L1009" i="13" s="1"/>
  <c r="I1010" i="13"/>
  <c r="L1010" i="13" s="1"/>
  <c r="I1011" i="13"/>
  <c r="L1011" i="13" s="1"/>
  <c r="I1012" i="13"/>
  <c r="L1012" i="13" s="1"/>
  <c r="I1013" i="13"/>
  <c r="L1013" i="13" s="1"/>
  <c r="I1014" i="13"/>
  <c r="L1014" i="13" s="1"/>
  <c r="I1015" i="13"/>
  <c r="L1015" i="13" s="1"/>
  <c r="I1016" i="13"/>
  <c r="L1016" i="13" s="1"/>
  <c r="I1017" i="13"/>
  <c r="L1017" i="13" s="1"/>
  <c r="I1018" i="13"/>
  <c r="L1018" i="13" s="1"/>
  <c r="I1019" i="13"/>
  <c r="L1019" i="13" s="1"/>
  <c r="I1020" i="13"/>
  <c r="L1020" i="13" s="1"/>
  <c r="I1021" i="13"/>
  <c r="L1021" i="13" s="1"/>
  <c r="I1022" i="13"/>
  <c r="L1022" i="13" s="1"/>
  <c r="I1023" i="13"/>
  <c r="L1023" i="13" s="1"/>
  <c r="I1024" i="13"/>
  <c r="L1024" i="13" s="1"/>
  <c r="I1025" i="13"/>
  <c r="L1025" i="13" s="1"/>
  <c r="I1026" i="13"/>
  <c r="L1026" i="13" s="1"/>
  <c r="I1027" i="13"/>
  <c r="L1027" i="13" s="1"/>
  <c r="I1028" i="13"/>
  <c r="L1028" i="13" s="1"/>
  <c r="I1029" i="13"/>
  <c r="L1029" i="13" s="1"/>
  <c r="I1030" i="13"/>
  <c r="L1030" i="13" s="1"/>
  <c r="I1031" i="13"/>
  <c r="L1031" i="13" s="1"/>
  <c r="I1032" i="13"/>
  <c r="L1032" i="13" s="1"/>
  <c r="I1033" i="13"/>
  <c r="L1033" i="13" s="1"/>
  <c r="I1034" i="13"/>
  <c r="L1034" i="13" s="1"/>
  <c r="I1035" i="13"/>
  <c r="L1035" i="13" s="1"/>
  <c r="I1036" i="13"/>
  <c r="L1036" i="13" s="1"/>
  <c r="I1037" i="13"/>
  <c r="L1037" i="13" s="1"/>
  <c r="I1038" i="13"/>
  <c r="L1038" i="13" s="1"/>
  <c r="I1039" i="13"/>
  <c r="L1039" i="13" s="1"/>
  <c r="I1040" i="13"/>
  <c r="L1040" i="13" s="1"/>
  <c r="I1041" i="13"/>
  <c r="L1041" i="13" s="1"/>
  <c r="I1042" i="13"/>
  <c r="L1042" i="13" s="1"/>
  <c r="I1043" i="13"/>
  <c r="L1043" i="13" s="1"/>
  <c r="I1044" i="13"/>
  <c r="L1044" i="13" s="1"/>
  <c r="I1045" i="13"/>
  <c r="L1045" i="13" s="1"/>
  <c r="I1046" i="13"/>
  <c r="L1046" i="13" s="1"/>
  <c r="I1047" i="13"/>
  <c r="L1047" i="13" s="1"/>
  <c r="I1048" i="13"/>
  <c r="L1048" i="13" s="1"/>
  <c r="I1049" i="13"/>
  <c r="L1049" i="13" s="1"/>
  <c r="I1050" i="13"/>
  <c r="L1050" i="13" s="1"/>
  <c r="I1051" i="13"/>
  <c r="L1051" i="13" s="1"/>
  <c r="I1052" i="13"/>
  <c r="L1052" i="13" s="1"/>
  <c r="I1053" i="13"/>
  <c r="L1053" i="13" s="1"/>
  <c r="I1054" i="13"/>
  <c r="L1054" i="13" s="1"/>
  <c r="I1055" i="13"/>
  <c r="L1055" i="13" s="1"/>
  <c r="I1056" i="13"/>
  <c r="L1056" i="13" s="1"/>
  <c r="I1057" i="13"/>
  <c r="L1057" i="13" s="1"/>
  <c r="I1058" i="13"/>
  <c r="L1058" i="13" s="1"/>
  <c r="I1059" i="13"/>
  <c r="L1059" i="13" s="1"/>
  <c r="I1060" i="13"/>
  <c r="L1060" i="13" s="1"/>
  <c r="I1061" i="13"/>
  <c r="L1061" i="13" s="1"/>
  <c r="I1062" i="13"/>
  <c r="L1062" i="13" s="1"/>
  <c r="I1063" i="13"/>
  <c r="L1063" i="13" s="1"/>
  <c r="I1064" i="13"/>
  <c r="L1064" i="13" s="1"/>
  <c r="I1065" i="13"/>
  <c r="L1065" i="13" s="1"/>
  <c r="I1066" i="13"/>
  <c r="L1066" i="13" s="1"/>
  <c r="I1067" i="13"/>
  <c r="L1067" i="13" s="1"/>
  <c r="I1068" i="13"/>
  <c r="L1068" i="13" s="1"/>
  <c r="I1069" i="13"/>
  <c r="L1069" i="13" s="1"/>
  <c r="I1070" i="13"/>
  <c r="L1070" i="13" s="1"/>
  <c r="I1071" i="13"/>
  <c r="L1071" i="13" s="1"/>
  <c r="I1072" i="13"/>
  <c r="L1072" i="13" s="1"/>
  <c r="I1073" i="13"/>
  <c r="L1073" i="13" s="1"/>
  <c r="I1074" i="13"/>
  <c r="L1074" i="13" s="1"/>
  <c r="I1075" i="13"/>
  <c r="L1075" i="13" s="1"/>
  <c r="I1076" i="13"/>
  <c r="L1076" i="13" s="1"/>
  <c r="I1077" i="13"/>
  <c r="L1077" i="13" s="1"/>
  <c r="I1078" i="13"/>
  <c r="L1078" i="13" s="1"/>
  <c r="I1079" i="13"/>
  <c r="L1079" i="13" s="1"/>
  <c r="I1080" i="13"/>
  <c r="L1080" i="13" s="1"/>
  <c r="I1081" i="13"/>
  <c r="L1081" i="13" s="1"/>
  <c r="I1082" i="13"/>
  <c r="L1082" i="13" s="1"/>
  <c r="I1083" i="13"/>
  <c r="L1083" i="13" s="1"/>
  <c r="I1084" i="13"/>
  <c r="L1084" i="13" s="1"/>
  <c r="I1085" i="13"/>
  <c r="L1085" i="13" s="1"/>
  <c r="I1086" i="13"/>
  <c r="L1086" i="13" s="1"/>
  <c r="I1087" i="13"/>
  <c r="L1087" i="13" s="1"/>
  <c r="I1088" i="13"/>
  <c r="L1088" i="13" s="1"/>
  <c r="I1089" i="13"/>
  <c r="L1089" i="13" s="1"/>
  <c r="I1090" i="13"/>
  <c r="L1090" i="13" s="1"/>
  <c r="I1091" i="13"/>
  <c r="L1091" i="13" s="1"/>
  <c r="I1092" i="13"/>
  <c r="L1092" i="13" s="1"/>
  <c r="I1093" i="13"/>
  <c r="L1093" i="13" s="1"/>
  <c r="I1094" i="13"/>
  <c r="L1094" i="13" s="1"/>
  <c r="I1095" i="13"/>
  <c r="L1095" i="13" s="1"/>
  <c r="I1096" i="13"/>
  <c r="L1096" i="13" s="1"/>
  <c r="I1097" i="13"/>
  <c r="L1097" i="13" s="1"/>
  <c r="I1098" i="13"/>
  <c r="L1098" i="13" s="1"/>
  <c r="I1099" i="13"/>
  <c r="L1099" i="13" s="1"/>
  <c r="I1100" i="13"/>
  <c r="L1100" i="13" s="1"/>
  <c r="I1101" i="13"/>
  <c r="L1101" i="13" s="1"/>
  <c r="I1102" i="13"/>
  <c r="L1102" i="13" s="1"/>
  <c r="I1103" i="13"/>
  <c r="L1103" i="13" s="1"/>
  <c r="I1104" i="13"/>
  <c r="L1104" i="13" s="1"/>
  <c r="I1105" i="13"/>
  <c r="L1105" i="13" s="1"/>
  <c r="I1106" i="13"/>
  <c r="L1106" i="13" s="1"/>
  <c r="I1107" i="13"/>
  <c r="L1107" i="13" s="1"/>
  <c r="I1108" i="13"/>
  <c r="L1108" i="13" s="1"/>
  <c r="I1109" i="13"/>
  <c r="L1109" i="13" s="1"/>
  <c r="I1110" i="13"/>
  <c r="L1110" i="13" s="1"/>
  <c r="I1111" i="13"/>
  <c r="L1111" i="13" s="1"/>
  <c r="I1112" i="13"/>
  <c r="L1112" i="13" s="1"/>
  <c r="I1113" i="13"/>
  <c r="L1113" i="13" s="1"/>
  <c r="I1114" i="13"/>
  <c r="L1114" i="13" s="1"/>
  <c r="I1115" i="13"/>
  <c r="L1115" i="13" s="1"/>
  <c r="I1116" i="13"/>
  <c r="L1116" i="13" s="1"/>
  <c r="I1117" i="13"/>
  <c r="L1117" i="13" s="1"/>
  <c r="I1118" i="13"/>
  <c r="L1118" i="13" s="1"/>
  <c r="I1119" i="13"/>
  <c r="L1119" i="13" s="1"/>
  <c r="I1120" i="13"/>
  <c r="L1120" i="13" s="1"/>
  <c r="I1121" i="13"/>
  <c r="L1121" i="13" s="1"/>
  <c r="I1122" i="13"/>
  <c r="L1122" i="13" s="1"/>
  <c r="I1123" i="13"/>
  <c r="L1123" i="13" s="1"/>
  <c r="I1124" i="13"/>
  <c r="L1124" i="13" s="1"/>
  <c r="I1125" i="13"/>
  <c r="L1125" i="13" s="1"/>
  <c r="I1126" i="13"/>
  <c r="L1126" i="13" s="1"/>
  <c r="I1127" i="13"/>
  <c r="L1127" i="13" s="1"/>
  <c r="I1128" i="13"/>
  <c r="L1128" i="13" s="1"/>
  <c r="I1129" i="13"/>
  <c r="L1129" i="13" s="1"/>
  <c r="I1130" i="13"/>
  <c r="L1130" i="13" s="1"/>
  <c r="I1131" i="13"/>
  <c r="L1131" i="13" s="1"/>
  <c r="I1132" i="13"/>
  <c r="L1132" i="13" s="1"/>
  <c r="I1133" i="13"/>
  <c r="L1133" i="13" s="1"/>
  <c r="I1134" i="13"/>
  <c r="L1134" i="13" s="1"/>
  <c r="I1135" i="13"/>
  <c r="L1135" i="13" s="1"/>
  <c r="I1136" i="13"/>
  <c r="L1136" i="13" s="1"/>
  <c r="I1137" i="13"/>
  <c r="L1137" i="13" s="1"/>
  <c r="I1138" i="13"/>
  <c r="L1138" i="13" s="1"/>
  <c r="I1139" i="13"/>
  <c r="L1139" i="13" s="1"/>
  <c r="I1140" i="13"/>
  <c r="L1140" i="13" s="1"/>
  <c r="I1141" i="13"/>
  <c r="L1141" i="13" s="1"/>
  <c r="I1142" i="13"/>
  <c r="L1142" i="13" s="1"/>
  <c r="I1143" i="13"/>
  <c r="L1143" i="13" s="1"/>
  <c r="I1144" i="13"/>
  <c r="L1144" i="13" s="1"/>
  <c r="I1145" i="13"/>
  <c r="L1145" i="13" s="1"/>
  <c r="I1146" i="13"/>
  <c r="L1146" i="13" s="1"/>
  <c r="I1147" i="13"/>
  <c r="L1147" i="13" s="1"/>
  <c r="I1148" i="13"/>
  <c r="L1148" i="13" s="1"/>
  <c r="I1149" i="13"/>
  <c r="L1149" i="13" s="1"/>
  <c r="I1150" i="13"/>
  <c r="L1150" i="13" s="1"/>
  <c r="I1151" i="13"/>
  <c r="L1151" i="13" s="1"/>
  <c r="I1152" i="13"/>
  <c r="L1152" i="13" s="1"/>
  <c r="I1153" i="13"/>
  <c r="L1153" i="13" s="1"/>
  <c r="I1154" i="13"/>
  <c r="L1154" i="13" s="1"/>
  <c r="I1155" i="13"/>
  <c r="L1155" i="13" s="1"/>
  <c r="I1156" i="13"/>
  <c r="L1156" i="13" s="1"/>
  <c r="I1157" i="13"/>
  <c r="L1157" i="13" s="1"/>
  <c r="I1158" i="13"/>
  <c r="L1158" i="13" s="1"/>
  <c r="I1159" i="13"/>
  <c r="L1159" i="13" s="1"/>
  <c r="I1160" i="13"/>
  <c r="L1160" i="13" s="1"/>
  <c r="I1161" i="13"/>
  <c r="L1161" i="13" s="1"/>
  <c r="I1162" i="13"/>
  <c r="L1162" i="13" s="1"/>
  <c r="I1163" i="13"/>
  <c r="L1163" i="13" s="1"/>
  <c r="I1164" i="13"/>
  <c r="L1164" i="13" s="1"/>
  <c r="I1165" i="13"/>
  <c r="L1165" i="13" s="1"/>
  <c r="I1166" i="13"/>
  <c r="L1166" i="13" s="1"/>
  <c r="I1167" i="13"/>
  <c r="L1167" i="13" s="1"/>
  <c r="I1168" i="13"/>
  <c r="L1168" i="13" s="1"/>
  <c r="I1169" i="13"/>
  <c r="L1169" i="13" s="1"/>
  <c r="I1170" i="13"/>
  <c r="L1170" i="13" s="1"/>
  <c r="I1171" i="13"/>
  <c r="L1171" i="13" s="1"/>
  <c r="I1172" i="13"/>
  <c r="L1172" i="13" s="1"/>
  <c r="I1173" i="13"/>
  <c r="L1173" i="13" s="1"/>
  <c r="I1174" i="13"/>
  <c r="L1174" i="13" s="1"/>
  <c r="I1175" i="13"/>
  <c r="L1175" i="13" s="1"/>
  <c r="I1176" i="13"/>
  <c r="L1176" i="13" s="1"/>
  <c r="I1177" i="13"/>
  <c r="L1177" i="13" s="1"/>
  <c r="I1178" i="13"/>
  <c r="L1178" i="13" s="1"/>
  <c r="I1179" i="13"/>
  <c r="L1179" i="13" s="1"/>
  <c r="I1180" i="13"/>
  <c r="L1180" i="13" s="1"/>
  <c r="I1181" i="13"/>
  <c r="L1181" i="13" s="1"/>
  <c r="I1182" i="13"/>
  <c r="L1182" i="13" s="1"/>
  <c r="I1183" i="13"/>
  <c r="L1183" i="13" s="1"/>
  <c r="I1184" i="13"/>
  <c r="L1184" i="13" s="1"/>
  <c r="I1185" i="13"/>
  <c r="L1185" i="13" s="1"/>
  <c r="I1186" i="13"/>
  <c r="L1186" i="13" s="1"/>
  <c r="I1187" i="13"/>
  <c r="L1187" i="13" s="1"/>
  <c r="I1188" i="13"/>
  <c r="L1188" i="13" s="1"/>
  <c r="I1189" i="13"/>
  <c r="L1189" i="13" s="1"/>
  <c r="I1190" i="13"/>
  <c r="L1190" i="13" s="1"/>
  <c r="I1191" i="13"/>
  <c r="L1191" i="13" s="1"/>
  <c r="I1192" i="13"/>
  <c r="L1192" i="13" s="1"/>
  <c r="I1193" i="13"/>
  <c r="L1193" i="13" s="1"/>
  <c r="I1194" i="13"/>
  <c r="L1194" i="13" s="1"/>
  <c r="I1195" i="13"/>
  <c r="L1195" i="13" s="1"/>
  <c r="I1196" i="13"/>
  <c r="L1196" i="13" s="1"/>
  <c r="I1197" i="13"/>
  <c r="L1197" i="13" s="1"/>
  <c r="I1198" i="13"/>
  <c r="L1198" i="13" s="1"/>
  <c r="I1199" i="13"/>
  <c r="L1199" i="13" s="1"/>
  <c r="I1200" i="13"/>
  <c r="L1200" i="13" s="1"/>
  <c r="I1201" i="13"/>
  <c r="L1201" i="13" s="1"/>
  <c r="I1202" i="13"/>
  <c r="L1202" i="13" s="1"/>
  <c r="I1203" i="13"/>
  <c r="L1203" i="13" s="1"/>
  <c r="I1204" i="13"/>
  <c r="L1204" i="13" s="1"/>
  <c r="I1205" i="13"/>
  <c r="L1205" i="13" s="1"/>
  <c r="I1206" i="13"/>
  <c r="L1206" i="13" s="1"/>
  <c r="I1207" i="13"/>
  <c r="L1207" i="13" s="1"/>
  <c r="I1208" i="13"/>
  <c r="L1208" i="13" s="1"/>
  <c r="I1209" i="13"/>
  <c r="L1209" i="13" s="1"/>
  <c r="I1210" i="13"/>
  <c r="L1210" i="13" s="1"/>
  <c r="I1211" i="13"/>
  <c r="L1211" i="13" s="1"/>
  <c r="I1212" i="13"/>
  <c r="L1212" i="13" s="1"/>
  <c r="I1213" i="13"/>
  <c r="L1213" i="13" s="1"/>
  <c r="I1214" i="13"/>
  <c r="L1214" i="13" s="1"/>
  <c r="I1215" i="13"/>
  <c r="L1215" i="13" s="1"/>
  <c r="I1216" i="13"/>
  <c r="L1216" i="13" s="1"/>
  <c r="I1217" i="13"/>
  <c r="L1217" i="13" s="1"/>
  <c r="I1218" i="13"/>
  <c r="L1218" i="13" s="1"/>
  <c r="I1219" i="13"/>
  <c r="L1219" i="13" s="1"/>
  <c r="I1220" i="13"/>
  <c r="L1220" i="13" s="1"/>
  <c r="I1221" i="13"/>
  <c r="L1221" i="13" s="1"/>
  <c r="I1222" i="13"/>
  <c r="L1222" i="13" s="1"/>
  <c r="I1223" i="13"/>
  <c r="L1223" i="13" s="1"/>
  <c r="I1224" i="13"/>
  <c r="L1224" i="13" s="1"/>
  <c r="I1225" i="13"/>
  <c r="L1225" i="13" s="1"/>
  <c r="I1226" i="13"/>
  <c r="L1226" i="13" s="1"/>
  <c r="I1227" i="13"/>
  <c r="L1227" i="13" s="1"/>
  <c r="I1228" i="13"/>
  <c r="L1228" i="13" s="1"/>
  <c r="I1229" i="13"/>
  <c r="L1229" i="13" s="1"/>
  <c r="I1230" i="13"/>
  <c r="L1230" i="13" s="1"/>
  <c r="I1231" i="13"/>
  <c r="L1231" i="13" s="1"/>
  <c r="I1232" i="13"/>
  <c r="L1232" i="13" s="1"/>
  <c r="I1233" i="13"/>
  <c r="L1233" i="13" s="1"/>
  <c r="I1234" i="13"/>
  <c r="L1234" i="13" s="1"/>
  <c r="I1235" i="13"/>
  <c r="L1235" i="13" s="1"/>
  <c r="I1236" i="13"/>
  <c r="L1236" i="13" s="1"/>
  <c r="I1237" i="13"/>
  <c r="L1237" i="13" s="1"/>
  <c r="I1238" i="13"/>
  <c r="L1238" i="13" s="1"/>
  <c r="I1239" i="13"/>
  <c r="L1239" i="13" s="1"/>
  <c r="I1240" i="13"/>
  <c r="L1240" i="13" s="1"/>
  <c r="I1241" i="13"/>
  <c r="L1241" i="13" s="1"/>
  <c r="I1242" i="13"/>
  <c r="L1242" i="13" s="1"/>
  <c r="I1243" i="13"/>
  <c r="L1243" i="13" s="1"/>
  <c r="I1244" i="13"/>
  <c r="L1244" i="13" s="1"/>
  <c r="I1245" i="13"/>
  <c r="L1245" i="13" s="1"/>
  <c r="I1246" i="13"/>
  <c r="L1246" i="13" s="1"/>
  <c r="I1247" i="13"/>
  <c r="L1247" i="13" s="1"/>
  <c r="I1248" i="13"/>
  <c r="L1248" i="13" s="1"/>
  <c r="I1249" i="13"/>
  <c r="L1249" i="13" s="1"/>
  <c r="I1250" i="13"/>
  <c r="L1250" i="13" s="1"/>
  <c r="I1251" i="13"/>
  <c r="L1251" i="13" s="1"/>
  <c r="I1252" i="13"/>
  <c r="L1252" i="13" s="1"/>
  <c r="I1253" i="13"/>
  <c r="L1253" i="13" s="1"/>
  <c r="I1254" i="13"/>
  <c r="L1254" i="13" s="1"/>
  <c r="I1255" i="13"/>
  <c r="L1255" i="13" s="1"/>
  <c r="I1256" i="13"/>
  <c r="L1256" i="13" s="1"/>
  <c r="I1257" i="13"/>
  <c r="L1257" i="13" s="1"/>
  <c r="I1258" i="13"/>
  <c r="L1258" i="13" s="1"/>
  <c r="I1259" i="13"/>
  <c r="L1259" i="13" s="1"/>
  <c r="I1260" i="13"/>
  <c r="L1260" i="13" s="1"/>
  <c r="I1261" i="13"/>
  <c r="L1261" i="13" s="1"/>
  <c r="I1262" i="13"/>
  <c r="L1262" i="13" s="1"/>
  <c r="I1263" i="13"/>
  <c r="L1263" i="13" s="1"/>
  <c r="I1264" i="13"/>
  <c r="L1264" i="13" s="1"/>
  <c r="I1265" i="13"/>
  <c r="L1265" i="13" s="1"/>
  <c r="I1266" i="13"/>
  <c r="L1266" i="13" s="1"/>
  <c r="I1267" i="13"/>
  <c r="L1267" i="13" s="1"/>
  <c r="I1268" i="13"/>
  <c r="L1268" i="13" s="1"/>
  <c r="I1269" i="13"/>
  <c r="L1269" i="13" s="1"/>
  <c r="I1270" i="13"/>
  <c r="L1270" i="13" s="1"/>
  <c r="I1271" i="13"/>
  <c r="L1271" i="13" s="1"/>
  <c r="I1272" i="13"/>
  <c r="L1272" i="13" s="1"/>
  <c r="I1273" i="13"/>
  <c r="L1273" i="13" s="1"/>
  <c r="I1274" i="13"/>
  <c r="L1274" i="13" s="1"/>
  <c r="I1275" i="13"/>
  <c r="L1275" i="13" s="1"/>
  <c r="I1276" i="13"/>
  <c r="L1276" i="13" s="1"/>
  <c r="I1277" i="13"/>
  <c r="L1277" i="13" s="1"/>
  <c r="I1278" i="13"/>
  <c r="L1278" i="13" s="1"/>
  <c r="I1279" i="13"/>
  <c r="L1279" i="13" s="1"/>
  <c r="I1280" i="13"/>
  <c r="L1280" i="13" s="1"/>
  <c r="I1281" i="13"/>
  <c r="L1281" i="13" s="1"/>
  <c r="I1282" i="13"/>
  <c r="L1282" i="13" s="1"/>
  <c r="I1283" i="13"/>
  <c r="L1283" i="13" s="1"/>
  <c r="I1284" i="13"/>
  <c r="L1284" i="13" s="1"/>
  <c r="I1285" i="13"/>
  <c r="L1285" i="13" s="1"/>
  <c r="I1286" i="13"/>
  <c r="L1286" i="13" s="1"/>
  <c r="I1287" i="13"/>
  <c r="L1287" i="13" s="1"/>
  <c r="I1288" i="13"/>
  <c r="L1288" i="13" s="1"/>
  <c r="I1289" i="13"/>
  <c r="L1289" i="13" s="1"/>
  <c r="I1290" i="13"/>
  <c r="L1290" i="13" s="1"/>
  <c r="I1291" i="13"/>
  <c r="L1291" i="13" s="1"/>
  <c r="I1292" i="13"/>
  <c r="L1292" i="13" s="1"/>
  <c r="I1293" i="13"/>
  <c r="L1293" i="13" s="1"/>
  <c r="I1294" i="13"/>
  <c r="L1294" i="13" s="1"/>
  <c r="I1295" i="13"/>
  <c r="L1295" i="13" s="1"/>
  <c r="I1296" i="13"/>
  <c r="L1296" i="13" s="1"/>
  <c r="I1297" i="13"/>
  <c r="L1297" i="13" s="1"/>
  <c r="I1298" i="13"/>
  <c r="L1298" i="13" s="1"/>
  <c r="I1299" i="13"/>
  <c r="L1299" i="13" s="1"/>
  <c r="I1300" i="13"/>
  <c r="L1300" i="13" s="1"/>
  <c r="I1301" i="13"/>
  <c r="L1301" i="13" s="1"/>
  <c r="I1302" i="13"/>
  <c r="L1302" i="13" s="1"/>
  <c r="I1303" i="13"/>
  <c r="L1303" i="13" s="1"/>
  <c r="I1304" i="13"/>
  <c r="L1304" i="13" s="1"/>
  <c r="I1305" i="13"/>
  <c r="L1305" i="13" s="1"/>
  <c r="I1306" i="13"/>
  <c r="L1306" i="13" s="1"/>
  <c r="I1307" i="13"/>
  <c r="L1307" i="13" s="1"/>
  <c r="I1308" i="13"/>
  <c r="L1308" i="13" s="1"/>
  <c r="I1309" i="13"/>
  <c r="L1309" i="13" s="1"/>
  <c r="I1310" i="13"/>
  <c r="L1310" i="13" s="1"/>
  <c r="I1311" i="13"/>
  <c r="L1311" i="13" s="1"/>
  <c r="I1312" i="13"/>
  <c r="L1312" i="13" s="1"/>
  <c r="I1313" i="13"/>
  <c r="L1313" i="13" s="1"/>
  <c r="I1314" i="13"/>
  <c r="L1314" i="13" s="1"/>
  <c r="I1315" i="13"/>
  <c r="L1315" i="13" s="1"/>
  <c r="I1316" i="13"/>
  <c r="L1316" i="13" s="1"/>
  <c r="I1317" i="13"/>
  <c r="L1317" i="13" s="1"/>
  <c r="I1318" i="13"/>
  <c r="L1318" i="13" s="1"/>
  <c r="I1319" i="13"/>
  <c r="L1319" i="13" s="1"/>
  <c r="I1320" i="13"/>
  <c r="L1320" i="13" s="1"/>
  <c r="I1321" i="13"/>
  <c r="L1321" i="13" s="1"/>
  <c r="I1322" i="13"/>
  <c r="L1322" i="13" s="1"/>
  <c r="I1323" i="13"/>
  <c r="L1323" i="13" s="1"/>
  <c r="I1324" i="13"/>
  <c r="L1324" i="13" s="1"/>
  <c r="I1325" i="13"/>
  <c r="L1325" i="13" s="1"/>
  <c r="I1326" i="13"/>
  <c r="L1326" i="13" s="1"/>
  <c r="I1327" i="13"/>
  <c r="L1327" i="13" s="1"/>
  <c r="I1328" i="13"/>
  <c r="L1328" i="13" s="1"/>
  <c r="I1329" i="13"/>
  <c r="L1329" i="13" s="1"/>
  <c r="I1330" i="13"/>
  <c r="L1330" i="13" s="1"/>
  <c r="I1331" i="13"/>
  <c r="L1331" i="13" s="1"/>
  <c r="I1332" i="13"/>
  <c r="L1332" i="13" s="1"/>
  <c r="I1333" i="13"/>
  <c r="L1333" i="13" s="1"/>
  <c r="I1334" i="13"/>
  <c r="L1334" i="13" s="1"/>
  <c r="I1335" i="13"/>
  <c r="L1335" i="13" s="1"/>
  <c r="I1336" i="13"/>
  <c r="L1336" i="13" s="1"/>
  <c r="I1337" i="13"/>
  <c r="L1337" i="13" s="1"/>
  <c r="I1338" i="13"/>
  <c r="L1338" i="13" s="1"/>
  <c r="I1339" i="13"/>
  <c r="L1339" i="13" s="1"/>
  <c r="I1340" i="13"/>
  <c r="L1340" i="13" s="1"/>
  <c r="I1341" i="13"/>
  <c r="L1341" i="13" s="1"/>
  <c r="I1342" i="13"/>
  <c r="L1342" i="13" s="1"/>
  <c r="I1343" i="13"/>
  <c r="L1343" i="13" s="1"/>
  <c r="I1344" i="13"/>
  <c r="L1344" i="13" s="1"/>
  <c r="I1345" i="13"/>
  <c r="L1345" i="13" s="1"/>
  <c r="I1346" i="13"/>
  <c r="L1346" i="13" s="1"/>
  <c r="I1347" i="13"/>
  <c r="L1347" i="13" s="1"/>
  <c r="I1348" i="13"/>
  <c r="L1348" i="13" s="1"/>
  <c r="I1349" i="13"/>
  <c r="L1349" i="13" s="1"/>
  <c r="I1350" i="13"/>
  <c r="L1350" i="13" s="1"/>
  <c r="I1351" i="13"/>
  <c r="L1351" i="13" s="1"/>
  <c r="I1352" i="13"/>
  <c r="L1352" i="13" s="1"/>
  <c r="I1353" i="13"/>
  <c r="L1353" i="13" s="1"/>
  <c r="I1354" i="13"/>
  <c r="L1354" i="13" s="1"/>
  <c r="I1355" i="13"/>
  <c r="L1355" i="13" s="1"/>
  <c r="I1356" i="13"/>
  <c r="L1356" i="13" s="1"/>
  <c r="I1357" i="13"/>
  <c r="L1357" i="13" s="1"/>
  <c r="I1358" i="13"/>
  <c r="L1358" i="13" s="1"/>
  <c r="I1359" i="13"/>
  <c r="L1359" i="13" s="1"/>
  <c r="I1360" i="13"/>
  <c r="L1360" i="13" s="1"/>
  <c r="I1361" i="13"/>
  <c r="L1361" i="13" s="1"/>
  <c r="I1362" i="13"/>
  <c r="L1362" i="13" s="1"/>
  <c r="I1363" i="13"/>
  <c r="L1363" i="13" s="1"/>
  <c r="I1364" i="13"/>
  <c r="L1364" i="13" s="1"/>
  <c r="I1365" i="13"/>
  <c r="L1365" i="13" s="1"/>
  <c r="I1366" i="13"/>
  <c r="L1366" i="13" s="1"/>
  <c r="I1367" i="13"/>
  <c r="L1367" i="13" s="1"/>
  <c r="I1368" i="13"/>
  <c r="L1368" i="13" s="1"/>
  <c r="I1369" i="13"/>
  <c r="L1369" i="13" s="1"/>
  <c r="I1370" i="13"/>
  <c r="L1370" i="13" s="1"/>
  <c r="I1371" i="13"/>
  <c r="L1371" i="13" s="1"/>
  <c r="I1372" i="13"/>
  <c r="L1372" i="13" s="1"/>
  <c r="I1373" i="13"/>
  <c r="L1373" i="13" s="1"/>
  <c r="I1374" i="13"/>
  <c r="L1374" i="13" s="1"/>
  <c r="I1375" i="13"/>
  <c r="L1375" i="13" s="1"/>
  <c r="I1376" i="13"/>
  <c r="L1376" i="13" s="1"/>
  <c r="I1377" i="13"/>
  <c r="L1377" i="13" s="1"/>
  <c r="I1378" i="13"/>
  <c r="L1378" i="13" s="1"/>
  <c r="I1379" i="13"/>
  <c r="L1379" i="13" s="1"/>
  <c r="I1380" i="13"/>
  <c r="L1380" i="13" s="1"/>
  <c r="I1381" i="13"/>
  <c r="L1381" i="13" s="1"/>
  <c r="I1382" i="13"/>
  <c r="L1382" i="13" s="1"/>
  <c r="I1383" i="13"/>
  <c r="L1383" i="13" s="1"/>
  <c r="I1384" i="13"/>
  <c r="L1384" i="13" s="1"/>
  <c r="I1385" i="13"/>
  <c r="L1385" i="13" s="1"/>
  <c r="I1386" i="13"/>
  <c r="L1386" i="13" s="1"/>
  <c r="I1387" i="13"/>
  <c r="L1387" i="13" s="1"/>
  <c r="I1388" i="13"/>
  <c r="L1388" i="13" s="1"/>
  <c r="I1389" i="13"/>
  <c r="L1389" i="13" s="1"/>
  <c r="I1390" i="13"/>
  <c r="L1390" i="13" s="1"/>
  <c r="I1391" i="13"/>
  <c r="L1391" i="13" s="1"/>
  <c r="I1392" i="13"/>
  <c r="L1392" i="13" s="1"/>
  <c r="I1393" i="13"/>
  <c r="L1393" i="13" s="1"/>
  <c r="I1394" i="13"/>
  <c r="L1394" i="13" s="1"/>
  <c r="I1395" i="13"/>
  <c r="L1395" i="13" s="1"/>
  <c r="I1396" i="13"/>
  <c r="L1396" i="13" s="1"/>
  <c r="I1397" i="13"/>
  <c r="L1397" i="13" s="1"/>
  <c r="I1398" i="13"/>
  <c r="L1398" i="13" s="1"/>
  <c r="I1399" i="13"/>
  <c r="L1399" i="13" s="1"/>
  <c r="I1400" i="13"/>
  <c r="L1400" i="13" s="1"/>
  <c r="I1401" i="13"/>
  <c r="L1401" i="13" s="1"/>
  <c r="I1402" i="13"/>
  <c r="L1402" i="13" s="1"/>
  <c r="I1403" i="13"/>
  <c r="L1403" i="13" s="1"/>
  <c r="I1404" i="13"/>
  <c r="L1404" i="13" s="1"/>
  <c r="I1405" i="13"/>
  <c r="L1405" i="13" s="1"/>
  <c r="I1406" i="13"/>
  <c r="L1406" i="13" s="1"/>
  <c r="I1407" i="13"/>
  <c r="L1407" i="13" s="1"/>
  <c r="I1408" i="13"/>
  <c r="L1408" i="13" s="1"/>
  <c r="I1409" i="13"/>
  <c r="L1409" i="13" s="1"/>
  <c r="I1410" i="13"/>
  <c r="L1410" i="13" s="1"/>
  <c r="I1411" i="13"/>
  <c r="L1411" i="13" s="1"/>
  <c r="I1412" i="13"/>
  <c r="L1412" i="13" s="1"/>
  <c r="I1413" i="13"/>
  <c r="L1413" i="13" s="1"/>
  <c r="I1414" i="13"/>
  <c r="L1414" i="13" s="1"/>
  <c r="I1415" i="13"/>
  <c r="L1415" i="13" s="1"/>
  <c r="I1416" i="13"/>
  <c r="L1416" i="13" s="1"/>
  <c r="I1417" i="13"/>
  <c r="L1417" i="13" s="1"/>
  <c r="I1418" i="13"/>
  <c r="L1418" i="13" s="1"/>
  <c r="I1419" i="13"/>
  <c r="L1419" i="13" s="1"/>
  <c r="I1420" i="13"/>
  <c r="L1420" i="13" s="1"/>
  <c r="I1421" i="13"/>
  <c r="L1421" i="13" s="1"/>
  <c r="I1422" i="13"/>
  <c r="L1422" i="13" s="1"/>
  <c r="I1423" i="13"/>
  <c r="L1423" i="13" s="1"/>
  <c r="I1424" i="13"/>
  <c r="L1424" i="13" s="1"/>
  <c r="I1425" i="13"/>
  <c r="L1425" i="13" s="1"/>
  <c r="I1426" i="13"/>
  <c r="L1426" i="13" s="1"/>
  <c r="I1427" i="13"/>
  <c r="L1427" i="13" s="1"/>
  <c r="I1428" i="13"/>
  <c r="L1428" i="13" s="1"/>
  <c r="I1429" i="13"/>
  <c r="L1429" i="13" s="1"/>
  <c r="I1430" i="13"/>
  <c r="I1431" i="13"/>
  <c r="L1431" i="13" s="1"/>
  <c r="I1432" i="13"/>
  <c r="L1432" i="13" s="1"/>
  <c r="I1433" i="13"/>
  <c r="L1433" i="13" s="1"/>
  <c r="I1434" i="13"/>
  <c r="L1434" i="13" s="1"/>
  <c r="I1435" i="13"/>
  <c r="L1435" i="13" s="1"/>
  <c r="I1436" i="13"/>
  <c r="L1436" i="13" s="1"/>
  <c r="I1437" i="13"/>
  <c r="L1437" i="13" s="1"/>
  <c r="I1438" i="13"/>
  <c r="L1438" i="13" s="1"/>
  <c r="I1439" i="13"/>
  <c r="L1439" i="13" s="1"/>
  <c r="I1440" i="13"/>
  <c r="L1440" i="13" s="1"/>
  <c r="I1441" i="13"/>
  <c r="L1441" i="13" s="1"/>
  <c r="I1442" i="13"/>
  <c r="L1442" i="13" s="1"/>
  <c r="I1443" i="13"/>
  <c r="L1443" i="13" s="1"/>
  <c r="I1444" i="13"/>
  <c r="I1445" i="13"/>
  <c r="L1445" i="13" s="1"/>
  <c r="I1446" i="13"/>
  <c r="L1446" i="13" s="1"/>
  <c r="I1447" i="13"/>
  <c r="L1447" i="13" s="1"/>
  <c r="I1448" i="13"/>
  <c r="L1448" i="13" s="1"/>
  <c r="I1449" i="13"/>
  <c r="L1449" i="13" s="1"/>
  <c r="I1450" i="13"/>
  <c r="L1450" i="13" s="1"/>
  <c r="I1451" i="13"/>
  <c r="L1451" i="13" s="1"/>
  <c r="I1452" i="13"/>
  <c r="L1452" i="13" s="1"/>
  <c r="I1453" i="13"/>
  <c r="L1453" i="13" s="1"/>
  <c r="I1454" i="13"/>
  <c r="L1454" i="13" s="1"/>
  <c r="I1455" i="13"/>
  <c r="L1455" i="13" s="1"/>
  <c r="I1456" i="13"/>
  <c r="L1456" i="13" s="1"/>
  <c r="I1457" i="13"/>
  <c r="L1457" i="13" s="1"/>
  <c r="I1458" i="13"/>
  <c r="L1458" i="13" s="1"/>
  <c r="I1459" i="13"/>
  <c r="L1459" i="13" s="1"/>
  <c r="I1460" i="13"/>
  <c r="L1460" i="13" s="1"/>
  <c r="I1461" i="13"/>
  <c r="L1461" i="13" s="1"/>
  <c r="I1462" i="13"/>
  <c r="L1462" i="13" s="1"/>
  <c r="I1463" i="13"/>
  <c r="L1463" i="13" s="1"/>
  <c r="I1464" i="13"/>
  <c r="L1464" i="13" s="1"/>
  <c r="I1465" i="13"/>
  <c r="L1465" i="13" s="1"/>
  <c r="I1466" i="13"/>
  <c r="L1466" i="13" s="1"/>
  <c r="I1467" i="13"/>
  <c r="L1467" i="13" s="1"/>
  <c r="I1468" i="13"/>
  <c r="L1468" i="13" s="1"/>
  <c r="I1469" i="13"/>
  <c r="L1469" i="13" s="1"/>
  <c r="I1470" i="13"/>
  <c r="L1470" i="13" s="1"/>
  <c r="I1471" i="13"/>
  <c r="L1471" i="13" s="1"/>
  <c r="I1472" i="13"/>
  <c r="L1472" i="13" s="1"/>
  <c r="I1473" i="13"/>
  <c r="L1473" i="13" s="1"/>
  <c r="I1474" i="13"/>
  <c r="L1474" i="13" s="1"/>
  <c r="I1475" i="13"/>
  <c r="L1475" i="13" s="1"/>
  <c r="I1476" i="13"/>
  <c r="L1476" i="13" s="1"/>
  <c r="I1477" i="13"/>
  <c r="L1477" i="13" s="1"/>
  <c r="I1478" i="13"/>
  <c r="L1478" i="13" s="1"/>
  <c r="I1479" i="13"/>
  <c r="L1479" i="13" s="1"/>
  <c r="I1480" i="13"/>
  <c r="L1480" i="13" s="1"/>
  <c r="I1481" i="13"/>
  <c r="L1481" i="13" s="1"/>
  <c r="I1482" i="13"/>
  <c r="L1482" i="13" s="1"/>
  <c r="I1483" i="13"/>
  <c r="I1484" i="13"/>
  <c r="L1484" i="13" s="1"/>
  <c r="I1485" i="13"/>
  <c r="L1485" i="13" s="1"/>
  <c r="I1486" i="13"/>
  <c r="L1486" i="13" s="1"/>
  <c r="I1487" i="13"/>
  <c r="L1487" i="13" s="1"/>
  <c r="I1488" i="13"/>
  <c r="L1488" i="13" s="1"/>
  <c r="I1489" i="13"/>
  <c r="L1489" i="13" s="1"/>
  <c r="I1490" i="13"/>
  <c r="L1490" i="13" s="1"/>
  <c r="I1491" i="13"/>
  <c r="L1491" i="13" s="1"/>
  <c r="I1492" i="13"/>
  <c r="L1492" i="13" s="1"/>
  <c r="I1493" i="13"/>
  <c r="L1493" i="13" s="1"/>
  <c r="I1494" i="13"/>
  <c r="L1494" i="13" s="1"/>
  <c r="I1495" i="13"/>
  <c r="L1495" i="13" s="1"/>
  <c r="I1496" i="13"/>
  <c r="L1496" i="13" s="1"/>
  <c r="I1497" i="13"/>
  <c r="L1497" i="13" s="1"/>
  <c r="I1498" i="13"/>
  <c r="L1498" i="13" s="1"/>
  <c r="I1499" i="13"/>
  <c r="L1499" i="13" s="1"/>
  <c r="I1500" i="13"/>
  <c r="L1500" i="13" s="1"/>
  <c r="I1501" i="13"/>
  <c r="L1501" i="13" s="1"/>
  <c r="I1502" i="13"/>
  <c r="L1502" i="13" s="1"/>
  <c r="I1503" i="13"/>
  <c r="L1503" i="13" s="1"/>
  <c r="I1504" i="13"/>
  <c r="L1504" i="13" s="1"/>
  <c r="I1505" i="13"/>
  <c r="L1505" i="13" s="1"/>
  <c r="I1506" i="13"/>
  <c r="L1506" i="13" s="1"/>
  <c r="I1507" i="13"/>
  <c r="L1507" i="13" s="1"/>
  <c r="I1508" i="13"/>
  <c r="L1508" i="13" s="1"/>
  <c r="I1509" i="13"/>
  <c r="L1509" i="13" s="1"/>
  <c r="I1510" i="13"/>
  <c r="L1510" i="13" s="1"/>
  <c r="I1511" i="13"/>
  <c r="L1511" i="13" s="1"/>
  <c r="I1512" i="13"/>
  <c r="L1512" i="13" s="1"/>
  <c r="I1513" i="13"/>
  <c r="L1513" i="13" s="1"/>
  <c r="I1514" i="13"/>
  <c r="L1514" i="13" s="1"/>
  <c r="I1515" i="13"/>
  <c r="L1515" i="13" s="1"/>
  <c r="I1516" i="13"/>
  <c r="L1516" i="13" s="1"/>
  <c r="I1517" i="13"/>
  <c r="L1517" i="13" s="1"/>
  <c r="I1518" i="13"/>
  <c r="L1518" i="13" s="1"/>
  <c r="I1519" i="13"/>
  <c r="L1519" i="13" s="1"/>
  <c r="I1520" i="13"/>
  <c r="L1520" i="13" s="1"/>
  <c r="I1521" i="13"/>
  <c r="L1521" i="13" s="1"/>
  <c r="I1522" i="13"/>
  <c r="L1522" i="13" s="1"/>
  <c r="I1523" i="13"/>
  <c r="L1523" i="13" s="1"/>
  <c r="I1524" i="13"/>
  <c r="L1524" i="13" s="1"/>
  <c r="I1525" i="13"/>
  <c r="L1525" i="13" s="1"/>
  <c r="I1526" i="13"/>
  <c r="L1526" i="13" s="1"/>
  <c r="I1527" i="13"/>
  <c r="L1527" i="13" s="1"/>
  <c r="I1528" i="13"/>
  <c r="L1528" i="13" s="1"/>
  <c r="I1529" i="13"/>
  <c r="L1529" i="13" s="1"/>
  <c r="I1530" i="13"/>
  <c r="L1530" i="13" s="1"/>
  <c r="I1531" i="13"/>
  <c r="L1531" i="13" s="1"/>
  <c r="I1532" i="13"/>
  <c r="L1532" i="13" s="1"/>
  <c r="I1533" i="13"/>
  <c r="L1533" i="13" s="1"/>
  <c r="I1534" i="13"/>
  <c r="L1534" i="13" s="1"/>
  <c r="I1535" i="13"/>
  <c r="L1535" i="13" s="1"/>
  <c r="I1536" i="13"/>
  <c r="L1536" i="13" s="1"/>
  <c r="I1537" i="13"/>
  <c r="L1537" i="13" s="1"/>
  <c r="I1538" i="13"/>
  <c r="L1538" i="13" s="1"/>
  <c r="I1539" i="13"/>
  <c r="L1539" i="13" s="1"/>
  <c r="I1540" i="13"/>
  <c r="L1540" i="13" s="1"/>
  <c r="I1541" i="13"/>
  <c r="L1541" i="13" s="1"/>
  <c r="I1542" i="13"/>
  <c r="L1542" i="13" s="1"/>
  <c r="I1543" i="13"/>
  <c r="L1543" i="13" s="1"/>
  <c r="I1544" i="13"/>
  <c r="L1544" i="13" s="1"/>
  <c r="I1545" i="13"/>
  <c r="L1545" i="13" s="1"/>
  <c r="I1546" i="13"/>
  <c r="L1546" i="13" s="1"/>
  <c r="I1547" i="13"/>
  <c r="L1547" i="13" s="1"/>
  <c r="I1548" i="13"/>
  <c r="L1548" i="13" s="1"/>
  <c r="I1549" i="13"/>
  <c r="L1549" i="13" s="1"/>
  <c r="I1550" i="13"/>
  <c r="L1550" i="13" s="1"/>
  <c r="I1551" i="13"/>
  <c r="L1551" i="13" s="1"/>
  <c r="I1552" i="13"/>
  <c r="L1552" i="13" s="1"/>
  <c r="I1553" i="13"/>
  <c r="L1553" i="13" s="1"/>
  <c r="I1554" i="13"/>
  <c r="L1554" i="13" s="1"/>
  <c r="I1555" i="13"/>
  <c r="L1555" i="13" s="1"/>
  <c r="I1556" i="13"/>
  <c r="L1556" i="13" s="1"/>
  <c r="I1557" i="13"/>
  <c r="L1557" i="13" s="1"/>
  <c r="I1558" i="13"/>
  <c r="L1558" i="13" s="1"/>
  <c r="I1559" i="13"/>
  <c r="L1559" i="13" s="1"/>
  <c r="I1560" i="13"/>
  <c r="L1560" i="13" s="1"/>
  <c r="I1561" i="13"/>
  <c r="L1561" i="13" s="1"/>
  <c r="I1562" i="13"/>
  <c r="L1562" i="13" s="1"/>
  <c r="I1563" i="13"/>
  <c r="L1563" i="13" s="1"/>
  <c r="I1564" i="13"/>
  <c r="L1564" i="13" s="1"/>
  <c r="I1565" i="13"/>
  <c r="L1565" i="13" s="1"/>
  <c r="I1566" i="13"/>
  <c r="L1566" i="13" s="1"/>
  <c r="I1567" i="13"/>
  <c r="L1567" i="13" s="1"/>
  <c r="I1568" i="13"/>
  <c r="L1568" i="13" s="1"/>
  <c r="I1569" i="13"/>
  <c r="L1569" i="13" s="1"/>
  <c r="I1570" i="13"/>
  <c r="L1570" i="13" s="1"/>
  <c r="I1571" i="13"/>
  <c r="L1571" i="13" s="1"/>
  <c r="I1572" i="13"/>
  <c r="L1572" i="13" s="1"/>
  <c r="I1573" i="13"/>
  <c r="L1573" i="13" s="1"/>
  <c r="I1574" i="13"/>
  <c r="L1574" i="13" s="1"/>
  <c r="I1575" i="13"/>
  <c r="L1575" i="13" s="1"/>
  <c r="I1576" i="13"/>
  <c r="L1576" i="13" s="1"/>
  <c r="I1577" i="13"/>
  <c r="L1577" i="13" s="1"/>
  <c r="I1578" i="13"/>
  <c r="L1578" i="13" s="1"/>
  <c r="I1579" i="13"/>
  <c r="L1579" i="13" s="1"/>
  <c r="I1580" i="13"/>
  <c r="L1580" i="13" s="1"/>
  <c r="I1581" i="13"/>
  <c r="L1581" i="13" s="1"/>
  <c r="I1582" i="13"/>
  <c r="L1582" i="13" s="1"/>
  <c r="I1583" i="13"/>
  <c r="L1583" i="13" s="1"/>
  <c r="I1584" i="13"/>
  <c r="L1584" i="13" s="1"/>
  <c r="I1585" i="13"/>
  <c r="L1585" i="13" s="1"/>
  <c r="I1586" i="13"/>
  <c r="L1586" i="13" s="1"/>
  <c r="I1587" i="13"/>
  <c r="L1587" i="13" s="1"/>
  <c r="I1588" i="13"/>
  <c r="L1588" i="13" s="1"/>
  <c r="I1589" i="13"/>
  <c r="L1589" i="13" s="1"/>
  <c r="I1590" i="13"/>
  <c r="L1590" i="13" s="1"/>
  <c r="I1591" i="13"/>
  <c r="L1591" i="13" s="1"/>
  <c r="I1592" i="13"/>
  <c r="L1592" i="13" s="1"/>
  <c r="I1593" i="13"/>
  <c r="L1593" i="13" s="1"/>
  <c r="I1594" i="13"/>
  <c r="L1594" i="13" s="1"/>
  <c r="I1595" i="13"/>
  <c r="L1595" i="13" s="1"/>
  <c r="I1596" i="13"/>
  <c r="L1596" i="13" s="1"/>
  <c r="I1597" i="13"/>
  <c r="L1597" i="13" s="1"/>
  <c r="I1598" i="13"/>
  <c r="L1598" i="13" s="1"/>
  <c r="I1599" i="13"/>
  <c r="L1599" i="13" s="1"/>
  <c r="I1600" i="13"/>
  <c r="L1600" i="13" s="1"/>
  <c r="I1601" i="13"/>
  <c r="L1601" i="13" s="1"/>
  <c r="I1602" i="13"/>
  <c r="L1602" i="13" s="1"/>
  <c r="I1603" i="13"/>
  <c r="L1603" i="13" s="1"/>
  <c r="I1604" i="13"/>
  <c r="L1604" i="13" s="1"/>
  <c r="I1605" i="13"/>
  <c r="L1605" i="13" s="1"/>
  <c r="I1606" i="13"/>
  <c r="L1606" i="13" s="1"/>
  <c r="I1607" i="13"/>
  <c r="L1607" i="13" s="1"/>
  <c r="I1608" i="13"/>
  <c r="L1608" i="13" s="1"/>
  <c r="I1609" i="13"/>
  <c r="L1609" i="13" s="1"/>
  <c r="I1610" i="13"/>
  <c r="L1610" i="13" s="1"/>
  <c r="I1611" i="13"/>
  <c r="L1611" i="13" s="1"/>
  <c r="I1612" i="13"/>
  <c r="I1613" i="13"/>
  <c r="L1613" i="13" s="1"/>
  <c r="I1614" i="13"/>
  <c r="L1614" i="13" s="1"/>
  <c r="I1615" i="13"/>
  <c r="L1615" i="13" s="1"/>
  <c r="I1616" i="13"/>
  <c r="L1616" i="13" s="1"/>
  <c r="I1617" i="13"/>
  <c r="L1617" i="13" s="1"/>
  <c r="I1618" i="13"/>
  <c r="L1618" i="13" s="1"/>
  <c r="I1619" i="13"/>
  <c r="L1619" i="13" s="1"/>
  <c r="I1620" i="13"/>
  <c r="L1620" i="13" s="1"/>
  <c r="I1621" i="13"/>
  <c r="L1621" i="13" s="1"/>
  <c r="I1622" i="13"/>
  <c r="L1622" i="13" s="1"/>
  <c r="I1623" i="13"/>
  <c r="L1623" i="13" s="1"/>
  <c r="I1624" i="13"/>
  <c r="L1624" i="13" s="1"/>
  <c r="I1625" i="13"/>
  <c r="L1625" i="13" s="1"/>
  <c r="I1626" i="13"/>
  <c r="L1626" i="13" s="1"/>
  <c r="I1627" i="13"/>
  <c r="L1627" i="13" s="1"/>
  <c r="I1628" i="13"/>
  <c r="L1628" i="13" s="1"/>
  <c r="I1629" i="13"/>
  <c r="L1629" i="13" s="1"/>
  <c r="I1630" i="13"/>
  <c r="L1630" i="13" s="1"/>
  <c r="I1631" i="13"/>
  <c r="L1631" i="13" s="1"/>
  <c r="I1632" i="13"/>
  <c r="I1633" i="13"/>
  <c r="L1633" i="13" s="1"/>
  <c r="I1634" i="13"/>
  <c r="L1634" i="13" s="1"/>
  <c r="I1635" i="13"/>
  <c r="L1635" i="13" s="1"/>
  <c r="I1636" i="13"/>
  <c r="L1636" i="13" s="1"/>
  <c r="I1637" i="13"/>
  <c r="L1637" i="13" s="1"/>
  <c r="I1638" i="13"/>
  <c r="L1638" i="13" s="1"/>
  <c r="I1639" i="13"/>
  <c r="L1639" i="13" s="1"/>
  <c r="I1640" i="13"/>
  <c r="L1640" i="13" s="1"/>
  <c r="I1641" i="13"/>
  <c r="L1641" i="13" s="1"/>
  <c r="I1642" i="13"/>
  <c r="L1642" i="13" s="1"/>
  <c r="I1643" i="13"/>
  <c r="L1643" i="13" s="1"/>
  <c r="I1644" i="13"/>
  <c r="L1644" i="13" s="1"/>
  <c r="I1645" i="13"/>
  <c r="L1645" i="13" s="1"/>
  <c r="I1646" i="13"/>
  <c r="L1646" i="13" s="1"/>
  <c r="I1647" i="13"/>
  <c r="L1647" i="13" s="1"/>
  <c r="I1648" i="13"/>
  <c r="L1648" i="13" s="1"/>
  <c r="I1649" i="13"/>
  <c r="L1649" i="13" s="1"/>
  <c r="I1650" i="13"/>
  <c r="L1650" i="13" s="1"/>
  <c r="I1651" i="13"/>
  <c r="L1651" i="13" s="1"/>
  <c r="I1652" i="13"/>
  <c r="L1652" i="13" s="1"/>
  <c r="I1653" i="13"/>
  <c r="L1653" i="13" s="1"/>
  <c r="I1654" i="13"/>
  <c r="L1654" i="13" s="1"/>
  <c r="I1655" i="13"/>
  <c r="L1655" i="13" s="1"/>
  <c r="I1656" i="13"/>
  <c r="I1657" i="13"/>
  <c r="L1657" i="13" s="1"/>
  <c r="I1658" i="13"/>
  <c r="L1658" i="13" s="1"/>
  <c r="I1659" i="13"/>
  <c r="L1659" i="13" s="1"/>
  <c r="I1660" i="13"/>
  <c r="L1660" i="13" s="1"/>
  <c r="I1661" i="13"/>
  <c r="L1661" i="13" s="1"/>
  <c r="I1662" i="13"/>
  <c r="L1662" i="13" s="1"/>
  <c r="I1663" i="13"/>
  <c r="L1663" i="13" s="1"/>
  <c r="I1664" i="13"/>
  <c r="L1664" i="13" s="1"/>
  <c r="I1665" i="13"/>
  <c r="L1665" i="13" s="1"/>
  <c r="I1666" i="13"/>
  <c r="L1666" i="13" s="1"/>
  <c r="I1667" i="13"/>
  <c r="L1667" i="13" s="1"/>
  <c r="I1668" i="13"/>
  <c r="L1668" i="13" s="1"/>
  <c r="I1669" i="13"/>
  <c r="L1669" i="13" s="1"/>
  <c r="I1670" i="13"/>
  <c r="L1670" i="13" s="1"/>
  <c r="I1671" i="13"/>
  <c r="L1671" i="13" s="1"/>
  <c r="I1672" i="13"/>
  <c r="L1672" i="13" s="1"/>
  <c r="I1673" i="13"/>
  <c r="L1673" i="13" s="1"/>
  <c r="I1674" i="13"/>
  <c r="L1674" i="13" s="1"/>
  <c r="I1675" i="13"/>
  <c r="L1675" i="13" s="1"/>
  <c r="I1676" i="13"/>
  <c r="L1676" i="13" s="1"/>
  <c r="I1677" i="13"/>
  <c r="L1677" i="13" s="1"/>
  <c r="I1678" i="13"/>
  <c r="L1678" i="13" s="1"/>
  <c r="I1679" i="13"/>
  <c r="L1679" i="13" s="1"/>
  <c r="I1680" i="13"/>
  <c r="L1680" i="13" s="1"/>
  <c r="I1681" i="13"/>
  <c r="L1681" i="13" s="1"/>
  <c r="I1682" i="13"/>
  <c r="L1682" i="13" s="1"/>
  <c r="I1683" i="13"/>
  <c r="L1683" i="13" s="1"/>
  <c r="I1684" i="13"/>
  <c r="L1684" i="13" s="1"/>
  <c r="I1685" i="13"/>
  <c r="L1685" i="13" s="1"/>
  <c r="I1686" i="13"/>
  <c r="L1686" i="13" s="1"/>
  <c r="I1687" i="13"/>
  <c r="L1687" i="13" s="1"/>
  <c r="I1688" i="13"/>
  <c r="L1688" i="13" s="1"/>
  <c r="I1689" i="13"/>
  <c r="L1689" i="13" s="1"/>
  <c r="I1690" i="13"/>
  <c r="L1690" i="13" s="1"/>
  <c r="I1691" i="13"/>
  <c r="L1691" i="13" s="1"/>
  <c r="I1692" i="13"/>
  <c r="L1692" i="13" s="1"/>
  <c r="I1693" i="13"/>
  <c r="L1693" i="13" s="1"/>
  <c r="I1694" i="13"/>
  <c r="L1694" i="13" s="1"/>
  <c r="I1695" i="13"/>
  <c r="L1695" i="13" s="1"/>
  <c r="I1696" i="13"/>
  <c r="L1696" i="13" s="1"/>
  <c r="I1697" i="13"/>
  <c r="L1697" i="13" s="1"/>
  <c r="I1698" i="13"/>
  <c r="L1698" i="13" s="1"/>
  <c r="I1699" i="13"/>
  <c r="L1699" i="13" s="1"/>
  <c r="I1700" i="13"/>
  <c r="L1700" i="13" s="1"/>
  <c r="I1701" i="13"/>
  <c r="L1701" i="13" s="1"/>
  <c r="I1702" i="13"/>
  <c r="L1702" i="13" s="1"/>
  <c r="I1703" i="13"/>
  <c r="L1703" i="13" s="1"/>
  <c r="I1704" i="13"/>
  <c r="L1704" i="13" s="1"/>
  <c r="I1705" i="13"/>
  <c r="L1705" i="13" s="1"/>
  <c r="I1706" i="13"/>
  <c r="L1706" i="13" s="1"/>
  <c r="I1707" i="13"/>
  <c r="L1707" i="13" s="1"/>
  <c r="I1708" i="13"/>
  <c r="L1708" i="13" s="1"/>
  <c r="I1709" i="13"/>
  <c r="L1709" i="13" s="1"/>
  <c r="I1710" i="13"/>
  <c r="L1710" i="13" s="1"/>
  <c r="I1711" i="13"/>
  <c r="L1711" i="13" s="1"/>
  <c r="I1712" i="13"/>
  <c r="L1712" i="13" s="1"/>
  <c r="I1713" i="13"/>
  <c r="L1713" i="13" s="1"/>
  <c r="I1714" i="13"/>
  <c r="L1714" i="13" s="1"/>
  <c r="I1715" i="13"/>
  <c r="L1715" i="13" s="1"/>
  <c r="I1716" i="13"/>
  <c r="L1716" i="13" s="1"/>
  <c r="I1717" i="13"/>
  <c r="L1717" i="13" s="1"/>
  <c r="I1718" i="13"/>
  <c r="L1718" i="13" s="1"/>
  <c r="I1719" i="13"/>
  <c r="L1719" i="13" s="1"/>
  <c r="I1720" i="13"/>
  <c r="L1720" i="13" s="1"/>
  <c r="I1721" i="13"/>
  <c r="L1721" i="13" s="1"/>
  <c r="I1722" i="13"/>
  <c r="L1722" i="13" s="1"/>
  <c r="I1723" i="13"/>
  <c r="L1723" i="13" s="1"/>
  <c r="I1724" i="13"/>
  <c r="L1724" i="13" s="1"/>
  <c r="I1725" i="13"/>
  <c r="L1725" i="13" s="1"/>
  <c r="I1726" i="13"/>
  <c r="L1726" i="13" s="1"/>
  <c r="I1727" i="13"/>
  <c r="L1727" i="13" s="1"/>
  <c r="I1728" i="13"/>
  <c r="L1728" i="13" s="1"/>
  <c r="I1729" i="13"/>
  <c r="L1729" i="13" s="1"/>
  <c r="I1730" i="13"/>
  <c r="L1730" i="13" s="1"/>
  <c r="I1731" i="13"/>
  <c r="L1731" i="13" s="1"/>
  <c r="I1732" i="13"/>
  <c r="L1732" i="13" s="1"/>
  <c r="I1733" i="13"/>
  <c r="L1733" i="13" s="1"/>
  <c r="I1734" i="13"/>
  <c r="L1734" i="13" s="1"/>
  <c r="I1735" i="13"/>
  <c r="L1735" i="13" s="1"/>
  <c r="I1736" i="13"/>
  <c r="L1736" i="13" s="1"/>
  <c r="I1737" i="13"/>
  <c r="L1737" i="13" s="1"/>
  <c r="I1738" i="13"/>
  <c r="L1738" i="13" s="1"/>
  <c r="I1739" i="13"/>
  <c r="L1739" i="13" s="1"/>
  <c r="I1740" i="13"/>
  <c r="L1740" i="13" s="1"/>
  <c r="I1741" i="13"/>
  <c r="L1741" i="13" s="1"/>
  <c r="I1742" i="13"/>
  <c r="L1742" i="13" s="1"/>
  <c r="I1743" i="13"/>
  <c r="L1743" i="13" s="1"/>
  <c r="I1744" i="13"/>
  <c r="L1744" i="13" s="1"/>
  <c r="I1745" i="13"/>
  <c r="L1745" i="13" s="1"/>
  <c r="I1746" i="13"/>
  <c r="L1746" i="13" s="1"/>
  <c r="I1747" i="13"/>
  <c r="L1747" i="13" s="1"/>
  <c r="I1748" i="13"/>
  <c r="L1748" i="13" s="1"/>
  <c r="I1749" i="13"/>
  <c r="L1749" i="13" s="1"/>
  <c r="I1750" i="13"/>
  <c r="L1750" i="13" s="1"/>
  <c r="I1751" i="13"/>
  <c r="L1751" i="13" s="1"/>
  <c r="I1752" i="13"/>
  <c r="L1752" i="13" s="1"/>
  <c r="I1753" i="13"/>
  <c r="L1753" i="13" s="1"/>
  <c r="I1754" i="13"/>
  <c r="L1754" i="13" s="1"/>
  <c r="I1755" i="13"/>
  <c r="L1755" i="13" s="1"/>
  <c r="I1756" i="13"/>
  <c r="L1756" i="13" s="1"/>
  <c r="I1757" i="13"/>
  <c r="L1757" i="13" s="1"/>
  <c r="I1758" i="13"/>
  <c r="L1758" i="13" s="1"/>
  <c r="I1759" i="13"/>
  <c r="L1759" i="13" s="1"/>
  <c r="I1760" i="13"/>
  <c r="L1760" i="13" s="1"/>
  <c r="I1761" i="13"/>
  <c r="L1761" i="13" s="1"/>
  <c r="I1762" i="13"/>
  <c r="L1762" i="13" s="1"/>
  <c r="I1763" i="13"/>
  <c r="L1763" i="13" s="1"/>
  <c r="I1764" i="13"/>
  <c r="L1764" i="13" s="1"/>
  <c r="I1765" i="13"/>
  <c r="L1765" i="13" s="1"/>
  <c r="I1766" i="13"/>
  <c r="L1766" i="13" s="1"/>
  <c r="I1767" i="13"/>
  <c r="L1767" i="13" s="1"/>
  <c r="I1768" i="13"/>
  <c r="L1768" i="13" s="1"/>
  <c r="I1769" i="13"/>
  <c r="L1769" i="13" s="1"/>
  <c r="I1770" i="13"/>
  <c r="L1770" i="13" s="1"/>
  <c r="I1771" i="13"/>
  <c r="L1771" i="13" s="1"/>
  <c r="I1772" i="13"/>
  <c r="L1772" i="13" s="1"/>
  <c r="I1773" i="13"/>
  <c r="L1773" i="13" s="1"/>
  <c r="I1774" i="13"/>
  <c r="L1774" i="13" s="1"/>
  <c r="I1775" i="13"/>
  <c r="L1775" i="13" s="1"/>
  <c r="I1776" i="13"/>
  <c r="L1776" i="13" s="1"/>
  <c r="I1777" i="13"/>
  <c r="L1777" i="13" s="1"/>
  <c r="I1778" i="13"/>
  <c r="L1778" i="13" s="1"/>
  <c r="I1779" i="13"/>
  <c r="L1779" i="13" s="1"/>
  <c r="I1780" i="13"/>
  <c r="L1780" i="13" s="1"/>
  <c r="I1781" i="13"/>
  <c r="L1781" i="13" s="1"/>
  <c r="I1782" i="13"/>
  <c r="L1782" i="13" s="1"/>
  <c r="I1783" i="13"/>
  <c r="I1784" i="13"/>
  <c r="L1784" i="13" s="1"/>
  <c r="I1785" i="13"/>
  <c r="L1785" i="13" s="1"/>
  <c r="I1786" i="13"/>
  <c r="L1786" i="13" s="1"/>
  <c r="I1787" i="13"/>
  <c r="L1787" i="13" s="1"/>
  <c r="I1788" i="13"/>
  <c r="L1788" i="13" s="1"/>
  <c r="I1789" i="13"/>
  <c r="L1789" i="13" s="1"/>
  <c r="I1790" i="13"/>
  <c r="L1790" i="13" s="1"/>
  <c r="I1791" i="13"/>
  <c r="L1791" i="13" s="1"/>
  <c r="I1792" i="13"/>
  <c r="L1792" i="13" s="1"/>
  <c r="I1793" i="13"/>
  <c r="L1793" i="13" s="1"/>
  <c r="I1794" i="13"/>
  <c r="L1794" i="13" s="1"/>
  <c r="I1795" i="13"/>
  <c r="L1795" i="13" s="1"/>
  <c r="I1796" i="13"/>
  <c r="L1796" i="13" s="1"/>
  <c r="I1797" i="13"/>
  <c r="L1797" i="13" s="1"/>
  <c r="I1798" i="13"/>
  <c r="L1798" i="13" s="1"/>
  <c r="I1799" i="13"/>
  <c r="L1799" i="13" s="1"/>
  <c r="I1800" i="13"/>
  <c r="L1800" i="13" s="1"/>
  <c r="I1801" i="13"/>
  <c r="L1801" i="13" s="1"/>
  <c r="I1802" i="13"/>
  <c r="L1802" i="13" s="1"/>
  <c r="I1803" i="13"/>
  <c r="L1803" i="13" s="1"/>
  <c r="I1804" i="13"/>
  <c r="L1804" i="13" s="1"/>
  <c r="I1805" i="13"/>
  <c r="L1805" i="13" s="1"/>
  <c r="I1806" i="13"/>
  <c r="L1806" i="13" s="1"/>
  <c r="I1807" i="13"/>
  <c r="L1807" i="13" s="1"/>
  <c r="I1808" i="13"/>
  <c r="L1808" i="13" s="1"/>
  <c r="I1809" i="13"/>
  <c r="L1809" i="13" s="1"/>
  <c r="I1810" i="13"/>
  <c r="L1810" i="13" s="1"/>
  <c r="I1811" i="13"/>
  <c r="L1811" i="13" s="1"/>
  <c r="I1812" i="13"/>
  <c r="L1812" i="13" s="1"/>
  <c r="I1813" i="13"/>
  <c r="L1813" i="13" s="1"/>
  <c r="I1814" i="13"/>
  <c r="L1814" i="13" s="1"/>
  <c r="I1815" i="13"/>
  <c r="L1815" i="13" s="1"/>
  <c r="I1816" i="13"/>
  <c r="I1817" i="13"/>
  <c r="L1817" i="13" s="1"/>
  <c r="I1818" i="13"/>
  <c r="L1818" i="13" s="1"/>
  <c r="I1819" i="13"/>
  <c r="L1819" i="13" s="1"/>
  <c r="I1820" i="13"/>
  <c r="L1820" i="13" s="1"/>
  <c r="I1821" i="13"/>
  <c r="L1821" i="13" s="1"/>
  <c r="I1822" i="13"/>
  <c r="L1822" i="13" s="1"/>
  <c r="I1823" i="13"/>
  <c r="L1823" i="13" s="1"/>
  <c r="I1824" i="13"/>
  <c r="L1824" i="13" s="1"/>
  <c r="I1825" i="13"/>
  <c r="L1825" i="13" s="1"/>
  <c r="I1826" i="13"/>
  <c r="L1826" i="13" s="1"/>
  <c r="I1827" i="13"/>
  <c r="L1827" i="13" s="1"/>
  <c r="I1828" i="13"/>
  <c r="L1828" i="13" s="1"/>
  <c r="I1829" i="13"/>
  <c r="L1829" i="13" s="1"/>
  <c r="I1830" i="13"/>
  <c r="L1830" i="13" s="1"/>
  <c r="I1831" i="13"/>
  <c r="L1831" i="13" s="1"/>
  <c r="I1832" i="13"/>
  <c r="L1832" i="13" s="1"/>
  <c r="I1833" i="13"/>
  <c r="L1833" i="13" s="1"/>
  <c r="I1834" i="13"/>
  <c r="L1834" i="13" s="1"/>
  <c r="I1835" i="13"/>
  <c r="L1835" i="13" s="1"/>
  <c r="I1836" i="13"/>
  <c r="L1836" i="13" s="1"/>
  <c r="I1837" i="13"/>
  <c r="L1837" i="13" s="1"/>
  <c r="I1838" i="13"/>
  <c r="L1838" i="13" s="1"/>
  <c r="I1839" i="13"/>
  <c r="L1839" i="13" s="1"/>
  <c r="I1840" i="13"/>
  <c r="L1840" i="13" s="1"/>
  <c r="I1841" i="13"/>
  <c r="L1841" i="13" s="1"/>
  <c r="I1842" i="13"/>
  <c r="L1842" i="13" s="1"/>
  <c r="I1843" i="13"/>
  <c r="L1843" i="13" s="1"/>
  <c r="I1844" i="13"/>
  <c r="L1844" i="13" s="1"/>
  <c r="I1845" i="13"/>
  <c r="L1845" i="13" s="1"/>
  <c r="I1846" i="13"/>
  <c r="L1846" i="13" s="1"/>
  <c r="I1847" i="13"/>
  <c r="I1848" i="13"/>
  <c r="L1848" i="13" s="1"/>
  <c r="I1849" i="13"/>
  <c r="L1849" i="13" s="1"/>
  <c r="I1850" i="13"/>
  <c r="L1850" i="13" s="1"/>
  <c r="I1851" i="13"/>
  <c r="L1851" i="13" s="1"/>
  <c r="I1852" i="13"/>
  <c r="L1852" i="13" s="1"/>
  <c r="I1853" i="13"/>
  <c r="L1853" i="13" s="1"/>
  <c r="I1854" i="13"/>
  <c r="L1854" i="13" s="1"/>
  <c r="I1855" i="13"/>
  <c r="L1855" i="13" s="1"/>
  <c r="I1856" i="13"/>
  <c r="L1856" i="13" s="1"/>
  <c r="I1857" i="13"/>
  <c r="L1857" i="13" s="1"/>
  <c r="I1858" i="13"/>
  <c r="L1858" i="13" s="1"/>
  <c r="I1859" i="13"/>
  <c r="L1859" i="13" s="1"/>
  <c r="I1860" i="13"/>
  <c r="L1860" i="13" s="1"/>
  <c r="I1861" i="13"/>
  <c r="L1861" i="13" s="1"/>
  <c r="I1862" i="13"/>
  <c r="L1862" i="13" s="1"/>
  <c r="I1863" i="13"/>
  <c r="L1863" i="13" s="1"/>
  <c r="I1864" i="13"/>
  <c r="I1865" i="13"/>
  <c r="L1865" i="13" s="1"/>
  <c r="I1866" i="13"/>
  <c r="L1866" i="13" s="1"/>
  <c r="I1867" i="13"/>
  <c r="L1867" i="13" s="1"/>
  <c r="I1868" i="13"/>
  <c r="L1868" i="13" s="1"/>
  <c r="I1869" i="13"/>
  <c r="L1869" i="13" s="1"/>
  <c r="I1870" i="13"/>
  <c r="L1870" i="13" s="1"/>
  <c r="I1871" i="13"/>
  <c r="L1871" i="13" s="1"/>
  <c r="I1872" i="13"/>
  <c r="L1872" i="13" s="1"/>
  <c r="I1873" i="13"/>
  <c r="L1873" i="13" s="1"/>
  <c r="I1874" i="13"/>
  <c r="L1874" i="13" s="1"/>
  <c r="I1875" i="13"/>
  <c r="L1875" i="13" s="1"/>
  <c r="I1876" i="13"/>
  <c r="L1876" i="13" s="1"/>
  <c r="I1877" i="13"/>
  <c r="L1877" i="13" s="1"/>
  <c r="I1878" i="13"/>
  <c r="L1878" i="13" s="1"/>
  <c r="I1879" i="13"/>
  <c r="L1879" i="13" s="1"/>
  <c r="I1880" i="13"/>
  <c r="L1880" i="13" s="1"/>
  <c r="I1881" i="13"/>
  <c r="L1881" i="13" s="1"/>
  <c r="I1882" i="13"/>
  <c r="L1882" i="13" s="1"/>
  <c r="I1883" i="13"/>
  <c r="L1883" i="13" s="1"/>
  <c r="I1884" i="13"/>
  <c r="L1884" i="13" s="1"/>
  <c r="I1885" i="13"/>
  <c r="L1885" i="13" s="1"/>
  <c r="I1886" i="13"/>
  <c r="L1886" i="13" s="1"/>
  <c r="I1887" i="13"/>
  <c r="L1887" i="13" s="1"/>
  <c r="I1888" i="13"/>
  <c r="L1888" i="13" s="1"/>
  <c r="I1889" i="13"/>
  <c r="L1889" i="13" s="1"/>
  <c r="I1890" i="13"/>
  <c r="L1890" i="13" s="1"/>
  <c r="I1891" i="13"/>
  <c r="L1891" i="13" s="1"/>
  <c r="I1892" i="13"/>
  <c r="L1892" i="13" s="1"/>
  <c r="I1893" i="13"/>
  <c r="L1893" i="13" s="1"/>
  <c r="I1894" i="13"/>
  <c r="L1894" i="13" s="1"/>
  <c r="I1895" i="13"/>
  <c r="L1895" i="13" s="1"/>
  <c r="I1896" i="13"/>
  <c r="L1896" i="13" s="1"/>
  <c r="I1897" i="13"/>
  <c r="L1897" i="13" s="1"/>
  <c r="I1898" i="13"/>
  <c r="L1898" i="13" s="1"/>
  <c r="I1899" i="13"/>
  <c r="L1899" i="13" s="1"/>
  <c r="I1900" i="13"/>
  <c r="L1900" i="13" s="1"/>
  <c r="I1901" i="13"/>
  <c r="L1901" i="13" s="1"/>
  <c r="I1902" i="13"/>
  <c r="L1902" i="13" s="1"/>
  <c r="I1903" i="13"/>
  <c r="I1904" i="13"/>
  <c r="L1904" i="13" s="1"/>
  <c r="I1905" i="13"/>
  <c r="L1905" i="13" s="1"/>
  <c r="I1906" i="13"/>
  <c r="L1906" i="13" s="1"/>
  <c r="I1907" i="13"/>
  <c r="L1907" i="13" s="1"/>
  <c r="I1908" i="13"/>
  <c r="L1908" i="13" s="1"/>
  <c r="I1909" i="13"/>
  <c r="L1909" i="13" s="1"/>
  <c r="I1910" i="13"/>
  <c r="L1910" i="13" s="1"/>
  <c r="I1911" i="13"/>
  <c r="L1911" i="13" s="1"/>
  <c r="I1912" i="13"/>
  <c r="L1912" i="13" s="1"/>
  <c r="I1913" i="13"/>
  <c r="L1913" i="13" s="1"/>
  <c r="I1914" i="13"/>
  <c r="L1914" i="13" s="1"/>
  <c r="I1915" i="13"/>
  <c r="L1915" i="13" s="1"/>
  <c r="I1916" i="13"/>
  <c r="L1916" i="13" s="1"/>
  <c r="I1917" i="13"/>
  <c r="L1917" i="13" s="1"/>
  <c r="I1918" i="13"/>
  <c r="L1918" i="13" s="1"/>
  <c r="I1919" i="13"/>
  <c r="L1919" i="13" s="1"/>
  <c r="I1920" i="13"/>
  <c r="L1920" i="13" s="1"/>
  <c r="I1921" i="13"/>
  <c r="L1921" i="13" s="1"/>
  <c r="I1922" i="13"/>
  <c r="L1922" i="13" s="1"/>
  <c r="I1923" i="13"/>
  <c r="L1923" i="13" s="1"/>
  <c r="I1924" i="13"/>
  <c r="L1924" i="13" s="1"/>
  <c r="I1925" i="13"/>
  <c r="L1925" i="13" s="1"/>
  <c r="I1926" i="13"/>
  <c r="L1926" i="13" s="1"/>
  <c r="I1927" i="13"/>
  <c r="L1927" i="13" s="1"/>
  <c r="I1928" i="13"/>
  <c r="L1928" i="13" s="1"/>
  <c r="I1929" i="13"/>
  <c r="L1929" i="13" s="1"/>
  <c r="I1930" i="13"/>
  <c r="L1930" i="13" s="1"/>
  <c r="I1931" i="13"/>
  <c r="L1931" i="13" s="1"/>
  <c r="I1932" i="13"/>
  <c r="L1932" i="13" s="1"/>
  <c r="I1933" i="13"/>
  <c r="L1933" i="13" s="1"/>
  <c r="I1934" i="13"/>
  <c r="L1934" i="13" s="1"/>
  <c r="I1935" i="13"/>
  <c r="L1935" i="13" s="1"/>
  <c r="I1936" i="13"/>
  <c r="L1936" i="13" s="1"/>
  <c r="I1937" i="13"/>
  <c r="L1937" i="13" s="1"/>
  <c r="I1938" i="13"/>
  <c r="L1938" i="13" s="1"/>
  <c r="I1939" i="13"/>
  <c r="L1939" i="13" s="1"/>
  <c r="I1940" i="13"/>
  <c r="L1940" i="13" s="1"/>
  <c r="I1941" i="13"/>
  <c r="L1941" i="13" s="1"/>
  <c r="I1942" i="13"/>
  <c r="L1942" i="13" s="1"/>
  <c r="I1943" i="13"/>
  <c r="L1943" i="13" s="1"/>
  <c r="I1944" i="13"/>
  <c r="L1944" i="13" s="1"/>
  <c r="I1945" i="13"/>
  <c r="L1945" i="13" s="1"/>
  <c r="I1946" i="13"/>
  <c r="L1946" i="13" s="1"/>
  <c r="I1947" i="13"/>
  <c r="L1947" i="13" s="1"/>
  <c r="I1948" i="13"/>
  <c r="L1948" i="13" s="1"/>
  <c r="I1949" i="13"/>
  <c r="L1949" i="13" s="1"/>
  <c r="I1950" i="13"/>
  <c r="L1950" i="13" s="1"/>
  <c r="I1951" i="13"/>
  <c r="L1951" i="13" s="1"/>
  <c r="I1952" i="13"/>
  <c r="L1952" i="13" s="1"/>
  <c r="I1953" i="13"/>
  <c r="L1953" i="13" s="1"/>
  <c r="I1954" i="13"/>
  <c r="L1954" i="13" s="1"/>
  <c r="I1955" i="13"/>
  <c r="L1955" i="13" s="1"/>
  <c r="I1956" i="13"/>
  <c r="L1956" i="13" s="1"/>
  <c r="I1957" i="13"/>
  <c r="L1957" i="13" s="1"/>
  <c r="I1958" i="13"/>
  <c r="L1958" i="13" s="1"/>
  <c r="I1959" i="13"/>
  <c r="L1959" i="13" s="1"/>
  <c r="I1960" i="13"/>
  <c r="L1960" i="13" s="1"/>
  <c r="I1961" i="13"/>
  <c r="L1961" i="13" s="1"/>
  <c r="I1962" i="13"/>
  <c r="L1962" i="13" s="1"/>
  <c r="I1963" i="13"/>
  <c r="L1963" i="13" s="1"/>
  <c r="I1964" i="13"/>
  <c r="L1964" i="13" s="1"/>
  <c r="I1965" i="13"/>
  <c r="L1965" i="13" s="1"/>
  <c r="I1966" i="13"/>
  <c r="L1966" i="13" s="1"/>
  <c r="I1967" i="13"/>
  <c r="L1967" i="13" s="1"/>
  <c r="I1968" i="13"/>
  <c r="L1968" i="13" s="1"/>
  <c r="I1969" i="13"/>
  <c r="L1969" i="13" s="1"/>
  <c r="I1970" i="13"/>
  <c r="I1971" i="13"/>
  <c r="L1971" i="13" s="1"/>
  <c r="I1972" i="13"/>
  <c r="L1972" i="13" s="1"/>
  <c r="I1973" i="13"/>
  <c r="L1973" i="13" s="1"/>
  <c r="I1974" i="13"/>
  <c r="L1974" i="13" s="1"/>
  <c r="I1975" i="13"/>
  <c r="L1975" i="13" s="1"/>
  <c r="I1976" i="13"/>
  <c r="L1976" i="13" s="1"/>
  <c r="I1977" i="13"/>
  <c r="L1977" i="13" s="1"/>
  <c r="I1978" i="13"/>
  <c r="L1978" i="13" s="1"/>
  <c r="I1979" i="13"/>
  <c r="L1979" i="13" s="1"/>
  <c r="I1980" i="13"/>
  <c r="L1980" i="13" s="1"/>
  <c r="I1981" i="13"/>
  <c r="L1981" i="13" s="1"/>
  <c r="I1982" i="13"/>
  <c r="L1982" i="13" s="1"/>
  <c r="I1983" i="13"/>
  <c r="L1983" i="13" s="1"/>
  <c r="I1984" i="13"/>
  <c r="L1984" i="13" s="1"/>
  <c r="I1985" i="13"/>
  <c r="L1985" i="13" s="1"/>
  <c r="I1986" i="13"/>
  <c r="L1986" i="13" s="1"/>
  <c r="I1987" i="13"/>
  <c r="L1987" i="13" s="1"/>
  <c r="I1988" i="13"/>
  <c r="L1988" i="13" s="1"/>
  <c r="I1989" i="13"/>
  <c r="L1989" i="13" s="1"/>
  <c r="I1990" i="13"/>
  <c r="L1990" i="13" s="1"/>
  <c r="I1991" i="13"/>
  <c r="L1991" i="13" s="1"/>
  <c r="I1992" i="13"/>
  <c r="L1992" i="13" s="1"/>
  <c r="I1993" i="13"/>
  <c r="L1993" i="13" s="1"/>
  <c r="I1994" i="13"/>
  <c r="L1994" i="13" s="1"/>
  <c r="I1995" i="13"/>
  <c r="L1995" i="13" s="1"/>
  <c r="I1996" i="13"/>
  <c r="L1996" i="13" s="1"/>
  <c r="I1997" i="13"/>
  <c r="L1997" i="13" s="1"/>
  <c r="I1998" i="13"/>
  <c r="L1998" i="13" s="1"/>
  <c r="I1999" i="13"/>
  <c r="L1999" i="13" s="1"/>
  <c r="I2000" i="13"/>
  <c r="L2000" i="13" s="1"/>
  <c r="I2001" i="13"/>
  <c r="L2001" i="13" s="1"/>
  <c r="I2002" i="13"/>
  <c r="L2002" i="13" s="1"/>
  <c r="I2003" i="13"/>
  <c r="L2003" i="13" s="1"/>
  <c r="I2004" i="13"/>
  <c r="L2004" i="13" s="1"/>
  <c r="I2005" i="13"/>
  <c r="L2005" i="13" s="1"/>
  <c r="I2006" i="13"/>
  <c r="L2006" i="13" s="1"/>
  <c r="I2007" i="13"/>
  <c r="L2007" i="13" s="1"/>
  <c r="I2008" i="13"/>
  <c r="L2008" i="13" s="1"/>
  <c r="I2009" i="13"/>
  <c r="L2009" i="13" s="1"/>
  <c r="I2010" i="13"/>
  <c r="L2010" i="13" s="1"/>
  <c r="I2011" i="13"/>
  <c r="L2011" i="13" s="1"/>
  <c r="I2012" i="13"/>
  <c r="L2012" i="13" s="1"/>
  <c r="I2013" i="13"/>
  <c r="L2013" i="13" s="1"/>
  <c r="I2014" i="13"/>
  <c r="L2014" i="13" s="1"/>
  <c r="I2015" i="13"/>
  <c r="L2015" i="13" s="1"/>
  <c r="I2016" i="13"/>
  <c r="L2016" i="13" s="1"/>
  <c r="I2017" i="13"/>
  <c r="L2017" i="13" s="1"/>
  <c r="I2018" i="13"/>
  <c r="L2018" i="13" s="1"/>
  <c r="I2019" i="13"/>
  <c r="L2019" i="13" s="1"/>
  <c r="I2020" i="13"/>
  <c r="L2020" i="13" s="1"/>
  <c r="I2021" i="13"/>
  <c r="L2021" i="13" s="1"/>
  <c r="I2022" i="13"/>
  <c r="L2022" i="13" s="1"/>
  <c r="I2023" i="13"/>
  <c r="L2023" i="13" s="1"/>
  <c r="I2024" i="13"/>
  <c r="L2024" i="13" s="1"/>
  <c r="I2025" i="13"/>
  <c r="L2025" i="13" s="1"/>
  <c r="I2026" i="13"/>
  <c r="L2026" i="13" s="1"/>
  <c r="I2027" i="13"/>
  <c r="L2027" i="13" s="1"/>
  <c r="I2028" i="13"/>
  <c r="L2028" i="13" s="1"/>
  <c r="I2029" i="13"/>
  <c r="L2029" i="13" s="1"/>
  <c r="I2030" i="13"/>
  <c r="L2030" i="13" s="1"/>
  <c r="I2031" i="13"/>
  <c r="L2031" i="13" s="1"/>
  <c r="I2032" i="13"/>
  <c r="L2032" i="13" s="1"/>
  <c r="I2033" i="13"/>
  <c r="L2033" i="13" s="1"/>
  <c r="I2034" i="13"/>
  <c r="L2034" i="13" s="1"/>
  <c r="I2035" i="13"/>
  <c r="L2035" i="13" s="1"/>
  <c r="I2036" i="13"/>
  <c r="L2036" i="13" s="1"/>
  <c r="I2037" i="13"/>
  <c r="L2037" i="13" s="1"/>
  <c r="I2038" i="13"/>
  <c r="L2038" i="13" s="1"/>
  <c r="I2039" i="13"/>
  <c r="L2039" i="13" s="1"/>
  <c r="I2040" i="13"/>
  <c r="L2040" i="13" s="1"/>
  <c r="I2041" i="13"/>
  <c r="L2041" i="13" s="1"/>
  <c r="I2042" i="13"/>
  <c r="L2042" i="13" s="1"/>
  <c r="I2043" i="13"/>
  <c r="L2043" i="13" s="1"/>
  <c r="I2044" i="13"/>
  <c r="L2044" i="13" s="1"/>
  <c r="I2045" i="13"/>
  <c r="L2045" i="13" s="1"/>
  <c r="I2046" i="13"/>
  <c r="L2046" i="13" s="1"/>
  <c r="I2047" i="13"/>
  <c r="L2047" i="13" s="1"/>
  <c r="I2048" i="13"/>
  <c r="L2048" i="13" s="1"/>
  <c r="I2049" i="13"/>
  <c r="L2049" i="13" s="1"/>
  <c r="I2050" i="13"/>
  <c r="L2050" i="13" s="1"/>
  <c r="I2051" i="13"/>
  <c r="L2051" i="13" s="1"/>
  <c r="I2052" i="13"/>
  <c r="L2052" i="13" s="1"/>
  <c r="I2053" i="13"/>
  <c r="L2053" i="13" s="1"/>
  <c r="I2054" i="13"/>
  <c r="L2054" i="13" s="1"/>
  <c r="I2055" i="13"/>
  <c r="L2055" i="13" s="1"/>
  <c r="I2056" i="13"/>
  <c r="L2056" i="13" s="1"/>
  <c r="I2057" i="13"/>
  <c r="L2057" i="13" s="1"/>
  <c r="I2058" i="13"/>
  <c r="L2058" i="13" s="1"/>
  <c r="I2059" i="13"/>
  <c r="L2059" i="13" s="1"/>
  <c r="I2060" i="13"/>
  <c r="L2060" i="13" s="1"/>
  <c r="I2061" i="13"/>
  <c r="L2061" i="13" s="1"/>
  <c r="I2062" i="13"/>
  <c r="L2062" i="13" s="1"/>
  <c r="I2063" i="13"/>
  <c r="L2063" i="13" s="1"/>
  <c r="I2064" i="13"/>
  <c r="L2064" i="13" s="1"/>
  <c r="I2065" i="13"/>
  <c r="L2065" i="13" s="1"/>
  <c r="I2066" i="13"/>
  <c r="L2066" i="13" s="1"/>
  <c r="I2067" i="13"/>
  <c r="L2067" i="13" s="1"/>
  <c r="I2068" i="13"/>
  <c r="L2068" i="13" s="1"/>
  <c r="I2069" i="13"/>
  <c r="L2069" i="13" s="1"/>
  <c r="I2070" i="13"/>
  <c r="L2070" i="13" s="1"/>
  <c r="I2071" i="13"/>
  <c r="L2071" i="13" s="1"/>
  <c r="I2072" i="13"/>
  <c r="L2072" i="13" s="1"/>
  <c r="I2073" i="13"/>
  <c r="L2073" i="13" s="1"/>
  <c r="I2074" i="13"/>
  <c r="L2074" i="13" s="1"/>
  <c r="I2075" i="13"/>
  <c r="L2075" i="13" s="1"/>
  <c r="I2076" i="13"/>
  <c r="L2076" i="13" s="1"/>
  <c r="I2077" i="13"/>
  <c r="L2077" i="13" s="1"/>
  <c r="I2078" i="13"/>
  <c r="L2078" i="13" s="1"/>
  <c r="I2079" i="13"/>
  <c r="L2079" i="13" s="1"/>
  <c r="I2080" i="13"/>
  <c r="L2080" i="13" s="1"/>
  <c r="I2081" i="13"/>
  <c r="L2081" i="13" s="1"/>
  <c r="I2082" i="13"/>
  <c r="L2082" i="13" s="1"/>
  <c r="I2083" i="13"/>
  <c r="L2083" i="13" s="1"/>
  <c r="I2084" i="13"/>
  <c r="L2084" i="13" s="1"/>
  <c r="I2085" i="13"/>
  <c r="L2085" i="13" s="1"/>
  <c r="I2086" i="13"/>
  <c r="L2086" i="13" s="1"/>
  <c r="I2087" i="13"/>
  <c r="L2087" i="13" s="1"/>
  <c r="I2088" i="13"/>
  <c r="L2088" i="13" s="1"/>
  <c r="I2089" i="13"/>
  <c r="L2089" i="13" s="1"/>
  <c r="I2090" i="13"/>
  <c r="L2090" i="13" s="1"/>
  <c r="I2091" i="13"/>
  <c r="L2091" i="13" s="1"/>
  <c r="I2092" i="13"/>
  <c r="L2092" i="13" s="1"/>
  <c r="I2093" i="13"/>
  <c r="L2093" i="13" s="1"/>
  <c r="I2094" i="13"/>
  <c r="L2094" i="13" s="1"/>
  <c r="I2095" i="13"/>
  <c r="L2095" i="13" s="1"/>
  <c r="I2096" i="13"/>
  <c r="L2096" i="13" s="1"/>
  <c r="I2097" i="13"/>
  <c r="L2097" i="13" s="1"/>
  <c r="I2098" i="13"/>
  <c r="L2098" i="13" s="1"/>
  <c r="I2099" i="13"/>
  <c r="L2099" i="13" s="1"/>
  <c r="I2100" i="13"/>
  <c r="L2100" i="13" s="1"/>
  <c r="I2101" i="13"/>
  <c r="L2101" i="13" s="1"/>
  <c r="I2102" i="13"/>
  <c r="L2102" i="13" s="1"/>
  <c r="I2103" i="13"/>
  <c r="L2103" i="13" s="1"/>
  <c r="I2104" i="13"/>
  <c r="L2104" i="13" s="1"/>
  <c r="I2105" i="13"/>
  <c r="L2105" i="13" s="1"/>
  <c r="I2106" i="13"/>
  <c r="L2106" i="13" s="1"/>
  <c r="I2107" i="13"/>
  <c r="L2107" i="13" s="1"/>
  <c r="I2108" i="13"/>
  <c r="L2108" i="13" s="1"/>
  <c r="I2109" i="13"/>
  <c r="L2109" i="13" s="1"/>
  <c r="I2110" i="13"/>
  <c r="L2110" i="13" s="1"/>
  <c r="I2111" i="13"/>
  <c r="L2111" i="13" s="1"/>
  <c r="I2112" i="13"/>
  <c r="L2112" i="13" s="1"/>
  <c r="I2113" i="13"/>
  <c r="L2113" i="13" s="1"/>
  <c r="I2114" i="13"/>
  <c r="L2114" i="13" s="1"/>
  <c r="I2115" i="13"/>
  <c r="L2115" i="13" s="1"/>
  <c r="I2116" i="13"/>
  <c r="L2116" i="13" s="1"/>
  <c r="I2117" i="13"/>
  <c r="L2117" i="13" s="1"/>
  <c r="I2118" i="13"/>
  <c r="L2118" i="13" s="1"/>
  <c r="I2119" i="13"/>
  <c r="L2119" i="13" s="1"/>
  <c r="I2120" i="13"/>
  <c r="L2120" i="13" s="1"/>
  <c r="I2121" i="13"/>
  <c r="L2121" i="13" s="1"/>
  <c r="I2122" i="13"/>
  <c r="L2122" i="13" s="1"/>
  <c r="I2123" i="13"/>
  <c r="L2123" i="13" s="1"/>
  <c r="I2124" i="13"/>
  <c r="L2124" i="13" s="1"/>
  <c r="I2125" i="13"/>
  <c r="L2125" i="13" s="1"/>
  <c r="I2126" i="13"/>
  <c r="L2126" i="13" s="1"/>
  <c r="I2127" i="13"/>
  <c r="L2127" i="13" s="1"/>
  <c r="I2128" i="13"/>
  <c r="L2128" i="13" s="1"/>
  <c r="I2129" i="13"/>
  <c r="L2129" i="13" s="1"/>
  <c r="I2130" i="13"/>
  <c r="L2130" i="13" s="1"/>
  <c r="I2131" i="13"/>
  <c r="L2131" i="13" s="1"/>
  <c r="I2132" i="13"/>
  <c r="L2132" i="13" s="1"/>
  <c r="I2133" i="13"/>
  <c r="L2133" i="13" s="1"/>
  <c r="I2134" i="13"/>
  <c r="L2134" i="13" s="1"/>
  <c r="I2135" i="13"/>
  <c r="L2135" i="13" s="1"/>
  <c r="I2136" i="13"/>
  <c r="L2136" i="13" s="1"/>
  <c r="I2137" i="13"/>
  <c r="L2137" i="13" s="1"/>
  <c r="I2138" i="13"/>
  <c r="L2138" i="13" s="1"/>
  <c r="I2139" i="13"/>
  <c r="L2139" i="13" s="1"/>
  <c r="I2140" i="13"/>
  <c r="L2140" i="13" s="1"/>
  <c r="I2141" i="13"/>
  <c r="L2141" i="13" s="1"/>
  <c r="I2142" i="13"/>
  <c r="L2142" i="13" s="1"/>
  <c r="I2143" i="13"/>
  <c r="L2143" i="13" s="1"/>
  <c r="I2144" i="13"/>
  <c r="L2144" i="13" s="1"/>
  <c r="I2145" i="13"/>
  <c r="L2145" i="13" s="1"/>
  <c r="I2146" i="13"/>
  <c r="L2146" i="13" s="1"/>
  <c r="I2147" i="13"/>
  <c r="L2147" i="13" s="1"/>
  <c r="I2148" i="13"/>
  <c r="L2148" i="13" s="1"/>
  <c r="I2149" i="13"/>
  <c r="L2149" i="13" s="1"/>
  <c r="I2150" i="13"/>
  <c r="L2150" i="13" s="1"/>
  <c r="I2151" i="13"/>
  <c r="L2151" i="13" s="1"/>
  <c r="I2152" i="13"/>
  <c r="L2152" i="13" s="1"/>
  <c r="I2153" i="13"/>
  <c r="L2153" i="13" s="1"/>
  <c r="I2154" i="13"/>
  <c r="L2154" i="13" s="1"/>
  <c r="I2155" i="13"/>
  <c r="L2155" i="13" s="1"/>
  <c r="I2156" i="13"/>
  <c r="L2156" i="13" s="1"/>
  <c r="I2157" i="13"/>
  <c r="L2157" i="13" s="1"/>
  <c r="I2158" i="13"/>
  <c r="L2158" i="13" s="1"/>
  <c r="I2159" i="13"/>
  <c r="L2159" i="13" s="1"/>
  <c r="I2160" i="13"/>
  <c r="L2160" i="13" s="1"/>
  <c r="I2161" i="13"/>
  <c r="L2161" i="13" s="1"/>
  <c r="I2162" i="13"/>
  <c r="L2162" i="13" s="1"/>
  <c r="I2163" i="13"/>
  <c r="L2163" i="13" s="1"/>
  <c r="I2164" i="13"/>
  <c r="L2164" i="13" s="1"/>
  <c r="I2165" i="13"/>
  <c r="L2165" i="13" s="1"/>
  <c r="I2166" i="13"/>
  <c r="L2166" i="13" s="1"/>
  <c r="I2167" i="13"/>
  <c r="L2167" i="13" s="1"/>
  <c r="I2168" i="13"/>
  <c r="L2168" i="13" s="1"/>
  <c r="I2169" i="13"/>
  <c r="L2169" i="13" s="1"/>
  <c r="I2170" i="13"/>
  <c r="L2170" i="13" s="1"/>
  <c r="I2171" i="13"/>
  <c r="L2171" i="13" s="1"/>
  <c r="I2172" i="13"/>
  <c r="L2172" i="13" s="1"/>
  <c r="I2173" i="13"/>
  <c r="L2173" i="13" s="1"/>
  <c r="I2174" i="13"/>
  <c r="L2174" i="13" s="1"/>
  <c r="I2175" i="13"/>
  <c r="L2175" i="13" s="1"/>
  <c r="I2176" i="13"/>
  <c r="L2176" i="13" s="1"/>
  <c r="I2177" i="13"/>
  <c r="L2177" i="13" s="1"/>
  <c r="I2178" i="13"/>
  <c r="L2178" i="13" s="1"/>
  <c r="I2179" i="13"/>
  <c r="L2179" i="13" s="1"/>
  <c r="I2180" i="13"/>
  <c r="L2180" i="13" s="1"/>
  <c r="I2181" i="13"/>
  <c r="L2181" i="13" s="1"/>
  <c r="I2182" i="13"/>
  <c r="L2182" i="13" s="1"/>
  <c r="I2183" i="13"/>
  <c r="L2183" i="13" s="1"/>
  <c r="I2184" i="13"/>
  <c r="L2184" i="13" s="1"/>
  <c r="I2185" i="13"/>
  <c r="L2185" i="13" s="1"/>
  <c r="I2186" i="13"/>
  <c r="L2186" i="13" s="1"/>
  <c r="I2187" i="13"/>
  <c r="L2187" i="13" s="1"/>
  <c r="I2188" i="13"/>
  <c r="L2188" i="13" s="1"/>
  <c r="I2189" i="13"/>
  <c r="L2189" i="13" s="1"/>
  <c r="I2190" i="13"/>
  <c r="L2190" i="13" s="1"/>
  <c r="I2191" i="13"/>
  <c r="L2191" i="13" s="1"/>
  <c r="I2192" i="13"/>
  <c r="L2192" i="13" s="1"/>
  <c r="I2193" i="13"/>
  <c r="L2193" i="13" s="1"/>
  <c r="I2194" i="13"/>
  <c r="L2194" i="13" s="1"/>
  <c r="I2195" i="13"/>
  <c r="L2195" i="13" s="1"/>
  <c r="I2196" i="13"/>
  <c r="L2196" i="13" s="1"/>
  <c r="I2197" i="13"/>
  <c r="L2197" i="13" s="1"/>
  <c r="I2198" i="13"/>
  <c r="L2198" i="13" s="1"/>
  <c r="I2199" i="13"/>
  <c r="L2199" i="13" s="1"/>
  <c r="I2200" i="13"/>
  <c r="L2200" i="13" s="1"/>
  <c r="I2201" i="13"/>
  <c r="L2201" i="13" s="1"/>
  <c r="I2202" i="13"/>
  <c r="L2202" i="13" s="1"/>
  <c r="I2203" i="13"/>
  <c r="L2203" i="13" s="1"/>
  <c r="I2204" i="13"/>
  <c r="L2204" i="13" s="1"/>
  <c r="I2205" i="13"/>
  <c r="L2205" i="13" s="1"/>
  <c r="I2206" i="13"/>
  <c r="L2206" i="13" s="1"/>
  <c r="I2207" i="13"/>
  <c r="L2207" i="13" s="1"/>
  <c r="I2208" i="13"/>
  <c r="L2208" i="13" s="1"/>
  <c r="I2209" i="13"/>
  <c r="L2209" i="13" s="1"/>
  <c r="I2210" i="13"/>
  <c r="L2210" i="13" s="1"/>
  <c r="I2211" i="13"/>
  <c r="L2211" i="13" s="1"/>
  <c r="I2212" i="13"/>
  <c r="L2212" i="13" s="1"/>
  <c r="I2213" i="13"/>
  <c r="L2213" i="13" s="1"/>
  <c r="I2214" i="13"/>
  <c r="L2214" i="13" s="1"/>
  <c r="I2215" i="13"/>
  <c r="L2215" i="13" s="1"/>
  <c r="I2216" i="13"/>
  <c r="L2216" i="13" s="1"/>
  <c r="I2217" i="13"/>
  <c r="L2217" i="13" s="1"/>
  <c r="I2218" i="13"/>
  <c r="L2218" i="13" s="1"/>
  <c r="I2219" i="13"/>
  <c r="L2219" i="13" s="1"/>
  <c r="I2220" i="13"/>
  <c r="L2220" i="13" s="1"/>
  <c r="I2221" i="13"/>
  <c r="L2221" i="13" s="1"/>
  <c r="I2222" i="13"/>
  <c r="L2222" i="13" s="1"/>
  <c r="I2223" i="13"/>
  <c r="L2223" i="13" s="1"/>
  <c r="I2224" i="13"/>
  <c r="L2224" i="13" s="1"/>
  <c r="I2225" i="13"/>
  <c r="L2225" i="13" s="1"/>
  <c r="I2226" i="13"/>
  <c r="L2226" i="13" s="1"/>
  <c r="I2227" i="13"/>
  <c r="L2227" i="13" s="1"/>
  <c r="I2228" i="13"/>
  <c r="L2228" i="13" s="1"/>
  <c r="I2229" i="13"/>
  <c r="L2229" i="13" s="1"/>
  <c r="I2230" i="13"/>
  <c r="L2230" i="13" s="1"/>
  <c r="I2231" i="13"/>
  <c r="L2231" i="13" s="1"/>
  <c r="I2232" i="13"/>
  <c r="L2232" i="13" s="1"/>
  <c r="I2233" i="13"/>
  <c r="L2233" i="13" s="1"/>
  <c r="I2234" i="13"/>
  <c r="L2234" i="13" s="1"/>
  <c r="I2235" i="13"/>
  <c r="L2235" i="13" s="1"/>
  <c r="I2236" i="13"/>
  <c r="L2236" i="13" s="1"/>
  <c r="I2237" i="13"/>
  <c r="L2237" i="13" s="1"/>
  <c r="I2238" i="13"/>
  <c r="L2238" i="13" s="1"/>
  <c r="I2239" i="13"/>
  <c r="L2239" i="13" s="1"/>
  <c r="I2240" i="13"/>
  <c r="L2240" i="13" s="1"/>
  <c r="I2241" i="13"/>
  <c r="L2241" i="13" s="1"/>
  <c r="I2242" i="13"/>
  <c r="L2242" i="13" s="1"/>
  <c r="I2243" i="13"/>
  <c r="L2243" i="13" s="1"/>
  <c r="I2244" i="13"/>
  <c r="L2244" i="13" s="1"/>
  <c r="I2245" i="13"/>
  <c r="L2245" i="13" s="1"/>
  <c r="I2246" i="13"/>
  <c r="L2246" i="13" s="1"/>
  <c r="I2247" i="13"/>
  <c r="L2247" i="13" s="1"/>
  <c r="I2248" i="13"/>
  <c r="L2248" i="13" s="1"/>
  <c r="I2249" i="13"/>
  <c r="L2249" i="13" s="1"/>
  <c r="I2250" i="13"/>
  <c r="L2250" i="13" s="1"/>
  <c r="I2251" i="13"/>
  <c r="L2251" i="13" s="1"/>
  <c r="I2252" i="13"/>
  <c r="L2252" i="13" s="1"/>
  <c r="I2253" i="13"/>
  <c r="L2253" i="13" s="1"/>
  <c r="I2254" i="13"/>
  <c r="L2254" i="13" s="1"/>
  <c r="I2255" i="13"/>
  <c r="L2255" i="13" s="1"/>
  <c r="I2256" i="13"/>
  <c r="L2256" i="13" s="1"/>
  <c r="I2257" i="13"/>
  <c r="L2257" i="13" s="1"/>
  <c r="I2258" i="13"/>
  <c r="L2258" i="13" s="1"/>
  <c r="I2259" i="13"/>
  <c r="L2259" i="13" s="1"/>
  <c r="I2260" i="13"/>
  <c r="L2260" i="13" s="1"/>
  <c r="I2261" i="13"/>
  <c r="L2261" i="13" s="1"/>
  <c r="I2262" i="13"/>
  <c r="L2262" i="13" s="1"/>
  <c r="I2263" i="13"/>
  <c r="L2263" i="13" s="1"/>
  <c r="I2264" i="13"/>
  <c r="L2264" i="13" s="1"/>
  <c r="I2265" i="13"/>
  <c r="L2265" i="13" s="1"/>
  <c r="I2266" i="13"/>
  <c r="L2266" i="13" s="1"/>
  <c r="I2267" i="13"/>
  <c r="L2267" i="13" s="1"/>
  <c r="I2268" i="13"/>
  <c r="L2268" i="13" s="1"/>
  <c r="I2269" i="13"/>
  <c r="L2269" i="13" s="1"/>
  <c r="I2270" i="13"/>
  <c r="L2270" i="13" s="1"/>
  <c r="I2271" i="13"/>
  <c r="L2271" i="13" s="1"/>
  <c r="I2272" i="13"/>
  <c r="L2272" i="13" s="1"/>
  <c r="I2273" i="13"/>
  <c r="L2273" i="13" s="1"/>
  <c r="I2274" i="13"/>
  <c r="L2274" i="13" s="1"/>
  <c r="I2275" i="13"/>
  <c r="L2275" i="13" s="1"/>
  <c r="I2276" i="13"/>
  <c r="L2276" i="13" s="1"/>
  <c r="I2277" i="13"/>
  <c r="L2277" i="13" s="1"/>
  <c r="I2278" i="13"/>
  <c r="L2278" i="13" s="1"/>
  <c r="I2279" i="13"/>
  <c r="L2279" i="13" s="1"/>
  <c r="I2280" i="13"/>
  <c r="L2280" i="13" s="1"/>
  <c r="I2281" i="13"/>
  <c r="L2281" i="13" s="1"/>
  <c r="I2282" i="13"/>
  <c r="L2282" i="13" s="1"/>
  <c r="I2283" i="13"/>
  <c r="L2283" i="13" s="1"/>
  <c r="I2284" i="13"/>
  <c r="L2284" i="13" s="1"/>
  <c r="I2285" i="13"/>
  <c r="L2285" i="13" s="1"/>
  <c r="I2286" i="13"/>
  <c r="L2286" i="13" s="1"/>
  <c r="I2287" i="13"/>
  <c r="L2287" i="13" s="1"/>
  <c r="I2288" i="13"/>
  <c r="L2288" i="13" s="1"/>
  <c r="I2289" i="13"/>
  <c r="L2289" i="13" s="1"/>
  <c r="I2290" i="13"/>
  <c r="L2290" i="13" s="1"/>
  <c r="I2291" i="13"/>
  <c r="L2291" i="13" s="1"/>
  <c r="I2292" i="13"/>
  <c r="L2292" i="13" s="1"/>
  <c r="I2293" i="13"/>
  <c r="L2293" i="13" s="1"/>
  <c r="I2294" i="13"/>
  <c r="L2294" i="13" s="1"/>
  <c r="I2295" i="13"/>
  <c r="L2295" i="13" s="1"/>
  <c r="I2296" i="13"/>
  <c r="L2296" i="13" s="1"/>
  <c r="I2297" i="13"/>
  <c r="L2297" i="13" s="1"/>
  <c r="I2298" i="13"/>
  <c r="L2298" i="13" s="1"/>
  <c r="I2299" i="13"/>
  <c r="L2299" i="13" s="1"/>
  <c r="I2300" i="13"/>
  <c r="L2300" i="13" s="1"/>
  <c r="I2301" i="13"/>
  <c r="L2301" i="13" s="1"/>
  <c r="I2302" i="13"/>
  <c r="L2302" i="13" s="1"/>
  <c r="I2303" i="13"/>
  <c r="L2303" i="13" s="1"/>
  <c r="I2304" i="13"/>
  <c r="L2304" i="13" s="1"/>
  <c r="I2305" i="13"/>
  <c r="L2305" i="13" s="1"/>
  <c r="I2306" i="13"/>
  <c r="L2306" i="13" s="1"/>
  <c r="I2307" i="13"/>
  <c r="L2307" i="13" s="1"/>
  <c r="I2308" i="13"/>
  <c r="L2308" i="13" s="1"/>
  <c r="I2309" i="13"/>
  <c r="L2309" i="13" s="1"/>
  <c r="I2310" i="13"/>
  <c r="L2310" i="13" s="1"/>
  <c r="I2311" i="13"/>
  <c r="L2311" i="13" s="1"/>
  <c r="I2312" i="13"/>
  <c r="L2312" i="13" s="1"/>
  <c r="I2313" i="13"/>
  <c r="L2313" i="13" s="1"/>
  <c r="I2314" i="13"/>
  <c r="L2314" i="13" s="1"/>
  <c r="I2315" i="13"/>
  <c r="L2315" i="13" s="1"/>
  <c r="I2316" i="13"/>
  <c r="L2316" i="13" s="1"/>
  <c r="I2317" i="13"/>
  <c r="L2317" i="13" s="1"/>
  <c r="I2318" i="13"/>
  <c r="L2318" i="13" s="1"/>
  <c r="I2319" i="13"/>
  <c r="L2319" i="13" s="1"/>
  <c r="I2320" i="13"/>
  <c r="L2320" i="13" s="1"/>
  <c r="I2321" i="13"/>
  <c r="L2321" i="13" s="1"/>
  <c r="I2322" i="13"/>
  <c r="L2322" i="13" s="1"/>
  <c r="I2323" i="13"/>
  <c r="L2323" i="13" s="1"/>
  <c r="I2324" i="13"/>
  <c r="L2324" i="13" s="1"/>
  <c r="I2325" i="13"/>
  <c r="L2325" i="13" s="1"/>
  <c r="I2326" i="13"/>
  <c r="L2326" i="13" s="1"/>
  <c r="I2327" i="13"/>
  <c r="L2327" i="13" s="1"/>
  <c r="I2328" i="13"/>
  <c r="L2328" i="13" s="1"/>
  <c r="I2329" i="13"/>
  <c r="L2329" i="13" s="1"/>
  <c r="I2330" i="13"/>
  <c r="L2330" i="13" s="1"/>
  <c r="I2331" i="13"/>
  <c r="L2331" i="13" s="1"/>
  <c r="I2332" i="13"/>
  <c r="L2332" i="13" s="1"/>
  <c r="I2333" i="13"/>
  <c r="L2333" i="13" s="1"/>
  <c r="I2334" i="13"/>
  <c r="L2334" i="13" s="1"/>
  <c r="I2335" i="13"/>
  <c r="L2335" i="13" s="1"/>
  <c r="I2336" i="13"/>
  <c r="L2336" i="13" s="1"/>
  <c r="I2337" i="13"/>
  <c r="L2337" i="13" s="1"/>
  <c r="I2338" i="13"/>
  <c r="L2338" i="13" s="1"/>
  <c r="I2339" i="13"/>
  <c r="L2339" i="13" s="1"/>
  <c r="I2340" i="13"/>
  <c r="L2340" i="13" s="1"/>
  <c r="I2341" i="13"/>
  <c r="L2341" i="13" s="1"/>
  <c r="I2342" i="13"/>
  <c r="L2342" i="13" s="1"/>
  <c r="I2343" i="13"/>
  <c r="L2343" i="13" s="1"/>
  <c r="I2344" i="13"/>
  <c r="L2344" i="13" s="1"/>
  <c r="I2345" i="13"/>
  <c r="L2345" i="13" s="1"/>
  <c r="I2346" i="13"/>
  <c r="L2346" i="13" s="1"/>
  <c r="I2347" i="13"/>
  <c r="L2347" i="13" s="1"/>
  <c r="I2348" i="13"/>
  <c r="L2348" i="13" s="1"/>
  <c r="I2349" i="13"/>
  <c r="L2349" i="13" s="1"/>
  <c r="I2350" i="13"/>
  <c r="L2350" i="13" s="1"/>
  <c r="I2351" i="13"/>
  <c r="L2351" i="13" s="1"/>
  <c r="I2352" i="13"/>
  <c r="L2352" i="13" s="1"/>
  <c r="I2353" i="13"/>
  <c r="L2353" i="13" s="1"/>
  <c r="I2354" i="13"/>
  <c r="L2354" i="13" s="1"/>
  <c r="I2355" i="13"/>
  <c r="L2355" i="13" s="1"/>
  <c r="I2356" i="13"/>
  <c r="L2356" i="13" s="1"/>
  <c r="I2357" i="13"/>
  <c r="L2357" i="13" s="1"/>
  <c r="I2358" i="13"/>
  <c r="L2358" i="13" s="1"/>
  <c r="I2359" i="13"/>
  <c r="L2359" i="13" s="1"/>
  <c r="I2360" i="13"/>
  <c r="L2360" i="13" s="1"/>
  <c r="I2361" i="13"/>
  <c r="L2361" i="13" s="1"/>
  <c r="I2362" i="13"/>
  <c r="L2362" i="13" s="1"/>
  <c r="I2363" i="13"/>
  <c r="L2363" i="13" s="1"/>
  <c r="I2364" i="13"/>
  <c r="L2364" i="13" s="1"/>
  <c r="I2365" i="13"/>
  <c r="L2365" i="13" s="1"/>
  <c r="I2366" i="13"/>
  <c r="L2366" i="13" s="1"/>
  <c r="I2367" i="13"/>
  <c r="L2367" i="13" s="1"/>
  <c r="I2368" i="13"/>
  <c r="L2368" i="13" s="1"/>
  <c r="I2369" i="13"/>
  <c r="L2369" i="13" s="1"/>
  <c r="I2370" i="13"/>
  <c r="L2370" i="13" s="1"/>
  <c r="I2371" i="13"/>
  <c r="L2371" i="13" s="1"/>
  <c r="I2372" i="13"/>
  <c r="L2372" i="13" s="1"/>
  <c r="I2373" i="13"/>
  <c r="L2373" i="13" s="1"/>
  <c r="I2374" i="13"/>
  <c r="L2374" i="13" s="1"/>
  <c r="I2375" i="13"/>
  <c r="L2375" i="13" s="1"/>
  <c r="I2376" i="13"/>
  <c r="L2376" i="13" s="1"/>
  <c r="I2377" i="13"/>
  <c r="L2377" i="13" s="1"/>
  <c r="I2378" i="13"/>
  <c r="L2378" i="13" s="1"/>
  <c r="I2379" i="13"/>
  <c r="L2379" i="13" s="1"/>
  <c r="I2380" i="13"/>
  <c r="L2380" i="13" s="1"/>
  <c r="I2381" i="13"/>
  <c r="L2381" i="13" s="1"/>
  <c r="I2382" i="13"/>
  <c r="L2382" i="13" s="1"/>
  <c r="I2383" i="13"/>
  <c r="L2383" i="13" s="1"/>
  <c r="I2384" i="13"/>
  <c r="L2384" i="13" s="1"/>
  <c r="I2385" i="13"/>
  <c r="L2385" i="13" s="1"/>
  <c r="I2386" i="13"/>
  <c r="L2386" i="13" s="1"/>
  <c r="I2387" i="13"/>
  <c r="L2387" i="13" s="1"/>
  <c r="I2388" i="13"/>
  <c r="L2388" i="13" s="1"/>
  <c r="I2389" i="13"/>
  <c r="L2389" i="13" s="1"/>
  <c r="I2390" i="13"/>
  <c r="L2390" i="13" s="1"/>
  <c r="I2391" i="13"/>
  <c r="L2391" i="13" s="1"/>
  <c r="I2392" i="13"/>
  <c r="L2392" i="13" s="1"/>
  <c r="I2393" i="13"/>
  <c r="L2393" i="13" s="1"/>
  <c r="I2394" i="13"/>
  <c r="L2394" i="13" s="1"/>
  <c r="I2395" i="13"/>
  <c r="L2395" i="13" s="1"/>
  <c r="I2396" i="13"/>
  <c r="L2396" i="13" s="1"/>
  <c r="I2397" i="13"/>
  <c r="L2397" i="13" s="1"/>
  <c r="I2398" i="13"/>
  <c r="L2398" i="13" s="1"/>
  <c r="I2399" i="13"/>
  <c r="L2399" i="13" s="1"/>
  <c r="I2400" i="13"/>
  <c r="L2400" i="13" s="1"/>
  <c r="I2401" i="13"/>
  <c r="L2401" i="13" s="1"/>
  <c r="I2402" i="13"/>
  <c r="L2402" i="13" s="1"/>
  <c r="I2403" i="13"/>
  <c r="L2403" i="13" s="1"/>
  <c r="I2404" i="13"/>
  <c r="L2404" i="13" s="1"/>
  <c r="I2405" i="13"/>
  <c r="L2405" i="13" s="1"/>
  <c r="I2406" i="13"/>
  <c r="L2406" i="13" s="1"/>
  <c r="I2407" i="13"/>
  <c r="L2407" i="13" s="1"/>
  <c r="I2408" i="13"/>
  <c r="L2408" i="13" s="1"/>
  <c r="I2409" i="13"/>
  <c r="L2409" i="13" s="1"/>
  <c r="I2410" i="13"/>
  <c r="L2410" i="13" s="1"/>
  <c r="I2411" i="13"/>
  <c r="L2411" i="13" s="1"/>
  <c r="I2412" i="13"/>
  <c r="L2412" i="13" s="1"/>
  <c r="I2413" i="13"/>
  <c r="L2413" i="13" s="1"/>
  <c r="I2414" i="13"/>
  <c r="L2414" i="13" s="1"/>
  <c r="I2415" i="13"/>
  <c r="L2415" i="13" s="1"/>
  <c r="I2416" i="13"/>
  <c r="L2416" i="13" s="1"/>
  <c r="I2417" i="13"/>
  <c r="L2417" i="13" s="1"/>
  <c r="I2418" i="13"/>
  <c r="L2418" i="13" s="1"/>
  <c r="I2419" i="13"/>
  <c r="L2419" i="13" s="1"/>
  <c r="I2420" i="13"/>
  <c r="L2420" i="13" s="1"/>
  <c r="I2421" i="13"/>
  <c r="L2421" i="13" s="1"/>
  <c r="I2422" i="13"/>
  <c r="L2422" i="13" s="1"/>
  <c r="I2423" i="13"/>
  <c r="L2423" i="13" s="1"/>
  <c r="I2424" i="13"/>
  <c r="L2424" i="13" s="1"/>
  <c r="I2425" i="13"/>
  <c r="L2425" i="13" s="1"/>
  <c r="I2426" i="13"/>
  <c r="L2426" i="13" s="1"/>
  <c r="I2427" i="13"/>
  <c r="L2427" i="13" s="1"/>
  <c r="I2428" i="13"/>
  <c r="L2428" i="13" s="1"/>
  <c r="I2429" i="13"/>
  <c r="L2429" i="13" s="1"/>
  <c r="I2430" i="13"/>
  <c r="L2430" i="13" s="1"/>
  <c r="I2431" i="13"/>
  <c r="L2431" i="13" s="1"/>
  <c r="I2432" i="13"/>
  <c r="L2432" i="13" s="1"/>
  <c r="I2433" i="13"/>
  <c r="L2433" i="13" s="1"/>
  <c r="I2434" i="13"/>
  <c r="L2434" i="13" s="1"/>
  <c r="I2435" i="13"/>
  <c r="L2435" i="13" s="1"/>
  <c r="I2436" i="13"/>
  <c r="L2436" i="13" s="1"/>
  <c r="I2437" i="13"/>
  <c r="L2437" i="13" s="1"/>
  <c r="I2438" i="13"/>
  <c r="L2438" i="13" s="1"/>
  <c r="I2439" i="13"/>
  <c r="L2439" i="13" s="1"/>
  <c r="I2440" i="13"/>
  <c r="L2440" i="13" s="1"/>
  <c r="I2441" i="13"/>
  <c r="L2441" i="13" s="1"/>
  <c r="I2442" i="13"/>
  <c r="L2442" i="13" s="1"/>
  <c r="I2443" i="13"/>
  <c r="L2443" i="13" s="1"/>
  <c r="I2444" i="13"/>
  <c r="L2444" i="13" s="1"/>
  <c r="I2445" i="13"/>
  <c r="L2445" i="13" s="1"/>
  <c r="I2446" i="13"/>
  <c r="L2446" i="13" s="1"/>
  <c r="I2447" i="13"/>
  <c r="L2447" i="13" s="1"/>
  <c r="I2448" i="13"/>
  <c r="L2448" i="13" s="1"/>
  <c r="I2449" i="13"/>
  <c r="L2449" i="13" s="1"/>
  <c r="I2450" i="13"/>
  <c r="L2450" i="13" s="1"/>
  <c r="I2451" i="13"/>
  <c r="L2451" i="13" s="1"/>
  <c r="I2452" i="13"/>
  <c r="L2452" i="13" s="1"/>
  <c r="I2453" i="13"/>
  <c r="L2453" i="13" s="1"/>
  <c r="I2454" i="13"/>
  <c r="L2454" i="13" s="1"/>
  <c r="I2455" i="13"/>
  <c r="L2455" i="13" s="1"/>
  <c r="I2456" i="13"/>
  <c r="L2456" i="13" s="1"/>
  <c r="I2457" i="13"/>
  <c r="L2457" i="13" s="1"/>
  <c r="I2458" i="13"/>
  <c r="L2458" i="13" s="1"/>
  <c r="I2459" i="13"/>
  <c r="L2459" i="13" s="1"/>
  <c r="I2460" i="13"/>
  <c r="L2460" i="13" s="1"/>
  <c r="I2461" i="13"/>
  <c r="L2461" i="13" s="1"/>
  <c r="I2462" i="13"/>
  <c r="L2462" i="13" s="1"/>
  <c r="I2463" i="13"/>
  <c r="L2463" i="13" s="1"/>
  <c r="I2464" i="13"/>
  <c r="L2464" i="13" s="1"/>
  <c r="I2465" i="13"/>
  <c r="L2465" i="13" s="1"/>
  <c r="I2466" i="13"/>
  <c r="L2466" i="13" s="1"/>
  <c r="I2467" i="13"/>
  <c r="L2467" i="13" s="1"/>
  <c r="I2468" i="13"/>
  <c r="L2468" i="13" s="1"/>
  <c r="I2469" i="13"/>
  <c r="L2469" i="13" s="1"/>
  <c r="I2470" i="13"/>
  <c r="L2470" i="13" s="1"/>
  <c r="I2471" i="13"/>
  <c r="L2471" i="13" s="1"/>
  <c r="I2472" i="13"/>
  <c r="L2472" i="13" s="1"/>
  <c r="I2473" i="13"/>
  <c r="L2473" i="13" s="1"/>
  <c r="I2474" i="13"/>
  <c r="L2474" i="13" s="1"/>
  <c r="I2475" i="13"/>
  <c r="L2475" i="13" s="1"/>
  <c r="I2476" i="13"/>
  <c r="L2476" i="13" s="1"/>
  <c r="I2477" i="13"/>
  <c r="L2477" i="13" s="1"/>
  <c r="I2478" i="13"/>
  <c r="L2478" i="13" s="1"/>
  <c r="I2479" i="13"/>
  <c r="L2479" i="13" s="1"/>
  <c r="I2480" i="13"/>
  <c r="L2480" i="13" s="1"/>
  <c r="I2481" i="13"/>
  <c r="L2481" i="13" s="1"/>
  <c r="I2482" i="13"/>
  <c r="L2482" i="13" s="1"/>
  <c r="I2483" i="13"/>
  <c r="L2483" i="13" s="1"/>
  <c r="I2484" i="13"/>
  <c r="L2484" i="13" s="1"/>
  <c r="I2485" i="13"/>
  <c r="L2485" i="13" s="1"/>
  <c r="I2486" i="13"/>
  <c r="L2486" i="13" s="1"/>
  <c r="I2487" i="13"/>
  <c r="L2487" i="13" s="1"/>
  <c r="I2488" i="13"/>
  <c r="L2488" i="13" s="1"/>
  <c r="I2489" i="13"/>
  <c r="L2489" i="13" s="1"/>
  <c r="I2490" i="13"/>
  <c r="L2490" i="13" s="1"/>
  <c r="I2491" i="13"/>
  <c r="L2491" i="13" s="1"/>
  <c r="I2492" i="13"/>
  <c r="L2492" i="13" s="1"/>
  <c r="I2493" i="13"/>
  <c r="L2493" i="13" s="1"/>
  <c r="I2494" i="13"/>
  <c r="L2494" i="13" s="1"/>
  <c r="I2495" i="13"/>
  <c r="L2495" i="13" s="1"/>
  <c r="I2496" i="13"/>
  <c r="L2496" i="13" s="1"/>
  <c r="I2497" i="13"/>
  <c r="L2497" i="13" s="1"/>
  <c r="I2498" i="13"/>
  <c r="L2498" i="13" s="1"/>
  <c r="I2499" i="13"/>
  <c r="L2499" i="13" s="1"/>
  <c r="I2500" i="13"/>
  <c r="L2500" i="13" s="1"/>
  <c r="I2501" i="13"/>
  <c r="L2501" i="13" s="1"/>
  <c r="I2502" i="13"/>
  <c r="L2502" i="13" s="1"/>
  <c r="I2503" i="13"/>
  <c r="L2503" i="13" s="1"/>
  <c r="I2504" i="13"/>
  <c r="L2504" i="13" s="1"/>
  <c r="I2505" i="13"/>
  <c r="L2505" i="13" s="1"/>
  <c r="I2506" i="13"/>
  <c r="L2506" i="13" s="1"/>
  <c r="I2507" i="13"/>
  <c r="L2507" i="13" s="1"/>
  <c r="I2508" i="13"/>
  <c r="L2508" i="13" s="1"/>
  <c r="I2509" i="13"/>
  <c r="L2509" i="13" s="1"/>
  <c r="I2510" i="13"/>
  <c r="L2510" i="13" s="1"/>
  <c r="I2511" i="13"/>
  <c r="L2511" i="13" s="1"/>
  <c r="I2512" i="13"/>
  <c r="L2512" i="13" s="1"/>
  <c r="I2513" i="13"/>
  <c r="L2513" i="13" s="1"/>
  <c r="I2514" i="13"/>
  <c r="L2514" i="13" s="1"/>
  <c r="I2515" i="13"/>
  <c r="L2515" i="13" s="1"/>
  <c r="I2516" i="13"/>
  <c r="L2516" i="13" s="1"/>
  <c r="I2517" i="13"/>
  <c r="L2517" i="13" s="1"/>
  <c r="I2518" i="13"/>
  <c r="L2518" i="13" s="1"/>
  <c r="I2519" i="13"/>
  <c r="L2519" i="13" s="1"/>
  <c r="I2520" i="13"/>
  <c r="I2521" i="13"/>
  <c r="L2521" i="13" s="1"/>
  <c r="I2522" i="13"/>
  <c r="L2522" i="13" s="1"/>
  <c r="I2523" i="13"/>
  <c r="L2523" i="13" s="1"/>
  <c r="I2524" i="13"/>
  <c r="I2525" i="13"/>
  <c r="L2525" i="13" s="1"/>
  <c r="I2526" i="13"/>
  <c r="L2526" i="13" s="1"/>
  <c r="I2527" i="13"/>
  <c r="L2527" i="13" s="1"/>
  <c r="I2528" i="13"/>
  <c r="L2528" i="13" s="1"/>
  <c r="I2529" i="13"/>
  <c r="L2529" i="13" s="1"/>
  <c r="I2530" i="13"/>
  <c r="L2530" i="13" s="1"/>
  <c r="I2531" i="13"/>
  <c r="L2531" i="13" s="1"/>
  <c r="I2532" i="13"/>
  <c r="I2533" i="13"/>
  <c r="L2533" i="13" s="1"/>
  <c r="I2534" i="13"/>
  <c r="L2534" i="13" s="1"/>
  <c r="I2535" i="13"/>
  <c r="L2535" i="13" s="1"/>
  <c r="I2536" i="13"/>
  <c r="I2537" i="13"/>
  <c r="L2537" i="13" s="1"/>
  <c r="I2538" i="13"/>
  <c r="L2538" i="13" s="1"/>
  <c r="I2539" i="13"/>
  <c r="L2539" i="13" s="1"/>
  <c r="I2540" i="13"/>
  <c r="L2540" i="13" s="1"/>
  <c r="I2541" i="13"/>
  <c r="L2541" i="13" s="1"/>
  <c r="I2542" i="13"/>
  <c r="L2542" i="13" s="1"/>
  <c r="I2543" i="13"/>
  <c r="L2543" i="13" s="1"/>
  <c r="I2544" i="13"/>
  <c r="I2545" i="13"/>
  <c r="L2545" i="13" s="1"/>
  <c r="I2546" i="13"/>
  <c r="I2547" i="13"/>
  <c r="L2547" i="13" s="1"/>
  <c r="I2548" i="13"/>
  <c r="I2549" i="13"/>
  <c r="L2549" i="13" s="1"/>
  <c r="I2550" i="13"/>
  <c r="L2550" i="13" s="1"/>
  <c r="I2551" i="13"/>
  <c r="L2551" i="13" s="1"/>
  <c r="I2552" i="13"/>
  <c r="I2553" i="13"/>
  <c r="L2553" i="13" s="1"/>
  <c r="I2554" i="13"/>
  <c r="L2554" i="13" s="1"/>
  <c r="I2555" i="13"/>
  <c r="L2555" i="13" s="1"/>
  <c r="I2556" i="13"/>
  <c r="I2557" i="13"/>
  <c r="L2557" i="13" s="1"/>
  <c r="I2558" i="13"/>
  <c r="L2558" i="13" s="1"/>
  <c r="I2559" i="13"/>
  <c r="L2559" i="13" s="1"/>
  <c r="I2560" i="13"/>
  <c r="I2561" i="13"/>
  <c r="L2561" i="13" s="1"/>
  <c r="I2562" i="13"/>
  <c r="L2562" i="13" s="1"/>
  <c r="I2563" i="13"/>
  <c r="L2563" i="13" s="1"/>
  <c r="I2564" i="13"/>
  <c r="L2564" i="13" s="1"/>
  <c r="I2565" i="13"/>
  <c r="L2565" i="13" s="1"/>
  <c r="I2566" i="13"/>
  <c r="L2566" i="13" s="1"/>
  <c r="I2567" i="13"/>
  <c r="L2567" i="13" s="1"/>
  <c r="I2568" i="13"/>
  <c r="I2569" i="13"/>
  <c r="L2569" i="13" s="1"/>
  <c r="I2570" i="13"/>
  <c r="L2570" i="13" s="1"/>
  <c r="I2571" i="13"/>
  <c r="L2571" i="13" s="1"/>
  <c r="I2572" i="13"/>
  <c r="I2573" i="13"/>
  <c r="L2573" i="13" s="1"/>
  <c r="I2574" i="13"/>
  <c r="L2574" i="13" s="1"/>
  <c r="I2575" i="13"/>
  <c r="L2575" i="13" s="1"/>
  <c r="I2576" i="13"/>
  <c r="L2576" i="13" s="1"/>
  <c r="I2577" i="13"/>
  <c r="L2577" i="13" s="1"/>
  <c r="I2578" i="13"/>
  <c r="L2578" i="13" s="1"/>
  <c r="I2579" i="13"/>
  <c r="L2579" i="13" s="1"/>
  <c r="I2580" i="13"/>
  <c r="I2581" i="13"/>
  <c r="L2581" i="13" s="1"/>
  <c r="I2582" i="13"/>
  <c r="L2582" i="13" s="1"/>
  <c r="I2583" i="13"/>
  <c r="L2583" i="13" s="1"/>
  <c r="I2584" i="13"/>
  <c r="I2585" i="13"/>
  <c r="L2585" i="13" s="1"/>
  <c r="I2586" i="13"/>
  <c r="L2586" i="13" s="1"/>
  <c r="I2587" i="13"/>
  <c r="L2587" i="13" s="1"/>
  <c r="I2588" i="13"/>
  <c r="L2588" i="13" s="1"/>
  <c r="I2589" i="13"/>
  <c r="L2589" i="13" s="1"/>
  <c r="I2590" i="13"/>
  <c r="L2590" i="13" s="1"/>
  <c r="I2591" i="13"/>
  <c r="L2591" i="13" s="1"/>
  <c r="I2592" i="13"/>
  <c r="I2593" i="13"/>
  <c r="I2594" i="13"/>
  <c r="L2594" i="13" s="1"/>
  <c r="I2595" i="13"/>
  <c r="L2595" i="13" s="1"/>
  <c r="I2596" i="13"/>
  <c r="I2597" i="13"/>
  <c r="L2597" i="13" s="1"/>
  <c r="I2598" i="13"/>
  <c r="L2598" i="13" s="1"/>
  <c r="I2599" i="13"/>
  <c r="L2599" i="13" s="1"/>
  <c r="I2600" i="13"/>
  <c r="L2600" i="13" s="1"/>
  <c r="I2601" i="13"/>
  <c r="L2601" i="13" s="1"/>
  <c r="I2602" i="13"/>
  <c r="L2602" i="13" s="1"/>
  <c r="I2603" i="13"/>
  <c r="L2603" i="13" s="1"/>
  <c r="I2604" i="13"/>
  <c r="I2605" i="13"/>
  <c r="L2605" i="13" s="1"/>
  <c r="I2606" i="13"/>
  <c r="L2606" i="13" s="1"/>
  <c r="I2607" i="13"/>
  <c r="L2607" i="13" s="1"/>
  <c r="I2608" i="13"/>
  <c r="I2609" i="13"/>
  <c r="L2609" i="13" s="1"/>
  <c r="I2610" i="13"/>
  <c r="L2610" i="13" s="1"/>
  <c r="I2611" i="13"/>
  <c r="L2611" i="13" s="1"/>
  <c r="I2612" i="13"/>
  <c r="L2612" i="13" s="1"/>
  <c r="I2613" i="13"/>
  <c r="L2613" i="13" s="1"/>
  <c r="I2614" i="13"/>
  <c r="L2614" i="13" s="1"/>
  <c r="I2615" i="13"/>
  <c r="L2615" i="13" s="1"/>
  <c r="I2616" i="13"/>
  <c r="I2617" i="13"/>
  <c r="L2617" i="13" s="1"/>
  <c r="I2618" i="13"/>
  <c r="I2619" i="13"/>
  <c r="L2619" i="13" s="1"/>
  <c r="I2620" i="13"/>
  <c r="I2621" i="13"/>
  <c r="L2621" i="13" s="1"/>
  <c r="I2622" i="13"/>
  <c r="L2622" i="13" s="1"/>
  <c r="I2623" i="13"/>
  <c r="L2623" i="13" s="1"/>
  <c r="I2624" i="13"/>
  <c r="L2624" i="13" s="1"/>
  <c r="I2625" i="13"/>
  <c r="L2625" i="13" s="1"/>
  <c r="I2626" i="13"/>
  <c r="L2626" i="13" s="1"/>
  <c r="I2627" i="13"/>
  <c r="L2627" i="13" s="1"/>
  <c r="I2628" i="13"/>
  <c r="I2629" i="13"/>
  <c r="L2629" i="13" s="1"/>
  <c r="I2630" i="13"/>
  <c r="L2630" i="13" s="1"/>
  <c r="I2631" i="13"/>
  <c r="L2631" i="13" s="1"/>
  <c r="I2632" i="13"/>
  <c r="I2633" i="13"/>
  <c r="L2633" i="13" s="1"/>
  <c r="I2634" i="13"/>
  <c r="L2634" i="13" s="1"/>
  <c r="I2635" i="13"/>
  <c r="L2635" i="13" s="1"/>
  <c r="I2636" i="13"/>
  <c r="L2636" i="13" s="1"/>
  <c r="I2637" i="13"/>
  <c r="L2637" i="13" s="1"/>
  <c r="I2638" i="13"/>
  <c r="L2638" i="13" s="1"/>
  <c r="I2639" i="13"/>
  <c r="L2639" i="13" s="1"/>
  <c r="I2640" i="13"/>
  <c r="I2641" i="13"/>
  <c r="L2641" i="13" s="1"/>
  <c r="I2642" i="13"/>
  <c r="I2643" i="13"/>
  <c r="L2643" i="13" s="1"/>
  <c r="I2644" i="13"/>
  <c r="I2645" i="13"/>
  <c r="L2645" i="13" s="1"/>
  <c r="I2646" i="13"/>
  <c r="L2646" i="13" s="1"/>
  <c r="I2647" i="13"/>
  <c r="L2647" i="13" s="1"/>
  <c r="I2648" i="13"/>
  <c r="L2648" i="13" s="1"/>
  <c r="I2649" i="13"/>
  <c r="L2649" i="13" s="1"/>
  <c r="I2650" i="13"/>
  <c r="L2650" i="13" s="1"/>
  <c r="I2651" i="13"/>
  <c r="L2651" i="13" s="1"/>
  <c r="I2652" i="13"/>
  <c r="I2653" i="13"/>
  <c r="L2653" i="13" s="1"/>
  <c r="I2654" i="13"/>
  <c r="I2655" i="13"/>
  <c r="L2655" i="13" s="1"/>
  <c r="I2656" i="13"/>
  <c r="I2657" i="13"/>
  <c r="L2657" i="13" s="1"/>
  <c r="I2658" i="13"/>
  <c r="L2658" i="13" s="1"/>
  <c r="I2659" i="13"/>
  <c r="L2659" i="13" s="1"/>
  <c r="I2660" i="13"/>
  <c r="L2660" i="13" s="1"/>
  <c r="I2661" i="13"/>
  <c r="L2661" i="13" s="1"/>
  <c r="I2662" i="13"/>
  <c r="L2662" i="13" s="1"/>
  <c r="I2663" i="13"/>
  <c r="L2663" i="13" s="1"/>
  <c r="I2664" i="13"/>
  <c r="I2665" i="13"/>
  <c r="L2665" i="13" s="1"/>
  <c r="I2666" i="13"/>
  <c r="L2666" i="13" s="1"/>
  <c r="I2667" i="13"/>
  <c r="L2667" i="13" s="1"/>
  <c r="I2668" i="13"/>
  <c r="L2668" i="13" s="1"/>
  <c r="I2669" i="13"/>
  <c r="L2669" i="13" s="1"/>
  <c r="I2670" i="13"/>
  <c r="L2670" i="13" s="1"/>
  <c r="I2671" i="13"/>
  <c r="L2671" i="13" s="1"/>
  <c r="I2672" i="13"/>
  <c r="L2672" i="13" s="1"/>
  <c r="I2673" i="13"/>
  <c r="L2673" i="13" s="1"/>
  <c r="I2674" i="13"/>
  <c r="L2674" i="13" s="1"/>
  <c r="I2675" i="13"/>
  <c r="L2675" i="13" s="1"/>
  <c r="I2676" i="13"/>
  <c r="L2676" i="13" s="1"/>
  <c r="I2677" i="13"/>
  <c r="L2677" i="13" s="1"/>
  <c r="I2678" i="13"/>
  <c r="L2678" i="13" s="1"/>
  <c r="I2679" i="13"/>
  <c r="L2679" i="13" s="1"/>
  <c r="I2680" i="13"/>
  <c r="L2680" i="13" s="1"/>
  <c r="I2681" i="13"/>
  <c r="L2681" i="13" s="1"/>
  <c r="I2682" i="13"/>
  <c r="L2682" i="13" s="1"/>
  <c r="I2683" i="13"/>
  <c r="L2683" i="13" s="1"/>
  <c r="I2684" i="13"/>
  <c r="L2684" i="13" s="1"/>
  <c r="I2685" i="13"/>
  <c r="L2685" i="13" s="1"/>
  <c r="I2686" i="13"/>
  <c r="L2686" i="13" s="1"/>
  <c r="I2687" i="13"/>
  <c r="L2687" i="13" s="1"/>
  <c r="I2688" i="13"/>
  <c r="I2689" i="13"/>
  <c r="L2689" i="13" s="1"/>
  <c r="I2690" i="13"/>
  <c r="L2690" i="13" s="1"/>
  <c r="I2691" i="13"/>
  <c r="L2691" i="13" s="1"/>
  <c r="I2692" i="13"/>
  <c r="L2692" i="13" s="1"/>
  <c r="I2693" i="13"/>
  <c r="L2693" i="13" s="1"/>
  <c r="I2694" i="13"/>
  <c r="L2694" i="13" s="1"/>
  <c r="I2695" i="13"/>
  <c r="L2695" i="13" s="1"/>
  <c r="I2696" i="13"/>
  <c r="I2697" i="13"/>
  <c r="L2697" i="13" s="1"/>
  <c r="I2698" i="13"/>
  <c r="L2698" i="13" s="1"/>
  <c r="I2699" i="13"/>
  <c r="L2699" i="13" s="1"/>
  <c r="I2700" i="13"/>
  <c r="L2700" i="13" s="1"/>
  <c r="I2701" i="13"/>
  <c r="L2701" i="13" s="1"/>
  <c r="I2702" i="13"/>
  <c r="L2702" i="13" s="1"/>
  <c r="I2703" i="13"/>
  <c r="L2703" i="13" s="1"/>
  <c r="I2704" i="13"/>
  <c r="L2704" i="13" s="1"/>
  <c r="I2705" i="13"/>
  <c r="L2705" i="13" s="1"/>
  <c r="I2706" i="13"/>
  <c r="L2706" i="13" s="1"/>
  <c r="I2707" i="13"/>
  <c r="L2707" i="13" s="1"/>
  <c r="I2708" i="13"/>
  <c r="L2708" i="13" s="1"/>
  <c r="I2709" i="13"/>
  <c r="L2709" i="13" s="1"/>
  <c r="I2710" i="13"/>
  <c r="L2710" i="13" s="1"/>
  <c r="I2711" i="13"/>
  <c r="L2711" i="13" s="1"/>
  <c r="I2712" i="13"/>
  <c r="I2713" i="13"/>
  <c r="L2713" i="13" s="1"/>
  <c r="I2714" i="13"/>
  <c r="L2714" i="13" s="1"/>
  <c r="I2715" i="13"/>
  <c r="L2715" i="13" s="1"/>
  <c r="I2716" i="13"/>
  <c r="L2716" i="13" s="1"/>
  <c r="I2717" i="13"/>
  <c r="L2717" i="13" s="1"/>
  <c r="I2718" i="13"/>
  <c r="L2718" i="13" s="1"/>
  <c r="I2719" i="13"/>
  <c r="L2719" i="13" s="1"/>
  <c r="I2720" i="13"/>
  <c r="L2720" i="13" s="1"/>
  <c r="I2721" i="13"/>
  <c r="L2721" i="13" s="1"/>
  <c r="I2722" i="13"/>
  <c r="L2722" i="13" s="1"/>
  <c r="I2723" i="13"/>
  <c r="L2723" i="13" s="1"/>
  <c r="I2724" i="13"/>
  <c r="L2724" i="13" s="1"/>
  <c r="I2725" i="13"/>
  <c r="L2725" i="13" s="1"/>
  <c r="I2726" i="13"/>
  <c r="I2727" i="13"/>
  <c r="L2727" i="13" s="1"/>
  <c r="I2728" i="13"/>
  <c r="L2728" i="13" s="1"/>
  <c r="I2729" i="13"/>
  <c r="L2729" i="13" s="1"/>
  <c r="I2730" i="13"/>
  <c r="L2730" i="13" s="1"/>
  <c r="I2731" i="13"/>
  <c r="L2731" i="13" s="1"/>
  <c r="I2732" i="13"/>
  <c r="L2732" i="13" s="1"/>
  <c r="I2733" i="13"/>
  <c r="L2733" i="13" s="1"/>
  <c r="I2734" i="13"/>
  <c r="L2734" i="13" s="1"/>
  <c r="I2735" i="13"/>
  <c r="L2735" i="13" s="1"/>
  <c r="I2736" i="13"/>
  <c r="I2737" i="13"/>
  <c r="L2737" i="13" s="1"/>
  <c r="I2738" i="13"/>
  <c r="L2738" i="13" s="1"/>
  <c r="I2739" i="13"/>
  <c r="L2739" i="13" s="1"/>
  <c r="I2740" i="13"/>
  <c r="L2740" i="13" s="1"/>
  <c r="I2741" i="13"/>
  <c r="L2741" i="13" s="1"/>
  <c r="I2742" i="13"/>
  <c r="L2742" i="13" s="1"/>
  <c r="I2743" i="13"/>
  <c r="L2743" i="13" s="1"/>
  <c r="I2744" i="13"/>
  <c r="L2744" i="13" s="1"/>
  <c r="I2745" i="13"/>
  <c r="L2745" i="13" s="1"/>
  <c r="I2746" i="13"/>
  <c r="L2746" i="13" s="1"/>
  <c r="I2747" i="13"/>
  <c r="L2747" i="13" s="1"/>
  <c r="I2748" i="13"/>
  <c r="L2748" i="13" s="1"/>
  <c r="I2749" i="13"/>
  <c r="L2749" i="13" s="1"/>
  <c r="I2750" i="13"/>
  <c r="L2750" i="13" s="1"/>
  <c r="I2751" i="13"/>
  <c r="L2751" i="13" s="1"/>
  <c r="I2752" i="13"/>
  <c r="L2752" i="13" s="1"/>
  <c r="I2753" i="13"/>
  <c r="L2753" i="13" s="1"/>
  <c r="I2754" i="13"/>
  <c r="L2754" i="13" s="1"/>
  <c r="I2755" i="13"/>
  <c r="L2755" i="13" s="1"/>
  <c r="I2756" i="13"/>
  <c r="L2756" i="13" s="1"/>
  <c r="I2757" i="13"/>
  <c r="L2757" i="13" s="1"/>
  <c r="I2758" i="13"/>
  <c r="L2758" i="13" s="1"/>
  <c r="I2759" i="13"/>
  <c r="L2759" i="13" s="1"/>
  <c r="G2662" i="13"/>
  <c r="G2663" i="13"/>
  <c r="G2664" i="13"/>
  <c r="G2665" i="13"/>
  <c r="G2666" i="13"/>
  <c r="G2667" i="13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G2732" i="13"/>
  <c r="G2733" i="13"/>
  <c r="G2734" i="13"/>
  <c r="G2735" i="13"/>
  <c r="G2736" i="13"/>
  <c r="G2737" i="13"/>
  <c r="G2738" i="13"/>
  <c r="G2739" i="13"/>
  <c r="G2740" i="13"/>
  <c r="G2741" i="13"/>
  <c r="G2742" i="13"/>
  <c r="G2743" i="13"/>
  <c r="G2744" i="13"/>
  <c r="G2745" i="13"/>
  <c r="G2746" i="13"/>
  <c r="G2747" i="13"/>
  <c r="G2748" i="13"/>
  <c r="G2749" i="13"/>
  <c r="G2750" i="13"/>
  <c r="G2751" i="13"/>
  <c r="G2752" i="13"/>
  <c r="G2753" i="13"/>
  <c r="G2754" i="13"/>
  <c r="G2755" i="13"/>
  <c r="G2756" i="13"/>
  <c r="G2757" i="13"/>
  <c r="G2758" i="13"/>
  <c r="G2759" i="13"/>
  <c r="L2664" i="13"/>
  <c r="L2688" i="13"/>
  <c r="L2696" i="13"/>
  <c r="L2712" i="13"/>
  <c r="L2726" i="13"/>
  <c r="L2736" i="13"/>
  <c r="G2590" i="13"/>
  <c r="G2591" i="13"/>
  <c r="G2592" i="13"/>
  <c r="G2593" i="13"/>
  <c r="G2594" i="13"/>
  <c r="G2595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G2634" i="13"/>
  <c r="G2635" i="13"/>
  <c r="G2636" i="13"/>
  <c r="G2637" i="13"/>
  <c r="G2638" i="13"/>
  <c r="G2639" i="13"/>
  <c r="G2640" i="13"/>
  <c r="G2641" i="13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L2520" i="13"/>
  <c r="L2524" i="13"/>
  <c r="L2532" i="13"/>
  <c r="L2536" i="13"/>
  <c r="L2544" i="13"/>
  <c r="L2546" i="13"/>
  <c r="L2548" i="13"/>
  <c r="L2552" i="13"/>
  <c r="L2556" i="13"/>
  <c r="L2560" i="13"/>
  <c r="L2568" i="13"/>
  <c r="L2572" i="13"/>
  <c r="L2580" i="13"/>
  <c r="L2584" i="13"/>
  <c r="L2592" i="13"/>
  <c r="L2593" i="13"/>
  <c r="L2596" i="13"/>
  <c r="L2604" i="13"/>
  <c r="L2608" i="13"/>
  <c r="L2616" i="13"/>
  <c r="L2618" i="13"/>
  <c r="L2620" i="13"/>
  <c r="L2628" i="13"/>
  <c r="L2632" i="13"/>
  <c r="L2640" i="13"/>
  <c r="L2642" i="13"/>
  <c r="L2644" i="13"/>
  <c r="L2652" i="13"/>
  <c r="L2654" i="13"/>
  <c r="L2656" i="13"/>
  <c r="L1430" i="13"/>
  <c r="L1444" i="13"/>
  <c r="L1483" i="13"/>
  <c r="L1612" i="13"/>
  <c r="L1632" i="13"/>
  <c r="L1656" i="13"/>
  <c r="L1783" i="13"/>
  <c r="L1816" i="13"/>
  <c r="L1847" i="13"/>
  <c r="L1864" i="13"/>
  <c r="L1903" i="13"/>
  <c r="L1970" i="13"/>
  <c r="M2760" i="13"/>
  <c r="K2760" i="13"/>
  <c r="J2760" i="13"/>
  <c r="H2760" i="13"/>
  <c r="G2763" i="13"/>
  <c r="G375" i="13"/>
  <c r="G376" i="13"/>
  <c r="G377" i="13"/>
  <c r="G378" i="13"/>
  <c r="I225" i="13"/>
  <c r="L225" i="13" s="1"/>
  <c r="I226" i="13"/>
  <c r="L226" i="13" s="1"/>
  <c r="I227" i="13"/>
  <c r="L227" i="13" s="1"/>
  <c r="I228" i="13"/>
  <c r="L228" i="13" s="1"/>
  <c r="I229" i="13"/>
  <c r="L229" i="13" s="1"/>
  <c r="I230" i="13"/>
  <c r="L230" i="13" s="1"/>
  <c r="I231" i="13"/>
  <c r="L231" i="13" s="1"/>
  <c r="I232" i="13"/>
  <c r="L232" i="13" s="1"/>
  <c r="I233" i="13"/>
  <c r="L233" i="13" s="1"/>
  <c r="I234" i="13"/>
  <c r="L234" i="13" s="1"/>
  <c r="I235" i="13"/>
  <c r="L235" i="13" s="1"/>
  <c r="I236" i="13"/>
  <c r="L236" i="13" s="1"/>
  <c r="I237" i="13"/>
  <c r="L237" i="13" s="1"/>
  <c r="I238" i="13"/>
  <c r="L238" i="13" s="1"/>
  <c r="I239" i="13"/>
  <c r="L239" i="13" s="1"/>
  <c r="I240" i="13"/>
  <c r="L240" i="13" s="1"/>
  <c r="I241" i="13"/>
  <c r="L241" i="13" s="1"/>
  <c r="I242" i="13"/>
  <c r="L242" i="13" s="1"/>
  <c r="I243" i="13"/>
  <c r="L243" i="13" s="1"/>
  <c r="I244" i="13"/>
  <c r="L244" i="13" s="1"/>
  <c r="I245" i="13"/>
  <c r="L245" i="13" s="1"/>
  <c r="I246" i="13"/>
  <c r="L246" i="13" s="1"/>
  <c r="I247" i="13"/>
  <c r="L247" i="13" s="1"/>
  <c r="I248" i="13"/>
  <c r="L248" i="13" s="1"/>
  <c r="I249" i="13"/>
  <c r="L249" i="13" s="1"/>
  <c r="I250" i="13"/>
  <c r="L250" i="13" s="1"/>
  <c r="I251" i="13"/>
  <c r="L251" i="13" s="1"/>
  <c r="I252" i="13"/>
  <c r="L252" i="13" s="1"/>
  <c r="I253" i="13"/>
  <c r="L253" i="13" s="1"/>
  <c r="I254" i="13"/>
  <c r="L254" i="13" s="1"/>
  <c r="I255" i="13"/>
  <c r="L255" i="13" s="1"/>
  <c r="I256" i="13"/>
  <c r="L256" i="13" s="1"/>
  <c r="I257" i="13"/>
  <c r="L257" i="13" s="1"/>
  <c r="I258" i="13"/>
  <c r="L258" i="13" s="1"/>
  <c r="I259" i="13"/>
  <c r="L259" i="13" s="1"/>
  <c r="I260" i="13"/>
  <c r="L260" i="13" s="1"/>
  <c r="I261" i="13"/>
  <c r="L261" i="13" s="1"/>
  <c r="I262" i="13"/>
  <c r="L262" i="13" s="1"/>
  <c r="I263" i="13"/>
  <c r="L263" i="13" s="1"/>
  <c r="I264" i="13"/>
  <c r="L264" i="13" s="1"/>
  <c r="I265" i="13"/>
  <c r="L265" i="13" s="1"/>
  <c r="I266" i="13"/>
  <c r="L266" i="13" s="1"/>
  <c r="I267" i="13"/>
  <c r="L267" i="13" s="1"/>
  <c r="I268" i="13"/>
  <c r="L268" i="13" s="1"/>
  <c r="I269" i="13"/>
  <c r="L269" i="13" s="1"/>
  <c r="I270" i="13"/>
  <c r="L270" i="13" s="1"/>
  <c r="I271" i="13"/>
  <c r="L271" i="13" s="1"/>
  <c r="I272" i="13"/>
  <c r="L272" i="13" s="1"/>
  <c r="I273" i="13"/>
  <c r="L273" i="13" s="1"/>
  <c r="I274" i="13"/>
  <c r="L274" i="13" s="1"/>
  <c r="I275" i="13"/>
  <c r="L275" i="13" s="1"/>
  <c r="I276" i="13"/>
  <c r="L276" i="13" s="1"/>
  <c r="I277" i="13"/>
  <c r="L277" i="13" s="1"/>
  <c r="I278" i="13"/>
  <c r="L278" i="13" s="1"/>
  <c r="I279" i="13"/>
  <c r="L279" i="13" s="1"/>
  <c r="I280" i="13"/>
  <c r="L280" i="13" s="1"/>
  <c r="I281" i="13"/>
  <c r="L281" i="13" s="1"/>
  <c r="I282" i="13"/>
  <c r="L282" i="13" s="1"/>
  <c r="I283" i="13"/>
  <c r="L283" i="13" s="1"/>
  <c r="I284" i="13"/>
  <c r="L284" i="13" s="1"/>
  <c r="I285" i="13"/>
  <c r="L285" i="13" s="1"/>
  <c r="I286" i="13"/>
  <c r="L286" i="13" s="1"/>
  <c r="I287" i="13"/>
  <c r="L287" i="13" s="1"/>
  <c r="I288" i="13"/>
  <c r="L288" i="13" s="1"/>
  <c r="I289" i="13"/>
  <c r="L289" i="13" s="1"/>
  <c r="I290" i="13"/>
  <c r="L290" i="13" s="1"/>
  <c r="I291" i="13"/>
  <c r="L291" i="13" s="1"/>
  <c r="I292" i="13"/>
  <c r="L292" i="13" s="1"/>
  <c r="I293" i="13"/>
  <c r="L293" i="13" s="1"/>
  <c r="I294" i="13"/>
  <c r="L294" i="13" s="1"/>
  <c r="I295" i="13"/>
  <c r="L295" i="13" s="1"/>
  <c r="I296" i="13"/>
  <c r="L296" i="13" s="1"/>
  <c r="I297" i="13"/>
  <c r="L297" i="13" s="1"/>
  <c r="I298" i="13"/>
  <c r="L298" i="13" s="1"/>
  <c r="I299" i="13"/>
  <c r="L299" i="13" s="1"/>
  <c r="I300" i="13"/>
  <c r="L300" i="13" s="1"/>
  <c r="I301" i="13"/>
  <c r="L301" i="13" s="1"/>
  <c r="I302" i="13"/>
  <c r="L302" i="13" s="1"/>
  <c r="I303" i="13"/>
  <c r="L303" i="13" s="1"/>
  <c r="I304" i="13"/>
  <c r="L304" i="13" s="1"/>
  <c r="I305" i="13"/>
  <c r="L305" i="13" s="1"/>
  <c r="I306" i="13"/>
  <c r="L306" i="13" s="1"/>
  <c r="I307" i="13"/>
  <c r="L307" i="13" s="1"/>
  <c r="I308" i="13"/>
  <c r="L308" i="13" s="1"/>
  <c r="I309" i="13"/>
  <c r="L309" i="13" s="1"/>
  <c r="I310" i="13"/>
  <c r="L310" i="13" s="1"/>
  <c r="I311" i="13"/>
  <c r="L311" i="13" s="1"/>
  <c r="I312" i="13"/>
  <c r="L312" i="13" s="1"/>
  <c r="I313" i="13"/>
  <c r="L313" i="13" s="1"/>
  <c r="I314" i="13"/>
  <c r="L314" i="13" s="1"/>
  <c r="I315" i="13"/>
  <c r="L315" i="13" s="1"/>
  <c r="I316" i="13"/>
  <c r="L316" i="13" s="1"/>
  <c r="I317" i="13"/>
  <c r="L317" i="13" s="1"/>
  <c r="I318" i="13"/>
  <c r="L318" i="13" s="1"/>
  <c r="I319" i="13"/>
  <c r="L319" i="13" s="1"/>
  <c r="I320" i="13"/>
  <c r="L320" i="13" s="1"/>
  <c r="I321" i="13"/>
  <c r="L321" i="13" s="1"/>
  <c r="I322" i="13"/>
  <c r="L322" i="13" s="1"/>
  <c r="I323" i="13"/>
  <c r="L323" i="13" s="1"/>
  <c r="I324" i="13"/>
  <c r="L324" i="13" s="1"/>
  <c r="I325" i="13"/>
  <c r="L325" i="13" s="1"/>
  <c r="I326" i="13"/>
  <c r="L326" i="13" s="1"/>
  <c r="I327" i="13"/>
  <c r="L327" i="13" s="1"/>
  <c r="I328" i="13"/>
  <c r="L328" i="13" s="1"/>
  <c r="I329" i="13"/>
  <c r="L329" i="13" s="1"/>
  <c r="I330" i="13"/>
  <c r="L330" i="13" s="1"/>
  <c r="I331" i="13"/>
  <c r="L331" i="13" s="1"/>
  <c r="I332" i="13"/>
  <c r="L332" i="13" s="1"/>
  <c r="I333" i="13"/>
  <c r="L333" i="13" s="1"/>
  <c r="I334" i="13"/>
  <c r="L334" i="13" s="1"/>
  <c r="I335" i="13"/>
  <c r="L335" i="13" s="1"/>
  <c r="I336" i="13"/>
  <c r="L336" i="13" s="1"/>
  <c r="I337" i="13"/>
  <c r="L337" i="13" s="1"/>
  <c r="I338" i="13"/>
  <c r="L338" i="13" s="1"/>
  <c r="I339" i="13"/>
  <c r="L339" i="13" s="1"/>
  <c r="I340" i="13"/>
  <c r="L340" i="13" s="1"/>
  <c r="I341" i="13"/>
  <c r="L341" i="13" s="1"/>
  <c r="I342" i="13"/>
  <c r="L342" i="13" s="1"/>
  <c r="I343" i="13"/>
  <c r="L343" i="13" s="1"/>
  <c r="I344" i="13"/>
  <c r="L344" i="13" s="1"/>
  <c r="I345" i="13"/>
  <c r="L345" i="13" s="1"/>
  <c r="I346" i="13"/>
  <c r="L346" i="13" s="1"/>
  <c r="I347" i="13"/>
  <c r="L347" i="13" s="1"/>
  <c r="I348" i="13"/>
  <c r="L348" i="13" s="1"/>
  <c r="I349" i="13"/>
  <c r="L349" i="13" s="1"/>
  <c r="I350" i="13"/>
  <c r="L350" i="13" s="1"/>
  <c r="I351" i="13"/>
  <c r="L351" i="13" s="1"/>
  <c r="I352" i="13"/>
  <c r="L352" i="13" s="1"/>
  <c r="I353" i="13"/>
  <c r="L353" i="13" s="1"/>
  <c r="I354" i="13"/>
  <c r="L354" i="13" s="1"/>
  <c r="I355" i="13"/>
  <c r="L355" i="13" s="1"/>
  <c r="I356" i="13"/>
  <c r="L356" i="13" s="1"/>
  <c r="I357" i="13"/>
  <c r="L357" i="13" s="1"/>
  <c r="I358" i="13"/>
  <c r="L358" i="13" s="1"/>
  <c r="I359" i="13"/>
  <c r="L359" i="13" s="1"/>
  <c r="I360" i="13"/>
  <c r="L360" i="13" s="1"/>
  <c r="I361" i="13"/>
  <c r="L361" i="13" s="1"/>
  <c r="I362" i="13"/>
  <c r="L362" i="13" s="1"/>
  <c r="I363" i="13"/>
  <c r="L363" i="13" s="1"/>
  <c r="I364" i="13"/>
  <c r="L364" i="13" s="1"/>
  <c r="P9" i="25" l="1"/>
  <c r="I166" i="25"/>
  <c r="P156" i="25"/>
  <c r="J166" i="25"/>
  <c r="K166" i="25"/>
  <c r="P56" i="25"/>
  <c r="P160" i="25"/>
  <c r="L223" i="25"/>
  <c r="P59" i="25"/>
  <c r="P152" i="25"/>
  <c r="P46" i="25"/>
  <c r="P44" i="25"/>
  <c r="P165" i="25"/>
  <c r="P50" i="25"/>
  <c r="P128" i="25"/>
  <c r="P80" i="25"/>
  <c r="P75" i="25"/>
  <c r="P116" i="25"/>
  <c r="P113" i="25"/>
  <c r="P150" i="25"/>
  <c r="P71" i="25"/>
  <c r="P47" i="25"/>
  <c r="P42" i="25"/>
  <c r="P67" i="25"/>
  <c r="P90" i="25"/>
  <c r="P148" i="25"/>
  <c r="P162" i="25"/>
  <c r="P145" i="25"/>
  <c r="P144" i="25"/>
  <c r="P122" i="25"/>
  <c r="P61" i="25"/>
  <c r="P141" i="25"/>
  <c r="P85" i="25"/>
  <c r="P33" i="25"/>
  <c r="P35" i="25"/>
  <c r="P121" i="25"/>
  <c r="P58" i="25"/>
  <c r="P157" i="25"/>
  <c r="P14" i="25"/>
  <c r="P137" i="25"/>
  <c r="P118" i="25"/>
  <c r="P133" i="25"/>
  <c r="P95" i="25"/>
  <c r="P10" i="25"/>
  <c r="P53" i="25"/>
  <c r="H180" i="25"/>
  <c r="P149" i="25"/>
  <c r="P103" i="25"/>
  <c r="P79" i="25"/>
  <c r="P153" i="25"/>
  <c r="P114" i="25"/>
  <c r="P81" i="25"/>
  <c r="I2760" i="13"/>
  <c r="L2760" i="13"/>
  <c r="P166" i="25" l="1"/>
  <c r="G4" i="25"/>
  <c r="P4" i="25" s="1"/>
  <c r="I25" i="13"/>
  <c r="P25" i="13" s="1"/>
  <c r="I23" i="13"/>
  <c r="P23" i="13" s="1"/>
  <c r="I97" i="13"/>
  <c r="P97" i="13" s="1"/>
  <c r="I20" i="13"/>
  <c r="P20" i="13" s="1"/>
  <c r="I17" i="13"/>
  <c r="P17" i="13" s="1"/>
  <c r="I18" i="13"/>
  <c r="P18" i="13" s="1"/>
  <c r="I15" i="13"/>
  <c r="P15" i="13" s="1"/>
  <c r="I63" i="13"/>
  <c r="P63" i="13" s="1"/>
  <c r="I13" i="13"/>
  <c r="P13" i="13" s="1"/>
  <c r="I26" i="13"/>
  <c r="P26" i="13" s="1"/>
  <c r="I28" i="13"/>
  <c r="P28" i="13" s="1"/>
  <c r="I96" i="13"/>
  <c r="K96" i="13"/>
  <c r="I88" i="13"/>
  <c r="K88" i="13"/>
  <c r="K114" i="13"/>
  <c r="I114" i="13"/>
  <c r="I84" i="13"/>
  <c r="K84" i="13"/>
  <c r="I82" i="13"/>
  <c r="K82" i="13"/>
  <c r="I78" i="13"/>
  <c r="K78" i="13"/>
  <c r="I76" i="13"/>
  <c r="K76" i="13"/>
  <c r="K45" i="13"/>
  <c r="I45" i="13"/>
  <c r="K75" i="13"/>
  <c r="I75" i="13"/>
  <c r="K44" i="13"/>
  <c r="I44" i="13"/>
  <c r="I162" i="13"/>
  <c r="J162" i="13"/>
  <c r="J161" i="13"/>
  <c r="I71" i="13"/>
  <c r="K71" i="13"/>
  <c r="I70" i="13"/>
  <c r="K70" i="13"/>
  <c r="K43" i="13"/>
  <c r="I43" i="13"/>
  <c r="J157" i="13"/>
  <c r="I55" i="13"/>
  <c r="K55" i="13"/>
  <c r="K41" i="13"/>
  <c r="I41" i="13"/>
  <c r="G265" i="23"/>
  <c r="G266" i="23"/>
  <c r="G267" i="23"/>
  <c r="G268" i="23"/>
  <c r="G269" i="23"/>
  <c r="G270" i="23"/>
  <c r="G271" i="23"/>
  <c r="G272" i="23"/>
  <c r="G273" i="23"/>
  <c r="G274" i="23"/>
  <c r="L272" i="23"/>
  <c r="L273" i="23"/>
  <c r="L274" i="23"/>
  <c r="L271" i="23"/>
  <c r="L270" i="23"/>
  <c r="J168" i="13" l="1"/>
  <c r="I204" i="16"/>
  <c r="P204" i="16" s="1"/>
  <c r="I205" i="23"/>
  <c r="P205" i="23" s="1"/>
  <c r="K52" i="16"/>
  <c r="K133" i="23"/>
  <c r="P52" i="16" l="1"/>
  <c r="K179" i="23"/>
  <c r="I179" i="23"/>
  <c r="I175" i="23"/>
  <c r="K175" i="23"/>
  <c r="I163" i="23"/>
  <c r="K163" i="23"/>
  <c r="K160" i="23"/>
  <c r="I160" i="23"/>
  <c r="P160" i="23" s="1"/>
  <c r="K157" i="23"/>
  <c r="P157" i="23" s="1"/>
  <c r="I156" i="23"/>
  <c r="K156" i="23"/>
  <c r="I154" i="23"/>
  <c r="K154" i="23"/>
  <c r="I146" i="23"/>
  <c r="K146" i="23"/>
  <c r="I143" i="23"/>
  <c r="K143" i="23"/>
  <c r="I138" i="23"/>
  <c r="K138" i="23"/>
  <c r="I122" i="23"/>
  <c r="K122" i="23"/>
  <c r="I113" i="23"/>
  <c r="K113" i="23"/>
  <c r="I96" i="23"/>
  <c r="K96" i="23"/>
  <c r="K85" i="23"/>
  <c r="I85" i="23"/>
  <c r="K72" i="23"/>
  <c r="P72" i="23" s="1"/>
  <c r="I65" i="23"/>
  <c r="K65" i="23"/>
  <c r="K61" i="23"/>
  <c r="I61" i="23"/>
  <c r="P61" i="23" s="1"/>
  <c r="I58" i="23"/>
  <c r="J58" i="23"/>
  <c r="K54" i="23"/>
  <c r="P54" i="23" s="1"/>
  <c r="J53" i="23"/>
  <c r="P53" i="23" s="1"/>
  <c r="I48" i="23"/>
  <c r="K48" i="23"/>
  <c r="K45" i="23"/>
  <c r="P45" i="23" s="1"/>
  <c r="K44" i="23"/>
  <c r="P44" i="23" s="1"/>
  <c r="I35" i="23"/>
  <c r="K35" i="23"/>
  <c r="K32" i="23"/>
  <c r="I32" i="23"/>
  <c r="P32" i="23" s="1"/>
  <c r="J23" i="23"/>
  <c r="K20" i="23"/>
  <c r="I20" i="23"/>
  <c r="K19" i="23"/>
  <c r="P19" i="23" s="1"/>
  <c r="I8" i="23"/>
  <c r="P8" i="23" s="1"/>
  <c r="I9" i="23"/>
  <c r="I10" i="23"/>
  <c r="P10" i="23" s="1"/>
  <c r="I11" i="23"/>
  <c r="I12" i="23"/>
  <c r="I13" i="23"/>
  <c r="I14" i="23"/>
  <c r="P14" i="23" s="1"/>
  <c r="I15" i="23"/>
  <c r="I16" i="23"/>
  <c r="I17" i="23"/>
  <c r="P17" i="23" s="1"/>
  <c r="I18" i="23"/>
  <c r="P18" i="23" s="1"/>
  <c r="I21" i="23"/>
  <c r="P21" i="23" s="1"/>
  <c r="I22" i="23"/>
  <c r="I24" i="23"/>
  <c r="P24" i="23" s="1"/>
  <c r="I25" i="23"/>
  <c r="P25" i="23" s="1"/>
  <c r="I26" i="23"/>
  <c r="I27" i="23"/>
  <c r="I28" i="23"/>
  <c r="P28" i="23" s="1"/>
  <c r="I29" i="23"/>
  <c r="P29" i="23" s="1"/>
  <c r="I30" i="23"/>
  <c r="I31" i="23"/>
  <c r="I33" i="23"/>
  <c r="P33" i="23" s="1"/>
  <c r="I34" i="23"/>
  <c r="P34" i="23" s="1"/>
  <c r="I36" i="23"/>
  <c r="P36" i="23" s="1"/>
  <c r="I37" i="23"/>
  <c r="P37" i="23" s="1"/>
  <c r="I38" i="23"/>
  <c r="I39" i="23"/>
  <c r="I40" i="23"/>
  <c r="P40" i="23" s="1"/>
  <c r="I41" i="23"/>
  <c r="I42" i="23"/>
  <c r="P42" i="23" s="1"/>
  <c r="I43" i="23"/>
  <c r="I46" i="23"/>
  <c r="P46" i="23" s="1"/>
  <c r="I47" i="23"/>
  <c r="I49" i="23"/>
  <c r="P49" i="23" s="1"/>
  <c r="I50" i="23"/>
  <c r="P50" i="23" s="1"/>
  <c r="I51" i="23"/>
  <c r="I52" i="23"/>
  <c r="I55" i="23"/>
  <c r="I56" i="23"/>
  <c r="P56" i="23" s="1"/>
  <c r="I57" i="23"/>
  <c r="P57" i="23" s="1"/>
  <c r="I59" i="23"/>
  <c r="I60" i="23"/>
  <c r="P60" i="23" s="1"/>
  <c r="I62" i="23"/>
  <c r="I63" i="23"/>
  <c r="I64" i="23"/>
  <c r="P64" i="23" s="1"/>
  <c r="I66" i="23"/>
  <c r="I67" i="23"/>
  <c r="I68" i="23"/>
  <c r="P68" i="23" s="1"/>
  <c r="I69" i="23"/>
  <c r="P69" i="23" s="1"/>
  <c r="I70" i="23"/>
  <c r="I71" i="23"/>
  <c r="I73" i="23"/>
  <c r="P73" i="23" s="1"/>
  <c r="I74" i="23"/>
  <c r="I75" i="23"/>
  <c r="P75" i="23" s="1"/>
  <c r="I76" i="23"/>
  <c r="P76" i="23" s="1"/>
  <c r="I77" i="23"/>
  <c r="P77" i="23" s="1"/>
  <c r="I78" i="23"/>
  <c r="I79" i="23"/>
  <c r="I80" i="23"/>
  <c r="P80" i="23" s="1"/>
  <c r="I81" i="23"/>
  <c r="P81" i="23" s="1"/>
  <c r="I82" i="23"/>
  <c r="I83" i="23"/>
  <c r="I84" i="23"/>
  <c r="P84" i="23" s="1"/>
  <c r="I86" i="23"/>
  <c r="P86" i="23" s="1"/>
  <c r="I87" i="23"/>
  <c r="P87" i="23" s="1"/>
  <c r="I88" i="23"/>
  <c r="P88" i="23" s="1"/>
  <c r="I89" i="23"/>
  <c r="P89" i="23" s="1"/>
  <c r="I90" i="23"/>
  <c r="I91" i="23"/>
  <c r="I92" i="23"/>
  <c r="P92" i="23" s="1"/>
  <c r="I93" i="23"/>
  <c r="P93" i="23" s="1"/>
  <c r="I94" i="23"/>
  <c r="I95" i="23"/>
  <c r="I97" i="23"/>
  <c r="P97" i="23" s="1"/>
  <c r="I98" i="23"/>
  <c r="I99" i="23"/>
  <c r="I100" i="23"/>
  <c r="P100" i="23" s="1"/>
  <c r="I101" i="23"/>
  <c r="P101" i="23" s="1"/>
  <c r="I102" i="23"/>
  <c r="P102" i="23" s="1"/>
  <c r="I103" i="23"/>
  <c r="I104" i="23"/>
  <c r="P104" i="23" s="1"/>
  <c r="I105" i="23"/>
  <c r="P105" i="23" s="1"/>
  <c r="I106" i="23"/>
  <c r="I107" i="23"/>
  <c r="I108" i="23"/>
  <c r="P108" i="23" s="1"/>
  <c r="I109" i="23"/>
  <c r="P109" i="23" s="1"/>
  <c r="I110" i="23"/>
  <c r="I111" i="23"/>
  <c r="I112" i="23"/>
  <c r="I114" i="23"/>
  <c r="P114" i="23" s="1"/>
  <c r="I115" i="23"/>
  <c r="I116" i="23"/>
  <c r="P116" i="23" s="1"/>
  <c r="I117" i="23"/>
  <c r="I118" i="23"/>
  <c r="P118" i="23" s="1"/>
  <c r="I119" i="23"/>
  <c r="I120" i="23"/>
  <c r="P120" i="23" s="1"/>
  <c r="I121" i="23"/>
  <c r="P121" i="23" s="1"/>
  <c r="I123" i="23"/>
  <c r="I124" i="23"/>
  <c r="P124" i="23" s="1"/>
  <c r="I125" i="23"/>
  <c r="P125" i="23" s="1"/>
  <c r="I126" i="23"/>
  <c r="I127" i="23"/>
  <c r="I128" i="23"/>
  <c r="P128" i="23" s="1"/>
  <c r="I129" i="23"/>
  <c r="P129" i="23" s="1"/>
  <c r="I130" i="23"/>
  <c r="P130" i="23" s="1"/>
  <c r="I131" i="23"/>
  <c r="I132" i="23"/>
  <c r="P132" i="23" s="1"/>
  <c r="P133" i="23"/>
  <c r="I134" i="23"/>
  <c r="P134" i="23" s="1"/>
  <c r="I135" i="23"/>
  <c r="I136" i="23"/>
  <c r="P136" i="23" s="1"/>
  <c r="I137" i="23"/>
  <c r="P137" i="23" s="1"/>
  <c r="I139" i="23"/>
  <c r="I140" i="23"/>
  <c r="P140" i="23" s="1"/>
  <c r="I141" i="23"/>
  <c r="P141" i="23" s="1"/>
  <c r="I142" i="23"/>
  <c r="P142" i="23" s="1"/>
  <c r="I144" i="23"/>
  <c r="P144" i="23" s="1"/>
  <c r="I145" i="23"/>
  <c r="P145" i="23" s="1"/>
  <c r="I147" i="23"/>
  <c r="I148" i="23"/>
  <c r="P148" i="23" s="1"/>
  <c r="I149" i="23"/>
  <c r="P149" i="23" s="1"/>
  <c r="I150" i="23"/>
  <c r="I151" i="23"/>
  <c r="I152" i="23"/>
  <c r="P152" i="23" s="1"/>
  <c r="I153" i="23"/>
  <c r="I155" i="23"/>
  <c r="I158" i="23"/>
  <c r="I159" i="23"/>
  <c r="I161" i="23"/>
  <c r="P161" i="23" s="1"/>
  <c r="I162" i="23"/>
  <c r="P162" i="23" s="1"/>
  <c r="I164" i="23"/>
  <c r="P164" i="23" s="1"/>
  <c r="I165" i="23"/>
  <c r="P165" i="23" s="1"/>
  <c r="I166" i="23"/>
  <c r="P166" i="23" s="1"/>
  <c r="I167" i="23"/>
  <c r="I168" i="23"/>
  <c r="P168" i="23" s="1"/>
  <c r="I169" i="23"/>
  <c r="P169" i="23" s="1"/>
  <c r="I170" i="23"/>
  <c r="I171" i="23"/>
  <c r="I172" i="23"/>
  <c r="P172" i="23" s="1"/>
  <c r="P173" i="23"/>
  <c r="I174" i="23"/>
  <c r="I176" i="23"/>
  <c r="P176" i="23" s="1"/>
  <c r="I177" i="23"/>
  <c r="P177" i="23" s="1"/>
  <c r="I178" i="23"/>
  <c r="P178" i="23" s="1"/>
  <c r="I180" i="23"/>
  <c r="P180" i="23" s="1"/>
  <c r="I181" i="23"/>
  <c r="P181" i="23" s="1"/>
  <c r="I182" i="23"/>
  <c r="P182" i="23" s="1"/>
  <c r="I183" i="23"/>
  <c r="I184" i="23"/>
  <c r="P184" i="23" s="1"/>
  <c r="I185" i="23"/>
  <c r="P185" i="23" s="1"/>
  <c r="I186" i="23"/>
  <c r="I187" i="23"/>
  <c r="I188" i="23"/>
  <c r="P188" i="23" s="1"/>
  <c r="I189" i="23"/>
  <c r="P189" i="23" s="1"/>
  <c r="I190" i="23"/>
  <c r="I191" i="23"/>
  <c r="I192" i="23"/>
  <c r="P192" i="23" s="1"/>
  <c r="I193" i="23"/>
  <c r="P193" i="23" s="1"/>
  <c r="I194" i="23"/>
  <c r="P194" i="23" s="1"/>
  <c r="I195" i="23"/>
  <c r="I196" i="23"/>
  <c r="P196" i="23" s="1"/>
  <c r="I197" i="23"/>
  <c r="P197" i="23" s="1"/>
  <c r="I198" i="23"/>
  <c r="P198" i="23" s="1"/>
  <c r="I199" i="23"/>
  <c r="I200" i="23"/>
  <c r="P200" i="23" s="1"/>
  <c r="I201" i="23"/>
  <c r="P201" i="23" s="1"/>
  <c r="I202" i="23"/>
  <c r="P202" i="23" s="1"/>
  <c r="I203" i="23"/>
  <c r="I204" i="23"/>
  <c r="P204" i="23" s="1"/>
  <c r="P74" i="23"/>
  <c r="P98" i="23"/>
  <c r="K12" i="23"/>
  <c r="P112" i="23"/>
  <c r="G282" i="23"/>
  <c r="G281" i="23"/>
  <c r="G280" i="23"/>
  <c r="G279" i="23"/>
  <c r="G278" i="23"/>
  <c r="M275" i="23"/>
  <c r="K275" i="23"/>
  <c r="J275" i="23"/>
  <c r="I275" i="23"/>
  <c r="H275" i="23"/>
  <c r="L269" i="23"/>
  <c r="L268" i="23"/>
  <c r="L267" i="23"/>
  <c r="L266" i="23"/>
  <c r="L265" i="23"/>
  <c r="L264" i="23"/>
  <c r="G264" i="23"/>
  <c r="M259" i="23"/>
  <c r="K259" i="23"/>
  <c r="J259" i="23"/>
  <c r="I259" i="23"/>
  <c r="H259" i="23"/>
  <c r="L258" i="23"/>
  <c r="G258" i="23"/>
  <c r="L257" i="23"/>
  <c r="G257" i="23"/>
  <c r="L256" i="23"/>
  <c r="G256" i="23"/>
  <c r="L255" i="23"/>
  <c r="G255" i="23"/>
  <c r="L254" i="23"/>
  <c r="G254" i="23"/>
  <c r="I248" i="23"/>
  <c r="K247" i="23"/>
  <c r="J247" i="23"/>
  <c r="H247" i="23"/>
  <c r="L219" i="23"/>
  <c r="K219" i="23"/>
  <c r="J219" i="23"/>
  <c r="I219" i="23"/>
  <c r="G219" i="23"/>
  <c r="M218" i="23"/>
  <c r="H217" i="23"/>
  <c r="M217" i="23" s="1"/>
  <c r="H216" i="23"/>
  <c r="M216" i="23" s="1"/>
  <c r="H215" i="23"/>
  <c r="M215" i="23" s="1"/>
  <c r="H214" i="23"/>
  <c r="M214" i="23" s="1"/>
  <c r="M213" i="23"/>
  <c r="H212" i="23"/>
  <c r="M212" i="23" s="1"/>
  <c r="H211" i="23"/>
  <c r="M211" i="23" s="1"/>
  <c r="H210" i="23"/>
  <c r="M210" i="23" s="1"/>
  <c r="O206" i="23"/>
  <c r="N206" i="23"/>
  <c r="M206" i="23"/>
  <c r="L206" i="23"/>
  <c r="H206" i="23"/>
  <c r="P153" i="23"/>
  <c r="P117" i="23"/>
  <c r="P65" i="23"/>
  <c r="P41" i="23"/>
  <c r="P13" i="23"/>
  <c r="P9" i="23"/>
  <c r="N1" i="23"/>
  <c r="K250" i="23" s="1"/>
  <c r="G1" i="23"/>
  <c r="H215" i="16"/>
  <c r="H216" i="16"/>
  <c r="H217" i="16"/>
  <c r="H218" i="16"/>
  <c r="M219" i="16"/>
  <c r="P96" i="23" l="1"/>
  <c r="P23" i="23"/>
  <c r="J206" i="23"/>
  <c r="J4" i="23"/>
  <c r="P85" i="23"/>
  <c r="P113" i="23"/>
  <c r="P138" i="23"/>
  <c r="P156" i="23"/>
  <c r="P20" i="23"/>
  <c r="P12" i="23"/>
  <c r="M4" i="23"/>
  <c r="L259" i="23"/>
  <c r="P35" i="23"/>
  <c r="P83" i="23"/>
  <c r="P31" i="23"/>
  <c r="P190" i="23"/>
  <c r="P186" i="23"/>
  <c r="P174" i="23"/>
  <c r="P170" i="23"/>
  <c r="P158" i="23"/>
  <c r="P154" i="23"/>
  <c r="P150" i="23"/>
  <c r="P146" i="23"/>
  <c r="P126" i="23"/>
  <c r="P122" i="23"/>
  <c r="P110" i="23"/>
  <c r="P106" i="23"/>
  <c r="P94" i="23"/>
  <c r="P90" i="23"/>
  <c r="P82" i="23"/>
  <c r="P78" i="23"/>
  <c r="P70" i="23"/>
  <c r="P66" i="23"/>
  <c r="P62" i="23"/>
  <c r="P58" i="23"/>
  <c r="P38" i="23"/>
  <c r="P30" i="23"/>
  <c r="P26" i="23"/>
  <c r="P22" i="23"/>
  <c r="P79" i="23"/>
  <c r="P203" i="23"/>
  <c r="P199" i="23"/>
  <c r="P195" i="23"/>
  <c r="P191" i="23"/>
  <c r="P187" i="23"/>
  <c r="P183" i="23"/>
  <c r="P179" i="23"/>
  <c r="P175" i="23"/>
  <c r="P171" i="23"/>
  <c r="P167" i="23"/>
  <c r="P163" i="23"/>
  <c r="P159" i="23"/>
  <c r="P155" i="23"/>
  <c r="P151" i="23"/>
  <c r="P147" i="23"/>
  <c r="P143" i="23"/>
  <c r="P139" i="23"/>
  <c r="P135" i="23"/>
  <c r="P131" i="23"/>
  <c r="P127" i="23"/>
  <c r="P123" i="23"/>
  <c r="P119" i="23"/>
  <c r="P115" i="23"/>
  <c r="P111" i="23"/>
  <c r="P107" i="23"/>
  <c r="P103" i="23"/>
  <c r="P99" i="23"/>
  <c r="P95" i="23"/>
  <c r="P91" i="23"/>
  <c r="P71" i="23"/>
  <c r="P67" i="23"/>
  <c r="P63" i="23"/>
  <c r="P59" i="23"/>
  <c r="P55" i="23"/>
  <c r="P51" i="23"/>
  <c r="P47" i="23"/>
  <c r="P43" i="23"/>
  <c r="P39" i="23"/>
  <c r="P27" i="23"/>
  <c r="P15" i="23"/>
  <c r="P11" i="23"/>
  <c r="H219" i="23"/>
  <c r="B4" i="23"/>
  <c r="L275" i="23"/>
  <c r="P52" i="23"/>
  <c r="K206" i="23"/>
  <c r="I206" i="23"/>
  <c r="P16" i="23"/>
  <c r="P48" i="23"/>
  <c r="G8" i="16"/>
  <c r="I8" i="16"/>
  <c r="P8" i="16" s="1"/>
  <c r="Q8" i="16"/>
  <c r="R8" i="16"/>
  <c r="I27" i="16"/>
  <c r="P27" i="16" s="1"/>
  <c r="I25" i="16"/>
  <c r="P25" i="16" s="1"/>
  <c r="I22" i="16"/>
  <c r="P22" i="16" s="1"/>
  <c r="I19" i="16"/>
  <c r="P19" i="16" s="1"/>
  <c r="I15" i="16"/>
  <c r="P15" i="16" s="1"/>
  <c r="M215" i="16"/>
  <c r="M217" i="16"/>
  <c r="M218" i="16"/>
  <c r="K90" i="13"/>
  <c r="K106" i="13"/>
  <c r="I42" i="13"/>
  <c r="I10" i="13"/>
  <c r="I121" i="13"/>
  <c r="I100" i="13"/>
  <c r="I52" i="13"/>
  <c r="I58" i="13"/>
  <c r="I57" i="13"/>
  <c r="I56" i="13"/>
  <c r="I133" i="13"/>
  <c r="I134" i="13"/>
  <c r="I135" i="13"/>
  <c r="I11" i="13"/>
  <c r="I110" i="13"/>
  <c r="I115" i="13"/>
  <c r="I139" i="13"/>
  <c r="I61" i="13"/>
  <c r="I136" i="13"/>
  <c r="I123" i="13"/>
  <c r="I122" i="13"/>
  <c r="I159" i="13"/>
  <c r="I158" i="13"/>
  <c r="I12" i="13"/>
  <c r="I138" i="13"/>
  <c r="I137" i="13"/>
  <c r="I101" i="13"/>
  <c r="I62" i="13"/>
  <c r="I160" i="13"/>
  <c r="I124" i="13"/>
  <c r="I140" i="13"/>
  <c r="I64" i="13"/>
  <c r="I111" i="13"/>
  <c r="I65" i="13"/>
  <c r="I29" i="13"/>
  <c r="I53" i="13"/>
  <c r="I107" i="13"/>
  <c r="I108" i="13"/>
  <c r="I102" i="13"/>
  <c r="I48" i="13"/>
  <c r="I47" i="13"/>
  <c r="I46" i="13"/>
  <c r="I112" i="13"/>
  <c r="I66" i="13"/>
  <c r="I14" i="13"/>
  <c r="I69" i="13"/>
  <c r="I37" i="13"/>
  <c r="I36" i="13"/>
  <c r="I35" i="13"/>
  <c r="I34" i="13"/>
  <c r="I72" i="13"/>
  <c r="I49" i="13"/>
  <c r="I73" i="13"/>
  <c r="I74" i="13"/>
  <c r="I103" i="13"/>
  <c r="I142" i="13"/>
  <c r="I19" i="13"/>
  <c r="I141" i="13"/>
  <c r="I113" i="13"/>
  <c r="I116" i="13"/>
  <c r="I109" i="13"/>
  <c r="I21" i="13"/>
  <c r="I50" i="13"/>
  <c r="I127" i="13"/>
  <c r="I22" i="13"/>
  <c r="I77" i="13"/>
  <c r="I126" i="13"/>
  <c r="I165" i="13"/>
  <c r="I125" i="13"/>
  <c r="I164" i="13"/>
  <c r="I163" i="13"/>
  <c r="I30" i="13"/>
  <c r="I145" i="13"/>
  <c r="I144" i="13"/>
  <c r="I117" i="13"/>
  <c r="I143" i="13"/>
  <c r="I33" i="13"/>
  <c r="I32" i="13"/>
  <c r="I31" i="13"/>
  <c r="I79" i="13"/>
  <c r="I24" i="13"/>
  <c r="I80" i="13"/>
  <c r="I119" i="13"/>
  <c r="I118" i="13"/>
  <c r="I98" i="13"/>
  <c r="I146" i="13"/>
  <c r="I81" i="13"/>
  <c r="I166" i="13"/>
  <c r="I128" i="13"/>
  <c r="I83" i="13"/>
  <c r="I148" i="13"/>
  <c r="I147" i="13"/>
  <c r="I149" i="13"/>
  <c r="I27" i="13"/>
  <c r="I85" i="13"/>
  <c r="I150" i="13"/>
  <c r="I86" i="13"/>
  <c r="I151" i="13"/>
  <c r="I152" i="13"/>
  <c r="I105" i="13"/>
  <c r="I155" i="13"/>
  <c r="I167" i="13"/>
  <c r="I104" i="13"/>
  <c r="I87" i="13"/>
  <c r="I154" i="13"/>
  <c r="I129" i="13"/>
  <c r="I89" i="13"/>
  <c r="I156" i="13"/>
  <c r="I99" i="13"/>
  <c r="I92" i="13"/>
  <c r="I94" i="13"/>
  <c r="I130" i="13"/>
  <c r="I93" i="13"/>
  <c r="I91" i="13"/>
  <c r="I38" i="13"/>
  <c r="I39" i="13"/>
  <c r="I132" i="13"/>
  <c r="I131" i="13"/>
  <c r="I51" i="13"/>
  <c r="I120" i="13"/>
  <c r="I60" i="13"/>
  <c r="I59" i="13"/>
  <c r="I68" i="13"/>
  <c r="I153" i="13"/>
  <c r="I95" i="13"/>
  <c r="I40" i="13"/>
  <c r="I9" i="13"/>
  <c r="I16" i="13"/>
  <c r="K135" i="16"/>
  <c r="K72" i="16"/>
  <c r="I72" i="16"/>
  <c r="K69" i="16"/>
  <c r="I69" i="16"/>
  <c r="K123" i="16"/>
  <c r="K67" i="16"/>
  <c r="I67" i="16"/>
  <c r="K43" i="16"/>
  <c r="I43" i="16"/>
  <c r="J199" i="16"/>
  <c r="I199" i="16"/>
  <c r="J198" i="16"/>
  <c r="K64" i="16"/>
  <c r="K63" i="16"/>
  <c r="I63" i="16"/>
  <c r="K109" i="16"/>
  <c r="K110" i="16"/>
  <c r="K61" i="16"/>
  <c r="I61" i="16"/>
  <c r="K60" i="16"/>
  <c r="I60" i="16"/>
  <c r="K42" i="16"/>
  <c r="I42" i="16"/>
  <c r="J194" i="16"/>
  <c r="J207" i="16" s="1"/>
  <c r="K205" i="16"/>
  <c r="K57" i="16"/>
  <c r="I41" i="16"/>
  <c r="I9" i="16"/>
  <c r="I168" i="16"/>
  <c r="I152" i="16"/>
  <c r="I166" i="16"/>
  <c r="I176" i="16"/>
  <c r="I56" i="16"/>
  <c r="I167" i="16"/>
  <c r="I57" i="16"/>
  <c r="I165" i="16"/>
  <c r="I99" i="16"/>
  <c r="I124" i="16"/>
  <c r="I10" i="16"/>
  <c r="I154" i="16"/>
  <c r="I153" i="16"/>
  <c r="I177" i="16"/>
  <c r="I58" i="16"/>
  <c r="I59" i="16"/>
  <c r="I101" i="16"/>
  <c r="I13" i="16"/>
  <c r="I14" i="16"/>
  <c r="I178" i="16"/>
  <c r="I139" i="16"/>
  <c r="I195" i="16"/>
  <c r="I196" i="16"/>
  <c r="I102" i="16"/>
  <c r="I197" i="16"/>
  <c r="I62" i="16"/>
  <c r="I11" i="16"/>
  <c r="I54" i="16"/>
  <c r="I140" i="16"/>
  <c r="I125" i="16"/>
  <c r="I179" i="16"/>
  <c r="I155" i="16"/>
  <c r="I126" i="16"/>
  <c r="I163" i="16"/>
  <c r="I111" i="16"/>
  <c r="I127" i="16"/>
  <c r="I18" i="16"/>
  <c r="I128" i="16"/>
  <c r="I122" i="16"/>
  <c r="I65" i="16"/>
  <c r="I113" i="16"/>
  <c r="I112" i="16"/>
  <c r="I66" i="16"/>
  <c r="I34" i="16"/>
  <c r="I37" i="16"/>
  <c r="I36" i="16"/>
  <c r="I35" i="16"/>
  <c r="I104" i="16"/>
  <c r="I180" i="16"/>
  <c r="I50" i="16"/>
  <c r="I55" i="16"/>
  <c r="I103" i="16"/>
  <c r="I68" i="16"/>
  <c r="I156" i="16"/>
  <c r="I129" i="16"/>
  <c r="I130" i="16"/>
  <c r="I144" i="16"/>
  <c r="I141" i="16"/>
  <c r="I143" i="16"/>
  <c r="I142" i="16"/>
  <c r="I157" i="16"/>
  <c r="I181" i="16"/>
  <c r="I105" i="16"/>
  <c r="I182" i="16"/>
  <c r="I131" i="16"/>
  <c r="I145" i="16"/>
  <c r="I169" i="16"/>
  <c r="I114" i="16"/>
  <c r="I20" i="16"/>
  <c r="I70" i="16"/>
  <c r="I71" i="16"/>
  <c r="I160" i="16"/>
  <c r="I183" i="16"/>
  <c r="I171" i="16"/>
  <c r="I74" i="16"/>
  <c r="I108" i="16"/>
  <c r="I107" i="16"/>
  <c r="I106" i="16"/>
  <c r="I115" i="16"/>
  <c r="I184" i="16"/>
  <c r="I158" i="16"/>
  <c r="I146" i="16"/>
  <c r="I159" i="16"/>
  <c r="I170" i="16"/>
  <c r="I77" i="16"/>
  <c r="I75" i="16"/>
  <c r="I201" i="16"/>
  <c r="I76" i="16"/>
  <c r="I202" i="16"/>
  <c r="I200" i="16"/>
  <c r="I47" i="16"/>
  <c r="I79" i="16"/>
  <c r="I172" i="16"/>
  <c r="I80" i="16"/>
  <c r="I46" i="16"/>
  <c r="I81" i="16"/>
  <c r="I147" i="16"/>
  <c r="I48" i="16"/>
  <c r="I185" i="16"/>
  <c r="I51" i="16"/>
  <c r="I186" i="16"/>
  <c r="I132" i="16"/>
  <c r="I187" i="16"/>
  <c r="I23" i="16"/>
  <c r="I188" i="16"/>
  <c r="I175" i="16"/>
  <c r="I83" i="16"/>
  <c r="I161" i="16"/>
  <c r="I203" i="16"/>
  <c r="I174" i="16"/>
  <c r="I85" i="16"/>
  <c r="I189" i="16"/>
  <c r="I173" i="16"/>
  <c r="I24" i="16"/>
  <c r="I206" i="16"/>
  <c r="I86" i="16"/>
  <c r="I100" i="16"/>
  <c r="I148" i="16"/>
  <c r="I190" i="16"/>
  <c r="I133" i="16"/>
  <c r="I134" i="16"/>
  <c r="I89" i="16"/>
  <c r="I26" i="16"/>
  <c r="I151" i="16"/>
  <c r="I92" i="16"/>
  <c r="I53" i="16"/>
  <c r="I93" i="16"/>
  <c r="I149" i="16"/>
  <c r="I117" i="16"/>
  <c r="I137" i="16"/>
  <c r="I136" i="16"/>
  <c r="I116" i="16"/>
  <c r="I95" i="16"/>
  <c r="I32" i="16"/>
  <c r="I191" i="16"/>
  <c r="I30" i="16"/>
  <c r="I192" i="16"/>
  <c r="I138" i="16"/>
  <c r="I193" i="16"/>
  <c r="I164" i="16"/>
  <c r="I33" i="16"/>
  <c r="I28" i="16"/>
  <c r="I96" i="16"/>
  <c r="I120" i="16"/>
  <c r="I118" i="16"/>
  <c r="I162" i="16"/>
  <c r="I98" i="16"/>
  <c r="I29" i="16"/>
  <c r="I119" i="16"/>
  <c r="I150" i="16"/>
  <c r="I40" i="16"/>
  <c r="I39" i="16"/>
  <c r="I49" i="16"/>
  <c r="I38" i="16"/>
  <c r="I73" i="16"/>
  <c r="P73" i="16" s="1"/>
  <c r="I121" i="16"/>
  <c r="P121" i="16" s="1"/>
  <c r="I21" i="16"/>
  <c r="I12" i="16"/>
  <c r="I17" i="16"/>
  <c r="I16" i="16"/>
  <c r="P16" i="16" s="1"/>
  <c r="H212" i="16"/>
  <c r="M212" i="16" s="1"/>
  <c r="H213" i="16"/>
  <c r="M213" i="16" s="1"/>
  <c r="M214" i="16"/>
  <c r="M216" i="16"/>
  <c r="K160" i="12"/>
  <c r="K37" i="12"/>
  <c r="K159" i="12"/>
  <c r="K47" i="12"/>
  <c r="P56" i="12"/>
  <c r="I8" i="12"/>
  <c r="I31" i="12"/>
  <c r="I14" i="12"/>
  <c r="I126" i="12"/>
  <c r="I9" i="12"/>
  <c r="I113" i="12"/>
  <c r="I114" i="12"/>
  <c r="I131" i="12"/>
  <c r="I132" i="12"/>
  <c r="I133" i="12"/>
  <c r="I51" i="12"/>
  <c r="I115" i="12"/>
  <c r="I125" i="12"/>
  <c r="I150" i="12"/>
  <c r="I149" i="12"/>
  <c r="I127" i="12"/>
  <c r="I10" i="12"/>
  <c r="I53" i="12"/>
  <c r="I52" i="12"/>
  <c r="I151" i="12"/>
  <c r="I100" i="12"/>
  <c r="I48" i="12"/>
  <c r="I54" i="12"/>
  <c r="I128" i="12"/>
  <c r="I88" i="12"/>
  <c r="I108" i="12"/>
  <c r="I134" i="12"/>
  <c r="I116" i="12"/>
  <c r="I55" i="12"/>
  <c r="I135" i="12"/>
  <c r="I57" i="12"/>
  <c r="I103" i="12"/>
  <c r="I146" i="12"/>
  <c r="I136" i="12"/>
  <c r="I104" i="12"/>
  <c r="I58" i="12"/>
  <c r="I16" i="12"/>
  <c r="I129" i="12"/>
  <c r="I89" i="12"/>
  <c r="I137" i="12"/>
  <c r="I158" i="12"/>
  <c r="I46" i="12"/>
  <c r="I59" i="12"/>
  <c r="I23" i="12"/>
  <c r="I60" i="12"/>
  <c r="I61" i="12"/>
  <c r="I24" i="12"/>
  <c r="I25" i="12"/>
  <c r="I26" i="12"/>
  <c r="I27" i="12"/>
  <c r="I117" i="12"/>
  <c r="I62" i="12"/>
  <c r="I90" i="12"/>
  <c r="I118" i="12"/>
  <c r="I95" i="12"/>
  <c r="I138" i="12"/>
  <c r="I156" i="12"/>
  <c r="I155" i="12"/>
  <c r="I154" i="12"/>
  <c r="I120" i="12"/>
  <c r="I121" i="12"/>
  <c r="I109" i="12"/>
  <c r="I39" i="12"/>
  <c r="I119" i="12"/>
  <c r="I98" i="12"/>
  <c r="I139" i="12"/>
  <c r="I35" i="12"/>
  <c r="I65" i="12"/>
  <c r="I36" i="12"/>
  <c r="I142" i="12"/>
  <c r="I110" i="12"/>
  <c r="I141" i="12"/>
  <c r="I64" i="12"/>
  <c r="I67" i="12"/>
  <c r="I96" i="12"/>
  <c r="I140" i="12"/>
  <c r="I66" i="12"/>
  <c r="I68" i="12"/>
  <c r="I41" i="12"/>
  <c r="I40" i="12"/>
  <c r="I69" i="12"/>
  <c r="I72" i="12"/>
  <c r="I71" i="12"/>
  <c r="I74" i="12"/>
  <c r="I157" i="12"/>
  <c r="I45" i="12"/>
  <c r="I43" i="12"/>
  <c r="I44" i="12"/>
  <c r="I42" i="12"/>
  <c r="I75" i="12"/>
  <c r="I147" i="12"/>
  <c r="I130" i="12"/>
  <c r="I105" i="12"/>
  <c r="I91" i="12"/>
  <c r="I143" i="12"/>
  <c r="I122" i="12"/>
  <c r="I76" i="12"/>
  <c r="I107" i="12"/>
  <c r="I78" i="12"/>
  <c r="I106" i="12"/>
  <c r="I111" i="12"/>
  <c r="I20" i="12"/>
  <c r="I80" i="12"/>
  <c r="I83" i="12"/>
  <c r="I102" i="12"/>
  <c r="I82" i="12"/>
  <c r="I87" i="12"/>
  <c r="I22" i="12"/>
  <c r="I84" i="12"/>
  <c r="I97" i="12"/>
  <c r="I144" i="12"/>
  <c r="I93" i="12"/>
  <c r="I92" i="12"/>
  <c r="I94" i="12"/>
  <c r="I30" i="12"/>
  <c r="I112" i="12"/>
  <c r="I124" i="12"/>
  <c r="I145" i="12"/>
  <c r="I29" i="12"/>
  <c r="I123" i="12"/>
  <c r="I99" i="12"/>
  <c r="I38" i="12"/>
  <c r="I28" i="12"/>
  <c r="I12" i="12"/>
  <c r="I13" i="12"/>
  <c r="I15" i="12"/>
  <c r="I101" i="12"/>
  <c r="I17" i="12"/>
  <c r="I18" i="12"/>
  <c r="I19" i="12"/>
  <c r="I21" i="12"/>
  <c r="I28" i="11"/>
  <c r="P28" i="11" s="1"/>
  <c r="I30" i="11"/>
  <c r="P30" i="11" s="1"/>
  <c r="I32" i="11"/>
  <c r="P32" i="11" s="1"/>
  <c r="I36" i="11"/>
  <c r="P36" i="11" s="1"/>
  <c r="I38" i="11"/>
  <c r="P38" i="11" s="1"/>
  <c r="I170" i="11"/>
  <c r="P170" i="11" s="1"/>
  <c r="I31" i="11"/>
  <c r="P31" i="11" s="1"/>
  <c r="I73" i="11"/>
  <c r="P73" i="11" s="1"/>
  <c r="I29" i="11"/>
  <c r="P29" i="11" s="1"/>
  <c r="I24" i="11"/>
  <c r="P24" i="11" s="1"/>
  <c r="H192" i="11"/>
  <c r="H186" i="11"/>
  <c r="H187" i="11"/>
  <c r="H188" i="11"/>
  <c r="H190" i="11"/>
  <c r="H191" i="11"/>
  <c r="I39" i="11"/>
  <c r="P39" i="11" s="1"/>
  <c r="O143" i="11"/>
  <c r="O177" i="11"/>
  <c r="O136" i="11"/>
  <c r="I152" i="11"/>
  <c r="I10" i="11"/>
  <c r="I68" i="11"/>
  <c r="I49" i="11"/>
  <c r="I114" i="11"/>
  <c r="I147" i="11"/>
  <c r="I15" i="11"/>
  <c r="I11" i="11"/>
  <c r="I53" i="11"/>
  <c r="I134" i="11"/>
  <c r="I135" i="11"/>
  <c r="I136" i="11"/>
  <c r="I153" i="11"/>
  <c r="I71" i="11"/>
  <c r="I111" i="11"/>
  <c r="I154" i="11"/>
  <c r="I48" i="11"/>
  <c r="I137" i="11"/>
  <c r="I173" i="11"/>
  <c r="I174" i="11"/>
  <c r="I155" i="11"/>
  <c r="I175" i="11"/>
  <c r="I156" i="11"/>
  <c r="I74" i="11"/>
  <c r="I148" i="11"/>
  <c r="I75" i="11"/>
  <c r="I67" i="11"/>
  <c r="I125" i="11"/>
  <c r="I157" i="11"/>
  <c r="I21" i="11"/>
  <c r="I107" i="11"/>
  <c r="I108" i="11"/>
  <c r="I109" i="11"/>
  <c r="I76" i="11"/>
  <c r="I12" i="11"/>
  <c r="I77" i="11"/>
  <c r="I126" i="11"/>
  <c r="I13" i="11"/>
  <c r="I25" i="11"/>
  <c r="I149" i="11"/>
  <c r="I127" i="11"/>
  <c r="I138" i="11"/>
  <c r="I158" i="11"/>
  <c r="I65" i="11"/>
  <c r="I139" i="11"/>
  <c r="I128" i="11"/>
  <c r="I42" i="11"/>
  <c r="I159" i="11"/>
  <c r="I178" i="11"/>
  <c r="I26" i="11"/>
  <c r="I43" i="11"/>
  <c r="I44" i="11"/>
  <c r="I45" i="11"/>
  <c r="I140" i="11"/>
  <c r="I179" i="11"/>
  <c r="I180" i="11"/>
  <c r="I116" i="11"/>
  <c r="I83" i="11"/>
  <c r="I84" i="11"/>
  <c r="I141" i="11"/>
  <c r="I86" i="11"/>
  <c r="I142" i="11"/>
  <c r="I54" i="11"/>
  <c r="I160" i="11"/>
  <c r="I150" i="11"/>
  <c r="I87" i="11"/>
  <c r="I143" i="11"/>
  <c r="I55" i="11"/>
  <c r="I56" i="11"/>
  <c r="I57" i="11"/>
  <c r="I58" i="11"/>
  <c r="I66" i="11"/>
  <c r="I110" i="11"/>
  <c r="I117" i="11"/>
  <c r="I161" i="11"/>
  <c r="I88" i="11"/>
  <c r="I59" i="11"/>
  <c r="I151" i="11"/>
  <c r="I162" i="11"/>
  <c r="I163" i="11"/>
  <c r="I9" i="11"/>
  <c r="I129" i="11"/>
  <c r="I130" i="11"/>
  <c r="I113" i="11"/>
  <c r="I118" i="11"/>
  <c r="I89" i="11"/>
  <c r="I181" i="11"/>
  <c r="I144" i="11"/>
  <c r="I91" i="11"/>
  <c r="I164" i="11"/>
  <c r="I165" i="11"/>
  <c r="I92" i="11"/>
  <c r="I60" i="11"/>
  <c r="I94" i="11"/>
  <c r="I95" i="11"/>
  <c r="I96" i="11"/>
  <c r="I119" i="11"/>
  <c r="I35" i="11"/>
  <c r="I166" i="11"/>
  <c r="P166" i="11" s="1"/>
  <c r="I120" i="11"/>
  <c r="P120" i="11" s="1"/>
  <c r="I167" i="11"/>
  <c r="P167" i="11" s="1"/>
  <c r="I168" i="11"/>
  <c r="P168" i="11" s="1"/>
  <c r="I121" i="11"/>
  <c r="P121" i="11" s="1"/>
  <c r="I131" i="11"/>
  <c r="P131" i="11" s="1"/>
  <c r="I122" i="11"/>
  <c r="P122" i="11" s="1"/>
  <c r="I62" i="11"/>
  <c r="P62" i="11" s="1"/>
  <c r="I169" i="11"/>
  <c r="P169" i="11" s="1"/>
  <c r="I98" i="11"/>
  <c r="P98" i="11" s="1"/>
  <c r="I132" i="11"/>
  <c r="P132" i="11" s="1"/>
  <c r="I133" i="11"/>
  <c r="P133" i="11" s="1"/>
  <c r="I99" i="11"/>
  <c r="P99" i="11" s="1"/>
  <c r="I171" i="11"/>
  <c r="P171" i="11" s="1"/>
  <c r="I145" i="11"/>
  <c r="P145" i="11" s="1"/>
  <c r="I100" i="11"/>
  <c r="P100" i="11" s="1"/>
  <c r="I101" i="11"/>
  <c r="P101" i="11" s="1"/>
  <c r="I102" i="11"/>
  <c r="P102" i="11" s="1"/>
  <c r="I63" i="11"/>
  <c r="P63" i="11" s="1"/>
  <c r="I104" i="11"/>
  <c r="P104" i="11" s="1"/>
  <c r="I105" i="11"/>
  <c r="P105" i="11" s="1"/>
  <c r="I46" i="11"/>
  <c r="P46" i="11" s="1"/>
  <c r="I146" i="11"/>
  <c r="P146" i="11" s="1"/>
  <c r="I47" i="11"/>
  <c r="P47" i="11" s="1"/>
  <c r="I14" i="11"/>
  <c r="P14" i="11" s="1"/>
  <c r="I61" i="11"/>
  <c r="P61" i="11" s="1"/>
  <c r="I123" i="11"/>
  <c r="P123" i="11" s="1"/>
  <c r="I103" i="11"/>
  <c r="P103" i="11" s="1"/>
  <c r="I124" i="11"/>
  <c r="P124" i="11" s="1"/>
  <c r="I16" i="11"/>
  <c r="P16" i="11" s="1"/>
  <c r="I17" i="11"/>
  <c r="P17" i="11" s="1"/>
  <c r="I18" i="11"/>
  <c r="P18" i="11" s="1"/>
  <c r="I19" i="11"/>
  <c r="P19" i="11" s="1"/>
  <c r="I20" i="11"/>
  <c r="P20" i="11" s="1"/>
  <c r="I22" i="11"/>
  <c r="P22" i="11" s="1"/>
  <c r="I23" i="11"/>
  <c r="I112" i="11"/>
  <c r="P112" i="11" s="1"/>
  <c r="I27" i="11"/>
  <c r="P27" i="11" s="1"/>
  <c r="I33" i="11"/>
  <c r="P33" i="11" s="1"/>
  <c r="I34" i="11"/>
  <c r="P34" i="11" s="1"/>
  <c r="I37" i="11"/>
  <c r="P37" i="11" s="1"/>
  <c r="I40" i="11"/>
  <c r="P40" i="11" s="1"/>
  <c r="I41" i="11"/>
  <c r="P41" i="11" s="1"/>
  <c r="P97" i="11"/>
  <c r="P106" i="11"/>
  <c r="G146" i="10"/>
  <c r="O103" i="10"/>
  <c r="K168" i="13" l="1"/>
  <c r="K207" i="16"/>
  <c r="I207" i="16"/>
  <c r="T10" i="23"/>
  <c r="G4" i="23"/>
  <c r="P4" i="23" s="1"/>
  <c r="P206" i="23"/>
  <c r="I182" i="11"/>
  <c r="S134" i="10"/>
  <c r="G149" i="10"/>
  <c r="G144" i="10"/>
  <c r="G147" i="10"/>
  <c r="G148" i="10"/>
  <c r="G141" i="10"/>
  <c r="G142" i="10"/>
  <c r="G143" i="10"/>
  <c r="G145" i="10"/>
  <c r="O126" i="10"/>
  <c r="L60" i="10"/>
  <c r="L52" i="10"/>
  <c r="L53" i="10"/>
  <c r="H160" i="2"/>
  <c r="H159" i="2"/>
  <c r="H158" i="2"/>
  <c r="H156" i="2"/>
  <c r="H155" i="2"/>
  <c r="H154" i="2"/>
  <c r="H1573" i="2"/>
  <c r="I1573" i="2" s="1"/>
  <c r="I90" i="2"/>
  <c r="P90" i="2" s="1"/>
  <c r="I24" i="2"/>
  <c r="P24" i="2" s="1"/>
  <c r="I31" i="2"/>
  <c r="P31" i="2" s="1"/>
  <c r="I35" i="2"/>
  <c r="P35" i="2" s="1"/>
  <c r="I28" i="2"/>
  <c r="P28" i="2" s="1"/>
  <c r="I63" i="2"/>
  <c r="P63" i="2" s="1"/>
  <c r="I23" i="2"/>
  <c r="P23" i="2" s="1"/>
  <c r="I26" i="2"/>
  <c r="P26" i="2" s="1"/>
  <c r="I37" i="2"/>
  <c r="P37" i="2" s="1"/>
  <c r="K147" i="2"/>
  <c r="J147" i="2"/>
  <c r="I25" i="2"/>
  <c r="P25" i="2" s="1"/>
  <c r="I78" i="2"/>
  <c r="P78" i="2" s="1"/>
  <c r="I32" i="2"/>
  <c r="P32" i="2" s="1"/>
  <c r="I21" i="2"/>
  <c r="P21" i="2" s="1"/>
  <c r="I19" i="2"/>
  <c r="P19" i="2" s="1"/>
  <c r="I14" i="2"/>
  <c r="P14" i="2" s="1"/>
  <c r="I39" i="2"/>
  <c r="P39" i="2" s="1"/>
  <c r="I38" i="2"/>
  <c r="P38" i="2" s="1"/>
  <c r="I20" i="2"/>
  <c r="P20" i="2" s="1"/>
  <c r="I18" i="2"/>
  <c r="P18" i="2" s="1"/>
  <c r="I17" i="2"/>
  <c r="P17" i="2" s="1"/>
  <c r="I15" i="2"/>
  <c r="P15" i="2" s="1"/>
  <c r="I98" i="2"/>
  <c r="P98" i="2" s="1"/>
  <c r="I9" i="2"/>
  <c r="P9" i="2" s="1"/>
  <c r="I70" i="2"/>
  <c r="P70" i="2" s="1"/>
  <c r="P64" i="2"/>
  <c r="I130" i="2"/>
  <c r="P130" i="2" s="1"/>
  <c r="I120" i="2"/>
  <c r="P120" i="2" s="1"/>
  <c r="I121" i="2"/>
  <c r="P121" i="2" s="1"/>
  <c r="I122" i="2"/>
  <c r="P122" i="2" s="1"/>
  <c r="P137" i="2"/>
  <c r="I132" i="2"/>
  <c r="P132" i="2" s="1"/>
  <c r="I101" i="2"/>
  <c r="P101" i="2" s="1"/>
  <c r="I10" i="2"/>
  <c r="P10" i="2" s="1"/>
  <c r="I56" i="2"/>
  <c r="P56" i="2" s="1"/>
  <c r="I71" i="2"/>
  <c r="P71" i="2" s="1"/>
  <c r="I105" i="2"/>
  <c r="P105" i="2" s="1"/>
  <c r="I144" i="2"/>
  <c r="P144" i="2" s="1"/>
  <c r="I145" i="2"/>
  <c r="P145" i="2" s="1"/>
  <c r="I12" i="2"/>
  <c r="P12" i="2" s="1"/>
  <c r="I146" i="2"/>
  <c r="P146" i="2" s="1"/>
  <c r="I118" i="2"/>
  <c r="P118" i="2" s="1"/>
  <c r="P65" i="2"/>
  <c r="I72" i="2"/>
  <c r="P72" i="2" s="1"/>
  <c r="I100" i="2"/>
  <c r="P100" i="2" s="1"/>
  <c r="I102" i="2"/>
  <c r="P102" i="2" s="1"/>
  <c r="I11" i="2"/>
  <c r="P11" i="2" s="1"/>
  <c r="I41" i="2"/>
  <c r="P41" i="2" s="1"/>
  <c r="I117" i="2"/>
  <c r="P117" i="2" s="1"/>
  <c r="I106" i="2"/>
  <c r="P106" i="2" s="1"/>
  <c r="I73" i="2"/>
  <c r="P73" i="2" s="1"/>
  <c r="I48" i="2"/>
  <c r="P48" i="2" s="1"/>
  <c r="I103" i="2"/>
  <c r="P103" i="2" s="1"/>
  <c r="I133" i="2"/>
  <c r="P133" i="2" s="1"/>
  <c r="I13" i="2"/>
  <c r="P13" i="2" s="1"/>
  <c r="I123" i="2"/>
  <c r="P123" i="2" s="1"/>
  <c r="P138" i="2"/>
  <c r="I74" i="2"/>
  <c r="P74" i="2" s="1"/>
  <c r="P139" i="2"/>
  <c r="I42" i="2"/>
  <c r="P42" i="2" s="1"/>
  <c r="I43" i="2"/>
  <c r="P43" i="2" s="1"/>
  <c r="I44" i="2"/>
  <c r="P44" i="2" s="1"/>
  <c r="I45" i="2"/>
  <c r="P45" i="2" s="1"/>
  <c r="I107" i="2"/>
  <c r="P107" i="2" s="1"/>
  <c r="I108" i="2"/>
  <c r="P108" i="2" s="1"/>
  <c r="I97" i="2"/>
  <c r="P97" i="2" s="1"/>
  <c r="I134" i="2"/>
  <c r="P134" i="2" s="1"/>
  <c r="I57" i="2"/>
  <c r="P57" i="2" s="1"/>
  <c r="I75" i="2"/>
  <c r="P75" i="2" s="1"/>
  <c r="I119" i="2"/>
  <c r="P119" i="2" s="1"/>
  <c r="I91" i="2"/>
  <c r="P91" i="2" s="1"/>
  <c r="I109" i="2"/>
  <c r="P109" i="2" s="1"/>
  <c r="I76" i="2"/>
  <c r="P76" i="2" s="1"/>
  <c r="I110" i="2"/>
  <c r="P110" i="2" s="1"/>
  <c r="I49" i="2"/>
  <c r="P49" i="2" s="1"/>
  <c r="P46" i="2"/>
  <c r="P47" i="2"/>
  <c r="I61" i="2"/>
  <c r="P61" i="2" s="1"/>
  <c r="P66" i="2"/>
  <c r="P67" i="2"/>
  <c r="I140" i="2"/>
  <c r="P140" i="2" s="1"/>
  <c r="I141" i="2"/>
  <c r="P141" i="2" s="1"/>
  <c r="I96" i="2"/>
  <c r="P96" i="2" s="1"/>
  <c r="I142" i="2"/>
  <c r="P142" i="2" s="1"/>
  <c r="I58" i="2"/>
  <c r="P58" i="2" s="1"/>
  <c r="I124" i="2"/>
  <c r="P124" i="2" s="1"/>
  <c r="I50" i="2"/>
  <c r="P50" i="2" s="1"/>
  <c r="I92" i="2"/>
  <c r="P92" i="2" s="1"/>
  <c r="I125" i="2"/>
  <c r="P125" i="2" s="1"/>
  <c r="I126" i="2"/>
  <c r="P126" i="2" s="1"/>
  <c r="I93" i="2"/>
  <c r="P93" i="2" s="1"/>
  <c r="I79" i="2"/>
  <c r="P79" i="2" s="1"/>
  <c r="P68" i="2"/>
  <c r="I51" i="2"/>
  <c r="P51" i="2" s="1"/>
  <c r="I52" i="2"/>
  <c r="P52" i="2" s="1"/>
  <c r="I136" i="2"/>
  <c r="P136" i="2" s="1"/>
  <c r="I53" i="2"/>
  <c r="P53" i="2" s="1"/>
  <c r="I62" i="2"/>
  <c r="P62" i="2" s="1"/>
  <c r="I54" i="2"/>
  <c r="P54" i="2" s="1"/>
  <c r="I22" i="2"/>
  <c r="P22" i="2" s="1"/>
  <c r="I80" i="2"/>
  <c r="P80" i="2" s="1"/>
  <c r="I55" i="2"/>
  <c r="P55" i="2" s="1"/>
  <c r="I129" i="2"/>
  <c r="P129" i="2" s="1"/>
  <c r="I143" i="2"/>
  <c r="P143" i="2" s="1"/>
  <c r="I111" i="2"/>
  <c r="P111" i="2" s="1"/>
  <c r="I81" i="2"/>
  <c r="P81" i="2" s="1"/>
  <c r="I82" i="2"/>
  <c r="P82" i="2" s="1"/>
  <c r="P69" i="2"/>
  <c r="P60" i="2"/>
  <c r="I83" i="2"/>
  <c r="P83" i="2" s="1"/>
  <c r="I36" i="2"/>
  <c r="P36" i="2" s="1"/>
  <c r="I131" i="2"/>
  <c r="P131" i="2" s="1"/>
  <c r="I84" i="2"/>
  <c r="P84" i="2" s="1"/>
  <c r="I127" i="2"/>
  <c r="P127" i="2" s="1"/>
  <c r="I94" i="2"/>
  <c r="P94" i="2" s="1"/>
  <c r="I85" i="2"/>
  <c r="P85" i="2" s="1"/>
  <c r="I86" i="2"/>
  <c r="P86" i="2" s="1"/>
  <c r="I87" i="2"/>
  <c r="P87" i="2" s="1"/>
  <c r="I112" i="2"/>
  <c r="P112" i="2" s="1"/>
  <c r="I113" i="2"/>
  <c r="P113" i="2" s="1"/>
  <c r="I114" i="2"/>
  <c r="P114" i="2" s="1"/>
  <c r="I135" i="2"/>
  <c r="P135" i="2" s="1"/>
  <c r="I115" i="2"/>
  <c r="P115" i="2" s="1"/>
  <c r="I104" i="2"/>
  <c r="P104" i="2" s="1"/>
  <c r="I128" i="2"/>
  <c r="P128" i="2" s="1"/>
  <c r="I116" i="2"/>
  <c r="P116" i="2" s="1"/>
  <c r="I59" i="2"/>
  <c r="P59" i="2" s="1"/>
  <c r="I88" i="2"/>
  <c r="P88" i="2" s="1"/>
  <c r="I95" i="2"/>
  <c r="P95" i="2" s="1"/>
  <c r="I30" i="2"/>
  <c r="P30" i="2" s="1"/>
  <c r="I27" i="2"/>
  <c r="P27" i="2" s="1"/>
  <c r="I89" i="2"/>
  <c r="P89" i="2" s="1"/>
  <c r="I16" i="2"/>
  <c r="P16" i="2" s="1"/>
  <c r="I29" i="2"/>
  <c r="P29" i="2" s="1"/>
  <c r="I33" i="2"/>
  <c r="P33" i="2" s="1"/>
  <c r="I40" i="2"/>
  <c r="P40" i="2" s="1"/>
  <c r="I34" i="2"/>
  <c r="P34" i="2" s="1"/>
  <c r="I77" i="2"/>
  <c r="P77" i="2" s="1"/>
  <c r="I99" i="2"/>
  <c r="P99" i="2" s="1"/>
  <c r="I147" i="2" l="1"/>
  <c r="I106" i="10"/>
  <c r="I42" i="10"/>
  <c r="I10" i="10"/>
  <c r="I112" i="10"/>
  <c r="I111" i="10"/>
  <c r="I11" i="10"/>
  <c r="I98" i="10"/>
  <c r="I97" i="10"/>
  <c r="I132" i="10"/>
  <c r="I131" i="10"/>
  <c r="I90" i="10"/>
  <c r="I113" i="10"/>
  <c r="I91" i="10"/>
  <c r="I114" i="10"/>
  <c r="I133" i="10"/>
  <c r="I115" i="10"/>
  <c r="I99" i="10"/>
  <c r="I39" i="10"/>
  <c r="I12" i="10"/>
  <c r="I43" i="10"/>
  <c r="I92" i="10"/>
  <c r="I30" i="10"/>
  <c r="I29" i="10"/>
  <c r="I32" i="10"/>
  <c r="I31" i="10"/>
  <c r="I59" i="10"/>
  <c r="I57" i="10"/>
  <c r="I96" i="10"/>
  <c r="I128" i="10"/>
  <c r="I100" i="10"/>
  <c r="I16" i="10"/>
  <c r="I116" i="10"/>
  <c r="I127" i="10"/>
  <c r="I61" i="10"/>
  <c r="I134" i="10"/>
  <c r="I89" i="10"/>
  <c r="I108" i="10"/>
  <c r="I62" i="10"/>
  <c r="I102" i="10"/>
  <c r="I63" i="10"/>
  <c r="I65" i="10"/>
  <c r="I101" i="10"/>
  <c r="I64" i="10"/>
  <c r="I103" i="10"/>
  <c r="I77" i="10"/>
  <c r="I67" i="10"/>
  <c r="I93" i="10"/>
  <c r="I84" i="10"/>
  <c r="I83" i="10"/>
  <c r="I78" i="10"/>
  <c r="I37" i="10"/>
  <c r="I38" i="10"/>
  <c r="I94" i="10"/>
  <c r="I35" i="10"/>
  <c r="I46" i="10"/>
  <c r="I80" i="10"/>
  <c r="I104" i="10"/>
  <c r="I69" i="10"/>
  <c r="I8" i="10"/>
  <c r="I107" i="10"/>
  <c r="I85" i="10"/>
  <c r="I47" i="10"/>
  <c r="I40" i="10"/>
  <c r="I17" i="10"/>
  <c r="I129" i="10"/>
  <c r="I117" i="10"/>
  <c r="I86" i="10"/>
  <c r="I45" i="10"/>
  <c r="I44" i="10"/>
  <c r="I118" i="10"/>
  <c r="I109" i="10"/>
  <c r="I70" i="10"/>
  <c r="I73" i="10"/>
  <c r="I82" i="10"/>
  <c r="I81" i="10"/>
  <c r="I95" i="10"/>
  <c r="I87" i="10"/>
  <c r="I119" i="10"/>
  <c r="I18" i="10"/>
  <c r="I48" i="10"/>
  <c r="I79" i="10"/>
  <c r="I110" i="10"/>
  <c r="I41" i="10"/>
  <c r="I74" i="10"/>
  <c r="I123" i="10"/>
  <c r="I122" i="10"/>
  <c r="I130" i="10"/>
  <c r="I105" i="10"/>
  <c r="I49" i="10"/>
  <c r="I76" i="10"/>
  <c r="I120" i="10"/>
  <c r="I50" i="10"/>
  <c r="I75" i="10"/>
  <c r="I34" i="10"/>
  <c r="I121" i="10"/>
  <c r="I33" i="10"/>
  <c r="I15" i="10"/>
  <c r="I13" i="10"/>
  <c r="I14" i="10"/>
  <c r="I28" i="10"/>
  <c r="I21" i="10"/>
  <c r="I19" i="10"/>
  <c r="I27" i="10"/>
  <c r="I26" i="10"/>
  <c r="I24" i="10"/>
  <c r="I23" i="10"/>
  <c r="I20" i="10"/>
  <c r="I22" i="10"/>
  <c r="I25" i="10"/>
  <c r="I9" i="10"/>
  <c r="I18" i="20"/>
  <c r="I12" i="20"/>
  <c r="I9" i="20"/>
  <c r="I11" i="20"/>
  <c r="I10" i="20"/>
  <c r="I13" i="20"/>
  <c r="I23" i="20"/>
  <c r="I24" i="20"/>
  <c r="I22" i="20"/>
  <c r="I27" i="20"/>
  <c r="I28" i="20"/>
  <c r="I31" i="20"/>
  <c r="I29" i="20"/>
  <c r="I30" i="20"/>
  <c r="I34" i="20"/>
  <c r="I33" i="20"/>
  <c r="I42" i="20"/>
  <c r="I40" i="20"/>
  <c r="I43" i="20"/>
  <c r="I41" i="20"/>
  <c r="I39" i="20"/>
  <c r="I38" i="20"/>
  <c r="I44" i="20"/>
  <c r="I49" i="20"/>
  <c r="I48" i="20"/>
  <c r="I51" i="20"/>
  <c r="I56" i="20"/>
  <c r="I53" i="20"/>
  <c r="I54" i="20"/>
  <c r="I55" i="20"/>
  <c r="I47" i="20"/>
  <c r="I45" i="20"/>
  <c r="I58" i="20"/>
  <c r="I62" i="20"/>
  <c r="I61" i="20"/>
  <c r="I57" i="20"/>
  <c r="I59" i="20"/>
  <c r="I67" i="20"/>
  <c r="I65" i="20"/>
  <c r="I66" i="20"/>
  <c r="I74" i="20"/>
  <c r="I73" i="20"/>
  <c r="I70" i="20"/>
  <c r="I72" i="20"/>
  <c r="I69" i="20"/>
  <c r="I75" i="20"/>
  <c r="I78" i="20"/>
  <c r="I76" i="20"/>
  <c r="I80" i="20"/>
  <c r="I81" i="20"/>
  <c r="I79" i="20"/>
  <c r="I82" i="20"/>
  <c r="I89" i="20"/>
  <c r="I88" i="20"/>
  <c r="I94" i="20"/>
  <c r="I91" i="20"/>
  <c r="I92" i="20"/>
  <c r="I93" i="20"/>
  <c r="I84" i="20"/>
  <c r="I85" i="20"/>
  <c r="I86" i="20"/>
  <c r="I101" i="20"/>
  <c r="I97" i="20"/>
  <c r="I100" i="20"/>
  <c r="I98" i="20"/>
  <c r="I106" i="20"/>
  <c r="I105" i="20"/>
  <c r="I107" i="20"/>
  <c r="I108" i="20"/>
  <c r="I109" i="20"/>
  <c r="I102" i="20"/>
  <c r="I103" i="20"/>
  <c r="I104" i="20"/>
  <c r="I118" i="20"/>
  <c r="I111" i="20"/>
  <c r="I115" i="20"/>
  <c r="I114" i="20"/>
  <c r="I116" i="20"/>
  <c r="I117" i="20"/>
  <c r="I113" i="20"/>
  <c r="I110" i="20"/>
  <c r="I112" i="20"/>
  <c r="I122" i="20"/>
  <c r="I120" i="20"/>
  <c r="I121" i="20"/>
  <c r="I129" i="20"/>
  <c r="I128" i="20"/>
  <c r="I133" i="20"/>
  <c r="I132" i="20"/>
  <c r="I131" i="20"/>
  <c r="I130" i="20"/>
  <c r="I134" i="20"/>
  <c r="I136" i="20"/>
  <c r="I135" i="20"/>
  <c r="I138" i="20"/>
  <c r="I143" i="20"/>
  <c r="I139" i="20"/>
  <c r="I142" i="20"/>
  <c r="I137" i="20"/>
  <c r="I145" i="20"/>
  <c r="I144" i="20"/>
  <c r="I147" i="20"/>
  <c r="I149" i="20"/>
  <c r="I150" i="20"/>
  <c r="I148" i="20"/>
  <c r="I156" i="20"/>
  <c r="I151" i="20"/>
  <c r="I152" i="20"/>
  <c r="I161" i="20"/>
  <c r="I165" i="20"/>
  <c r="I163" i="20"/>
  <c r="I167" i="20"/>
  <c r="I166" i="20"/>
  <c r="I159" i="20"/>
  <c r="I158" i="20"/>
  <c r="I68" i="20"/>
  <c r="I83" i="20"/>
  <c r="I164" i="20"/>
  <c r="I26" i="20"/>
  <c r="I17" i="20"/>
  <c r="I20" i="20"/>
  <c r="I50" i="20"/>
  <c r="I64" i="20"/>
  <c r="I71" i="20"/>
  <c r="I90" i="20"/>
  <c r="I96" i="20"/>
  <c r="I141" i="20"/>
  <c r="I153" i="20"/>
  <c r="I168" i="20"/>
  <c r="I229" i="22" l="1"/>
  <c r="P112" i="20" l="1"/>
  <c r="P122" i="20"/>
  <c r="P138" i="20"/>
  <c r="G169" i="20"/>
  <c r="I169" i="20"/>
  <c r="Q169" i="20"/>
  <c r="R169" i="20"/>
  <c r="P110" i="20"/>
  <c r="P68" i="20"/>
  <c r="P158" i="20"/>
  <c r="P83" i="20"/>
  <c r="P17" i="20"/>
  <c r="P20" i="20"/>
  <c r="P21" i="20"/>
  <c r="P50" i="20"/>
  <c r="P64" i="20"/>
  <c r="P71" i="20"/>
  <c r="P96" i="20"/>
  <c r="P95" i="20"/>
  <c r="P90" i="20"/>
  <c r="P126" i="20"/>
  <c r="P155" i="20"/>
  <c r="P154" i="20"/>
  <c r="P141" i="20"/>
  <c r="P153" i="20"/>
  <c r="P157" i="20"/>
  <c r="P168" i="20"/>
  <c r="P169" i="20" l="1"/>
  <c r="P52" i="22"/>
  <c r="I132" i="22"/>
  <c r="P132" i="22" s="1"/>
  <c r="P129" i="22"/>
  <c r="I172" i="22"/>
  <c r="P172" i="22" s="1"/>
  <c r="P116" i="22" l="1"/>
  <c r="I94" i="22"/>
  <c r="P94" i="22" s="1"/>
  <c r="P112" i="22"/>
  <c r="P137" i="22"/>
  <c r="P80" i="22"/>
  <c r="P176" i="22"/>
  <c r="H1654" i="22" l="1"/>
  <c r="H1655" i="22"/>
  <c r="I1655" i="22" s="1"/>
  <c r="G2589" i="22"/>
  <c r="G2588" i="22"/>
  <c r="G2587" i="22"/>
  <c r="G2586" i="22"/>
  <c r="G2585" i="22"/>
  <c r="M2581" i="22"/>
  <c r="L2581" i="22"/>
  <c r="K2581" i="22"/>
  <c r="J2581" i="22"/>
  <c r="H2580" i="22"/>
  <c r="I2580" i="22" s="1"/>
  <c r="G2580" i="22"/>
  <c r="H2579" i="22"/>
  <c r="I2579" i="22" s="1"/>
  <c r="G2579" i="22"/>
  <c r="H2578" i="22"/>
  <c r="I2578" i="22" s="1"/>
  <c r="G2578" i="22"/>
  <c r="H2577" i="22"/>
  <c r="I2577" i="22" s="1"/>
  <c r="G2577" i="22"/>
  <c r="H2576" i="22"/>
  <c r="I2576" i="22" s="1"/>
  <c r="G2576" i="22"/>
  <c r="H2575" i="22"/>
  <c r="I2575" i="22" s="1"/>
  <c r="G2575" i="22"/>
  <c r="H2574" i="22"/>
  <c r="I2574" i="22" s="1"/>
  <c r="G2574" i="22"/>
  <c r="H2573" i="22"/>
  <c r="I2573" i="22" s="1"/>
  <c r="G2573" i="22"/>
  <c r="H2572" i="22"/>
  <c r="I2572" i="22" s="1"/>
  <c r="G2572" i="22"/>
  <c r="H2571" i="22"/>
  <c r="I2571" i="22" s="1"/>
  <c r="G2571" i="22"/>
  <c r="H2570" i="22"/>
  <c r="I2570" i="22" s="1"/>
  <c r="G2570" i="22"/>
  <c r="H2569" i="22"/>
  <c r="I2569" i="22" s="1"/>
  <c r="G2569" i="22"/>
  <c r="H2568" i="22"/>
  <c r="I2568" i="22" s="1"/>
  <c r="G2568" i="22"/>
  <c r="H2567" i="22"/>
  <c r="I2567" i="22" s="1"/>
  <c r="G2567" i="22"/>
  <c r="H2566" i="22"/>
  <c r="I2566" i="22" s="1"/>
  <c r="G2566" i="22"/>
  <c r="H2565" i="22"/>
  <c r="I2565" i="22" s="1"/>
  <c r="G2565" i="22"/>
  <c r="H2564" i="22"/>
  <c r="I2564" i="22" s="1"/>
  <c r="G2564" i="22"/>
  <c r="H2563" i="22"/>
  <c r="I2563" i="22" s="1"/>
  <c r="G2563" i="22"/>
  <c r="H2562" i="22"/>
  <c r="I2562" i="22" s="1"/>
  <c r="G2562" i="22"/>
  <c r="H2561" i="22"/>
  <c r="I2561" i="22" s="1"/>
  <c r="G2561" i="22"/>
  <c r="H2560" i="22"/>
  <c r="I2560" i="22" s="1"/>
  <c r="G2560" i="22"/>
  <c r="H2559" i="22"/>
  <c r="I2559" i="22" s="1"/>
  <c r="G2559" i="22"/>
  <c r="H2558" i="22"/>
  <c r="I2558" i="22" s="1"/>
  <c r="G2558" i="22"/>
  <c r="H2557" i="22"/>
  <c r="I2557" i="22" s="1"/>
  <c r="G2557" i="22"/>
  <c r="H2556" i="22"/>
  <c r="I2556" i="22" s="1"/>
  <c r="G2556" i="22"/>
  <c r="H2555" i="22"/>
  <c r="I2555" i="22" s="1"/>
  <c r="G2555" i="22"/>
  <c r="H2554" i="22"/>
  <c r="I2554" i="22" s="1"/>
  <c r="G2554" i="22"/>
  <c r="H2553" i="22"/>
  <c r="I2553" i="22" s="1"/>
  <c r="G2553" i="22"/>
  <c r="H2552" i="22"/>
  <c r="I2552" i="22" s="1"/>
  <c r="G2552" i="22"/>
  <c r="H2551" i="22"/>
  <c r="I2551" i="22" s="1"/>
  <c r="G2551" i="22"/>
  <c r="H2550" i="22"/>
  <c r="I2550" i="22" s="1"/>
  <c r="G2550" i="22"/>
  <c r="H2549" i="22"/>
  <c r="I2549" i="22" s="1"/>
  <c r="G2549" i="22"/>
  <c r="H2548" i="22"/>
  <c r="I2548" i="22" s="1"/>
  <c r="G2548" i="22"/>
  <c r="H2547" i="22"/>
  <c r="I2547" i="22" s="1"/>
  <c r="G2547" i="22"/>
  <c r="H2546" i="22"/>
  <c r="I2546" i="22" s="1"/>
  <c r="G2546" i="22"/>
  <c r="H2545" i="22"/>
  <c r="I2545" i="22" s="1"/>
  <c r="G2545" i="22"/>
  <c r="H2544" i="22"/>
  <c r="I2544" i="22" s="1"/>
  <c r="G2544" i="22"/>
  <c r="H2543" i="22"/>
  <c r="I2543" i="22" s="1"/>
  <c r="G2543" i="22"/>
  <c r="H2542" i="22"/>
  <c r="I2542" i="22" s="1"/>
  <c r="G2542" i="22"/>
  <c r="H2541" i="22"/>
  <c r="I2541" i="22" s="1"/>
  <c r="G2541" i="22"/>
  <c r="H2540" i="22"/>
  <c r="I2540" i="22" s="1"/>
  <c r="G2540" i="22"/>
  <c r="H2539" i="22"/>
  <c r="I2539" i="22" s="1"/>
  <c r="G2539" i="22"/>
  <c r="H2538" i="22"/>
  <c r="I2538" i="22" s="1"/>
  <c r="G2538" i="22"/>
  <c r="H2537" i="22"/>
  <c r="I2537" i="22" s="1"/>
  <c r="G2537" i="22"/>
  <c r="H2536" i="22"/>
  <c r="I2536" i="22" s="1"/>
  <c r="G2536" i="22"/>
  <c r="H2535" i="22"/>
  <c r="I2535" i="22" s="1"/>
  <c r="G2535" i="22"/>
  <c r="H2534" i="22"/>
  <c r="I2534" i="22" s="1"/>
  <c r="G2534" i="22"/>
  <c r="H2533" i="22"/>
  <c r="I2533" i="22" s="1"/>
  <c r="G2533" i="22"/>
  <c r="H2532" i="22"/>
  <c r="I2532" i="22" s="1"/>
  <c r="G2532" i="22"/>
  <c r="H2531" i="22"/>
  <c r="I2531" i="22" s="1"/>
  <c r="G2531" i="22"/>
  <c r="H2530" i="22"/>
  <c r="I2530" i="22" s="1"/>
  <c r="G2530" i="22"/>
  <c r="H2529" i="22"/>
  <c r="I2529" i="22" s="1"/>
  <c r="G2529" i="22"/>
  <c r="H2528" i="22"/>
  <c r="I2528" i="22" s="1"/>
  <c r="G2528" i="22"/>
  <c r="H2527" i="22"/>
  <c r="I2527" i="22" s="1"/>
  <c r="G2527" i="22"/>
  <c r="H2526" i="22"/>
  <c r="I2526" i="22" s="1"/>
  <c r="G2526" i="22"/>
  <c r="H2525" i="22"/>
  <c r="I2525" i="22" s="1"/>
  <c r="G2525" i="22"/>
  <c r="H2524" i="22"/>
  <c r="I2524" i="22" s="1"/>
  <c r="G2524" i="22"/>
  <c r="H2523" i="22"/>
  <c r="I2523" i="22" s="1"/>
  <c r="G2523" i="22"/>
  <c r="H2522" i="22"/>
  <c r="I2522" i="22" s="1"/>
  <c r="G2522" i="22"/>
  <c r="H2521" i="22"/>
  <c r="I2521" i="22" s="1"/>
  <c r="G2521" i="22"/>
  <c r="H2520" i="22"/>
  <c r="I2520" i="22" s="1"/>
  <c r="G2520" i="22"/>
  <c r="H2519" i="22"/>
  <c r="I2519" i="22" s="1"/>
  <c r="G2519" i="22"/>
  <c r="H2518" i="22"/>
  <c r="I2518" i="22" s="1"/>
  <c r="G2518" i="22"/>
  <c r="H2517" i="22"/>
  <c r="I2517" i="22" s="1"/>
  <c r="G2517" i="22"/>
  <c r="H2516" i="22"/>
  <c r="I2516" i="22" s="1"/>
  <c r="G2516" i="22"/>
  <c r="H2515" i="22"/>
  <c r="I2515" i="22" s="1"/>
  <c r="G2515" i="22"/>
  <c r="H2514" i="22"/>
  <c r="I2514" i="22" s="1"/>
  <c r="G2514" i="22"/>
  <c r="H2513" i="22"/>
  <c r="I2513" i="22" s="1"/>
  <c r="G2513" i="22"/>
  <c r="H2512" i="22"/>
  <c r="I2512" i="22" s="1"/>
  <c r="G2512" i="22"/>
  <c r="H2511" i="22"/>
  <c r="I2511" i="22" s="1"/>
  <c r="G2511" i="22"/>
  <c r="H2510" i="22"/>
  <c r="I2510" i="22" s="1"/>
  <c r="G2510" i="22"/>
  <c r="H2509" i="22"/>
  <c r="I2509" i="22" s="1"/>
  <c r="G2509" i="22"/>
  <c r="H2508" i="22"/>
  <c r="I2508" i="22" s="1"/>
  <c r="G2508" i="22"/>
  <c r="H2507" i="22"/>
  <c r="I2507" i="22" s="1"/>
  <c r="G2507" i="22"/>
  <c r="H2506" i="22"/>
  <c r="I2506" i="22" s="1"/>
  <c r="G2506" i="22"/>
  <c r="H2505" i="22"/>
  <c r="I2505" i="22" s="1"/>
  <c r="G2505" i="22"/>
  <c r="H2504" i="22"/>
  <c r="I2504" i="22" s="1"/>
  <c r="G2504" i="22"/>
  <c r="H2503" i="22"/>
  <c r="I2503" i="22" s="1"/>
  <c r="G2503" i="22"/>
  <c r="H2502" i="22"/>
  <c r="I2502" i="22" s="1"/>
  <c r="G2502" i="22"/>
  <c r="H2501" i="22"/>
  <c r="I2501" i="22" s="1"/>
  <c r="G2501" i="22"/>
  <c r="H2500" i="22"/>
  <c r="I2500" i="22" s="1"/>
  <c r="G2500" i="22"/>
  <c r="H2499" i="22"/>
  <c r="I2499" i="22" s="1"/>
  <c r="G2499" i="22"/>
  <c r="H2498" i="22"/>
  <c r="I2498" i="22" s="1"/>
  <c r="G2498" i="22"/>
  <c r="H2497" i="22"/>
  <c r="I2497" i="22" s="1"/>
  <c r="G2497" i="22"/>
  <c r="H2496" i="22"/>
  <c r="I2496" i="22" s="1"/>
  <c r="G2496" i="22"/>
  <c r="H2495" i="22"/>
  <c r="I2495" i="22" s="1"/>
  <c r="G2495" i="22"/>
  <c r="H2494" i="22"/>
  <c r="I2494" i="22" s="1"/>
  <c r="G2494" i="22"/>
  <c r="H2493" i="22"/>
  <c r="I2493" i="22" s="1"/>
  <c r="G2493" i="22"/>
  <c r="H2492" i="22"/>
  <c r="I2492" i="22" s="1"/>
  <c r="G2492" i="22"/>
  <c r="H2491" i="22"/>
  <c r="I2491" i="22" s="1"/>
  <c r="G2491" i="22"/>
  <c r="H2490" i="22"/>
  <c r="I2490" i="22" s="1"/>
  <c r="G2490" i="22"/>
  <c r="H2489" i="22"/>
  <c r="I2489" i="22" s="1"/>
  <c r="G2489" i="22"/>
  <c r="H2488" i="22"/>
  <c r="I2488" i="22" s="1"/>
  <c r="G2488" i="22"/>
  <c r="H2487" i="22"/>
  <c r="I2487" i="22" s="1"/>
  <c r="G2487" i="22"/>
  <c r="H2486" i="22"/>
  <c r="I2486" i="22" s="1"/>
  <c r="G2486" i="22"/>
  <c r="H2485" i="22"/>
  <c r="I2485" i="22" s="1"/>
  <c r="G2485" i="22"/>
  <c r="H2484" i="22"/>
  <c r="I2484" i="22" s="1"/>
  <c r="G2484" i="22"/>
  <c r="H2483" i="22"/>
  <c r="I2483" i="22" s="1"/>
  <c r="G2483" i="22"/>
  <c r="H2482" i="22"/>
  <c r="I2482" i="22" s="1"/>
  <c r="G2482" i="22"/>
  <c r="H2481" i="22"/>
  <c r="I2481" i="22" s="1"/>
  <c r="G2481" i="22"/>
  <c r="H2480" i="22"/>
  <c r="I2480" i="22" s="1"/>
  <c r="G2480" i="22"/>
  <c r="H2479" i="22"/>
  <c r="I2479" i="22" s="1"/>
  <c r="G2479" i="22"/>
  <c r="H2478" i="22"/>
  <c r="I2478" i="22" s="1"/>
  <c r="G2478" i="22"/>
  <c r="H2477" i="22"/>
  <c r="I2477" i="22" s="1"/>
  <c r="G2477" i="22"/>
  <c r="H2476" i="22"/>
  <c r="I2476" i="22" s="1"/>
  <c r="G2476" i="22"/>
  <c r="H2475" i="22"/>
  <c r="I2475" i="22" s="1"/>
  <c r="G2475" i="22"/>
  <c r="H2474" i="22"/>
  <c r="I2474" i="22" s="1"/>
  <c r="G2474" i="22"/>
  <c r="H2473" i="22"/>
  <c r="I2473" i="22" s="1"/>
  <c r="G2473" i="22"/>
  <c r="H2472" i="22"/>
  <c r="I2472" i="22" s="1"/>
  <c r="G2472" i="22"/>
  <c r="H2471" i="22"/>
  <c r="I2471" i="22" s="1"/>
  <c r="G2471" i="22"/>
  <c r="H2470" i="22"/>
  <c r="I2470" i="22" s="1"/>
  <c r="G2470" i="22"/>
  <c r="H2469" i="22"/>
  <c r="I2469" i="22" s="1"/>
  <c r="G2469" i="22"/>
  <c r="H2468" i="22"/>
  <c r="I2468" i="22" s="1"/>
  <c r="G2468" i="22"/>
  <c r="H2467" i="22"/>
  <c r="I2467" i="22" s="1"/>
  <c r="G2467" i="22"/>
  <c r="H2466" i="22"/>
  <c r="I2466" i="22" s="1"/>
  <c r="G2466" i="22"/>
  <c r="H2465" i="22"/>
  <c r="I2465" i="22" s="1"/>
  <c r="G2465" i="22"/>
  <c r="H2464" i="22"/>
  <c r="I2464" i="22" s="1"/>
  <c r="G2464" i="22"/>
  <c r="H2463" i="22"/>
  <c r="I2463" i="22" s="1"/>
  <c r="G2463" i="22"/>
  <c r="H2462" i="22"/>
  <c r="I2462" i="22" s="1"/>
  <c r="G2462" i="22"/>
  <c r="H2461" i="22"/>
  <c r="I2461" i="22" s="1"/>
  <c r="G2461" i="22"/>
  <c r="H2460" i="22"/>
  <c r="I2460" i="22" s="1"/>
  <c r="G2460" i="22"/>
  <c r="H2459" i="22"/>
  <c r="I2459" i="22" s="1"/>
  <c r="G2459" i="22"/>
  <c r="H2458" i="22"/>
  <c r="I2458" i="22" s="1"/>
  <c r="G2458" i="22"/>
  <c r="H2457" i="22"/>
  <c r="I2457" i="22" s="1"/>
  <c r="G2457" i="22"/>
  <c r="H2456" i="22"/>
  <c r="I2456" i="22" s="1"/>
  <c r="G2456" i="22"/>
  <c r="H2455" i="22"/>
  <c r="I2455" i="22" s="1"/>
  <c r="G2455" i="22"/>
  <c r="H2454" i="22"/>
  <c r="I2454" i="22" s="1"/>
  <c r="G2454" i="22"/>
  <c r="H2453" i="22"/>
  <c r="I2453" i="22" s="1"/>
  <c r="G2453" i="22"/>
  <c r="H2452" i="22"/>
  <c r="I2452" i="22" s="1"/>
  <c r="G2452" i="22"/>
  <c r="H2451" i="22"/>
  <c r="I2451" i="22" s="1"/>
  <c r="G2451" i="22"/>
  <c r="H2450" i="22"/>
  <c r="I2450" i="22" s="1"/>
  <c r="G2450" i="22"/>
  <c r="H2449" i="22"/>
  <c r="I2449" i="22" s="1"/>
  <c r="G2449" i="22"/>
  <c r="H2448" i="22"/>
  <c r="I2448" i="22" s="1"/>
  <c r="G2448" i="22"/>
  <c r="H2447" i="22"/>
  <c r="I2447" i="22" s="1"/>
  <c r="G2447" i="22"/>
  <c r="H2446" i="22"/>
  <c r="I2446" i="22" s="1"/>
  <c r="G2446" i="22"/>
  <c r="H2445" i="22"/>
  <c r="I2445" i="22" s="1"/>
  <c r="G2445" i="22"/>
  <c r="H2444" i="22"/>
  <c r="I2444" i="22" s="1"/>
  <c r="G2444" i="22"/>
  <c r="H2443" i="22"/>
  <c r="I2443" i="22" s="1"/>
  <c r="G2443" i="22"/>
  <c r="H2442" i="22"/>
  <c r="I2442" i="22" s="1"/>
  <c r="G2442" i="22"/>
  <c r="H2441" i="22"/>
  <c r="I2441" i="22" s="1"/>
  <c r="G2441" i="22"/>
  <c r="H2440" i="22"/>
  <c r="I2440" i="22" s="1"/>
  <c r="G2440" i="22"/>
  <c r="H2439" i="22"/>
  <c r="I2439" i="22" s="1"/>
  <c r="G2439" i="22"/>
  <c r="H2438" i="22"/>
  <c r="I2438" i="22" s="1"/>
  <c r="G2438" i="22"/>
  <c r="H2437" i="22"/>
  <c r="I2437" i="22" s="1"/>
  <c r="G2437" i="22"/>
  <c r="H2436" i="22"/>
  <c r="I2436" i="22" s="1"/>
  <c r="G2436" i="22"/>
  <c r="H2435" i="22"/>
  <c r="I2435" i="22" s="1"/>
  <c r="G2435" i="22"/>
  <c r="H2434" i="22"/>
  <c r="I2434" i="22" s="1"/>
  <c r="G2434" i="22"/>
  <c r="H2433" i="22"/>
  <c r="I2433" i="22" s="1"/>
  <c r="G2433" i="22"/>
  <c r="H2432" i="22"/>
  <c r="I2432" i="22" s="1"/>
  <c r="G2432" i="22"/>
  <c r="H2431" i="22"/>
  <c r="I2431" i="22" s="1"/>
  <c r="G2431" i="22"/>
  <c r="H2430" i="22"/>
  <c r="I2430" i="22" s="1"/>
  <c r="G2430" i="22"/>
  <c r="H2429" i="22"/>
  <c r="I2429" i="22" s="1"/>
  <c r="G2429" i="22"/>
  <c r="H2428" i="22"/>
  <c r="I2428" i="22" s="1"/>
  <c r="G2428" i="22"/>
  <c r="H2427" i="22"/>
  <c r="I2427" i="22" s="1"/>
  <c r="G2427" i="22"/>
  <c r="H2426" i="22"/>
  <c r="I2426" i="22" s="1"/>
  <c r="G2426" i="22"/>
  <c r="H2425" i="22"/>
  <c r="I2425" i="22" s="1"/>
  <c r="G2425" i="22"/>
  <c r="H2424" i="22"/>
  <c r="I2424" i="22" s="1"/>
  <c r="G2424" i="22"/>
  <c r="H2423" i="22"/>
  <c r="I2423" i="22" s="1"/>
  <c r="G2423" i="22"/>
  <c r="H2422" i="22"/>
  <c r="I2422" i="22" s="1"/>
  <c r="G2422" i="22"/>
  <c r="H2421" i="22"/>
  <c r="I2421" i="22" s="1"/>
  <c r="G2421" i="22"/>
  <c r="H2420" i="22"/>
  <c r="I2420" i="22" s="1"/>
  <c r="G2420" i="22"/>
  <c r="H2419" i="22"/>
  <c r="I2419" i="22" s="1"/>
  <c r="G2419" i="22"/>
  <c r="H2418" i="22"/>
  <c r="I2418" i="22" s="1"/>
  <c r="G2418" i="22"/>
  <c r="H2417" i="22"/>
  <c r="I2417" i="22" s="1"/>
  <c r="G2417" i="22"/>
  <c r="H2416" i="22"/>
  <c r="I2416" i="22" s="1"/>
  <c r="G2416" i="22"/>
  <c r="H2415" i="22"/>
  <c r="I2415" i="22" s="1"/>
  <c r="G2415" i="22"/>
  <c r="H2414" i="22"/>
  <c r="I2414" i="22" s="1"/>
  <c r="G2414" i="22"/>
  <c r="H2413" i="22"/>
  <c r="I2413" i="22" s="1"/>
  <c r="G2413" i="22"/>
  <c r="H2412" i="22"/>
  <c r="I2412" i="22" s="1"/>
  <c r="G2412" i="22"/>
  <c r="H2411" i="22"/>
  <c r="I2411" i="22" s="1"/>
  <c r="G2411" i="22"/>
  <c r="H2410" i="22"/>
  <c r="I2410" i="22" s="1"/>
  <c r="G2410" i="22"/>
  <c r="H2409" i="22"/>
  <c r="I2409" i="22" s="1"/>
  <c r="G2409" i="22"/>
  <c r="H2408" i="22"/>
  <c r="I2408" i="22" s="1"/>
  <c r="G2408" i="22"/>
  <c r="H2407" i="22"/>
  <c r="I2407" i="22" s="1"/>
  <c r="G2407" i="22"/>
  <c r="H2406" i="22"/>
  <c r="I2406" i="22" s="1"/>
  <c r="G2406" i="22"/>
  <c r="H2405" i="22"/>
  <c r="I2405" i="22" s="1"/>
  <c r="G2405" i="22"/>
  <c r="H2404" i="22"/>
  <c r="I2404" i="22" s="1"/>
  <c r="G2404" i="22"/>
  <c r="H2403" i="22"/>
  <c r="I2403" i="22" s="1"/>
  <c r="G2403" i="22"/>
  <c r="H2402" i="22"/>
  <c r="I2402" i="22" s="1"/>
  <c r="G2402" i="22"/>
  <c r="H2401" i="22"/>
  <c r="I2401" i="22" s="1"/>
  <c r="G2401" i="22"/>
  <c r="H2400" i="22"/>
  <c r="I2400" i="22" s="1"/>
  <c r="G2400" i="22"/>
  <c r="H2399" i="22"/>
  <c r="I2399" i="22" s="1"/>
  <c r="G2399" i="22"/>
  <c r="H2398" i="22"/>
  <c r="I2398" i="22" s="1"/>
  <c r="G2398" i="22"/>
  <c r="H2397" i="22"/>
  <c r="I2397" i="22" s="1"/>
  <c r="G2397" i="22"/>
  <c r="H2396" i="22"/>
  <c r="I2396" i="22" s="1"/>
  <c r="G2396" i="22"/>
  <c r="H2395" i="22"/>
  <c r="I2395" i="22" s="1"/>
  <c r="G2395" i="22"/>
  <c r="H2394" i="22"/>
  <c r="I2394" i="22" s="1"/>
  <c r="G2394" i="22"/>
  <c r="H2393" i="22"/>
  <c r="I2393" i="22" s="1"/>
  <c r="G2393" i="22"/>
  <c r="H2392" i="22"/>
  <c r="I2392" i="22" s="1"/>
  <c r="G2392" i="22"/>
  <c r="H2391" i="22"/>
  <c r="I2391" i="22" s="1"/>
  <c r="G2391" i="22"/>
  <c r="H2390" i="22"/>
  <c r="I2390" i="22" s="1"/>
  <c r="G2390" i="22"/>
  <c r="H2389" i="22"/>
  <c r="I2389" i="22" s="1"/>
  <c r="G2389" i="22"/>
  <c r="H2388" i="22"/>
  <c r="I2388" i="22" s="1"/>
  <c r="G2388" i="22"/>
  <c r="H2387" i="22"/>
  <c r="I2387" i="22" s="1"/>
  <c r="G2387" i="22"/>
  <c r="H2386" i="22"/>
  <c r="I2386" i="22" s="1"/>
  <c r="G2386" i="22"/>
  <c r="H2385" i="22"/>
  <c r="I2385" i="22" s="1"/>
  <c r="G2385" i="22"/>
  <c r="H2384" i="22"/>
  <c r="I2384" i="22" s="1"/>
  <c r="G2384" i="22"/>
  <c r="H2383" i="22"/>
  <c r="I2383" i="22" s="1"/>
  <c r="G2383" i="22"/>
  <c r="H2382" i="22"/>
  <c r="I2382" i="22" s="1"/>
  <c r="G2382" i="22"/>
  <c r="H2381" i="22"/>
  <c r="I2381" i="22" s="1"/>
  <c r="G2381" i="22"/>
  <c r="H2380" i="22"/>
  <c r="I2380" i="22" s="1"/>
  <c r="G2380" i="22"/>
  <c r="H2379" i="22"/>
  <c r="I2379" i="22" s="1"/>
  <c r="G2379" i="22"/>
  <c r="H2378" i="22"/>
  <c r="I2378" i="22" s="1"/>
  <c r="G2378" i="22"/>
  <c r="H2377" i="22"/>
  <c r="I2377" i="22" s="1"/>
  <c r="G2377" i="22"/>
  <c r="H2376" i="22"/>
  <c r="I2376" i="22" s="1"/>
  <c r="G2376" i="22"/>
  <c r="H2375" i="22"/>
  <c r="I2375" i="22" s="1"/>
  <c r="G2375" i="22"/>
  <c r="H2374" i="22"/>
  <c r="I2374" i="22" s="1"/>
  <c r="G2374" i="22"/>
  <c r="H2373" i="22"/>
  <c r="I2373" i="22" s="1"/>
  <c r="G2373" i="22"/>
  <c r="H2372" i="22"/>
  <c r="I2372" i="22" s="1"/>
  <c r="G2372" i="22"/>
  <c r="H2371" i="22"/>
  <c r="I2371" i="22" s="1"/>
  <c r="G2371" i="22"/>
  <c r="H2370" i="22"/>
  <c r="I2370" i="22" s="1"/>
  <c r="G2370" i="22"/>
  <c r="H2369" i="22"/>
  <c r="I2369" i="22" s="1"/>
  <c r="G2369" i="22"/>
  <c r="H2368" i="22"/>
  <c r="I2368" i="22" s="1"/>
  <c r="G2368" i="22"/>
  <c r="H2367" i="22"/>
  <c r="I2367" i="22" s="1"/>
  <c r="G2367" i="22"/>
  <c r="H2366" i="22"/>
  <c r="I2366" i="22" s="1"/>
  <c r="G2366" i="22"/>
  <c r="H2365" i="22"/>
  <c r="I2365" i="22" s="1"/>
  <c r="G2365" i="22"/>
  <c r="H2364" i="22"/>
  <c r="I2364" i="22" s="1"/>
  <c r="G2364" i="22"/>
  <c r="H2363" i="22"/>
  <c r="I2363" i="22" s="1"/>
  <c r="G2363" i="22"/>
  <c r="H2362" i="22"/>
  <c r="I2362" i="22" s="1"/>
  <c r="G2362" i="22"/>
  <c r="H2361" i="22"/>
  <c r="I2361" i="22" s="1"/>
  <c r="G2361" i="22"/>
  <c r="H2360" i="22"/>
  <c r="I2360" i="22" s="1"/>
  <c r="G2360" i="22"/>
  <c r="H2359" i="22"/>
  <c r="I2359" i="22" s="1"/>
  <c r="G2359" i="22"/>
  <c r="H2358" i="22"/>
  <c r="I2358" i="22" s="1"/>
  <c r="G2358" i="22"/>
  <c r="H2357" i="22"/>
  <c r="I2357" i="22" s="1"/>
  <c r="G2357" i="22"/>
  <c r="H2356" i="22"/>
  <c r="I2356" i="22" s="1"/>
  <c r="G2356" i="22"/>
  <c r="H2355" i="22"/>
  <c r="I2355" i="22" s="1"/>
  <c r="G2355" i="22"/>
  <c r="H2354" i="22"/>
  <c r="I2354" i="22" s="1"/>
  <c r="G2354" i="22"/>
  <c r="H2353" i="22"/>
  <c r="I2353" i="22" s="1"/>
  <c r="G2353" i="22"/>
  <c r="H2352" i="22"/>
  <c r="I2352" i="22" s="1"/>
  <c r="G2352" i="22"/>
  <c r="H2351" i="22"/>
  <c r="I2351" i="22" s="1"/>
  <c r="G2351" i="22"/>
  <c r="H2350" i="22"/>
  <c r="I2350" i="22" s="1"/>
  <c r="G2350" i="22"/>
  <c r="H2349" i="22"/>
  <c r="I2349" i="22" s="1"/>
  <c r="G2349" i="22"/>
  <c r="H2348" i="22"/>
  <c r="I2348" i="22" s="1"/>
  <c r="G2348" i="22"/>
  <c r="H2347" i="22"/>
  <c r="I2347" i="22" s="1"/>
  <c r="G2347" i="22"/>
  <c r="H2346" i="22"/>
  <c r="I2346" i="22" s="1"/>
  <c r="G2346" i="22"/>
  <c r="H2345" i="22"/>
  <c r="I2345" i="22" s="1"/>
  <c r="G2345" i="22"/>
  <c r="H2344" i="22"/>
  <c r="I2344" i="22" s="1"/>
  <c r="G2344" i="22"/>
  <c r="H2343" i="22"/>
  <c r="I2343" i="22" s="1"/>
  <c r="G2343" i="22"/>
  <c r="H2342" i="22"/>
  <c r="I2342" i="22" s="1"/>
  <c r="G2342" i="22"/>
  <c r="H2341" i="22"/>
  <c r="I2341" i="22" s="1"/>
  <c r="G2341" i="22"/>
  <c r="H2340" i="22"/>
  <c r="I2340" i="22" s="1"/>
  <c r="G2340" i="22"/>
  <c r="H2339" i="22"/>
  <c r="I2339" i="22" s="1"/>
  <c r="G2339" i="22"/>
  <c r="H2338" i="22"/>
  <c r="I2338" i="22" s="1"/>
  <c r="G2338" i="22"/>
  <c r="H2337" i="22"/>
  <c r="I2337" i="22" s="1"/>
  <c r="G2337" i="22"/>
  <c r="H2336" i="22"/>
  <c r="I2336" i="22" s="1"/>
  <c r="G2336" i="22"/>
  <c r="H2335" i="22"/>
  <c r="I2335" i="22" s="1"/>
  <c r="G2335" i="22"/>
  <c r="H2334" i="22"/>
  <c r="I2334" i="22" s="1"/>
  <c r="G2334" i="22"/>
  <c r="H2333" i="22"/>
  <c r="I2333" i="22" s="1"/>
  <c r="G2333" i="22"/>
  <c r="H2332" i="22"/>
  <c r="I2332" i="22" s="1"/>
  <c r="G2332" i="22"/>
  <c r="H2331" i="22"/>
  <c r="I2331" i="22" s="1"/>
  <c r="G2331" i="22"/>
  <c r="H2330" i="22"/>
  <c r="I2330" i="22" s="1"/>
  <c r="G2330" i="22"/>
  <c r="H2329" i="22"/>
  <c r="I2329" i="22" s="1"/>
  <c r="G2329" i="22"/>
  <c r="H2328" i="22"/>
  <c r="I2328" i="22" s="1"/>
  <c r="G2328" i="22"/>
  <c r="H2327" i="22"/>
  <c r="I2327" i="22" s="1"/>
  <c r="G2327" i="22"/>
  <c r="H2326" i="22"/>
  <c r="I2326" i="22" s="1"/>
  <c r="G2326" i="22"/>
  <c r="H2325" i="22"/>
  <c r="I2325" i="22" s="1"/>
  <c r="G2325" i="22"/>
  <c r="H2324" i="22"/>
  <c r="I2324" i="22" s="1"/>
  <c r="G2324" i="22"/>
  <c r="H2323" i="22"/>
  <c r="I2323" i="22" s="1"/>
  <c r="G2323" i="22"/>
  <c r="H2322" i="22"/>
  <c r="I2322" i="22" s="1"/>
  <c r="G2322" i="22"/>
  <c r="H2321" i="22"/>
  <c r="I2321" i="22" s="1"/>
  <c r="G2321" i="22"/>
  <c r="H2320" i="22"/>
  <c r="I2320" i="22" s="1"/>
  <c r="G2320" i="22"/>
  <c r="H2319" i="22"/>
  <c r="I2319" i="22" s="1"/>
  <c r="G2319" i="22"/>
  <c r="H2318" i="22"/>
  <c r="I2318" i="22" s="1"/>
  <c r="G2318" i="22"/>
  <c r="H2317" i="22"/>
  <c r="I2317" i="22" s="1"/>
  <c r="G2317" i="22"/>
  <c r="H2316" i="22"/>
  <c r="I2316" i="22" s="1"/>
  <c r="G2316" i="22"/>
  <c r="H2315" i="22"/>
  <c r="I2315" i="22" s="1"/>
  <c r="G2315" i="22"/>
  <c r="H2314" i="22"/>
  <c r="I2314" i="22" s="1"/>
  <c r="G2314" i="22"/>
  <c r="H2313" i="22"/>
  <c r="I2313" i="22" s="1"/>
  <c r="G2313" i="22"/>
  <c r="H2312" i="22"/>
  <c r="I2312" i="22" s="1"/>
  <c r="G2312" i="22"/>
  <c r="H2311" i="22"/>
  <c r="I2311" i="22" s="1"/>
  <c r="G2311" i="22"/>
  <c r="H2310" i="22"/>
  <c r="I2310" i="22" s="1"/>
  <c r="G2310" i="22"/>
  <c r="H2309" i="22"/>
  <c r="I2309" i="22" s="1"/>
  <c r="G2309" i="22"/>
  <c r="H2308" i="22"/>
  <c r="I2308" i="22" s="1"/>
  <c r="G2308" i="22"/>
  <c r="H2307" i="22"/>
  <c r="I2307" i="22" s="1"/>
  <c r="G2307" i="22"/>
  <c r="H2306" i="22"/>
  <c r="I2306" i="22" s="1"/>
  <c r="G2306" i="22"/>
  <c r="H2305" i="22"/>
  <c r="I2305" i="22" s="1"/>
  <c r="G2305" i="22"/>
  <c r="H2304" i="22"/>
  <c r="I2304" i="22" s="1"/>
  <c r="G2304" i="22"/>
  <c r="H2303" i="22"/>
  <c r="I2303" i="22" s="1"/>
  <c r="G2303" i="22"/>
  <c r="H2302" i="22"/>
  <c r="I2302" i="22" s="1"/>
  <c r="G2302" i="22"/>
  <c r="H2301" i="22"/>
  <c r="I2301" i="22" s="1"/>
  <c r="G2301" i="22"/>
  <c r="H2300" i="22"/>
  <c r="I2300" i="22" s="1"/>
  <c r="G2300" i="22"/>
  <c r="H2299" i="22"/>
  <c r="I2299" i="22" s="1"/>
  <c r="G2299" i="22"/>
  <c r="H2298" i="22"/>
  <c r="I2298" i="22" s="1"/>
  <c r="G2298" i="22"/>
  <c r="H2297" i="22"/>
  <c r="I2297" i="22" s="1"/>
  <c r="G2297" i="22"/>
  <c r="H2296" i="22"/>
  <c r="I2296" i="22" s="1"/>
  <c r="G2296" i="22"/>
  <c r="H2295" i="22"/>
  <c r="I2295" i="22" s="1"/>
  <c r="G2295" i="22"/>
  <c r="H2294" i="22"/>
  <c r="I2294" i="22" s="1"/>
  <c r="G2294" i="22"/>
  <c r="H2293" i="22"/>
  <c r="I2293" i="22" s="1"/>
  <c r="G2293" i="22"/>
  <c r="H2292" i="22"/>
  <c r="I2292" i="22" s="1"/>
  <c r="G2292" i="22"/>
  <c r="H2291" i="22"/>
  <c r="I2291" i="22" s="1"/>
  <c r="G2291" i="22"/>
  <c r="H2290" i="22"/>
  <c r="I2290" i="22" s="1"/>
  <c r="G2290" i="22"/>
  <c r="H2289" i="22"/>
  <c r="I2289" i="22" s="1"/>
  <c r="G2289" i="22"/>
  <c r="H2288" i="22"/>
  <c r="I2288" i="22" s="1"/>
  <c r="G2288" i="22"/>
  <c r="H2287" i="22"/>
  <c r="I2287" i="22" s="1"/>
  <c r="G2287" i="22"/>
  <c r="H2286" i="22"/>
  <c r="I2286" i="22" s="1"/>
  <c r="G2286" i="22"/>
  <c r="H2285" i="22"/>
  <c r="I2285" i="22" s="1"/>
  <c r="G2285" i="22"/>
  <c r="H2284" i="22"/>
  <c r="I2284" i="22" s="1"/>
  <c r="G2284" i="22"/>
  <c r="H2283" i="22"/>
  <c r="I2283" i="22" s="1"/>
  <c r="G2283" i="22"/>
  <c r="H2282" i="22"/>
  <c r="I2282" i="22" s="1"/>
  <c r="G2282" i="22"/>
  <c r="H2281" i="22"/>
  <c r="I2281" i="22" s="1"/>
  <c r="G2281" i="22"/>
  <c r="H2280" i="22"/>
  <c r="I2280" i="22" s="1"/>
  <c r="G2280" i="22"/>
  <c r="H2279" i="22"/>
  <c r="I2279" i="22" s="1"/>
  <c r="G2279" i="22"/>
  <c r="H2278" i="22"/>
  <c r="I2278" i="22" s="1"/>
  <c r="G2278" i="22"/>
  <c r="H2277" i="22"/>
  <c r="I2277" i="22" s="1"/>
  <c r="G2277" i="22"/>
  <c r="H2276" i="22"/>
  <c r="I2276" i="22" s="1"/>
  <c r="G2276" i="22"/>
  <c r="H2275" i="22"/>
  <c r="I2275" i="22" s="1"/>
  <c r="G2275" i="22"/>
  <c r="H2274" i="22"/>
  <c r="I2274" i="22" s="1"/>
  <c r="G2274" i="22"/>
  <c r="H2273" i="22"/>
  <c r="I2273" i="22" s="1"/>
  <c r="G2273" i="22"/>
  <c r="H2272" i="22"/>
  <c r="I2272" i="22" s="1"/>
  <c r="G2272" i="22"/>
  <c r="H2271" i="22"/>
  <c r="I2271" i="22" s="1"/>
  <c r="G2271" i="22"/>
  <c r="H2270" i="22"/>
  <c r="I2270" i="22" s="1"/>
  <c r="G2270" i="22"/>
  <c r="H2269" i="22"/>
  <c r="I2269" i="22" s="1"/>
  <c r="G2269" i="22"/>
  <c r="H2268" i="22"/>
  <c r="I2268" i="22" s="1"/>
  <c r="G2268" i="22"/>
  <c r="H2267" i="22"/>
  <c r="I2267" i="22" s="1"/>
  <c r="G2267" i="22"/>
  <c r="H2266" i="22"/>
  <c r="I2266" i="22" s="1"/>
  <c r="G2266" i="22"/>
  <c r="H2265" i="22"/>
  <c r="I2265" i="22" s="1"/>
  <c r="G2265" i="22"/>
  <c r="H2264" i="22"/>
  <c r="I2264" i="22" s="1"/>
  <c r="G2264" i="22"/>
  <c r="H2263" i="22"/>
  <c r="I2263" i="22" s="1"/>
  <c r="G2263" i="22"/>
  <c r="H2262" i="22"/>
  <c r="I2262" i="22" s="1"/>
  <c r="G2262" i="22"/>
  <c r="H2261" i="22"/>
  <c r="I2261" i="22" s="1"/>
  <c r="G2261" i="22"/>
  <c r="H2260" i="22"/>
  <c r="I2260" i="22" s="1"/>
  <c r="G2260" i="22"/>
  <c r="H2259" i="22"/>
  <c r="I2259" i="22" s="1"/>
  <c r="G2259" i="22"/>
  <c r="H2258" i="22"/>
  <c r="I2258" i="22" s="1"/>
  <c r="G2258" i="22"/>
  <c r="H2257" i="22"/>
  <c r="I2257" i="22" s="1"/>
  <c r="G2257" i="22"/>
  <c r="H2256" i="22"/>
  <c r="I2256" i="22" s="1"/>
  <c r="G2256" i="22"/>
  <c r="H2255" i="22"/>
  <c r="I2255" i="22" s="1"/>
  <c r="G2255" i="22"/>
  <c r="H2254" i="22"/>
  <c r="I2254" i="22" s="1"/>
  <c r="G2254" i="22"/>
  <c r="H2253" i="22"/>
  <c r="I2253" i="22" s="1"/>
  <c r="G2253" i="22"/>
  <c r="H2252" i="22"/>
  <c r="I2252" i="22" s="1"/>
  <c r="G2252" i="22"/>
  <c r="H2251" i="22"/>
  <c r="I2251" i="22" s="1"/>
  <c r="G2251" i="22"/>
  <c r="H2250" i="22"/>
  <c r="I2250" i="22" s="1"/>
  <c r="G2250" i="22"/>
  <c r="H2249" i="22"/>
  <c r="I2249" i="22" s="1"/>
  <c r="G2249" i="22"/>
  <c r="H2248" i="22"/>
  <c r="I2248" i="22" s="1"/>
  <c r="G2248" i="22"/>
  <c r="H2247" i="22"/>
  <c r="I2247" i="22" s="1"/>
  <c r="G2247" i="22"/>
  <c r="H2246" i="22"/>
  <c r="I2246" i="22" s="1"/>
  <c r="G2246" i="22"/>
  <c r="H2245" i="22"/>
  <c r="I2245" i="22" s="1"/>
  <c r="G2245" i="22"/>
  <c r="H2244" i="22"/>
  <c r="I2244" i="22" s="1"/>
  <c r="G2244" i="22"/>
  <c r="H2243" i="22"/>
  <c r="I2243" i="22" s="1"/>
  <c r="G2243" i="22"/>
  <c r="H2242" i="22"/>
  <c r="I2242" i="22" s="1"/>
  <c r="G2242" i="22"/>
  <c r="H2241" i="22"/>
  <c r="I2241" i="22" s="1"/>
  <c r="G2241" i="22"/>
  <c r="H2240" i="22"/>
  <c r="I2240" i="22" s="1"/>
  <c r="G2240" i="22"/>
  <c r="H2239" i="22"/>
  <c r="I2239" i="22" s="1"/>
  <c r="G2239" i="22"/>
  <c r="H2238" i="22"/>
  <c r="I2238" i="22" s="1"/>
  <c r="G2238" i="22"/>
  <c r="H2237" i="22"/>
  <c r="I2237" i="22" s="1"/>
  <c r="G2237" i="22"/>
  <c r="H2236" i="22"/>
  <c r="I2236" i="22" s="1"/>
  <c r="G2236" i="22"/>
  <c r="H2235" i="22"/>
  <c r="I2235" i="22" s="1"/>
  <c r="G2235" i="22"/>
  <c r="H2234" i="22"/>
  <c r="I2234" i="22" s="1"/>
  <c r="G2234" i="22"/>
  <c r="H2233" i="22"/>
  <c r="I2233" i="22" s="1"/>
  <c r="G2233" i="22"/>
  <c r="H2232" i="22"/>
  <c r="I2232" i="22" s="1"/>
  <c r="G2232" i="22"/>
  <c r="H2231" i="22"/>
  <c r="I2231" i="22" s="1"/>
  <c r="G2231" i="22"/>
  <c r="H2230" i="22"/>
  <c r="I2230" i="22" s="1"/>
  <c r="G2230" i="22"/>
  <c r="H2229" i="22"/>
  <c r="I2229" i="22" s="1"/>
  <c r="G2229" i="22"/>
  <c r="H2228" i="22"/>
  <c r="I2228" i="22" s="1"/>
  <c r="G2228" i="22"/>
  <c r="H2227" i="22"/>
  <c r="I2227" i="22" s="1"/>
  <c r="G2227" i="22"/>
  <c r="H2226" i="22"/>
  <c r="I2226" i="22" s="1"/>
  <c r="G2226" i="22"/>
  <c r="H2225" i="22"/>
  <c r="I2225" i="22" s="1"/>
  <c r="G2225" i="22"/>
  <c r="H2224" i="22"/>
  <c r="I2224" i="22" s="1"/>
  <c r="G2224" i="22"/>
  <c r="H2223" i="22"/>
  <c r="I2223" i="22" s="1"/>
  <c r="G2223" i="22"/>
  <c r="H2222" i="22"/>
  <c r="I2222" i="22" s="1"/>
  <c r="G2222" i="22"/>
  <c r="H2221" i="22"/>
  <c r="I2221" i="22" s="1"/>
  <c r="G2221" i="22"/>
  <c r="H2220" i="22"/>
  <c r="I2220" i="22" s="1"/>
  <c r="G2220" i="22"/>
  <c r="H2219" i="22"/>
  <c r="I2219" i="22" s="1"/>
  <c r="G2219" i="22"/>
  <c r="H2218" i="22"/>
  <c r="I2218" i="22" s="1"/>
  <c r="G2218" i="22"/>
  <c r="H2217" i="22"/>
  <c r="I2217" i="22" s="1"/>
  <c r="G2217" i="22"/>
  <c r="H2216" i="22"/>
  <c r="I2216" i="22" s="1"/>
  <c r="G2216" i="22"/>
  <c r="H2215" i="22"/>
  <c r="I2215" i="22" s="1"/>
  <c r="G2215" i="22"/>
  <c r="H2214" i="22"/>
  <c r="I2214" i="22" s="1"/>
  <c r="G2214" i="22"/>
  <c r="H2213" i="22"/>
  <c r="I2213" i="22" s="1"/>
  <c r="G2213" i="22"/>
  <c r="H2212" i="22"/>
  <c r="I2212" i="22" s="1"/>
  <c r="G2212" i="22"/>
  <c r="H2211" i="22"/>
  <c r="I2211" i="22" s="1"/>
  <c r="G2211" i="22"/>
  <c r="H2210" i="22"/>
  <c r="I2210" i="22" s="1"/>
  <c r="G2210" i="22"/>
  <c r="H2209" i="22"/>
  <c r="I2209" i="22" s="1"/>
  <c r="G2209" i="22"/>
  <c r="H2208" i="22"/>
  <c r="I2208" i="22" s="1"/>
  <c r="G2208" i="22"/>
  <c r="H2207" i="22"/>
  <c r="I2207" i="22" s="1"/>
  <c r="G2207" i="22"/>
  <c r="H2206" i="22"/>
  <c r="I2206" i="22" s="1"/>
  <c r="G2206" i="22"/>
  <c r="H2205" i="22"/>
  <c r="I2205" i="22" s="1"/>
  <c r="G2205" i="22"/>
  <c r="H2204" i="22"/>
  <c r="I2204" i="22" s="1"/>
  <c r="G2204" i="22"/>
  <c r="H2203" i="22"/>
  <c r="I2203" i="22" s="1"/>
  <c r="G2203" i="22"/>
  <c r="H2202" i="22"/>
  <c r="I2202" i="22" s="1"/>
  <c r="G2202" i="22"/>
  <c r="H2201" i="22"/>
  <c r="I2201" i="22" s="1"/>
  <c r="G2201" i="22"/>
  <c r="H2200" i="22"/>
  <c r="I2200" i="22" s="1"/>
  <c r="G2200" i="22"/>
  <c r="H2199" i="22"/>
  <c r="I2199" i="22" s="1"/>
  <c r="G2199" i="22"/>
  <c r="H2198" i="22"/>
  <c r="I2198" i="22" s="1"/>
  <c r="G2198" i="22"/>
  <c r="H2197" i="22"/>
  <c r="I2197" i="22" s="1"/>
  <c r="G2197" i="22"/>
  <c r="H2196" i="22"/>
  <c r="I2196" i="22" s="1"/>
  <c r="G2196" i="22"/>
  <c r="H2195" i="22"/>
  <c r="I2195" i="22" s="1"/>
  <c r="G2195" i="22"/>
  <c r="H2194" i="22"/>
  <c r="I2194" i="22" s="1"/>
  <c r="G2194" i="22"/>
  <c r="H2193" i="22"/>
  <c r="I2193" i="22" s="1"/>
  <c r="G2193" i="22"/>
  <c r="H2192" i="22"/>
  <c r="I2192" i="22" s="1"/>
  <c r="G2192" i="22"/>
  <c r="H2191" i="22"/>
  <c r="I2191" i="22" s="1"/>
  <c r="G2191" i="22"/>
  <c r="H2190" i="22"/>
  <c r="I2190" i="22" s="1"/>
  <c r="G2190" i="22"/>
  <c r="H2189" i="22"/>
  <c r="I2189" i="22" s="1"/>
  <c r="G2189" i="22"/>
  <c r="H2188" i="22"/>
  <c r="I2188" i="22" s="1"/>
  <c r="G2188" i="22"/>
  <c r="H2187" i="22"/>
  <c r="I2187" i="22" s="1"/>
  <c r="G2187" i="22"/>
  <c r="H2186" i="22"/>
  <c r="I2186" i="22" s="1"/>
  <c r="G2186" i="22"/>
  <c r="H2185" i="22"/>
  <c r="I2185" i="22" s="1"/>
  <c r="G2185" i="22"/>
  <c r="H2184" i="22"/>
  <c r="I2184" i="22" s="1"/>
  <c r="G2184" i="22"/>
  <c r="H2183" i="22"/>
  <c r="I2183" i="22" s="1"/>
  <c r="G2183" i="22"/>
  <c r="H2182" i="22"/>
  <c r="I2182" i="22" s="1"/>
  <c r="G2182" i="22"/>
  <c r="H2181" i="22"/>
  <c r="I2181" i="22" s="1"/>
  <c r="G2181" i="22"/>
  <c r="H2180" i="22"/>
  <c r="I2180" i="22" s="1"/>
  <c r="G2180" i="22"/>
  <c r="H2179" i="22"/>
  <c r="I2179" i="22" s="1"/>
  <c r="G2179" i="22"/>
  <c r="H2178" i="22"/>
  <c r="I2178" i="22" s="1"/>
  <c r="G2178" i="22"/>
  <c r="H2177" i="22"/>
  <c r="I2177" i="22" s="1"/>
  <c r="G2177" i="22"/>
  <c r="H2176" i="22"/>
  <c r="I2176" i="22" s="1"/>
  <c r="G2176" i="22"/>
  <c r="H2175" i="22"/>
  <c r="I2175" i="22" s="1"/>
  <c r="G2175" i="22"/>
  <c r="H2174" i="22"/>
  <c r="I2174" i="22" s="1"/>
  <c r="G2174" i="22"/>
  <c r="H2173" i="22"/>
  <c r="I2173" i="22" s="1"/>
  <c r="G2173" i="22"/>
  <c r="H2172" i="22"/>
  <c r="I2172" i="22" s="1"/>
  <c r="G2172" i="22"/>
  <c r="H2171" i="22"/>
  <c r="I2171" i="22" s="1"/>
  <c r="G2171" i="22"/>
  <c r="H2170" i="22"/>
  <c r="I2170" i="22" s="1"/>
  <c r="G2170" i="22"/>
  <c r="H2169" i="22"/>
  <c r="I2169" i="22" s="1"/>
  <c r="G2169" i="22"/>
  <c r="H2168" i="22"/>
  <c r="I2168" i="22" s="1"/>
  <c r="G2168" i="22"/>
  <c r="H2167" i="22"/>
  <c r="I2167" i="22" s="1"/>
  <c r="G2167" i="22"/>
  <c r="H2166" i="22"/>
  <c r="I2166" i="22" s="1"/>
  <c r="G2166" i="22"/>
  <c r="H2165" i="22"/>
  <c r="I2165" i="22" s="1"/>
  <c r="G2165" i="22"/>
  <c r="H2164" i="22"/>
  <c r="I2164" i="22" s="1"/>
  <c r="G2164" i="22"/>
  <c r="H2163" i="22"/>
  <c r="I2163" i="22" s="1"/>
  <c r="G2163" i="22"/>
  <c r="H2162" i="22"/>
  <c r="I2162" i="22" s="1"/>
  <c r="G2162" i="22"/>
  <c r="H2161" i="22"/>
  <c r="I2161" i="22" s="1"/>
  <c r="G2161" i="22"/>
  <c r="H2160" i="22"/>
  <c r="I2160" i="22" s="1"/>
  <c r="G2160" i="22"/>
  <c r="H2159" i="22"/>
  <c r="I2159" i="22" s="1"/>
  <c r="G2159" i="22"/>
  <c r="H2158" i="22"/>
  <c r="I2158" i="22" s="1"/>
  <c r="G2158" i="22"/>
  <c r="H2157" i="22"/>
  <c r="I2157" i="22" s="1"/>
  <c r="G2157" i="22"/>
  <c r="H2156" i="22"/>
  <c r="I2156" i="22" s="1"/>
  <c r="G2156" i="22"/>
  <c r="H2155" i="22"/>
  <c r="I2155" i="22" s="1"/>
  <c r="G2155" i="22"/>
  <c r="H2154" i="22"/>
  <c r="I2154" i="22" s="1"/>
  <c r="G2154" i="22"/>
  <c r="H2153" i="22"/>
  <c r="I2153" i="22" s="1"/>
  <c r="G2153" i="22"/>
  <c r="H2152" i="22"/>
  <c r="I2152" i="22" s="1"/>
  <c r="G2152" i="22"/>
  <c r="H2151" i="22"/>
  <c r="I2151" i="22" s="1"/>
  <c r="G2151" i="22"/>
  <c r="H2150" i="22"/>
  <c r="I2150" i="22" s="1"/>
  <c r="G2150" i="22"/>
  <c r="H2149" i="22"/>
  <c r="I2149" i="22" s="1"/>
  <c r="G2149" i="22"/>
  <c r="H2148" i="22"/>
  <c r="I2148" i="22" s="1"/>
  <c r="G2148" i="22"/>
  <c r="H2147" i="22"/>
  <c r="I2147" i="22" s="1"/>
  <c r="G2147" i="22"/>
  <c r="H2146" i="22"/>
  <c r="I2146" i="22" s="1"/>
  <c r="G2146" i="22"/>
  <c r="H2145" i="22"/>
  <c r="I2145" i="22" s="1"/>
  <c r="G2145" i="22"/>
  <c r="H2144" i="22"/>
  <c r="I2144" i="22" s="1"/>
  <c r="G2144" i="22"/>
  <c r="H2143" i="22"/>
  <c r="I2143" i="22" s="1"/>
  <c r="G2143" i="22"/>
  <c r="H2142" i="22"/>
  <c r="I2142" i="22" s="1"/>
  <c r="G2142" i="22"/>
  <c r="H2141" i="22"/>
  <c r="I2141" i="22" s="1"/>
  <c r="G2141" i="22"/>
  <c r="H2140" i="22"/>
  <c r="I2140" i="22" s="1"/>
  <c r="G2140" i="22"/>
  <c r="H2139" i="22"/>
  <c r="I2139" i="22" s="1"/>
  <c r="G2139" i="22"/>
  <c r="H2138" i="22"/>
  <c r="I2138" i="22" s="1"/>
  <c r="G2138" i="22"/>
  <c r="H2137" i="22"/>
  <c r="I2137" i="22" s="1"/>
  <c r="G2137" i="22"/>
  <c r="H2136" i="22"/>
  <c r="I2136" i="22" s="1"/>
  <c r="G2136" i="22"/>
  <c r="H2135" i="22"/>
  <c r="I2135" i="22" s="1"/>
  <c r="G2135" i="22"/>
  <c r="H2134" i="22"/>
  <c r="I2134" i="22" s="1"/>
  <c r="G2134" i="22"/>
  <c r="H2133" i="22"/>
  <c r="I2133" i="22" s="1"/>
  <c r="G2133" i="22"/>
  <c r="H2132" i="22"/>
  <c r="I2132" i="22" s="1"/>
  <c r="G2132" i="22"/>
  <c r="H2131" i="22"/>
  <c r="I2131" i="22" s="1"/>
  <c r="G2131" i="22"/>
  <c r="H2130" i="22"/>
  <c r="I2130" i="22" s="1"/>
  <c r="G2130" i="22"/>
  <c r="H2129" i="22"/>
  <c r="I2129" i="22" s="1"/>
  <c r="G2129" i="22"/>
  <c r="H2128" i="22"/>
  <c r="I2128" i="22" s="1"/>
  <c r="G2128" i="22"/>
  <c r="H2127" i="22"/>
  <c r="I2127" i="22" s="1"/>
  <c r="G2127" i="22"/>
  <c r="H2126" i="22"/>
  <c r="I2126" i="22" s="1"/>
  <c r="G2126" i="22"/>
  <c r="H2125" i="22"/>
  <c r="I2125" i="22" s="1"/>
  <c r="G2125" i="22"/>
  <c r="H2124" i="22"/>
  <c r="I2124" i="22" s="1"/>
  <c r="G2124" i="22"/>
  <c r="H2123" i="22"/>
  <c r="I2123" i="22" s="1"/>
  <c r="G2123" i="22"/>
  <c r="H2122" i="22"/>
  <c r="I2122" i="22" s="1"/>
  <c r="G2122" i="22"/>
  <c r="H2121" i="22"/>
  <c r="I2121" i="22" s="1"/>
  <c r="G2121" i="22"/>
  <c r="H2120" i="22"/>
  <c r="I2120" i="22" s="1"/>
  <c r="G2120" i="22"/>
  <c r="H2119" i="22"/>
  <c r="I2119" i="22" s="1"/>
  <c r="G2119" i="22"/>
  <c r="H2118" i="22"/>
  <c r="I2118" i="22" s="1"/>
  <c r="G2118" i="22"/>
  <c r="H2117" i="22"/>
  <c r="I2117" i="22" s="1"/>
  <c r="G2117" i="22"/>
  <c r="H2116" i="22"/>
  <c r="I2116" i="22" s="1"/>
  <c r="G2116" i="22"/>
  <c r="H2115" i="22"/>
  <c r="I2115" i="22" s="1"/>
  <c r="G2115" i="22"/>
  <c r="H2114" i="22"/>
  <c r="I2114" i="22" s="1"/>
  <c r="G2114" i="22"/>
  <c r="H2113" i="22"/>
  <c r="I2113" i="22" s="1"/>
  <c r="G2113" i="22"/>
  <c r="H2112" i="22"/>
  <c r="I2112" i="22" s="1"/>
  <c r="G2112" i="22"/>
  <c r="H2111" i="22"/>
  <c r="I2111" i="22" s="1"/>
  <c r="G2111" i="22"/>
  <c r="H2110" i="22"/>
  <c r="I2110" i="22" s="1"/>
  <c r="G2110" i="22"/>
  <c r="H2109" i="22"/>
  <c r="I2109" i="22" s="1"/>
  <c r="G2109" i="22"/>
  <c r="H2108" i="22"/>
  <c r="I2108" i="22" s="1"/>
  <c r="G2108" i="22"/>
  <c r="H2107" i="22"/>
  <c r="I2107" i="22" s="1"/>
  <c r="G2107" i="22"/>
  <c r="H2106" i="22"/>
  <c r="I2106" i="22" s="1"/>
  <c r="G2106" i="22"/>
  <c r="H2105" i="22"/>
  <c r="I2105" i="22" s="1"/>
  <c r="G2105" i="22"/>
  <c r="H2104" i="22"/>
  <c r="I2104" i="22" s="1"/>
  <c r="G2104" i="22"/>
  <c r="H2103" i="22"/>
  <c r="I2103" i="22" s="1"/>
  <c r="G2103" i="22"/>
  <c r="H2102" i="22"/>
  <c r="I2102" i="22" s="1"/>
  <c r="G2102" i="22"/>
  <c r="H2101" i="22"/>
  <c r="I2101" i="22" s="1"/>
  <c r="G2101" i="22"/>
  <c r="H2100" i="22"/>
  <c r="I2100" i="22" s="1"/>
  <c r="G2100" i="22"/>
  <c r="H2099" i="22"/>
  <c r="I2099" i="22" s="1"/>
  <c r="G2099" i="22"/>
  <c r="H2098" i="22"/>
  <c r="I2098" i="22" s="1"/>
  <c r="G2098" i="22"/>
  <c r="H2097" i="22"/>
  <c r="I2097" i="22" s="1"/>
  <c r="G2097" i="22"/>
  <c r="H2096" i="22"/>
  <c r="I2096" i="22" s="1"/>
  <c r="G2096" i="22"/>
  <c r="H2095" i="22"/>
  <c r="I2095" i="22" s="1"/>
  <c r="G2095" i="22"/>
  <c r="H2094" i="22"/>
  <c r="I2094" i="22" s="1"/>
  <c r="G2094" i="22"/>
  <c r="H2093" i="22"/>
  <c r="I2093" i="22" s="1"/>
  <c r="G2093" i="22"/>
  <c r="H2092" i="22"/>
  <c r="I2092" i="22" s="1"/>
  <c r="G2092" i="22"/>
  <c r="H2091" i="22"/>
  <c r="I2091" i="22" s="1"/>
  <c r="G2091" i="22"/>
  <c r="H2090" i="22"/>
  <c r="I2090" i="22" s="1"/>
  <c r="G2090" i="22"/>
  <c r="H2089" i="22"/>
  <c r="I2089" i="22" s="1"/>
  <c r="G2089" i="22"/>
  <c r="H2088" i="22"/>
  <c r="I2088" i="22" s="1"/>
  <c r="G2088" i="22"/>
  <c r="H2087" i="22"/>
  <c r="I2087" i="22" s="1"/>
  <c r="G2087" i="22"/>
  <c r="H2086" i="22"/>
  <c r="I2086" i="22" s="1"/>
  <c r="G2086" i="22"/>
  <c r="H2085" i="22"/>
  <c r="I2085" i="22" s="1"/>
  <c r="G2085" i="22"/>
  <c r="H2084" i="22"/>
  <c r="I2084" i="22" s="1"/>
  <c r="G2084" i="22"/>
  <c r="H2083" i="22"/>
  <c r="I2083" i="22" s="1"/>
  <c r="G2083" i="22"/>
  <c r="H2082" i="22"/>
  <c r="I2082" i="22" s="1"/>
  <c r="G2082" i="22"/>
  <c r="H2081" i="22"/>
  <c r="I2081" i="22" s="1"/>
  <c r="G2081" i="22"/>
  <c r="H2080" i="22"/>
  <c r="I2080" i="22" s="1"/>
  <c r="G2080" i="22"/>
  <c r="H2079" i="22"/>
  <c r="I2079" i="22" s="1"/>
  <c r="G2079" i="22"/>
  <c r="H2078" i="22"/>
  <c r="I2078" i="22" s="1"/>
  <c r="G2078" i="22"/>
  <c r="H2077" i="22"/>
  <c r="I2077" i="22" s="1"/>
  <c r="G2077" i="22"/>
  <c r="H2076" i="22"/>
  <c r="I2076" i="22" s="1"/>
  <c r="G2076" i="22"/>
  <c r="H2075" i="22"/>
  <c r="I2075" i="22" s="1"/>
  <c r="G2075" i="22"/>
  <c r="H2074" i="22"/>
  <c r="I2074" i="22" s="1"/>
  <c r="G2074" i="22"/>
  <c r="H2073" i="22"/>
  <c r="I2073" i="22" s="1"/>
  <c r="G2073" i="22"/>
  <c r="H2072" i="22"/>
  <c r="I2072" i="22" s="1"/>
  <c r="G2072" i="22"/>
  <c r="H2071" i="22"/>
  <c r="I2071" i="22" s="1"/>
  <c r="G2071" i="22"/>
  <c r="H2070" i="22"/>
  <c r="I2070" i="22" s="1"/>
  <c r="G2070" i="22"/>
  <c r="H2069" i="22"/>
  <c r="I2069" i="22" s="1"/>
  <c r="G2069" i="22"/>
  <c r="H2068" i="22"/>
  <c r="I2068" i="22" s="1"/>
  <c r="G2068" i="22"/>
  <c r="H2067" i="22"/>
  <c r="I2067" i="22" s="1"/>
  <c r="G2067" i="22"/>
  <c r="H2066" i="22"/>
  <c r="I2066" i="22" s="1"/>
  <c r="G2066" i="22"/>
  <c r="H2065" i="22"/>
  <c r="I2065" i="22" s="1"/>
  <c r="G2065" i="22"/>
  <c r="H2064" i="22"/>
  <c r="I2064" i="22" s="1"/>
  <c r="G2064" i="22"/>
  <c r="H2063" i="22"/>
  <c r="I2063" i="22" s="1"/>
  <c r="G2063" i="22"/>
  <c r="H2062" i="22"/>
  <c r="I2062" i="22" s="1"/>
  <c r="G2062" i="22"/>
  <c r="H2061" i="22"/>
  <c r="I2061" i="22" s="1"/>
  <c r="G2061" i="22"/>
  <c r="H2060" i="22"/>
  <c r="I2060" i="22" s="1"/>
  <c r="G2060" i="22"/>
  <c r="H2059" i="22"/>
  <c r="I2059" i="22" s="1"/>
  <c r="G2059" i="22"/>
  <c r="H2058" i="22"/>
  <c r="I2058" i="22" s="1"/>
  <c r="G2058" i="22"/>
  <c r="H2057" i="22"/>
  <c r="I2057" i="22" s="1"/>
  <c r="G2057" i="22"/>
  <c r="H2056" i="22"/>
  <c r="I2056" i="22" s="1"/>
  <c r="G2056" i="22"/>
  <c r="H2055" i="22"/>
  <c r="I2055" i="22" s="1"/>
  <c r="G2055" i="22"/>
  <c r="H2054" i="22"/>
  <c r="I2054" i="22" s="1"/>
  <c r="G2054" i="22"/>
  <c r="H2053" i="22"/>
  <c r="I2053" i="22" s="1"/>
  <c r="G2053" i="22"/>
  <c r="H2052" i="22"/>
  <c r="I2052" i="22" s="1"/>
  <c r="G2052" i="22"/>
  <c r="H2051" i="22"/>
  <c r="I2051" i="22" s="1"/>
  <c r="G2051" i="22"/>
  <c r="H2050" i="22"/>
  <c r="I2050" i="22" s="1"/>
  <c r="G2050" i="22"/>
  <c r="H2049" i="22"/>
  <c r="I2049" i="22" s="1"/>
  <c r="G2049" i="22"/>
  <c r="H2048" i="22"/>
  <c r="I2048" i="22" s="1"/>
  <c r="G2048" i="22"/>
  <c r="H2047" i="22"/>
  <c r="I2047" i="22" s="1"/>
  <c r="G2047" i="22"/>
  <c r="H2046" i="22"/>
  <c r="I2046" i="22" s="1"/>
  <c r="G2046" i="22"/>
  <c r="H2045" i="22"/>
  <c r="I2045" i="22" s="1"/>
  <c r="G2045" i="22"/>
  <c r="H2044" i="22"/>
  <c r="I2044" i="22" s="1"/>
  <c r="G2044" i="22"/>
  <c r="H2043" i="22"/>
  <c r="I2043" i="22" s="1"/>
  <c r="G2043" i="22"/>
  <c r="H2042" i="22"/>
  <c r="I2042" i="22" s="1"/>
  <c r="G2042" i="22"/>
  <c r="H2041" i="22"/>
  <c r="I2041" i="22" s="1"/>
  <c r="G2041" i="22"/>
  <c r="H2040" i="22"/>
  <c r="I2040" i="22" s="1"/>
  <c r="G2040" i="22"/>
  <c r="H2039" i="22"/>
  <c r="I2039" i="22" s="1"/>
  <c r="G2039" i="22"/>
  <c r="H2038" i="22"/>
  <c r="I2038" i="22" s="1"/>
  <c r="G2038" i="22"/>
  <c r="H2037" i="22"/>
  <c r="I2037" i="22" s="1"/>
  <c r="G2037" i="22"/>
  <c r="H2036" i="22"/>
  <c r="I2036" i="22" s="1"/>
  <c r="G2036" i="22"/>
  <c r="H2035" i="22"/>
  <c r="I2035" i="22" s="1"/>
  <c r="G2035" i="22"/>
  <c r="H2034" i="22"/>
  <c r="I2034" i="22" s="1"/>
  <c r="G2034" i="22"/>
  <c r="H2033" i="22"/>
  <c r="I2033" i="22" s="1"/>
  <c r="G2033" i="22"/>
  <c r="H2032" i="22"/>
  <c r="I2032" i="22" s="1"/>
  <c r="G2032" i="22"/>
  <c r="H2031" i="22"/>
  <c r="I2031" i="22" s="1"/>
  <c r="G2031" i="22"/>
  <c r="H2030" i="22"/>
  <c r="I2030" i="22" s="1"/>
  <c r="G2030" i="22"/>
  <c r="H2029" i="22"/>
  <c r="I2029" i="22" s="1"/>
  <c r="G2029" i="22"/>
  <c r="H2028" i="22"/>
  <c r="I2028" i="22" s="1"/>
  <c r="G2028" i="22"/>
  <c r="H2027" i="22"/>
  <c r="I2027" i="22" s="1"/>
  <c r="G2027" i="22"/>
  <c r="H2026" i="22"/>
  <c r="I2026" i="22" s="1"/>
  <c r="G2026" i="22"/>
  <c r="H2025" i="22"/>
  <c r="I2025" i="22" s="1"/>
  <c r="G2025" i="22"/>
  <c r="H2024" i="22"/>
  <c r="I2024" i="22" s="1"/>
  <c r="G2024" i="22"/>
  <c r="H2023" i="22"/>
  <c r="I2023" i="22" s="1"/>
  <c r="G2023" i="22"/>
  <c r="H2022" i="22"/>
  <c r="I2022" i="22" s="1"/>
  <c r="G2022" i="22"/>
  <c r="H2021" i="22"/>
  <c r="I2021" i="22" s="1"/>
  <c r="G2021" i="22"/>
  <c r="H2020" i="22"/>
  <c r="I2020" i="22" s="1"/>
  <c r="G2020" i="22"/>
  <c r="H2019" i="22"/>
  <c r="I2019" i="22" s="1"/>
  <c r="G2019" i="22"/>
  <c r="H2018" i="22"/>
  <c r="I2018" i="22" s="1"/>
  <c r="G2018" i="22"/>
  <c r="H2017" i="22"/>
  <c r="I2017" i="22" s="1"/>
  <c r="G2017" i="22"/>
  <c r="H2016" i="22"/>
  <c r="I2016" i="22" s="1"/>
  <c r="G2016" i="22"/>
  <c r="H2015" i="22"/>
  <c r="I2015" i="22" s="1"/>
  <c r="G2015" i="22"/>
  <c r="H2014" i="22"/>
  <c r="I2014" i="22" s="1"/>
  <c r="G2014" i="22"/>
  <c r="H2013" i="22"/>
  <c r="I2013" i="22" s="1"/>
  <c r="G2013" i="22"/>
  <c r="H2012" i="22"/>
  <c r="I2012" i="22" s="1"/>
  <c r="G2012" i="22"/>
  <c r="H2011" i="22"/>
  <c r="I2011" i="22" s="1"/>
  <c r="G2011" i="22"/>
  <c r="H2010" i="22"/>
  <c r="I2010" i="22" s="1"/>
  <c r="G2010" i="22"/>
  <c r="H2009" i="22"/>
  <c r="I2009" i="22" s="1"/>
  <c r="G2009" i="22"/>
  <c r="H2008" i="22"/>
  <c r="I2008" i="22" s="1"/>
  <c r="G2008" i="22"/>
  <c r="H2007" i="22"/>
  <c r="I2007" i="22" s="1"/>
  <c r="G2007" i="22"/>
  <c r="H2006" i="22"/>
  <c r="I2006" i="22" s="1"/>
  <c r="G2006" i="22"/>
  <c r="H2005" i="22"/>
  <c r="I2005" i="22" s="1"/>
  <c r="G2005" i="22"/>
  <c r="H2004" i="22"/>
  <c r="I2004" i="22" s="1"/>
  <c r="G2004" i="22"/>
  <c r="H2003" i="22"/>
  <c r="I2003" i="22" s="1"/>
  <c r="G2003" i="22"/>
  <c r="H2002" i="22"/>
  <c r="I2002" i="22" s="1"/>
  <c r="G2002" i="22"/>
  <c r="H2001" i="22"/>
  <c r="I2001" i="22" s="1"/>
  <c r="G2001" i="22"/>
  <c r="H2000" i="22"/>
  <c r="I2000" i="22" s="1"/>
  <c r="G2000" i="22"/>
  <c r="H1999" i="22"/>
  <c r="I1999" i="22" s="1"/>
  <c r="G1999" i="22"/>
  <c r="H1998" i="22"/>
  <c r="I1998" i="22" s="1"/>
  <c r="G1998" i="22"/>
  <c r="H1997" i="22"/>
  <c r="I1997" i="22" s="1"/>
  <c r="G1997" i="22"/>
  <c r="H1996" i="22"/>
  <c r="I1996" i="22" s="1"/>
  <c r="G1996" i="22"/>
  <c r="H1995" i="22"/>
  <c r="I1995" i="22" s="1"/>
  <c r="G1995" i="22"/>
  <c r="H1994" i="22"/>
  <c r="I1994" i="22" s="1"/>
  <c r="G1994" i="22"/>
  <c r="H1993" i="22"/>
  <c r="I1993" i="22" s="1"/>
  <c r="G1993" i="22"/>
  <c r="H1992" i="22"/>
  <c r="I1992" i="22" s="1"/>
  <c r="G1992" i="22"/>
  <c r="H1991" i="22"/>
  <c r="I1991" i="22" s="1"/>
  <c r="G1991" i="22"/>
  <c r="H1990" i="22"/>
  <c r="I1990" i="22" s="1"/>
  <c r="G1990" i="22"/>
  <c r="H1989" i="22"/>
  <c r="I1989" i="22" s="1"/>
  <c r="G1989" i="22"/>
  <c r="H1988" i="22"/>
  <c r="I1988" i="22" s="1"/>
  <c r="G1988" i="22"/>
  <c r="H1987" i="22"/>
  <c r="I1987" i="22" s="1"/>
  <c r="G1987" i="22"/>
  <c r="H1986" i="22"/>
  <c r="I1986" i="22" s="1"/>
  <c r="G1986" i="22"/>
  <c r="H1985" i="22"/>
  <c r="I1985" i="22" s="1"/>
  <c r="G1985" i="22"/>
  <c r="H1984" i="22"/>
  <c r="I1984" i="22" s="1"/>
  <c r="G1984" i="22"/>
  <c r="H1983" i="22"/>
  <c r="I1983" i="22" s="1"/>
  <c r="G1983" i="22"/>
  <c r="H1982" i="22"/>
  <c r="I1982" i="22" s="1"/>
  <c r="G1982" i="22"/>
  <c r="H1981" i="22"/>
  <c r="I1981" i="22" s="1"/>
  <c r="G1981" i="22"/>
  <c r="H1980" i="22"/>
  <c r="I1980" i="22" s="1"/>
  <c r="G1980" i="22"/>
  <c r="H1979" i="22"/>
  <c r="I1979" i="22" s="1"/>
  <c r="G1979" i="22"/>
  <c r="H1978" i="22"/>
  <c r="I1978" i="22" s="1"/>
  <c r="G1978" i="22"/>
  <c r="H1977" i="22"/>
  <c r="I1977" i="22" s="1"/>
  <c r="G1977" i="22"/>
  <c r="H1976" i="22"/>
  <c r="I1976" i="22" s="1"/>
  <c r="G1976" i="22"/>
  <c r="H1975" i="22"/>
  <c r="I1975" i="22" s="1"/>
  <c r="G1975" i="22"/>
  <c r="H1974" i="22"/>
  <c r="I1974" i="22" s="1"/>
  <c r="G1974" i="22"/>
  <c r="H1973" i="22"/>
  <c r="I1973" i="22" s="1"/>
  <c r="G1973" i="22"/>
  <c r="H1972" i="22"/>
  <c r="I1972" i="22" s="1"/>
  <c r="G1972" i="22"/>
  <c r="H1971" i="22"/>
  <c r="I1971" i="22" s="1"/>
  <c r="G1971" i="22"/>
  <c r="H1970" i="22"/>
  <c r="I1970" i="22" s="1"/>
  <c r="G1970" i="22"/>
  <c r="H1969" i="22"/>
  <c r="I1969" i="22" s="1"/>
  <c r="G1969" i="22"/>
  <c r="H1968" i="22"/>
  <c r="I1968" i="22" s="1"/>
  <c r="G1968" i="22"/>
  <c r="H1967" i="22"/>
  <c r="I1967" i="22" s="1"/>
  <c r="G1967" i="22"/>
  <c r="H1966" i="22"/>
  <c r="I1966" i="22" s="1"/>
  <c r="G1966" i="22"/>
  <c r="H1965" i="22"/>
  <c r="I1965" i="22" s="1"/>
  <c r="G1965" i="22"/>
  <c r="H1964" i="22"/>
  <c r="I1964" i="22" s="1"/>
  <c r="G1964" i="22"/>
  <c r="H1963" i="22"/>
  <c r="I1963" i="22" s="1"/>
  <c r="G1963" i="22"/>
  <c r="H1962" i="22"/>
  <c r="I1962" i="22" s="1"/>
  <c r="G1962" i="22"/>
  <c r="H1961" i="22"/>
  <c r="I1961" i="22" s="1"/>
  <c r="G1961" i="22"/>
  <c r="H1960" i="22"/>
  <c r="I1960" i="22" s="1"/>
  <c r="G1960" i="22"/>
  <c r="H1959" i="22"/>
  <c r="I1959" i="22" s="1"/>
  <c r="G1959" i="22"/>
  <c r="H1958" i="22"/>
  <c r="I1958" i="22" s="1"/>
  <c r="G1958" i="22"/>
  <c r="H1957" i="22"/>
  <c r="I1957" i="22" s="1"/>
  <c r="G1957" i="22"/>
  <c r="H1956" i="22"/>
  <c r="I1956" i="22" s="1"/>
  <c r="G1956" i="22"/>
  <c r="H1955" i="22"/>
  <c r="I1955" i="22" s="1"/>
  <c r="G1955" i="22"/>
  <c r="H1954" i="22"/>
  <c r="I1954" i="22" s="1"/>
  <c r="G1954" i="22"/>
  <c r="H1953" i="22"/>
  <c r="I1953" i="22" s="1"/>
  <c r="G1953" i="22"/>
  <c r="H1952" i="22"/>
  <c r="I1952" i="22" s="1"/>
  <c r="G1952" i="22"/>
  <c r="H1951" i="22"/>
  <c r="I1951" i="22" s="1"/>
  <c r="G1951" i="22"/>
  <c r="H1950" i="22"/>
  <c r="I1950" i="22" s="1"/>
  <c r="G1950" i="22"/>
  <c r="H1949" i="22"/>
  <c r="I1949" i="22" s="1"/>
  <c r="G1949" i="22"/>
  <c r="H1948" i="22"/>
  <c r="I1948" i="22" s="1"/>
  <c r="G1948" i="22"/>
  <c r="H1947" i="22"/>
  <c r="I1947" i="22" s="1"/>
  <c r="G1947" i="22"/>
  <c r="H1946" i="22"/>
  <c r="I1946" i="22" s="1"/>
  <c r="G1946" i="22"/>
  <c r="H1945" i="22"/>
  <c r="I1945" i="22" s="1"/>
  <c r="G1945" i="22"/>
  <c r="H1944" i="22"/>
  <c r="I1944" i="22" s="1"/>
  <c r="G1944" i="22"/>
  <c r="H1943" i="22"/>
  <c r="I1943" i="22" s="1"/>
  <c r="G1943" i="22"/>
  <c r="H1942" i="22"/>
  <c r="I1942" i="22" s="1"/>
  <c r="G1942" i="22"/>
  <c r="H1941" i="22"/>
  <c r="I1941" i="22" s="1"/>
  <c r="G1941" i="22"/>
  <c r="H1940" i="22"/>
  <c r="I1940" i="22" s="1"/>
  <c r="G1940" i="22"/>
  <c r="H1939" i="22"/>
  <c r="I1939" i="22" s="1"/>
  <c r="G1939" i="22"/>
  <c r="H1938" i="22"/>
  <c r="I1938" i="22" s="1"/>
  <c r="G1938" i="22"/>
  <c r="H1937" i="22"/>
  <c r="I1937" i="22" s="1"/>
  <c r="G1937" i="22"/>
  <c r="H1936" i="22"/>
  <c r="I1936" i="22" s="1"/>
  <c r="G1936" i="22"/>
  <c r="H1935" i="22"/>
  <c r="I1935" i="22" s="1"/>
  <c r="G1935" i="22"/>
  <c r="H1934" i="22"/>
  <c r="I1934" i="22" s="1"/>
  <c r="G1934" i="22"/>
  <c r="H1933" i="22"/>
  <c r="I1933" i="22" s="1"/>
  <c r="G1933" i="22"/>
  <c r="H1932" i="22"/>
  <c r="I1932" i="22" s="1"/>
  <c r="G1932" i="22"/>
  <c r="H1931" i="22"/>
  <c r="I1931" i="22" s="1"/>
  <c r="G1931" i="22"/>
  <c r="H1930" i="22"/>
  <c r="I1930" i="22" s="1"/>
  <c r="G1930" i="22"/>
  <c r="H1929" i="22"/>
  <c r="I1929" i="22" s="1"/>
  <c r="G1929" i="22"/>
  <c r="H1928" i="22"/>
  <c r="I1928" i="22" s="1"/>
  <c r="G1928" i="22"/>
  <c r="H1927" i="22"/>
  <c r="I1927" i="22" s="1"/>
  <c r="G1927" i="22"/>
  <c r="H1926" i="22"/>
  <c r="I1926" i="22" s="1"/>
  <c r="G1926" i="22"/>
  <c r="H1925" i="22"/>
  <c r="I1925" i="22" s="1"/>
  <c r="G1925" i="22"/>
  <c r="H1924" i="22"/>
  <c r="I1924" i="22" s="1"/>
  <c r="G1924" i="22"/>
  <c r="H1923" i="22"/>
  <c r="I1923" i="22" s="1"/>
  <c r="G1923" i="22"/>
  <c r="H1922" i="22"/>
  <c r="I1922" i="22" s="1"/>
  <c r="G1922" i="22"/>
  <c r="H1921" i="22"/>
  <c r="I1921" i="22" s="1"/>
  <c r="G1921" i="22"/>
  <c r="H1920" i="22"/>
  <c r="I1920" i="22" s="1"/>
  <c r="G1920" i="22"/>
  <c r="H1919" i="22"/>
  <c r="I1919" i="22" s="1"/>
  <c r="G1919" i="22"/>
  <c r="H1918" i="22"/>
  <c r="I1918" i="22" s="1"/>
  <c r="G1918" i="22"/>
  <c r="H1917" i="22"/>
  <c r="I1917" i="22" s="1"/>
  <c r="G1917" i="22"/>
  <c r="H1916" i="22"/>
  <c r="I1916" i="22" s="1"/>
  <c r="G1916" i="22"/>
  <c r="H1915" i="22"/>
  <c r="I1915" i="22" s="1"/>
  <c r="G1915" i="22"/>
  <c r="H1914" i="22"/>
  <c r="I1914" i="22" s="1"/>
  <c r="G1914" i="22"/>
  <c r="H1913" i="22"/>
  <c r="I1913" i="22" s="1"/>
  <c r="G1913" i="22"/>
  <c r="H1912" i="22"/>
  <c r="I1912" i="22" s="1"/>
  <c r="G1912" i="22"/>
  <c r="H1911" i="22"/>
  <c r="I1911" i="22" s="1"/>
  <c r="G1911" i="22"/>
  <c r="H1910" i="22"/>
  <c r="I1910" i="22" s="1"/>
  <c r="G1910" i="22"/>
  <c r="H1909" i="22"/>
  <c r="I1909" i="22" s="1"/>
  <c r="G1909" i="22"/>
  <c r="H1908" i="22"/>
  <c r="I1908" i="22" s="1"/>
  <c r="G1908" i="22"/>
  <c r="H1907" i="22"/>
  <c r="I1907" i="22" s="1"/>
  <c r="G1907" i="22"/>
  <c r="H1906" i="22"/>
  <c r="I1906" i="22" s="1"/>
  <c r="G1906" i="22"/>
  <c r="H1905" i="22"/>
  <c r="I1905" i="22" s="1"/>
  <c r="G1905" i="22"/>
  <c r="H1904" i="22"/>
  <c r="I1904" i="22" s="1"/>
  <c r="G1904" i="22"/>
  <c r="H1903" i="22"/>
  <c r="I1903" i="22" s="1"/>
  <c r="G1903" i="22"/>
  <c r="H1902" i="22"/>
  <c r="I1902" i="22" s="1"/>
  <c r="G1902" i="22"/>
  <c r="H1901" i="22"/>
  <c r="I1901" i="22" s="1"/>
  <c r="G1901" i="22"/>
  <c r="H1900" i="22"/>
  <c r="I1900" i="22" s="1"/>
  <c r="G1900" i="22"/>
  <c r="H1899" i="22"/>
  <c r="I1899" i="22" s="1"/>
  <c r="G1899" i="22"/>
  <c r="H1898" i="22"/>
  <c r="I1898" i="22" s="1"/>
  <c r="G1898" i="22"/>
  <c r="H1897" i="22"/>
  <c r="I1897" i="22" s="1"/>
  <c r="G1897" i="22"/>
  <c r="H1896" i="22"/>
  <c r="I1896" i="22" s="1"/>
  <c r="G1896" i="22"/>
  <c r="H1895" i="22"/>
  <c r="I1895" i="22" s="1"/>
  <c r="G1895" i="22"/>
  <c r="H1894" i="22"/>
  <c r="I1894" i="22" s="1"/>
  <c r="G1894" i="22"/>
  <c r="H1893" i="22"/>
  <c r="I1893" i="22" s="1"/>
  <c r="G1893" i="22"/>
  <c r="H1892" i="22"/>
  <c r="I1892" i="22" s="1"/>
  <c r="G1892" i="22"/>
  <c r="H1891" i="22"/>
  <c r="I1891" i="22" s="1"/>
  <c r="G1891" i="22"/>
  <c r="H1890" i="22"/>
  <c r="I1890" i="22" s="1"/>
  <c r="G1890" i="22"/>
  <c r="H1889" i="22"/>
  <c r="I1889" i="22" s="1"/>
  <c r="G1889" i="22"/>
  <c r="H1888" i="22"/>
  <c r="I1888" i="22" s="1"/>
  <c r="G1888" i="22"/>
  <c r="H1887" i="22"/>
  <c r="I1887" i="22" s="1"/>
  <c r="G1887" i="22"/>
  <c r="H1886" i="22"/>
  <c r="I1886" i="22" s="1"/>
  <c r="G1886" i="22"/>
  <c r="H1885" i="22"/>
  <c r="I1885" i="22" s="1"/>
  <c r="G1885" i="22"/>
  <c r="H1884" i="22"/>
  <c r="I1884" i="22" s="1"/>
  <c r="G1884" i="22"/>
  <c r="H1883" i="22"/>
  <c r="I1883" i="22" s="1"/>
  <c r="G1883" i="22"/>
  <c r="H1882" i="22"/>
  <c r="I1882" i="22" s="1"/>
  <c r="G1882" i="22"/>
  <c r="H1881" i="22"/>
  <c r="I1881" i="22" s="1"/>
  <c r="G1881" i="22"/>
  <c r="H1880" i="22"/>
  <c r="I1880" i="22" s="1"/>
  <c r="G1880" i="22"/>
  <c r="H1879" i="22"/>
  <c r="I1879" i="22" s="1"/>
  <c r="G1879" i="22"/>
  <c r="H1878" i="22"/>
  <c r="I1878" i="22" s="1"/>
  <c r="G1878" i="22"/>
  <c r="H1877" i="22"/>
  <c r="I1877" i="22" s="1"/>
  <c r="G1877" i="22"/>
  <c r="H1876" i="22"/>
  <c r="I1876" i="22" s="1"/>
  <c r="G1876" i="22"/>
  <c r="H1875" i="22"/>
  <c r="I1875" i="22" s="1"/>
  <c r="G1875" i="22"/>
  <c r="H1874" i="22"/>
  <c r="I1874" i="22" s="1"/>
  <c r="G1874" i="22"/>
  <c r="H1873" i="22"/>
  <c r="I1873" i="22" s="1"/>
  <c r="G1873" i="22"/>
  <c r="H1872" i="22"/>
  <c r="I1872" i="22" s="1"/>
  <c r="G1872" i="22"/>
  <c r="H1871" i="22"/>
  <c r="I1871" i="22" s="1"/>
  <c r="G1871" i="22"/>
  <c r="H1870" i="22"/>
  <c r="I1870" i="22" s="1"/>
  <c r="G1870" i="22"/>
  <c r="H1869" i="22"/>
  <c r="I1869" i="22" s="1"/>
  <c r="G1869" i="22"/>
  <c r="H1868" i="22"/>
  <c r="I1868" i="22" s="1"/>
  <c r="G1868" i="22"/>
  <c r="H1867" i="22"/>
  <c r="I1867" i="22" s="1"/>
  <c r="G1867" i="22"/>
  <c r="H1866" i="22"/>
  <c r="I1866" i="22" s="1"/>
  <c r="G1866" i="22"/>
  <c r="H1865" i="22"/>
  <c r="I1865" i="22" s="1"/>
  <c r="G1865" i="22"/>
  <c r="H1864" i="22"/>
  <c r="I1864" i="22" s="1"/>
  <c r="G1864" i="22"/>
  <c r="H1863" i="22"/>
  <c r="I1863" i="22" s="1"/>
  <c r="G1863" i="22"/>
  <c r="H1862" i="22"/>
  <c r="I1862" i="22" s="1"/>
  <c r="G1862" i="22"/>
  <c r="H1861" i="22"/>
  <c r="I1861" i="22" s="1"/>
  <c r="G1861" i="22"/>
  <c r="H1860" i="22"/>
  <c r="I1860" i="22" s="1"/>
  <c r="G1860" i="22"/>
  <c r="H1859" i="22"/>
  <c r="I1859" i="22" s="1"/>
  <c r="G1859" i="22"/>
  <c r="H1858" i="22"/>
  <c r="I1858" i="22" s="1"/>
  <c r="G1858" i="22"/>
  <c r="H1857" i="22"/>
  <c r="I1857" i="22" s="1"/>
  <c r="G1857" i="22"/>
  <c r="H1856" i="22"/>
  <c r="I1856" i="22" s="1"/>
  <c r="G1856" i="22"/>
  <c r="H1855" i="22"/>
  <c r="I1855" i="22" s="1"/>
  <c r="G1855" i="22"/>
  <c r="H1854" i="22"/>
  <c r="I1854" i="22" s="1"/>
  <c r="G1854" i="22"/>
  <c r="H1853" i="22"/>
  <c r="I1853" i="22" s="1"/>
  <c r="G1853" i="22"/>
  <c r="H1852" i="22"/>
  <c r="I1852" i="22" s="1"/>
  <c r="G1852" i="22"/>
  <c r="H1851" i="22"/>
  <c r="I1851" i="22" s="1"/>
  <c r="G1851" i="22"/>
  <c r="H1850" i="22"/>
  <c r="I1850" i="22" s="1"/>
  <c r="G1850" i="22"/>
  <c r="H1849" i="22"/>
  <c r="I1849" i="22" s="1"/>
  <c r="G1849" i="22"/>
  <c r="H1848" i="22"/>
  <c r="I1848" i="22" s="1"/>
  <c r="G1848" i="22"/>
  <c r="H1847" i="22"/>
  <c r="I1847" i="22" s="1"/>
  <c r="G1847" i="22"/>
  <c r="H1846" i="22"/>
  <c r="I1846" i="22" s="1"/>
  <c r="G1846" i="22"/>
  <c r="H1845" i="22"/>
  <c r="I1845" i="22" s="1"/>
  <c r="G1845" i="22"/>
  <c r="H1844" i="22"/>
  <c r="I1844" i="22" s="1"/>
  <c r="G1844" i="22"/>
  <c r="H1843" i="22"/>
  <c r="I1843" i="22" s="1"/>
  <c r="G1843" i="22"/>
  <c r="H1842" i="22"/>
  <c r="I1842" i="22" s="1"/>
  <c r="G1842" i="22"/>
  <c r="H1841" i="22"/>
  <c r="I1841" i="22" s="1"/>
  <c r="G1841" i="22"/>
  <c r="H1840" i="22"/>
  <c r="I1840" i="22" s="1"/>
  <c r="G1840" i="22"/>
  <c r="H1839" i="22"/>
  <c r="I1839" i="22" s="1"/>
  <c r="G1839" i="22"/>
  <c r="H1838" i="22"/>
  <c r="I1838" i="22" s="1"/>
  <c r="G1838" i="22"/>
  <c r="H1837" i="22"/>
  <c r="I1837" i="22" s="1"/>
  <c r="G1837" i="22"/>
  <c r="H1836" i="22"/>
  <c r="I1836" i="22" s="1"/>
  <c r="G1836" i="22"/>
  <c r="H1835" i="22"/>
  <c r="I1835" i="22" s="1"/>
  <c r="G1835" i="22"/>
  <c r="H1834" i="22"/>
  <c r="I1834" i="22" s="1"/>
  <c r="G1834" i="22"/>
  <c r="H1833" i="22"/>
  <c r="I1833" i="22" s="1"/>
  <c r="G1833" i="22"/>
  <c r="H1832" i="22"/>
  <c r="I1832" i="22" s="1"/>
  <c r="G1832" i="22"/>
  <c r="H1831" i="22"/>
  <c r="I1831" i="22" s="1"/>
  <c r="G1831" i="22"/>
  <c r="H1830" i="22"/>
  <c r="I1830" i="22" s="1"/>
  <c r="G1830" i="22"/>
  <c r="H1829" i="22"/>
  <c r="I1829" i="22" s="1"/>
  <c r="G1829" i="22"/>
  <c r="H1828" i="22"/>
  <c r="I1828" i="22" s="1"/>
  <c r="G1828" i="22"/>
  <c r="H1827" i="22"/>
  <c r="I1827" i="22" s="1"/>
  <c r="G1827" i="22"/>
  <c r="H1826" i="22"/>
  <c r="I1826" i="22" s="1"/>
  <c r="G1826" i="22"/>
  <c r="H1825" i="22"/>
  <c r="I1825" i="22" s="1"/>
  <c r="G1825" i="22"/>
  <c r="H1824" i="22"/>
  <c r="I1824" i="22" s="1"/>
  <c r="G1824" i="22"/>
  <c r="H1823" i="22"/>
  <c r="I1823" i="22" s="1"/>
  <c r="G1823" i="22"/>
  <c r="H1822" i="22"/>
  <c r="I1822" i="22" s="1"/>
  <c r="G1822" i="22"/>
  <c r="H1821" i="22"/>
  <c r="I1821" i="22" s="1"/>
  <c r="G1821" i="22"/>
  <c r="H1820" i="22"/>
  <c r="I1820" i="22" s="1"/>
  <c r="G1820" i="22"/>
  <c r="H1819" i="22"/>
  <c r="I1819" i="22" s="1"/>
  <c r="G1819" i="22"/>
  <c r="H1818" i="22"/>
  <c r="I1818" i="22" s="1"/>
  <c r="G1818" i="22"/>
  <c r="H1817" i="22"/>
  <c r="I1817" i="22" s="1"/>
  <c r="G1817" i="22"/>
  <c r="H1816" i="22"/>
  <c r="I1816" i="22" s="1"/>
  <c r="G1816" i="22"/>
  <c r="H1815" i="22"/>
  <c r="I1815" i="22" s="1"/>
  <c r="G1815" i="22"/>
  <c r="H1814" i="22"/>
  <c r="I1814" i="22" s="1"/>
  <c r="G1814" i="22"/>
  <c r="H1813" i="22"/>
  <c r="I1813" i="22" s="1"/>
  <c r="G1813" i="22"/>
  <c r="H1812" i="22"/>
  <c r="I1812" i="22" s="1"/>
  <c r="G1812" i="22"/>
  <c r="H1811" i="22"/>
  <c r="I1811" i="22" s="1"/>
  <c r="G1811" i="22"/>
  <c r="H1810" i="22"/>
  <c r="I1810" i="22" s="1"/>
  <c r="G1810" i="22"/>
  <c r="H1809" i="22"/>
  <c r="I1809" i="22" s="1"/>
  <c r="G1809" i="22"/>
  <c r="H1808" i="22"/>
  <c r="I1808" i="22" s="1"/>
  <c r="G1808" i="22"/>
  <c r="H1807" i="22"/>
  <c r="I1807" i="22" s="1"/>
  <c r="G1807" i="22"/>
  <c r="H1806" i="22"/>
  <c r="I1806" i="22" s="1"/>
  <c r="G1806" i="22"/>
  <c r="H1805" i="22"/>
  <c r="I1805" i="22" s="1"/>
  <c r="G1805" i="22"/>
  <c r="H1804" i="22"/>
  <c r="I1804" i="22" s="1"/>
  <c r="G1804" i="22"/>
  <c r="H1803" i="22"/>
  <c r="I1803" i="22" s="1"/>
  <c r="G1803" i="22"/>
  <c r="H1802" i="22"/>
  <c r="I1802" i="22" s="1"/>
  <c r="G1802" i="22"/>
  <c r="H1801" i="22"/>
  <c r="I1801" i="22" s="1"/>
  <c r="G1801" i="22"/>
  <c r="H1800" i="22"/>
  <c r="I1800" i="22" s="1"/>
  <c r="G1800" i="22"/>
  <c r="H1799" i="22"/>
  <c r="I1799" i="22" s="1"/>
  <c r="G1799" i="22"/>
  <c r="H1798" i="22"/>
  <c r="I1798" i="22" s="1"/>
  <c r="G1798" i="22"/>
  <c r="H1797" i="22"/>
  <c r="I1797" i="22" s="1"/>
  <c r="G1797" i="22"/>
  <c r="H1796" i="22"/>
  <c r="I1796" i="22" s="1"/>
  <c r="G1796" i="22"/>
  <c r="H1795" i="22"/>
  <c r="I1795" i="22" s="1"/>
  <c r="G1795" i="22"/>
  <c r="H1794" i="22"/>
  <c r="I1794" i="22" s="1"/>
  <c r="G1794" i="22"/>
  <c r="H1793" i="22"/>
  <c r="I1793" i="22" s="1"/>
  <c r="G1793" i="22"/>
  <c r="H1792" i="22"/>
  <c r="I1792" i="22" s="1"/>
  <c r="G1792" i="22"/>
  <c r="H1791" i="22"/>
  <c r="I1791" i="22" s="1"/>
  <c r="G1791" i="22"/>
  <c r="H1790" i="22"/>
  <c r="I1790" i="22" s="1"/>
  <c r="G1790" i="22"/>
  <c r="H1789" i="22"/>
  <c r="I1789" i="22" s="1"/>
  <c r="G1789" i="22"/>
  <c r="H1788" i="22"/>
  <c r="I1788" i="22" s="1"/>
  <c r="G1788" i="22"/>
  <c r="H1787" i="22"/>
  <c r="I1787" i="22" s="1"/>
  <c r="G1787" i="22"/>
  <c r="H1786" i="22"/>
  <c r="I1786" i="22" s="1"/>
  <c r="G1786" i="22"/>
  <c r="H1785" i="22"/>
  <c r="I1785" i="22" s="1"/>
  <c r="G1785" i="22"/>
  <c r="H1784" i="22"/>
  <c r="I1784" i="22" s="1"/>
  <c r="G1784" i="22"/>
  <c r="H1783" i="22"/>
  <c r="I1783" i="22" s="1"/>
  <c r="G1783" i="22"/>
  <c r="H1782" i="22"/>
  <c r="I1782" i="22" s="1"/>
  <c r="G1782" i="22"/>
  <c r="H1781" i="22"/>
  <c r="I1781" i="22" s="1"/>
  <c r="G1781" i="22"/>
  <c r="H1780" i="22"/>
  <c r="I1780" i="22" s="1"/>
  <c r="G1780" i="22"/>
  <c r="H1779" i="22"/>
  <c r="I1779" i="22" s="1"/>
  <c r="G1779" i="22"/>
  <c r="H1778" i="22"/>
  <c r="I1778" i="22" s="1"/>
  <c r="G1778" i="22"/>
  <c r="H1777" i="22"/>
  <c r="I1777" i="22" s="1"/>
  <c r="G1777" i="22"/>
  <c r="H1776" i="22"/>
  <c r="I1776" i="22" s="1"/>
  <c r="G1776" i="22"/>
  <c r="H1775" i="22"/>
  <c r="I1775" i="22" s="1"/>
  <c r="G1775" i="22"/>
  <c r="H1774" i="22"/>
  <c r="I1774" i="22" s="1"/>
  <c r="G1774" i="22"/>
  <c r="H1773" i="22"/>
  <c r="I1773" i="22" s="1"/>
  <c r="G1773" i="22"/>
  <c r="H1772" i="22"/>
  <c r="I1772" i="22" s="1"/>
  <c r="G1772" i="22"/>
  <c r="H1771" i="22"/>
  <c r="I1771" i="22" s="1"/>
  <c r="G1771" i="22"/>
  <c r="H1770" i="22"/>
  <c r="I1770" i="22" s="1"/>
  <c r="G1770" i="22"/>
  <c r="H1769" i="22"/>
  <c r="I1769" i="22" s="1"/>
  <c r="G1769" i="22"/>
  <c r="H1768" i="22"/>
  <c r="I1768" i="22" s="1"/>
  <c r="G1768" i="22"/>
  <c r="H1767" i="22"/>
  <c r="I1767" i="22" s="1"/>
  <c r="G1767" i="22"/>
  <c r="H1766" i="22"/>
  <c r="I1766" i="22" s="1"/>
  <c r="G1766" i="22"/>
  <c r="H1765" i="22"/>
  <c r="I1765" i="22" s="1"/>
  <c r="G1765" i="22"/>
  <c r="H1764" i="22"/>
  <c r="I1764" i="22" s="1"/>
  <c r="G1764" i="22"/>
  <c r="H1763" i="22"/>
  <c r="I1763" i="22" s="1"/>
  <c r="G1763" i="22"/>
  <c r="H1762" i="22"/>
  <c r="I1762" i="22" s="1"/>
  <c r="G1762" i="22"/>
  <c r="H1761" i="22"/>
  <c r="I1761" i="22" s="1"/>
  <c r="G1761" i="22"/>
  <c r="H1760" i="22"/>
  <c r="I1760" i="22" s="1"/>
  <c r="G1760" i="22"/>
  <c r="H1759" i="22"/>
  <c r="I1759" i="22" s="1"/>
  <c r="G1759" i="22"/>
  <c r="H1758" i="22"/>
  <c r="I1758" i="22" s="1"/>
  <c r="G1758" i="22"/>
  <c r="H1757" i="22"/>
  <c r="I1757" i="22" s="1"/>
  <c r="G1757" i="22"/>
  <c r="H1756" i="22"/>
  <c r="I1756" i="22" s="1"/>
  <c r="G1756" i="22"/>
  <c r="H1755" i="22"/>
  <c r="I1755" i="22" s="1"/>
  <c r="G1755" i="22"/>
  <c r="H1754" i="22"/>
  <c r="I1754" i="22" s="1"/>
  <c r="G1754" i="22"/>
  <c r="H1753" i="22"/>
  <c r="I1753" i="22" s="1"/>
  <c r="G1753" i="22"/>
  <c r="H1752" i="22"/>
  <c r="I1752" i="22" s="1"/>
  <c r="G1752" i="22"/>
  <c r="H1751" i="22"/>
  <c r="I1751" i="22" s="1"/>
  <c r="G1751" i="22"/>
  <c r="H1750" i="22"/>
  <c r="I1750" i="22" s="1"/>
  <c r="G1750" i="22"/>
  <c r="H1749" i="22"/>
  <c r="I1749" i="22" s="1"/>
  <c r="G1749" i="22"/>
  <c r="H1748" i="22"/>
  <c r="I1748" i="22" s="1"/>
  <c r="G1748" i="22"/>
  <c r="H1747" i="22"/>
  <c r="I1747" i="22" s="1"/>
  <c r="G1747" i="22"/>
  <c r="H1746" i="22"/>
  <c r="I1746" i="22" s="1"/>
  <c r="G1746" i="22"/>
  <c r="H1745" i="22"/>
  <c r="I1745" i="22" s="1"/>
  <c r="G1745" i="22"/>
  <c r="H1744" i="22"/>
  <c r="I1744" i="22" s="1"/>
  <c r="G1744" i="22"/>
  <c r="H1743" i="22"/>
  <c r="I1743" i="22" s="1"/>
  <c r="G1743" i="22"/>
  <c r="H1742" i="22"/>
  <c r="I1742" i="22" s="1"/>
  <c r="G1742" i="22"/>
  <c r="H1741" i="22"/>
  <c r="I1741" i="22" s="1"/>
  <c r="G1741" i="22"/>
  <c r="H1740" i="22"/>
  <c r="I1740" i="22" s="1"/>
  <c r="G1740" i="22"/>
  <c r="H1739" i="22"/>
  <c r="I1739" i="22" s="1"/>
  <c r="G1739" i="22"/>
  <c r="H1738" i="22"/>
  <c r="I1738" i="22" s="1"/>
  <c r="G1738" i="22"/>
  <c r="H1737" i="22"/>
  <c r="I1737" i="22" s="1"/>
  <c r="G1737" i="22"/>
  <c r="H1736" i="22"/>
  <c r="I1736" i="22" s="1"/>
  <c r="G1736" i="22"/>
  <c r="H1735" i="22"/>
  <c r="I1735" i="22" s="1"/>
  <c r="G1735" i="22"/>
  <c r="H1734" i="22"/>
  <c r="I1734" i="22" s="1"/>
  <c r="G1734" i="22"/>
  <c r="H1733" i="22"/>
  <c r="I1733" i="22" s="1"/>
  <c r="G1733" i="22"/>
  <c r="H1732" i="22"/>
  <c r="I1732" i="22" s="1"/>
  <c r="G1732" i="22"/>
  <c r="H1731" i="22"/>
  <c r="I1731" i="22" s="1"/>
  <c r="G1731" i="22"/>
  <c r="H1730" i="22"/>
  <c r="I1730" i="22" s="1"/>
  <c r="G1730" i="22"/>
  <c r="H1729" i="22"/>
  <c r="I1729" i="22" s="1"/>
  <c r="G1729" i="22"/>
  <c r="H1728" i="22"/>
  <c r="I1728" i="22" s="1"/>
  <c r="G1728" i="22"/>
  <c r="H1727" i="22"/>
  <c r="I1727" i="22" s="1"/>
  <c r="G1727" i="22"/>
  <c r="H1726" i="22"/>
  <c r="I1726" i="22" s="1"/>
  <c r="G1726" i="22"/>
  <c r="H1725" i="22"/>
  <c r="I1725" i="22" s="1"/>
  <c r="G1725" i="22"/>
  <c r="H1724" i="22"/>
  <c r="I1724" i="22" s="1"/>
  <c r="G1724" i="22"/>
  <c r="H1723" i="22"/>
  <c r="I1723" i="22" s="1"/>
  <c r="G1723" i="22"/>
  <c r="H1722" i="22"/>
  <c r="I1722" i="22" s="1"/>
  <c r="G1722" i="22"/>
  <c r="H1721" i="22"/>
  <c r="I1721" i="22" s="1"/>
  <c r="G1721" i="22"/>
  <c r="H1720" i="22"/>
  <c r="I1720" i="22" s="1"/>
  <c r="G1720" i="22"/>
  <c r="H1719" i="22"/>
  <c r="I1719" i="22" s="1"/>
  <c r="G1719" i="22"/>
  <c r="H1718" i="22"/>
  <c r="I1718" i="22" s="1"/>
  <c r="G1718" i="22"/>
  <c r="H1717" i="22"/>
  <c r="I1717" i="22" s="1"/>
  <c r="G1717" i="22"/>
  <c r="H1716" i="22"/>
  <c r="I1716" i="22" s="1"/>
  <c r="G1716" i="22"/>
  <c r="H1715" i="22"/>
  <c r="I1715" i="22" s="1"/>
  <c r="G1715" i="22"/>
  <c r="H1714" i="22"/>
  <c r="I1714" i="22" s="1"/>
  <c r="G1714" i="22"/>
  <c r="H1713" i="22"/>
  <c r="I1713" i="22" s="1"/>
  <c r="G1713" i="22"/>
  <c r="H1712" i="22"/>
  <c r="I1712" i="22" s="1"/>
  <c r="G1712" i="22"/>
  <c r="H1711" i="22"/>
  <c r="I1711" i="22" s="1"/>
  <c r="G1711" i="22"/>
  <c r="H1710" i="22"/>
  <c r="I1710" i="22" s="1"/>
  <c r="G1710" i="22"/>
  <c r="H1709" i="22"/>
  <c r="I1709" i="22" s="1"/>
  <c r="G1709" i="22"/>
  <c r="H1708" i="22"/>
  <c r="I1708" i="22" s="1"/>
  <c r="G1708" i="22"/>
  <c r="H1707" i="22"/>
  <c r="I1707" i="22" s="1"/>
  <c r="G1707" i="22"/>
  <c r="H1706" i="22"/>
  <c r="I1706" i="22" s="1"/>
  <c r="G1706" i="22"/>
  <c r="H1705" i="22"/>
  <c r="I1705" i="22" s="1"/>
  <c r="G1705" i="22"/>
  <c r="H1704" i="22"/>
  <c r="I1704" i="22" s="1"/>
  <c r="G1704" i="22"/>
  <c r="H1703" i="22"/>
  <c r="I1703" i="22" s="1"/>
  <c r="G1703" i="22"/>
  <c r="H1702" i="22"/>
  <c r="I1702" i="22" s="1"/>
  <c r="G1702" i="22"/>
  <c r="H1701" i="22"/>
  <c r="I1701" i="22" s="1"/>
  <c r="G1701" i="22"/>
  <c r="H1700" i="22"/>
  <c r="I1700" i="22" s="1"/>
  <c r="G1700" i="22"/>
  <c r="H1699" i="22"/>
  <c r="I1699" i="22" s="1"/>
  <c r="G1699" i="22"/>
  <c r="H1698" i="22"/>
  <c r="I1698" i="22" s="1"/>
  <c r="G1698" i="22"/>
  <c r="H1697" i="22"/>
  <c r="I1697" i="22" s="1"/>
  <c r="G1697" i="22"/>
  <c r="H1696" i="22"/>
  <c r="I1696" i="22" s="1"/>
  <c r="G1696" i="22"/>
  <c r="H1695" i="22"/>
  <c r="I1695" i="22" s="1"/>
  <c r="G1695" i="22"/>
  <c r="H1694" i="22"/>
  <c r="I1694" i="22" s="1"/>
  <c r="G1694" i="22"/>
  <c r="H1693" i="22"/>
  <c r="I1693" i="22" s="1"/>
  <c r="G1693" i="22"/>
  <c r="H1692" i="22"/>
  <c r="I1692" i="22" s="1"/>
  <c r="G1692" i="22"/>
  <c r="H1691" i="22"/>
  <c r="I1691" i="22" s="1"/>
  <c r="G1691" i="22"/>
  <c r="H1690" i="22"/>
  <c r="I1690" i="22" s="1"/>
  <c r="G1690" i="22"/>
  <c r="H1689" i="22"/>
  <c r="I1689" i="22" s="1"/>
  <c r="G1689" i="22"/>
  <c r="H1688" i="22"/>
  <c r="I1688" i="22" s="1"/>
  <c r="G1688" i="22"/>
  <c r="H1687" i="22"/>
  <c r="I1687" i="22" s="1"/>
  <c r="G1687" i="22"/>
  <c r="H1686" i="22"/>
  <c r="I1686" i="22" s="1"/>
  <c r="G1686" i="22"/>
  <c r="H1685" i="22"/>
  <c r="I1685" i="22" s="1"/>
  <c r="G1685" i="22"/>
  <c r="H1684" i="22"/>
  <c r="I1684" i="22" s="1"/>
  <c r="G1684" i="22"/>
  <c r="H1683" i="22"/>
  <c r="I1683" i="22" s="1"/>
  <c r="G1683" i="22"/>
  <c r="H1682" i="22"/>
  <c r="I1682" i="22" s="1"/>
  <c r="G1682" i="22"/>
  <c r="H1681" i="22"/>
  <c r="I1681" i="22" s="1"/>
  <c r="G1681" i="22"/>
  <c r="H1680" i="22"/>
  <c r="I1680" i="22" s="1"/>
  <c r="G1680" i="22"/>
  <c r="H1679" i="22"/>
  <c r="I1679" i="22" s="1"/>
  <c r="G1679" i="22"/>
  <c r="H1678" i="22"/>
  <c r="I1678" i="22" s="1"/>
  <c r="G1678" i="22"/>
  <c r="H1677" i="22"/>
  <c r="I1677" i="22" s="1"/>
  <c r="G1677" i="22"/>
  <c r="H1676" i="22"/>
  <c r="I1676" i="22" s="1"/>
  <c r="G1676" i="22"/>
  <c r="H1675" i="22"/>
  <c r="I1675" i="22" s="1"/>
  <c r="G1675" i="22"/>
  <c r="H1674" i="22"/>
  <c r="I1674" i="22" s="1"/>
  <c r="G1674" i="22"/>
  <c r="H1673" i="22"/>
  <c r="I1673" i="22" s="1"/>
  <c r="G1673" i="22"/>
  <c r="H1672" i="22"/>
  <c r="I1672" i="22" s="1"/>
  <c r="G1672" i="22"/>
  <c r="H1671" i="22"/>
  <c r="I1671" i="22" s="1"/>
  <c r="G1671" i="22"/>
  <c r="H1670" i="22"/>
  <c r="I1670" i="22" s="1"/>
  <c r="G1670" i="22"/>
  <c r="H1669" i="22"/>
  <c r="I1669" i="22" s="1"/>
  <c r="G1669" i="22"/>
  <c r="H1668" i="22"/>
  <c r="I1668" i="22" s="1"/>
  <c r="G1668" i="22"/>
  <c r="H1667" i="22"/>
  <c r="I1667" i="22" s="1"/>
  <c r="G1667" i="22"/>
  <c r="H1666" i="22"/>
  <c r="I1666" i="22" s="1"/>
  <c r="G1666" i="22"/>
  <c r="H1665" i="22"/>
  <c r="I1665" i="22" s="1"/>
  <c r="G1665" i="22"/>
  <c r="H1664" i="22"/>
  <c r="I1664" i="22" s="1"/>
  <c r="G1664" i="22"/>
  <c r="H1663" i="22"/>
  <c r="I1663" i="22" s="1"/>
  <c r="G1663" i="22"/>
  <c r="H1662" i="22"/>
  <c r="I1662" i="22" s="1"/>
  <c r="G1662" i="22"/>
  <c r="H1661" i="22"/>
  <c r="I1661" i="22" s="1"/>
  <c r="G1661" i="22"/>
  <c r="H1660" i="22"/>
  <c r="I1660" i="22" s="1"/>
  <c r="G1660" i="22"/>
  <c r="H1659" i="22"/>
  <c r="I1659" i="22" s="1"/>
  <c r="G1659" i="22"/>
  <c r="H1658" i="22"/>
  <c r="I1658" i="22" s="1"/>
  <c r="G1658" i="22"/>
  <c r="H1657" i="22"/>
  <c r="I1657" i="22" s="1"/>
  <c r="G1657" i="22"/>
  <c r="H1656" i="22"/>
  <c r="I1656" i="22" s="1"/>
  <c r="G1656" i="22"/>
  <c r="G1655" i="22"/>
  <c r="G1654" i="22"/>
  <c r="H1653" i="22"/>
  <c r="I1653" i="22" s="1"/>
  <c r="G1653" i="22"/>
  <c r="H1652" i="22"/>
  <c r="I1652" i="22" s="1"/>
  <c r="G1652" i="22"/>
  <c r="H1651" i="22"/>
  <c r="I1651" i="22" s="1"/>
  <c r="G1651" i="22"/>
  <c r="H1650" i="22"/>
  <c r="I1650" i="22" s="1"/>
  <c r="G1650" i="22"/>
  <c r="H1649" i="22"/>
  <c r="I1649" i="22" s="1"/>
  <c r="G1649" i="22"/>
  <c r="H1648" i="22"/>
  <c r="I1648" i="22" s="1"/>
  <c r="G1648" i="22"/>
  <c r="H1647" i="22"/>
  <c r="I1647" i="22" s="1"/>
  <c r="G1647" i="22"/>
  <c r="H1646" i="22"/>
  <c r="I1646" i="22" s="1"/>
  <c r="G1646" i="22"/>
  <c r="H1645" i="22"/>
  <c r="I1645" i="22" s="1"/>
  <c r="G1645" i="22"/>
  <c r="H1644" i="22"/>
  <c r="I1644" i="22" s="1"/>
  <c r="G1644" i="22"/>
  <c r="H1643" i="22"/>
  <c r="I1643" i="22" s="1"/>
  <c r="G1643" i="22"/>
  <c r="H1642" i="22"/>
  <c r="I1642" i="22" s="1"/>
  <c r="G1642" i="22"/>
  <c r="H1641" i="22"/>
  <c r="I1641" i="22" s="1"/>
  <c r="G1641" i="22"/>
  <c r="H1640" i="22"/>
  <c r="I1640" i="22" s="1"/>
  <c r="G1640" i="22"/>
  <c r="H1639" i="22"/>
  <c r="I1639" i="22" s="1"/>
  <c r="G1639" i="22"/>
  <c r="H1638" i="22"/>
  <c r="I1638" i="22" s="1"/>
  <c r="G1638" i="22"/>
  <c r="H1637" i="22"/>
  <c r="I1637" i="22" s="1"/>
  <c r="G1637" i="22"/>
  <c r="H1636" i="22"/>
  <c r="I1636" i="22" s="1"/>
  <c r="G1636" i="22"/>
  <c r="H1635" i="22"/>
  <c r="I1635" i="22" s="1"/>
  <c r="G1635" i="22"/>
  <c r="H1634" i="22"/>
  <c r="I1634" i="22" s="1"/>
  <c r="G1634" i="22"/>
  <c r="H1633" i="22"/>
  <c r="I1633" i="22" s="1"/>
  <c r="G1633" i="22"/>
  <c r="H1632" i="22"/>
  <c r="I1632" i="22" s="1"/>
  <c r="G1632" i="22"/>
  <c r="H1631" i="22"/>
  <c r="I1631" i="22" s="1"/>
  <c r="G1631" i="22"/>
  <c r="H1630" i="22"/>
  <c r="I1630" i="22" s="1"/>
  <c r="G1630" i="22"/>
  <c r="H1629" i="22"/>
  <c r="I1629" i="22" s="1"/>
  <c r="G1629" i="22"/>
  <c r="H1628" i="22"/>
  <c r="I1628" i="22" s="1"/>
  <c r="G1628" i="22"/>
  <c r="H1627" i="22"/>
  <c r="I1627" i="22" s="1"/>
  <c r="G1627" i="22"/>
  <c r="H1626" i="22"/>
  <c r="I1626" i="22" s="1"/>
  <c r="G1626" i="22"/>
  <c r="H1625" i="22"/>
  <c r="I1625" i="22" s="1"/>
  <c r="G1625" i="22"/>
  <c r="H1624" i="22"/>
  <c r="I1624" i="22" s="1"/>
  <c r="G1624" i="22"/>
  <c r="H1623" i="22"/>
  <c r="I1623" i="22" s="1"/>
  <c r="G1623" i="22"/>
  <c r="H1622" i="22"/>
  <c r="I1622" i="22" s="1"/>
  <c r="G1622" i="22"/>
  <c r="H1621" i="22"/>
  <c r="I1621" i="22" s="1"/>
  <c r="G1621" i="22"/>
  <c r="H1620" i="22"/>
  <c r="I1620" i="22" s="1"/>
  <c r="G1620" i="22"/>
  <c r="H1619" i="22"/>
  <c r="I1619" i="22" s="1"/>
  <c r="G1619" i="22"/>
  <c r="H1618" i="22"/>
  <c r="I1618" i="22" s="1"/>
  <c r="G1618" i="22"/>
  <c r="H1617" i="22"/>
  <c r="I1617" i="22" s="1"/>
  <c r="G1617" i="22"/>
  <c r="H1616" i="22"/>
  <c r="I1616" i="22" s="1"/>
  <c r="G1616" i="22"/>
  <c r="H1615" i="22"/>
  <c r="I1615" i="22" s="1"/>
  <c r="G1615" i="22"/>
  <c r="H1614" i="22"/>
  <c r="I1614" i="22" s="1"/>
  <c r="G1614" i="22"/>
  <c r="H1613" i="22"/>
  <c r="I1613" i="22" s="1"/>
  <c r="G1613" i="22"/>
  <c r="H1612" i="22"/>
  <c r="I1612" i="22" s="1"/>
  <c r="G1612" i="22"/>
  <c r="H1611" i="22"/>
  <c r="I1611" i="22" s="1"/>
  <c r="G1611" i="22"/>
  <c r="H1610" i="22"/>
  <c r="I1610" i="22" s="1"/>
  <c r="G1610" i="22"/>
  <c r="H1609" i="22"/>
  <c r="I1609" i="22" s="1"/>
  <c r="G1609" i="22"/>
  <c r="H1608" i="22"/>
  <c r="I1608" i="22" s="1"/>
  <c r="G1608" i="22"/>
  <c r="H1607" i="22"/>
  <c r="I1607" i="22" s="1"/>
  <c r="G1607" i="22"/>
  <c r="H1606" i="22"/>
  <c r="I1606" i="22" s="1"/>
  <c r="G1606" i="22"/>
  <c r="H1605" i="22"/>
  <c r="I1605" i="22" s="1"/>
  <c r="G1605" i="22"/>
  <c r="H1604" i="22"/>
  <c r="I1604" i="22" s="1"/>
  <c r="G1604" i="22"/>
  <c r="H1603" i="22"/>
  <c r="I1603" i="22" s="1"/>
  <c r="G1603" i="22"/>
  <c r="H1602" i="22"/>
  <c r="I1602" i="22" s="1"/>
  <c r="G1602" i="22"/>
  <c r="H1601" i="22"/>
  <c r="I1601" i="22" s="1"/>
  <c r="G1601" i="22"/>
  <c r="H1600" i="22"/>
  <c r="I1600" i="22" s="1"/>
  <c r="G1600" i="22"/>
  <c r="H1599" i="22"/>
  <c r="I1599" i="22" s="1"/>
  <c r="G1599" i="22"/>
  <c r="H1598" i="22"/>
  <c r="I1598" i="22" s="1"/>
  <c r="G1598" i="22"/>
  <c r="H1597" i="22"/>
  <c r="I1597" i="22" s="1"/>
  <c r="G1597" i="22"/>
  <c r="H1596" i="22"/>
  <c r="I1596" i="22" s="1"/>
  <c r="G1596" i="22"/>
  <c r="H1595" i="22"/>
  <c r="I1595" i="22" s="1"/>
  <c r="G1595" i="22"/>
  <c r="H1594" i="22"/>
  <c r="I1594" i="22" s="1"/>
  <c r="G1594" i="22"/>
  <c r="H1593" i="22"/>
  <c r="I1593" i="22" s="1"/>
  <c r="G1593" i="22"/>
  <c r="H1592" i="22"/>
  <c r="I1592" i="22" s="1"/>
  <c r="G1592" i="22"/>
  <c r="H1591" i="22"/>
  <c r="I1591" i="22" s="1"/>
  <c r="G1591" i="22"/>
  <c r="H1590" i="22"/>
  <c r="I1590" i="22" s="1"/>
  <c r="G1590" i="22"/>
  <c r="H1589" i="22"/>
  <c r="I1589" i="22" s="1"/>
  <c r="G1589" i="22"/>
  <c r="H1588" i="22"/>
  <c r="I1588" i="22" s="1"/>
  <c r="G1588" i="22"/>
  <c r="H1587" i="22"/>
  <c r="I1587" i="22" s="1"/>
  <c r="G1587" i="22"/>
  <c r="H1586" i="22"/>
  <c r="I1586" i="22" s="1"/>
  <c r="G1586" i="22"/>
  <c r="H1585" i="22"/>
  <c r="I1585" i="22" s="1"/>
  <c r="G1585" i="22"/>
  <c r="H1584" i="22"/>
  <c r="I1584" i="22" s="1"/>
  <c r="G1584" i="22"/>
  <c r="H1583" i="22"/>
  <c r="I1583" i="22" s="1"/>
  <c r="G1583" i="22"/>
  <c r="H1582" i="22"/>
  <c r="I1582" i="22" s="1"/>
  <c r="G1582" i="22"/>
  <c r="H1581" i="22"/>
  <c r="I1581" i="22" s="1"/>
  <c r="G1581" i="22"/>
  <c r="H1580" i="22"/>
  <c r="I1580" i="22" s="1"/>
  <c r="G1580" i="22"/>
  <c r="H1579" i="22"/>
  <c r="I1579" i="22" s="1"/>
  <c r="G1579" i="22"/>
  <c r="H1578" i="22"/>
  <c r="I1578" i="22" s="1"/>
  <c r="G1578" i="22"/>
  <c r="H1577" i="22"/>
  <c r="I1577" i="22" s="1"/>
  <c r="G1577" i="22"/>
  <c r="H1576" i="22"/>
  <c r="I1576" i="22" s="1"/>
  <c r="G1576" i="22"/>
  <c r="H1575" i="22"/>
  <c r="I1575" i="22" s="1"/>
  <c r="G1575" i="22"/>
  <c r="H1574" i="22"/>
  <c r="I1574" i="22" s="1"/>
  <c r="G1574" i="22"/>
  <c r="H1573" i="22"/>
  <c r="I1573" i="22" s="1"/>
  <c r="G1573" i="22"/>
  <c r="H1572" i="22"/>
  <c r="I1572" i="22" s="1"/>
  <c r="G1572" i="22"/>
  <c r="H1571" i="22"/>
  <c r="I1571" i="22" s="1"/>
  <c r="G1571" i="22"/>
  <c r="H1570" i="22"/>
  <c r="I1570" i="22" s="1"/>
  <c r="G1570" i="22"/>
  <c r="H1569" i="22"/>
  <c r="I1569" i="22" s="1"/>
  <c r="G1569" i="22"/>
  <c r="H1568" i="22"/>
  <c r="I1568" i="22" s="1"/>
  <c r="G1568" i="22"/>
  <c r="H1567" i="22"/>
  <c r="I1567" i="22" s="1"/>
  <c r="G1567" i="22"/>
  <c r="H1566" i="22"/>
  <c r="I1566" i="22" s="1"/>
  <c r="G1566" i="22"/>
  <c r="H1565" i="22"/>
  <c r="I1565" i="22" s="1"/>
  <c r="G1565" i="22"/>
  <c r="H1564" i="22"/>
  <c r="I1564" i="22" s="1"/>
  <c r="G1564" i="22"/>
  <c r="H1563" i="22"/>
  <c r="I1563" i="22" s="1"/>
  <c r="G1563" i="22"/>
  <c r="H1562" i="22"/>
  <c r="I1562" i="22" s="1"/>
  <c r="G1562" i="22"/>
  <c r="H1561" i="22"/>
  <c r="I1561" i="22" s="1"/>
  <c r="G1561" i="22"/>
  <c r="H1560" i="22"/>
  <c r="I1560" i="22" s="1"/>
  <c r="G1560" i="22"/>
  <c r="H1559" i="22"/>
  <c r="I1559" i="22" s="1"/>
  <c r="G1559" i="22"/>
  <c r="H1558" i="22"/>
  <c r="I1558" i="22" s="1"/>
  <c r="G1558" i="22"/>
  <c r="H1557" i="22"/>
  <c r="I1557" i="22" s="1"/>
  <c r="G1557" i="22"/>
  <c r="H1556" i="22"/>
  <c r="I1556" i="22" s="1"/>
  <c r="G1556" i="22"/>
  <c r="H1555" i="22"/>
  <c r="I1555" i="22" s="1"/>
  <c r="G1555" i="22"/>
  <c r="H1554" i="22"/>
  <c r="I1554" i="22" s="1"/>
  <c r="G1554" i="22"/>
  <c r="H1553" i="22"/>
  <c r="I1553" i="22" s="1"/>
  <c r="G1553" i="22"/>
  <c r="H1552" i="22"/>
  <c r="I1552" i="22" s="1"/>
  <c r="G1552" i="22"/>
  <c r="H1551" i="22"/>
  <c r="I1551" i="22" s="1"/>
  <c r="G1551" i="22"/>
  <c r="H1550" i="22"/>
  <c r="I1550" i="22" s="1"/>
  <c r="G1550" i="22"/>
  <c r="H1549" i="22"/>
  <c r="I1549" i="22" s="1"/>
  <c r="G1549" i="22"/>
  <c r="H1548" i="22"/>
  <c r="I1548" i="22" s="1"/>
  <c r="G1548" i="22"/>
  <c r="H1547" i="22"/>
  <c r="I1547" i="22" s="1"/>
  <c r="G1547" i="22"/>
  <c r="H1546" i="22"/>
  <c r="I1546" i="22" s="1"/>
  <c r="G1546" i="22"/>
  <c r="H1545" i="22"/>
  <c r="I1545" i="22" s="1"/>
  <c r="G1545" i="22"/>
  <c r="H1544" i="22"/>
  <c r="I1544" i="22" s="1"/>
  <c r="G1544" i="22"/>
  <c r="H1543" i="22"/>
  <c r="I1543" i="22" s="1"/>
  <c r="G1543" i="22"/>
  <c r="H1542" i="22"/>
  <c r="I1542" i="22" s="1"/>
  <c r="G1542" i="22"/>
  <c r="H1541" i="22"/>
  <c r="I1541" i="22" s="1"/>
  <c r="G1541" i="22"/>
  <c r="H1540" i="22"/>
  <c r="I1540" i="22" s="1"/>
  <c r="G1540" i="22"/>
  <c r="H1539" i="22"/>
  <c r="I1539" i="22" s="1"/>
  <c r="G1539" i="22"/>
  <c r="H1538" i="22"/>
  <c r="I1538" i="22" s="1"/>
  <c r="G1538" i="22"/>
  <c r="H1537" i="22"/>
  <c r="I1537" i="22" s="1"/>
  <c r="G1537" i="22"/>
  <c r="H1536" i="22"/>
  <c r="I1536" i="22" s="1"/>
  <c r="G1536" i="22"/>
  <c r="H1535" i="22"/>
  <c r="I1535" i="22" s="1"/>
  <c r="G1535" i="22"/>
  <c r="H1534" i="22"/>
  <c r="I1534" i="22" s="1"/>
  <c r="G1534" i="22"/>
  <c r="H1533" i="22"/>
  <c r="I1533" i="22" s="1"/>
  <c r="G1533" i="22"/>
  <c r="H1532" i="22"/>
  <c r="I1532" i="22" s="1"/>
  <c r="G1532" i="22"/>
  <c r="H1531" i="22"/>
  <c r="I1531" i="22" s="1"/>
  <c r="G1531" i="22"/>
  <c r="H1530" i="22"/>
  <c r="I1530" i="22" s="1"/>
  <c r="G1530" i="22"/>
  <c r="H1529" i="22"/>
  <c r="I1529" i="22" s="1"/>
  <c r="G1529" i="22"/>
  <c r="H1528" i="22"/>
  <c r="I1528" i="22" s="1"/>
  <c r="G1528" i="22"/>
  <c r="H1527" i="22"/>
  <c r="I1527" i="22" s="1"/>
  <c r="G1527" i="22"/>
  <c r="H1526" i="22"/>
  <c r="I1526" i="22" s="1"/>
  <c r="G1526" i="22"/>
  <c r="H1525" i="22"/>
  <c r="I1525" i="22" s="1"/>
  <c r="G1525" i="22"/>
  <c r="H1524" i="22"/>
  <c r="I1524" i="22" s="1"/>
  <c r="G1524" i="22"/>
  <c r="H1523" i="22"/>
  <c r="I1523" i="22" s="1"/>
  <c r="G1523" i="22"/>
  <c r="H1522" i="22"/>
  <c r="I1522" i="22" s="1"/>
  <c r="G1522" i="22"/>
  <c r="H1521" i="22"/>
  <c r="I1521" i="22" s="1"/>
  <c r="G1521" i="22"/>
  <c r="H1520" i="22"/>
  <c r="I1520" i="22" s="1"/>
  <c r="G1520" i="22"/>
  <c r="H1519" i="22"/>
  <c r="I1519" i="22" s="1"/>
  <c r="G1519" i="22"/>
  <c r="H1518" i="22"/>
  <c r="I1518" i="22" s="1"/>
  <c r="G1518" i="22"/>
  <c r="H1517" i="22"/>
  <c r="I1517" i="22" s="1"/>
  <c r="G1517" i="22"/>
  <c r="H1516" i="22"/>
  <c r="I1516" i="22" s="1"/>
  <c r="G1516" i="22"/>
  <c r="H1515" i="22"/>
  <c r="I1515" i="22" s="1"/>
  <c r="G1515" i="22"/>
  <c r="H1514" i="22"/>
  <c r="I1514" i="22" s="1"/>
  <c r="G1514" i="22"/>
  <c r="H1513" i="22"/>
  <c r="I1513" i="22" s="1"/>
  <c r="G1513" i="22"/>
  <c r="H1512" i="22"/>
  <c r="I1512" i="22" s="1"/>
  <c r="G1512" i="22"/>
  <c r="H1511" i="22"/>
  <c r="I1511" i="22" s="1"/>
  <c r="G1511" i="22"/>
  <c r="H1510" i="22"/>
  <c r="I1510" i="22" s="1"/>
  <c r="G1510" i="22"/>
  <c r="H1509" i="22"/>
  <c r="I1509" i="22" s="1"/>
  <c r="G1509" i="22"/>
  <c r="H1508" i="22"/>
  <c r="I1508" i="22" s="1"/>
  <c r="G1508" i="22"/>
  <c r="H1507" i="22"/>
  <c r="I1507" i="22" s="1"/>
  <c r="G1507" i="22"/>
  <c r="H1506" i="22"/>
  <c r="I1506" i="22" s="1"/>
  <c r="G1506" i="22"/>
  <c r="H1505" i="22"/>
  <c r="I1505" i="22" s="1"/>
  <c r="G1505" i="22"/>
  <c r="H1504" i="22"/>
  <c r="I1504" i="22" s="1"/>
  <c r="G1504" i="22"/>
  <c r="H1503" i="22"/>
  <c r="I1503" i="22" s="1"/>
  <c r="G1503" i="22"/>
  <c r="H1502" i="22"/>
  <c r="I1502" i="22" s="1"/>
  <c r="G1502" i="22"/>
  <c r="H1501" i="22"/>
  <c r="I1501" i="22" s="1"/>
  <c r="G1501" i="22"/>
  <c r="H1500" i="22"/>
  <c r="I1500" i="22" s="1"/>
  <c r="G1500" i="22"/>
  <c r="H1499" i="22"/>
  <c r="I1499" i="22" s="1"/>
  <c r="G1499" i="22"/>
  <c r="H1498" i="22"/>
  <c r="I1498" i="22" s="1"/>
  <c r="G1498" i="22"/>
  <c r="H1497" i="22"/>
  <c r="I1497" i="22" s="1"/>
  <c r="G1497" i="22"/>
  <c r="H1496" i="22"/>
  <c r="I1496" i="22" s="1"/>
  <c r="G1496" i="22"/>
  <c r="H1495" i="22"/>
  <c r="I1495" i="22" s="1"/>
  <c r="G1495" i="22"/>
  <c r="H1494" i="22"/>
  <c r="I1494" i="22" s="1"/>
  <c r="G1494" i="22"/>
  <c r="H1493" i="22"/>
  <c r="I1493" i="22" s="1"/>
  <c r="G1493" i="22"/>
  <c r="H1492" i="22"/>
  <c r="I1492" i="22" s="1"/>
  <c r="G1492" i="22"/>
  <c r="H1491" i="22"/>
  <c r="I1491" i="22" s="1"/>
  <c r="G1491" i="22"/>
  <c r="H1490" i="22"/>
  <c r="I1490" i="22" s="1"/>
  <c r="G1490" i="22"/>
  <c r="H1489" i="22"/>
  <c r="I1489" i="22" s="1"/>
  <c r="G1489" i="22"/>
  <c r="H1488" i="22"/>
  <c r="I1488" i="22" s="1"/>
  <c r="G1488" i="22"/>
  <c r="H1487" i="22"/>
  <c r="I1487" i="22" s="1"/>
  <c r="G1487" i="22"/>
  <c r="H1486" i="22"/>
  <c r="I1486" i="22" s="1"/>
  <c r="G1486" i="22"/>
  <c r="H1485" i="22"/>
  <c r="I1485" i="22" s="1"/>
  <c r="G1485" i="22"/>
  <c r="H1484" i="22"/>
  <c r="I1484" i="22" s="1"/>
  <c r="G1484" i="22"/>
  <c r="H1483" i="22"/>
  <c r="I1483" i="22" s="1"/>
  <c r="G1483" i="22"/>
  <c r="H1482" i="22"/>
  <c r="I1482" i="22" s="1"/>
  <c r="G1482" i="22"/>
  <c r="H1481" i="22"/>
  <c r="I1481" i="22" s="1"/>
  <c r="G1481" i="22"/>
  <c r="H1480" i="22"/>
  <c r="I1480" i="22" s="1"/>
  <c r="G1480" i="22"/>
  <c r="H1479" i="22"/>
  <c r="I1479" i="22" s="1"/>
  <c r="G1479" i="22"/>
  <c r="H1478" i="22"/>
  <c r="I1478" i="22" s="1"/>
  <c r="G1478" i="22"/>
  <c r="H1477" i="22"/>
  <c r="I1477" i="22" s="1"/>
  <c r="G1477" i="22"/>
  <c r="H1476" i="22"/>
  <c r="I1476" i="22" s="1"/>
  <c r="G1476" i="22"/>
  <c r="H1475" i="22"/>
  <c r="I1475" i="22" s="1"/>
  <c r="G1475" i="22"/>
  <c r="H1474" i="22"/>
  <c r="I1474" i="22" s="1"/>
  <c r="G1474" i="22"/>
  <c r="H1473" i="22"/>
  <c r="I1473" i="22" s="1"/>
  <c r="G1473" i="22"/>
  <c r="H1472" i="22"/>
  <c r="I1472" i="22" s="1"/>
  <c r="G1472" i="22"/>
  <c r="H1471" i="22"/>
  <c r="I1471" i="22" s="1"/>
  <c r="G1471" i="22"/>
  <c r="H1470" i="22"/>
  <c r="I1470" i="22" s="1"/>
  <c r="G1470" i="22"/>
  <c r="H1469" i="22"/>
  <c r="I1469" i="22" s="1"/>
  <c r="G1469" i="22"/>
  <c r="H1468" i="22"/>
  <c r="I1468" i="22" s="1"/>
  <c r="G1468" i="22"/>
  <c r="H1467" i="22"/>
  <c r="I1467" i="22" s="1"/>
  <c r="G1467" i="22"/>
  <c r="H1466" i="22"/>
  <c r="I1466" i="22" s="1"/>
  <c r="G1466" i="22"/>
  <c r="H1465" i="22"/>
  <c r="I1465" i="22" s="1"/>
  <c r="G1465" i="22"/>
  <c r="H1464" i="22"/>
  <c r="I1464" i="22" s="1"/>
  <c r="G1464" i="22"/>
  <c r="H1463" i="22"/>
  <c r="I1463" i="22" s="1"/>
  <c r="G1463" i="22"/>
  <c r="H1462" i="22"/>
  <c r="I1462" i="22" s="1"/>
  <c r="G1462" i="22"/>
  <c r="H1461" i="22"/>
  <c r="I1461" i="22" s="1"/>
  <c r="G1461" i="22"/>
  <c r="H1460" i="22"/>
  <c r="I1460" i="22" s="1"/>
  <c r="G1460" i="22"/>
  <c r="H1459" i="22"/>
  <c r="I1459" i="22" s="1"/>
  <c r="G1459" i="22"/>
  <c r="H1458" i="22"/>
  <c r="I1458" i="22" s="1"/>
  <c r="G1458" i="22"/>
  <c r="H1457" i="22"/>
  <c r="I1457" i="22" s="1"/>
  <c r="G1457" i="22"/>
  <c r="H1456" i="22"/>
  <c r="I1456" i="22" s="1"/>
  <c r="G1456" i="22"/>
  <c r="H1455" i="22"/>
  <c r="I1455" i="22" s="1"/>
  <c r="G1455" i="22"/>
  <c r="H1454" i="22"/>
  <c r="I1454" i="22" s="1"/>
  <c r="G1454" i="22"/>
  <c r="H1453" i="22"/>
  <c r="I1453" i="22" s="1"/>
  <c r="G1453" i="22"/>
  <c r="H1452" i="22"/>
  <c r="I1452" i="22" s="1"/>
  <c r="G1452" i="22"/>
  <c r="H1451" i="22"/>
  <c r="I1451" i="22" s="1"/>
  <c r="G1451" i="22"/>
  <c r="H1450" i="22"/>
  <c r="I1450" i="22" s="1"/>
  <c r="G1450" i="22"/>
  <c r="H1449" i="22"/>
  <c r="I1449" i="22" s="1"/>
  <c r="G1449" i="22"/>
  <c r="H1448" i="22"/>
  <c r="I1448" i="22" s="1"/>
  <c r="G1448" i="22"/>
  <c r="H1447" i="22"/>
  <c r="I1447" i="22" s="1"/>
  <c r="G1447" i="22"/>
  <c r="H1446" i="22"/>
  <c r="I1446" i="22" s="1"/>
  <c r="G1446" i="22"/>
  <c r="H1445" i="22"/>
  <c r="I1445" i="22" s="1"/>
  <c r="G1445" i="22"/>
  <c r="H1444" i="22"/>
  <c r="I1444" i="22" s="1"/>
  <c r="G1444" i="22"/>
  <c r="H1443" i="22"/>
  <c r="I1443" i="22" s="1"/>
  <c r="G1443" i="22"/>
  <c r="H1442" i="22"/>
  <c r="I1442" i="22" s="1"/>
  <c r="G1442" i="22"/>
  <c r="H1441" i="22"/>
  <c r="I1441" i="22" s="1"/>
  <c r="G1441" i="22"/>
  <c r="H1440" i="22"/>
  <c r="I1440" i="22" s="1"/>
  <c r="G1440" i="22"/>
  <c r="H1439" i="22"/>
  <c r="I1439" i="22" s="1"/>
  <c r="G1439" i="22"/>
  <c r="H1438" i="22"/>
  <c r="I1438" i="22" s="1"/>
  <c r="G1438" i="22"/>
  <c r="H1437" i="22"/>
  <c r="I1437" i="22" s="1"/>
  <c r="G1437" i="22"/>
  <c r="H1436" i="22"/>
  <c r="I1436" i="22" s="1"/>
  <c r="G1436" i="22"/>
  <c r="H1435" i="22"/>
  <c r="I1435" i="22" s="1"/>
  <c r="G1435" i="22"/>
  <c r="H1434" i="22"/>
  <c r="I1434" i="22" s="1"/>
  <c r="G1434" i="22"/>
  <c r="H1433" i="22"/>
  <c r="I1433" i="22" s="1"/>
  <c r="G1433" i="22"/>
  <c r="H1432" i="22"/>
  <c r="I1432" i="22" s="1"/>
  <c r="G1432" i="22"/>
  <c r="H1431" i="22"/>
  <c r="I1431" i="22" s="1"/>
  <c r="G1431" i="22"/>
  <c r="H1430" i="22"/>
  <c r="I1430" i="22" s="1"/>
  <c r="G1430" i="22"/>
  <c r="H1429" i="22"/>
  <c r="I1429" i="22" s="1"/>
  <c r="G1429" i="22"/>
  <c r="H1428" i="22"/>
  <c r="I1428" i="22" s="1"/>
  <c r="G1428" i="22"/>
  <c r="H1427" i="22"/>
  <c r="I1427" i="22" s="1"/>
  <c r="G1427" i="22"/>
  <c r="H1426" i="22"/>
  <c r="I1426" i="22" s="1"/>
  <c r="G1426" i="22"/>
  <c r="H1425" i="22"/>
  <c r="I1425" i="22" s="1"/>
  <c r="G1425" i="22"/>
  <c r="H1424" i="22"/>
  <c r="I1424" i="22" s="1"/>
  <c r="G1424" i="22"/>
  <c r="H1423" i="22"/>
  <c r="I1423" i="22" s="1"/>
  <c r="G1423" i="22"/>
  <c r="H1422" i="22"/>
  <c r="I1422" i="22" s="1"/>
  <c r="G1422" i="22"/>
  <c r="H1421" i="22"/>
  <c r="I1421" i="22" s="1"/>
  <c r="G1421" i="22"/>
  <c r="H1420" i="22"/>
  <c r="I1420" i="22" s="1"/>
  <c r="G1420" i="22"/>
  <c r="H1419" i="22"/>
  <c r="I1419" i="22" s="1"/>
  <c r="G1419" i="22"/>
  <c r="H1418" i="22"/>
  <c r="I1418" i="22" s="1"/>
  <c r="G1418" i="22"/>
  <c r="H1417" i="22"/>
  <c r="I1417" i="22" s="1"/>
  <c r="G1417" i="22"/>
  <c r="H1416" i="22"/>
  <c r="I1416" i="22" s="1"/>
  <c r="G1416" i="22"/>
  <c r="H1415" i="22"/>
  <c r="I1415" i="22" s="1"/>
  <c r="G1415" i="22"/>
  <c r="H1414" i="22"/>
  <c r="I1414" i="22" s="1"/>
  <c r="G1414" i="22"/>
  <c r="H1413" i="22"/>
  <c r="I1413" i="22" s="1"/>
  <c r="G1413" i="22"/>
  <c r="H1412" i="22"/>
  <c r="I1412" i="22" s="1"/>
  <c r="G1412" i="22"/>
  <c r="H1411" i="22"/>
  <c r="I1411" i="22" s="1"/>
  <c r="G1411" i="22"/>
  <c r="H1410" i="22"/>
  <c r="I1410" i="22" s="1"/>
  <c r="G1410" i="22"/>
  <c r="H1409" i="22"/>
  <c r="I1409" i="22" s="1"/>
  <c r="G1409" i="22"/>
  <c r="H1408" i="22"/>
  <c r="I1408" i="22" s="1"/>
  <c r="G1408" i="22"/>
  <c r="H1407" i="22"/>
  <c r="I1407" i="22" s="1"/>
  <c r="G1407" i="22"/>
  <c r="H1406" i="22"/>
  <c r="I1406" i="22" s="1"/>
  <c r="G1406" i="22"/>
  <c r="H1405" i="22"/>
  <c r="I1405" i="22" s="1"/>
  <c r="G1405" i="22"/>
  <c r="H1404" i="22"/>
  <c r="I1404" i="22" s="1"/>
  <c r="G1404" i="22"/>
  <c r="H1403" i="22"/>
  <c r="I1403" i="22" s="1"/>
  <c r="G1403" i="22"/>
  <c r="H1402" i="22"/>
  <c r="I1402" i="22" s="1"/>
  <c r="G1402" i="22"/>
  <c r="H1401" i="22"/>
  <c r="I1401" i="22" s="1"/>
  <c r="G1401" i="22"/>
  <c r="H1400" i="22"/>
  <c r="I1400" i="22" s="1"/>
  <c r="G1400" i="22"/>
  <c r="H1399" i="22"/>
  <c r="I1399" i="22" s="1"/>
  <c r="G1399" i="22"/>
  <c r="H1398" i="22"/>
  <c r="I1398" i="22" s="1"/>
  <c r="G1398" i="22"/>
  <c r="H1397" i="22"/>
  <c r="I1397" i="22" s="1"/>
  <c r="G1397" i="22"/>
  <c r="H1396" i="22"/>
  <c r="I1396" i="22" s="1"/>
  <c r="G1396" i="22"/>
  <c r="H1395" i="22"/>
  <c r="I1395" i="22" s="1"/>
  <c r="G1395" i="22"/>
  <c r="H1394" i="22"/>
  <c r="I1394" i="22" s="1"/>
  <c r="G1394" i="22"/>
  <c r="H1393" i="22"/>
  <c r="I1393" i="22" s="1"/>
  <c r="G1393" i="22"/>
  <c r="H1392" i="22"/>
  <c r="I1392" i="22" s="1"/>
  <c r="G1392" i="22"/>
  <c r="H1391" i="22"/>
  <c r="I1391" i="22" s="1"/>
  <c r="G1391" i="22"/>
  <c r="H1390" i="22"/>
  <c r="I1390" i="22" s="1"/>
  <c r="G1390" i="22"/>
  <c r="H1389" i="22"/>
  <c r="I1389" i="22" s="1"/>
  <c r="G1389" i="22"/>
  <c r="H1388" i="22"/>
  <c r="I1388" i="22" s="1"/>
  <c r="G1388" i="22"/>
  <c r="H1387" i="22"/>
  <c r="I1387" i="22" s="1"/>
  <c r="G1387" i="22"/>
  <c r="H1386" i="22"/>
  <c r="I1386" i="22" s="1"/>
  <c r="G1386" i="22"/>
  <c r="H1385" i="22"/>
  <c r="I1385" i="22" s="1"/>
  <c r="G1385" i="22"/>
  <c r="H1384" i="22"/>
  <c r="I1384" i="22" s="1"/>
  <c r="G1384" i="22"/>
  <c r="H1383" i="22"/>
  <c r="I1383" i="22" s="1"/>
  <c r="G1383" i="22"/>
  <c r="H1382" i="22"/>
  <c r="I1382" i="22" s="1"/>
  <c r="G1382" i="22"/>
  <c r="H1381" i="22"/>
  <c r="I1381" i="22" s="1"/>
  <c r="G1381" i="22"/>
  <c r="H1380" i="22"/>
  <c r="I1380" i="22" s="1"/>
  <c r="G1380" i="22"/>
  <c r="H1379" i="22"/>
  <c r="I1379" i="22" s="1"/>
  <c r="G1379" i="22"/>
  <c r="H1378" i="22"/>
  <c r="I1378" i="22" s="1"/>
  <c r="G1378" i="22"/>
  <c r="H1377" i="22"/>
  <c r="I1377" i="22" s="1"/>
  <c r="G1377" i="22"/>
  <c r="H1376" i="22"/>
  <c r="I1376" i="22" s="1"/>
  <c r="G1376" i="22"/>
  <c r="H1375" i="22"/>
  <c r="I1375" i="22" s="1"/>
  <c r="G1375" i="22"/>
  <c r="H1374" i="22"/>
  <c r="I1374" i="22" s="1"/>
  <c r="G1374" i="22"/>
  <c r="H1373" i="22"/>
  <c r="I1373" i="22" s="1"/>
  <c r="G1373" i="22"/>
  <c r="H1372" i="22"/>
  <c r="I1372" i="22" s="1"/>
  <c r="G1372" i="22"/>
  <c r="H1371" i="22"/>
  <c r="I1371" i="22" s="1"/>
  <c r="G1371" i="22"/>
  <c r="H1370" i="22"/>
  <c r="I1370" i="22" s="1"/>
  <c r="G1370" i="22"/>
  <c r="H1369" i="22"/>
  <c r="I1369" i="22" s="1"/>
  <c r="G1369" i="22"/>
  <c r="H1368" i="22"/>
  <c r="I1368" i="22" s="1"/>
  <c r="G1368" i="22"/>
  <c r="H1367" i="22"/>
  <c r="I1367" i="22" s="1"/>
  <c r="G1367" i="22"/>
  <c r="H1366" i="22"/>
  <c r="I1366" i="22" s="1"/>
  <c r="G1366" i="22"/>
  <c r="H1365" i="22"/>
  <c r="I1365" i="22" s="1"/>
  <c r="G1365" i="22"/>
  <c r="H1364" i="22"/>
  <c r="I1364" i="22" s="1"/>
  <c r="G1364" i="22"/>
  <c r="H1363" i="22"/>
  <c r="I1363" i="22" s="1"/>
  <c r="G1363" i="22"/>
  <c r="H1362" i="22"/>
  <c r="I1362" i="22" s="1"/>
  <c r="G1362" i="22"/>
  <c r="H1361" i="22"/>
  <c r="I1361" i="22" s="1"/>
  <c r="G1361" i="22"/>
  <c r="H1360" i="22"/>
  <c r="I1360" i="22" s="1"/>
  <c r="G1360" i="22"/>
  <c r="H1359" i="22"/>
  <c r="I1359" i="22" s="1"/>
  <c r="G1359" i="22"/>
  <c r="H1358" i="22"/>
  <c r="I1358" i="22" s="1"/>
  <c r="G1358" i="22"/>
  <c r="H1357" i="22"/>
  <c r="I1357" i="22" s="1"/>
  <c r="G1357" i="22"/>
  <c r="H1356" i="22"/>
  <c r="I1356" i="22" s="1"/>
  <c r="G1356" i="22"/>
  <c r="H1355" i="22"/>
  <c r="I1355" i="22" s="1"/>
  <c r="G1355" i="22"/>
  <c r="H1354" i="22"/>
  <c r="I1354" i="22" s="1"/>
  <c r="G1354" i="22"/>
  <c r="H1353" i="22"/>
  <c r="I1353" i="22" s="1"/>
  <c r="G1353" i="22"/>
  <c r="H1352" i="22"/>
  <c r="I1352" i="22" s="1"/>
  <c r="G1352" i="22"/>
  <c r="H1351" i="22"/>
  <c r="I1351" i="22" s="1"/>
  <c r="G1351" i="22"/>
  <c r="H1350" i="22"/>
  <c r="I1350" i="22" s="1"/>
  <c r="G1350" i="22"/>
  <c r="H1349" i="22"/>
  <c r="I1349" i="22" s="1"/>
  <c r="G1349" i="22"/>
  <c r="H1348" i="22"/>
  <c r="I1348" i="22" s="1"/>
  <c r="G1348" i="22"/>
  <c r="H1347" i="22"/>
  <c r="I1347" i="22" s="1"/>
  <c r="G1347" i="22"/>
  <c r="H1346" i="22"/>
  <c r="I1346" i="22" s="1"/>
  <c r="G1346" i="22"/>
  <c r="H1345" i="22"/>
  <c r="I1345" i="22" s="1"/>
  <c r="G1345" i="22"/>
  <c r="H1344" i="22"/>
  <c r="I1344" i="22" s="1"/>
  <c r="G1344" i="22"/>
  <c r="H1343" i="22"/>
  <c r="I1343" i="22" s="1"/>
  <c r="G1343" i="22"/>
  <c r="H1342" i="22"/>
  <c r="I1342" i="22" s="1"/>
  <c r="G1342" i="22"/>
  <c r="H1341" i="22"/>
  <c r="I1341" i="22" s="1"/>
  <c r="G1341" i="22"/>
  <c r="H1340" i="22"/>
  <c r="I1340" i="22" s="1"/>
  <c r="G1340" i="22"/>
  <c r="H1339" i="22"/>
  <c r="I1339" i="22" s="1"/>
  <c r="G1339" i="22"/>
  <c r="H1338" i="22"/>
  <c r="I1338" i="22" s="1"/>
  <c r="G1338" i="22"/>
  <c r="H1337" i="22"/>
  <c r="I1337" i="22" s="1"/>
  <c r="G1337" i="22"/>
  <c r="H1336" i="22"/>
  <c r="I1336" i="22" s="1"/>
  <c r="G1336" i="22"/>
  <c r="H1335" i="22"/>
  <c r="I1335" i="22" s="1"/>
  <c r="G1335" i="22"/>
  <c r="H1334" i="22"/>
  <c r="I1334" i="22" s="1"/>
  <c r="G1334" i="22"/>
  <c r="H1333" i="22"/>
  <c r="I1333" i="22" s="1"/>
  <c r="G1333" i="22"/>
  <c r="H1332" i="22"/>
  <c r="I1332" i="22" s="1"/>
  <c r="G1332" i="22"/>
  <c r="H1331" i="22"/>
  <c r="I1331" i="22" s="1"/>
  <c r="G1331" i="22"/>
  <c r="H1330" i="22"/>
  <c r="I1330" i="22" s="1"/>
  <c r="G1330" i="22"/>
  <c r="H1329" i="22"/>
  <c r="I1329" i="22" s="1"/>
  <c r="G1329" i="22"/>
  <c r="H1328" i="22"/>
  <c r="I1328" i="22" s="1"/>
  <c r="G1328" i="22"/>
  <c r="H1327" i="22"/>
  <c r="I1327" i="22" s="1"/>
  <c r="G1327" i="22"/>
  <c r="H1326" i="22"/>
  <c r="I1326" i="22" s="1"/>
  <c r="G1326" i="22"/>
  <c r="H1325" i="22"/>
  <c r="I1325" i="22" s="1"/>
  <c r="G1325" i="22"/>
  <c r="H1324" i="22"/>
  <c r="I1324" i="22" s="1"/>
  <c r="G1324" i="22"/>
  <c r="H1323" i="22"/>
  <c r="I1323" i="22" s="1"/>
  <c r="G1323" i="22"/>
  <c r="H1322" i="22"/>
  <c r="I1322" i="22" s="1"/>
  <c r="G1322" i="22"/>
  <c r="H1321" i="22"/>
  <c r="I1321" i="22" s="1"/>
  <c r="G1321" i="22"/>
  <c r="H1320" i="22"/>
  <c r="I1320" i="22" s="1"/>
  <c r="G1320" i="22"/>
  <c r="H1319" i="22"/>
  <c r="I1319" i="22" s="1"/>
  <c r="G1319" i="22"/>
  <c r="H1318" i="22"/>
  <c r="I1318" i="22" s="1"/>
  <c r="G1318" i="22"/>
  <c r="H1317" i="22"/>
  <c r="I1317" i="22" s="1"/>
  <c r="G1317" i="22"/>
  <c r="H1316" i="22"/>
  <c r="I1316" i="22" s="1"/>
  <c r="G1316" i="22"/>
  <c r="H1315" i="22"/>
  <c r="I1315" i="22" s="1"/>
  <c r="G1315" i="22"/>
  <c r="H1314" i="22"/>
  <c r="I1314" i="22" s="1"/>
  <c r="G1314" i="22"/>
  <c r="H1313" i="22"/>
  <c r="I1313" i="22" s="1"/>
  <c r="G1313" i="22"/>
  <c r="H1312" i="22"/>
  <c r="I1312" i="22" s="1"/>
  <c r="G1312" i="22"/>
  <c r="H1311" i="22"/>
  <c r="I1311" i="22" s="1"/>
  <c r="G1311" i="22"/>
  <c r="H1310" i="22"/>
  <c r="I1310" i="22" s="1"/>
  <c r="G1310" i="22"/>
  <c r="H1309" i="22"/>
  <c r="I1309" i="22" s="1"/>
  <c r="G1309" i="22"/>
  <c r="H1308" i="22"/>
  <c r="I1308" i="22" s="1"/>
  <c r="G1308" i="22"/>
  <c r="H1307" i="22"/>
  <c r="I1307" i="22" s="1"/>
  <c r="G1307" i="22"/>
  <c r="H1306" i="22"/>
  <c r="I1306" i="22" s="1"/>
  <c r="G1306" i="22"/>
  <c r="H1305" i="22"/>
  <c r="I1305" i="22" s="1"/>
  <c r="G1305" i="22"/>
  <c r="H1304" i="22"/>
  <c r="I1304" i="22" s="1"/>
  <c r="G1304" i="22"/>
  <c r="H1303" i="22"/>
  <c r="I1303" i="22" s="1"/>
  <c r="G1303" i="22"/>
  <c r="H1302" i="22"/>
  <c r="I1302" i="22" s="1"/>
  <c r="G1302" i="22"/>
  <c r="H1301" i="22"/>
  <c r="I1301" i="22" s="1"/>
  <c r="G1301" i="22"/>
  <c r="H1300" i="22"/>
  <c r="I1300" i="22" s="1"/>
  <c r="G1300" i="22"/>
  <c r="H1299" i="22"/>
  <c r="I1299" i="22" s="1"/>
  <c r="G1299" i="22"/>
  <c r="H1298" i="22"/>
  <c r="I1298" i="22" s="1"/>
  <c r="G1298" i="22"/>
  <c r="H1297" i="22"/>
  <c r="I1297" i="22" s="1"/>
  <c r="G1297" i="22"/>
  <c r="H1296" i="22"/>
  <c r="I1296" i="22" s="1"/>
  <c r="G1296" i="22"/>
  <c r="H1295" i="22"/>
  <c r="I1295" i="22" s="1"/>
  <c r="G1295" i="22"/>
  <c r="H1294" i="22"/>
  <c r="I1294" i="22" s="1"/>
  <c r="G1294" i="22"/>
  <c r="H1293" i="22"/>
  <c r="I1293" i="22" s="1"/>
  <c r="G1293" i="22"/>
  <c r="H1292" i="22"/>
  <c r="I1292" i="22" s="1"/>
  <c r="G1292" i="22"/>
  <c r="H1291" i="22"/>
  <c r="I1291" i="22" s="1"/>
  <c r="G1291" i="22"/>
  <c r="H1290" i="22"/>
  <c r="I1290" i="22" s="1"/>
  <c r="G1290" i="22"/>
  <c r="H1289" i="22"/>
  <c r="I1289" i="22" s="1"/>
  <c r="G1289" i="22"/>
  <c r="H1288" i="22"/>
  <c r="I1288" i="22" s="1"/>
  <c r="G1288" i="22"/>
  <c r="H1287" i="22"/>
  <c r="I1287" i="22" s="1"/>
  <c r="G1287" i="22"/>
  <c r="H1286" i="22"/>
  <c r="I1286" i="22" s="1"/>
  <c r="G1286" i="22"/>
  <c r="H1285" i="22"/>
  <c r="I1285" i="22" s="1"/>
  <c r="G1285" i="22"/>
  <c r="H1284" i="22"/>
  <c r="I1284" i="22" s="1"/>
  <c r="G1284" i="22"/>
  <c r="H1283" i="22"/>
  <c r="I1283" i="22" s="1"/>
  <c r="G1283" i="22"/>
  <c r="H1282" i="22"/>
  <c r="I1282" i="22" s="1"/>
  <c r="G1282" i="22"/>
  <c r="H1281" i="22"/>
  <c r="I1281" i="22" s="1"/>
  <c r="G1281" i="22"/>
  <c r="H1280" i="22"/>
  <c r="I1280" i="22" s="1"/>
  <c r="G1280" i="22"/>
  <c r="H1279" i="22"/>
  <c r="I1279" i="22" s="1"/>
  <c r="G1279" i="22"/>
  <c r="H1278" i="22"/>
  <c r="I1278" i="22" s="1"/>
  <c r="G1278" i="22"/>
  <c r="H1277" i="22"/>
  <c r="I1277" i="22" s="1"/>
  <c r="G1277" i="22"/>
  <c r="H1276" i="22"/>
  <c r="I1276" i="22" s="1"/>
  <c r="G1276" i="22"/>
  <c r="H1275" i="22"/>
  <c r="I1275" i="22" s="1"/>
  <c r="G1275" i="22"/>
  <c r="H1274" i="22"/>
  <c r="I1274" i="22" s="1"/>
  <c r="G1274" i="22"/>
  <c r="H1273" i="22"/>
  <c r="I1273" i="22" s="1"/>
  <c r="G1273" i="22"/>
  <c r="H1272" i="22"/>
  <c r="I1272" i="22" s="1"/>
  <c r="G1272" i="22"/>
  <c r="H1271" i="22"/>
  <c r="I1271" i="22" s="1"/>
  <c r="G1271" i="22"/>
  <c r="H1270" i="22"/>
  <c r="I1270" i="22" s="1"/>
  <c r="G1270" i="22"/>
  <c r="H1269" i="22"/>
  <c r="I1269" i="22" s="1"/>
  <c r="G1269" i="22"/>
  <c r="H1268" i="22"/>
  <c r="I1268" i="22" s="1"/>
  <c r="G1268" i="22"/>
  <c r="H1267" i="22"/>
  <c r="I1267" i="22" s="1"/>
  <c r="G1267" i="22"/>
  <c r="H1266" i="22"/>
  <c r="I1266" i="22" s="1"/>
  <c r="G1266" i="22"/>
  <c r="H1265" i="22"/>
  <c r="I1265" i="22" s="1"/>
  <c r="G1265" i="22"/>
  <c r="H1264" i="22"/>
  <c r="I1264" i="22" s="1"/>
  <c r="G1264" i="22"/>
  <c r="H1263" i="22"/>
  <c r="I1263" i="22" s="1"/>
  <c r="G1263" i="22"/>
  <c r="H1262" i="22"/>
  <c r="I1262" i="22" s="1"/>
  <c r="G1262" i="22"/>
  <c r="H1261" i="22"/>
  <c r="I1261" i="22" s="1"/>
  <c r="G1261" i="22"/>
  <c r="H1260" i="22"/>
  <c r="I1260" i="22" s="1"/>
  <c r="G1260" i="22"/>
  <c r="H1259" i="22"/>
  <c r="I1259" i="22" s="1"/>
  <c r="G1259" i="22"/>
  <c r="H1258" i="22"/>
  <c r="I1258" i="22" s="1"/>
  <c r="G1258" i="22"/>
  <c r="H1257" i="22"/>
  <c r="I1257" i="22" s="1"/>
  <c r="G1257" i="22"/>
  <c r="H1256" i="22"/>
  <c r="I1256" i="22" s="1"/>
  <c r="G1256" i="22"/>
  <c r="H1255" i="22"/>
  <c r="I1255" i="22" s="1"/>
  <c r="G1255" i="22"/>
  <c r="H1254" i="22"/>
  <c r="I1254" i="22" s="1"/>
  <c r="G1254" i="22"/>
  <c r="H1253" i="22"/>
  <c r="I1253" i="22" s="1"/>
  <c r="G1253" i="22"/>
  <c r="H1252" i="22"/>
  <c r="I1252" i="22" s="1"/>
  <c r="G1252" i="22"/>
  <c r="H1251" i="22"/>
  <c r="I1251" i="22" s="1"/>
  <c r="G1251" i="22"/>
  <c r="H1250" i="22"/>
  <c r="I1250" i="22" s="1"/>
  <c r="G1250" i="22"/>
  <c r="H1249" i="22"/>
  <c r="I1249" i="22" s="1"/>
  <c r="G1249" i="22"/>
  <c r="H1248" i="22"/>
  <c r="I1248" i="22" s="1"/>
  <c r="G1248" i="22"/>
  <c r="H1247" i="22"/>
  <c r="I1247" i="22" s="1"/>
  <c r="G1247" i="22"/>
  <c r="H1246" i="22"/>
  <c r="I1246" i="22" s="1"/>
  <c r="G1246" i="22"/>
  <c r="H1245" i="22"/>
  <c r="I1245" i="22" s="1"/>
  <c r="G1245" i="22"/>
  <c r="H1244" i="22"/>
  <c r="I1244" i="22" s="1"/>
  <c r="G1244" i="22"/>
  <c r="H1243" i="22"/>
  <c r="I1243" i="22" s="1"/>
  <c r="G1243" i="22"/>
  <c r="H1242" i="22"/>
  <c r="I1242" i="22" s="1"/>
  <c r="G1242" i="22"/>
  <c r="H1241" i="22"/>
  <c r="I1241" i="22" s="1"/>
  <c r="G1241" i="22"/>
  <c r="H1240" i="22"/>
  <c r="I1240" i="22" s="1"/>
  <c r="G1240" i="22"/>
  <c r="H1239" i="22"/>
  <c r="I1239" i="22" s="1"/>
  <c r="G1239" i="22"/>
  <c r="H1238" i="22"/>
  <c r="I1238" i="22" s="1"/>
  <c r="G1238" i="22"/>
  <c r="H1237" i="22"/>
  <c r="I1237" i="22" s="1"/>
  <c r="G1237" i="22"/>
  <c r="H1236" i="22"/>
  <c r="I1236" i="22" s="1"/>
  <c r="G1236" i="22"/>
  <c r="H1235" i="22"/>
  <c r="I1235" i="22" s="1"/>
  <c r="G1235" i="22"/>
  <c r="H1234" i="22"/>
  <c r="I1234" i="22" s="1"/>
  <c r="G1234" i="22"/>
  <c r="H1233" i="22"/>
  <c r="I1233" i="22" s="1"/>
  <c r="G1233" i="22"/>
  <c r="H1232" i="22"/>
  <c r="I1232" i="22" s="1"/>
  <c r="G1232" i="22"/>
  <c r="H1231" i="22"/>
  <c r="I1231" i="22" s="1"/>
  <c r="G1231" i="22"/>
  <c r="H1230" i="22"/>
  <c r="I1230" i="22" s="1"/>
  <c r="G1230" i="22"/>
  <c r="H1229" i="22"/>
  <c r="I1229" i="22" s="1"/>
  <c r="G1229" i="22"/>
  <c r="H1228" i="22"/>
  <c r="I1228" i="22" s="1"/>
  <c r="G1228" i="22"/>
  <c r="H1227" i="22"/>
  <c r="I1227" i="22" s="1"/>
  <c r="G1227" i="22"/>
  <c r="H1226" i="22"/>
  <c r="I1226" i="22" s="1"/>
  <c r="G1226" i="22"/>
  <c r="H1225" i="22"/>
  <c r="I1225" i="22" s="1"/>
  <c r="G1225" i="22"/>
  <c r="H1224" i="22"/>
  <c r="I1224" i="22" s="1"/>
  <c r="G1224" i="22"/>
  <c r="H1223" i="22"/>
  <c r="I1223" i="22" s="1"/>
  <c r="G1223" i="22"/>
  <c r="H1222" i="22"/>
  <c r="I1222" i="22" s="1"/>
  <c r="G1222" i="22"/>
  <c r="H1221" i="22"/>
  <c r="I1221" i="22" s="1"/>
  <c r="G1221" i="22"/>
  <c r="H1220" i="22"/>
  <c r="I1220" i="22" s="1"/>
  <c r="G1220" i="22"/>
  <c r="H1219" i="22"/>
  <c r="I1219" i="22" s="1"/>
  <c r="G1219" i="22"/>
  <c r="H1218" i="22"/>
  <c r="I1218" i="22" s="1"/>
  <c r="G1218" i="22"/>
  <c r="H1217" i="22"/>
  <c r="I1217" i="22" s="1"/>
  <c r="G1217" i="22"/>
  <c r="H1216" i="22"/>
  <c r="I1216" i="22" s="1"/>
  <c r="G1216" i="22"/>
  <c r="H1215" i="22"/>
  <c r="I1215" i="22" s="1"/>
  <c r="G1215" i="22"/>
  <c r="H1214" i="22"/>
  <c r="I1214" i="22" s="1"/>
  <c r="G1214" i="22"/>
  <c r="H1213" i="22"/>
  <c r="I1213" i="22" s="1"/>
  <c r="G1213" i="22"/>
  <c r="H1212" i="22"/>
  <c r="I1212" i="22" s="1"/>
  <c r="G1212" i="22"/>
  <c r="H1211" i="22"/>
  <c r="I1211" i="22" s="1"/>
  <c r="G1211" i="22"/>
  <c r="H1210" i="22"/>
  <c r="I1210" i="22" s="1"/>
  <c r="G1210" i="22"/>
  <c r="H1209" i="22"/>
  <c r="I1209" i="22" s="1"/>
  <c r="G1209" i="22"/>
  <c r="H1208" i="22"/>
  <c r="I1208" i="22" s="1"/>
  <c r="G1208" i="22"/>
  <c r="H1207" i="22"/>
  <c r="I1207" i="22" s="1"/>
  <c r="G1207" i="22"/>
  <c r="H1206" i="22"/>
  <c r="I1206" i="22" s="1"/>
  <c r="G1206" i="22"/>
  <c r="H1205" i="22"/>
  <c r="I1205" i="22" s="1"/>
  <c r="G1205" i="22"/>
  <c r="H1204" i="22"/>
  <c r="I1204" i="22" s="1"/>
  <c r="G1204" i="22"/>
  <c r="H1203" i="22"/>
  <c r="I1203" i="22" s="1"/>
  <c r="G1203" i="22"/>
  <c r="H1202" i="22"/>
  <c r="I1202" i="22" s="1"/>
  <c r="G1202" i="22"/>
  <c r="H1201" i="22"/>
  <c r="I1201" i="22" s="1"/>
  <c r="G1201" i="22"/>
  <c r="H1200" i="22"/>
  <c r="I1200" i="22" s="1"/>
  <c r="G1200" i="22"/>
  <c r="H1199" i="22"/>
  <c r="I1199" i="22" s="1"/>
  <c r="G1199" i="22"/>
  <c r="H1198" i="22"/>
  <c r="I1198" i="22" s="1"/>
  <c r="G1198" i="22"/>
  <c r="H1197" i="22"/>
  <c r="I1197" i="22" s="1"/>
  <c r="G1197" i="22"/>
  <c r="H1196" i="22"/>
  <c r="I1196" i="22" s="1"/>
  <c r="G1196" i="22"/>
  <c r="H1195" i="22"/>
  <c r="I1195" i="22" s="1"/>
  <c r="G1195" i="22"/>
  <c r="H1194" i="22"/>
  <c r="I1194" i="22" s="1"/>
  <c r="G1194" i="22"/>
  <c r="H1193" i="22"/>
  <c r="I1193" i="22" s="1"/>
  <c r="G1193" i="22"/>
  <c r="H1192" i="22"/>
  <c r="I1192" i="22" s="1"/>
  <c r="G1192" i="22"/>
  <c r="H1191" i="22"/>
  <c r="I1191" i="22" s="1"/>
  <c r="G1191" i="22"/>
  <c r="H1190" i="22"/>
  <c r="I1190" i="22" s="1"/>
  <c r="G1190" i="22"/>
  <c r="H1189" i="22"/>
  <c r="I1189" i="22" s="1"/>
  <c r="G1189" i="22"/>
  <c r="H1188" i="22"/>
  <c r="I1188" i="22" s="1"/>
  <c r="G1188" i="22"/>
  <c r="H1187" i="22"/>
  <c r="I1187" i="22" s="1"/>
  <c r="G1187" i="22"/>
  <c r="H1186" i="22"/>
  <c r="I1186" i="22" s="1"/>
  <c r="G1186" i="22"/>
  <c r="H1185" i="22"/>
  <c r="I1185" i="22" s="1"/>
  <c r="G1185" i="22"/>
  <c r="H1184" i="22"/>
  <c r="I1184" i="22" s="1"/>
  <c r="G1184" i="22"/>
  <c r="H1183" i="22"/>
  <c r="I1183" i="22" s="1"/>
  <c r="G1183" i="22"/>
  <c r="H1182" i="22"/>
  <c r="I1182" i="22" s="1"/>
  <c r="G1182" i="22"/>
  <c r="H1181" i="22"/>
  <c r="I1181" i="22" s="1"/>
  <c r="G1181" i="22"/>
  <c r="H1180" i="22"/>
  <c r="I1180" i="22" s="1"/>
  <c r="G1180" i="22"/>
  <c r="H1179" i="22"/>
  <c r="I1179" i="22" s="1"/>
  <c r="G1179" i="22"/>
  <c r="H1178" i="22"/>
  <c r="I1178" i="22" s="1"/>
  <c r="G1178" i="22"/>
  <c r="H1177" i="22"/>
  <c r="I1177" i="22" s="1"/>
  <c r="G1177" i="22"/>
  <c r="H1176" i="22"/>
  <c r="I1176" i="22" s="1"/>
  <c r="G1176" i="22"/>
  <c r="H1175" i="22"/>
  <c r="I1175" i="22" s="1"/>
  <c r="G1175" i="22"/>
  <c r="H1174" i="22"/>
  <c r="I1174" i="22" s="1"/>
  <c r="G1174" i="22"/>
  <c r="H1173" i="22"/>
  <c r="I1173" i="22" s="1"/>
  <c r="G1173" i="22"/>
  <c r="H1172" i="22"/>
  <c r="I1172" i="22" s="1"/>
  <c r="G1172" i="22"/>
  <c r="H1171" i="22"/>
  <c r="I1171" i="22" s="1"/>
  <c r="G1171" i="22"/>
  <c r="H1170" i="22"/>
  <c r="I1170" i="22" s="1"/>
  <c r="G1170" i="22"/>
  <c r="H1169" i="22"/>
  <c r="I1169" i="22" s="1"/>
  <c r="G1169" i="22"/>
  <c r="H1168" i="22"/>
  <c r="I1168" i="22" s="1"/>
  <c r="G1168" i="22"/>
  <c r="H1167" i="22"/>
  <c r="I1167" i="22" s="1"/>
  <c r="G1167" i="22"/>
  <c r="H1166" i="22"/>
  <c r="I1166" i="22" s="1"/>
  <c r="G1166" i="22"/>
  <c r="H1165" i="22"/>
  <c r="I1165" i="22" s="1"/>
  <c r="G1165" i="22"/>
  <c r="H1164" i="22"/>
  <c r="I1164" i="22" s="1"/>
  <c r="G1164" i="22"/>
  <c r="H1163" i="22"/>
  <c r="I1163" i="22" s="1"/>
  <c r="G1163" i="22"/>
  <c r="H1162" i="22"/>
  <c r="I1162" i="22" s="1"/>
  <c r="G1162" i="22"/>
  <c r="H1161" i="22"/>
  <c r="I1161" i="22" s="1"/>
  <c r="G1161" i="22"/>
  <c r="H1160" i="22"/>
  <c r="I1160" i="22" s="1"/>
  <c r="G1160" i="22"/>
  <c r="H1159" i="22"/>
  <c r="I1159" i="22" s="1"/>
  <c r="G1159" i="22"/>
  <c r="H1158" i="22"/>
  <c r="I1158" i="22" s="1"/>
  <c r="G1158" i="22"/>
  <c r="H1157" i="22"/>
  <c r="I1157" i="22" s="1"/>
  <c r="G1157" i="22"/>
  <c r="H1156" i="22"/>
  <c r="I1156" i="22" s="1"/>
  <c r="G1156" i="22"/>
  <c r="H1155" i="22"/>
  <c r="I1155" i="22" s="1"/>
  <c r="G1155" i="22"/>
  <c r="H1154" i="22"/>
  <c r="I1154" i="22" s="1"/>
  <c r="G1154" i="22"/>
  <c r="H1153" i="22"/>
  <c r="I1153" i="22" s="1"/>
  <c r="G1153" i="22"/>
  <c r="H1152" i="22"/>
  <c r="I1152" i="22" s="1"/>
  <c r="G1152" i="22"/>
  <c r="H1151" i="22"/>
  <c r="I1151" i="22" s="1"/>
  <c r="G1151" i="22"/>
  <c r="H1150" i="22"/>
  <c r="I1150" i="22" s="1"/>
  <c r="G1150" i="22"/>
  <c r="H1149" i="22"/>
  <c r="I1149" i="22" s="1"/>
  <c r="G1149" i="22"/>
  <c r="H1148" i="22"/>
  <c r="I1148" i="22" s="1"/>
  <c r="G1148" i="22"/>
  <c r="H1147" i="22"/>
  <c r="I1147" i="22" s="1"/>
  <c r="G1147" i="22"/>
  <c r="H1146" i="22"/>
  <c r="I1146" i="22" s="1"/>
  <c r="G1146" i="22"/>
  <c r="H1145" i="22"/>
  <c r="I1145" i="22" s="1"/>
  <c r="G1145" i="22"/>
  <c r="H1144" i="22"/>
  <c r="I1144" i="22" s="1"/>
  <c r="G1144" i="22"/>
  <c r="H1143" i="22"/>
  <c r="I1143" i="22" s="1"/>
  <c r="G1143" i="22"/>
  <c r="H1142" i="22"/>
  <c r="I1142" i="22" s="1"/>
  <c r="G1142" i="22"/>
  <c r="H1141" i="22"/>
  <c r="I1141" i="22" s="1"/>
  <c r="G1141" i="22"/>
  <c r="H1140" i="22"/>
  <c r="I1140" i="22" s="1"/>
  <c r="G1140" i="22"/>
  <c r="H1139" i="22"/>
  <c r="I1139" i="22" s="1"/>
  <c r="G1139" i="22"/>
  <c r="H1138" i="22"/>
  <c r="I1138" i="22" s="1"/>
  <c r="G1138" i="22"/>
  <c r="H1137" i="22"/>
  <c r="I1137" i="22" s="1"/>
  <c r="G1137" i="22"/>
  <c r="H1136" i="22"/>
  <c r="I1136" i="22" s="1"/>
  <c r="G1136" i="22"/>
  <c r="H1135" i="22"/>
  <c r="I1135" i="22" s="1"/>
  <c r="G1135" i="22"/>
  <c r="H1134" i="22"/>
  <c r="I1134" i="22" s="1"/>
  <c r="G1134" i="22"/>
  <c r="H1133" i="22"/>
  <c r="I1133" i="22" s="1"/>
  <c r="G1133" i="22"/>
  <c r="H1132" i="22"/>
  <c r="I1132" i="22" s="1"/>
  <c r="G1132" i="22"/>
  <c r="H1131" i="22"/>
  <c r="I1131" i="22" s="1"/>
  <c r="G1131" i="22"/>
  <c r="H1130" i="22"/>
  <c r="I1130" i="22" s="1"/>
  <c r="G1130" i="22"/>
  <c r="H1129" i="22"/>
  <c r="I1129" i="22" s="1"/>
  <c r="G1129" i="22"/>
  <c r="H1128" i="22"/>
  <c r="I1128" i="22" s="1"/>
  <c r="G1128" i="22"/>
  <c r="H1127" i="22"/>
  <c r="I1127" i="22" s="1"/>
  <c r="G1127" i="22"/>
  <c r="H1126" i="22"/>
  <c r="I1126" i="22" s="1"/>
  <c r="G1126" i="22"/>
  <c r="H1125" i="22"/>
  <c r="I1125" i="22" s="1"/>
  <c r="G1125" i="22"/>
  <c r="H1124" i="22"/>
  <c r="I1124" i="22" s="1"/>
  <c r="G1124" i="22"/>
  <c r="H1123" i="22"/>
  <c r="I1123" i="22" s="1"/>
  <c r="G1123" i="22"/>
  <c r="H1122" i="22"/>
  <c r="I1122" i="22" s="1"/>
  <c r="G1122" i="22"/>
  <c r="H1121" i="22"/>
  <c r="I1121" i="22" s="1"/>
  <c r="G1121" i="22"/>
  <c r="H1120" i="22"/>
  <c r="I1120" i="22" s="1"/>
  <c r="G1120" i="22"/>
  <c r="H1119" i="22"/>
  <c r="I1119" i="22" s="1"/>
  <c r="G1119" i="22"/>
  <c r="H1118" i="22"/>
  <c r="I1118" i="22" s="1"/>
  <c r="G1118" i="22"/>
  <c r="H1117" i="22"/>
  <c r="I1117" i="22" s="1"/>
  <c r="G1117" i="22"/>
  <c r="H1116" i="22"/>
  <c r="I1116" i="22" s="1"/>
  <c r="G1116" i="22"/>
  <c r="H1115" i="22"/>
  <c r="I1115" i="22" s="1"/>
  <c r="G1115" i="22"/>
  <c r="H1114" i="22"/>
  <c r="I1114" i="22" s="1"/>
  <c r="G1114" i="22"/>
  <c r="H1113" i="22"/>
  <c r="I1113" i="22" s="1"/>
  <c r="G1113" i="22"/>
  <c r="H1112" i="22"/>
  <c r="I1112" i="22" s="1"/>
  <c r="G1112" i="22"/>
  <c r="H1111" i="22"/>
  <c r="I1111" i="22" s="1"/>
  <c r="G1111" i="22"/>
  <c r="H1110" i="22"/>
  <c r="I1110" i="22" s="1"/>
  <c r="G1110" i="22"/>
  <c r="H1109" i="22"/>
  <c r="I1109" i="22" s="1"/>
  <c r="G1109" i="22"/>
  <c r="H1108" i="22"/>
  <c r="I1108" i="22" s="1"/>
  <c r="G1108" i="22"/>
  <c r="H1107" i="22"/>
  <c r="I1107" i="22" s="1"/>
  <c r="G1107" i="22"/>
  <c r="H1106" i="22"/>
  <c r="I1106" i="22" s="1"/>
  <c r="G1106" i="22"/>
  <c r="H1105" i="22"/>
  <c r="I1105" i="22" s="1"/>
  <c r="G1105" i="22"/>
  <c r="H1104" i="22"/>
  <c r="I1104" i="22" s="1"/>
  <c r="G1104" i="22"/>
  <c r="H1103" i="22"/>
  <c r="I1103" i="22" s="1"/>
  <c r="G1103" i="22"/>
  <c r="H1102" i="22"/>
  <c r="I1102" i="22" s="1"/>
  <c r="G1102" i="22"/>
  <c r="H1101" i="22"/>
  <c r="I1101" i="22" s="1"/>
  <c r="G1101" i="22"/>
  <c r="H1100" i="22"/>
  <c r="I1100" i="22" s="1"/>
  <c r="G1100" i="22"/>
  <c r="H1099" i="22"/>
  <c r="I1099" i="22" s="1"/>
  <c r="G1099" i="22"/>
  <c r="H1098" i="22"/>
  <c r="I1098" i="22" s="1"/>
  <c r="G1098" i="22"/>
  <c r="H1097" i="22"/>
  <c r="I1097" i="22" s="1"/>
  <c r="G1097" i="22"/>
  <c r="H1096" i="22"/>
  <c r="I1096" i="22" s="1"/>
  <c r="G1096" i="22"/>
  <c r="H1095" i="22"/>
  <c r="I1095" i="22" s="1"/>
  <c r="G1095" i="22"/>
  <c r="H1094" i="22"/>
  <c r="I1094" i="22" s="1"/>
  <c r="G1094" i="22"/>
  <c r="H1093" i="22"/>
  <c r="I1093" i="22" s="1"/>
  <c r="G1093" i="22"/>
  <c r="H1092" i="22"/>
  <c r="I1092" i="22" s="1"/>
  <c r="G1092" i="22"/>
  <c r="H1091" i="22"/>
  <c r="I1091" i="22" s="1"/>
  <c r="G1091" i="22"/>
  <c r="H1090" i="22"/>
  <c r="I1090" i="22" s="1"/>
  <c r="G1090" i="22"/>
  <c r="H1089" i="22"/>
  <c r="I1089" i="22" s="1"/>
  <c r="G1089" i="22"/>
  <c r="H1088" i="22"/>
  <c r="I1088" i="22" s="1"/>
  <c r="G1088" i="22"/>
  <c r="H1087" i="22"/>
  <c r="I1087" i="22" s="1"/>
  <c r="G1087" i="22"/>
  <c r="H1086" i="22"/>
  <c r="I1086" i="22" s="1"/>
  <c r="G1086" i="22"/>
  <c r="H1085" i="22"/>
  <c r="I1085" i="22" s="1"/>
  <c r="G1085" i="22"/>
  <c r="H1084" i="22"/>
  <c r="I1084" i="22" s="1"/>
  <c r="G1084" i="22"/>
  <c r="H1083" i="22"/>
  <c r="I1083" i="22" s="1"/>
  <c r="G1083" i="22"/>
  <c r="H1082" i="22"/>
  <c r="I1082" i="22" s="1"/>
  <c r="G1082" i="22"/>
  <c r="H1081" i="22"/>
  <c r="I1081" i="22" s="1"/>
  <c r="G1081" i="22"/>
  <c r="H1080" i="22"/>
  <c r="I1080" i="22" s="1"/>
  <c r="G1080" i="22"/>
  <c r="H1079" i="22"/>
  <c r="I1079" i="22" s="1"/>
  <c r="G1079" i="22"/>
  <c r="H1078" i="22"/>
  <c r="I1078" i="22" s="1"/>
  <c r="G1078" i="22"/>
  <c r="H1077" i="22"/>
  <c r="I1077" i="22" s="1"/>
  <c r="G1077" i="22"/>
  <c r="H1076" i="22"/>
  <c r="I1076" i="22" s="1"/>
  <c r="G1076" i="22"/>
  <c r="H1075" i="22"/>
  <c r="I1075" i="22" s="1"/>
  <c r="G1075" i="22"/>
  <c r="H1074" i="22"/>
  <c r="I1074" i="22" s="1"/>
  <c r="G1074" i="22"/>
  <c r="H1073" i="22"/>
  <c r="I1073" i="22" s="1"/>
  <c r="G1073" i="22"/>
  <c r="H1072" i="22"/>
  <c r="I1072" i="22" s="1"/>
  <c r="G1072" i="22"/>
  <c r="H1071" i="22"/>
  <c r="I1071" i="22" s="1"/>
  <c r="G1071" i="22"/>
  <c r="H1070" i="22"/>
  <c r="I1070" i="22" s="1"/>
  <c r="G1070" i="22"/>
  <c r="H1069" i="22"/>
  <c r="I1069" i="22" s="1"/>
  <c r="G1069" i="22"/>
  <c r="H1068" i="22"/>
  <c r="I1068" i="22" s="1"/>
  <c r="G1068" i="22"/>
  <c r="H1067" i="22"/>
  <c r="I1067" i="22" s="1"/>
  <c r="G1067" i="22"/>
  <c r="H1066" i="22"/>
  <c r="I1066" i="22" s="1"/>
  <c r="G1066" i="22"/>
  <c r="H1065" i="22"/>
  <c r="I1065" i="22" s="1"/>
  <c r="G1065" i="22"/>
  <c r="H1064" i="22"/>
  <c r="I1064" i="22" s="1"/>
  <c r="G1064" i="22"/>
  <c r="H1063" i="22"/>
  <c r="I1063" i="22" s="1"/>
  <c r="G1063" i="22"/>
  <c r="H1062" i="22"/>
  <c r="I1062" i="22" s="1"/>
  <c r="G1062" i="22"/>
  <c r="H1061" i="22"/>
  <c r="I1061" i="22" s="1"/>
  <c r="G1061" i="22"/>
  <c r="H1060" i="22"/>
  <c r="I1060" i="22" s="1"/>
  <c r="G1060" i="22"/>
  <c r="H1059" i="22"/>
  <c r="I1059" i="22" s="1"/>
  <c r="G1059" i="22"/>
  <c r="H1058" i="22"/>
  <c r="I1058" i="22" s="1"/>
  <c r="G1058" i="22"/>
  <c r="H1057" i="22"/>
  <c r="I1057" i="22" s="1"/>
  <c r="G1057" i="22"/>
  <c r="H1056" i="22"/>
  <c r="I1056" i="22" s="1"/>
  <c r="G1056" i="22"/>
  <c r="H1055" i="22"/>
  <c r="I1055" i="22" s="1"/>
  <c r="G1055" i="22"/>
  <c r="H1054" i="22"/>
  <c r="I1054" i="22" s="1"/>
  <c r="G1054" i="22"/>
  <c r="H1053" i="22"/>
  <c r="I1053" i="22" s="1"/>
  <c r="G1053" i="22"/>
  <c r="H1052" i="22"/>
  <c r="I1052" i="22" s="1"/>
  <c r="G1052" i="22"/>
  <c r="H1051" i="22"/>
  <c r="I1051" i="22" s="1"/>
  <c r="G1051" i="22"/>
  <c r="H1050" i="22"/>
  <c r="I1050" i="22" s="1"/>
  <c r="G1050" i="22"/>
  <c r="H1049" i="22"/>
  <c r="I1049" i="22" s="1"/>
  <c r="G1049" i="22"/>
  <c r="H1048" i="22"/>
  <c r="I1048" i="22" s="1"/>
  <c r="G1048" i="22"/>
  <c r="H1047" i="22"/>
  <c r="I1047" i="22" s="1"/>
  <c r="G1047" i="22"/>
  <c r="H1046" i="22"/>
  <c r="I1046" i="22" s="1"/>
  <c r="G1046" i="22"/>
  <c r="H1045" i="22"/>
  <c r="I1045" i="22" s="1"/>
  <c r="G1045" i="22"/>
  <c r="H1044" i="22"/>
  <c r="I1044" i="22" s="1"/>
  <c r="G1044" i="22"/>
  <c r="H1043" i="22"/>
  <c r="I1043" i="22" s="1"/>
  <c r="G1043" i="22"/>
  <c r="H1042" i="22"/>
  <c r="I1042" i="22" s="1"/>
  <c r="G1042" i="22"/>
  <c r="H1041" i="22"/>
  <c r="I1041" i="22" s="1"/>
  <c r="G1041" i="22"/>
  <c r="H1040" i="22"/>
  <c r="I1040" i="22" s="1"/>
  <c r="G1040" i="22"/>
  <c r="H1039" i="22"/>
  <c r="I1039" i="22" s="1"/>
  <c r="G1039" i="22"/>
  <c r="H1038" i="22"/>
  <c r="I1038" i="22" s="1"/>
  <c r="G1038" i="22"/>
  <c r="H1037" i="22"/>
  <c r="I1037" i="22" s="1"/>
  <c r="G1037" i="22"/>
  <c r="H1036" i="22"/>
  <c r="I1036" i="22" s="1"/>
  <c r="G1036" i="22"/>
  <c r="H1035" i="22"/>
  <c r="I1035" i="22" s="1"/>
  <c r="G1035" i="22"/>
  <c r="H1034" i="22"/>
  <c r="I1034" i="22" s="1"/>
  <c r="G1034" i="22"/>
  <c r="H1033" i="22"/>
  <c r="I1033" i="22" s="1"/>
  <c r="G1033" i="22"/>
  <c r="H1032" i="22"/>
  <c r="I1032" i="22" s="1"/>
  <c r="G1032" i="22"/>
  <c r="H1031" i="22"/>
  <c r="I1031" i="22" s="1"/>
  <c r="G1031" i="22"/>
  <c r="H1030" i="22"/>
  <c r="I1030" i="22" s="1"/>
  <c r="G1030" i="22"/>
  <c r="H1029" i="22"/>
  <c r="I1029" i="22" s="1"/>
  <c r="G1029" i="22"/>
  <c r="H1028" i="22"/>
  <c r="I1028" i="22" s="1"/>
  <c r="G1028" i="22"/>
  <c r="H1027" i="22"/>
  <c r="I1027" i="22" s="1"/>
  <c r="G1027" i="22"/>
  <c r="H1026" i="22"/>
  <c r="I1026" i="22" s="1"/>
  <c r="G1026" i="22"/>
  <c r="H1025" i="22"/>
  <c r="I1025" i="22" s="1"/>
  <c r="G1025" i="22"/>
  <c r="H1024" i="22"/>
  <c r="I1024" i="22" s="1"/>
  <c r="G1024" i="22"/>
  <c r="H1023" i="22"/>
  <c r="I1023" i="22" s="1"/>
  <c r="G1023" i="22"/>
  <c r="H1022" i="22"/>
  <c r="I1022" i="22" s="1"/>
  <c r="G1022" i="22"/>
  <c r="H1021" i="22"/>
  <c r="I1021" i="22" s="1"/>
  <c r="G1021" i="22"/>
  <c r="H1020" i="22"/>
  <c r="I1020" i="22" s="1"/>
  <c r="G1020" i="22"/>
  <c r="H1019" i="22"/>
  <c r="I1019" i="22" s="1"/>
  <c r="G1019" i="22"/>
  <c r="H1018" i="22"/>
  <c r="I1018" i="22" s="1"/>
  <c r="G1018" i="22"/>
  <c r="H1017" i="22"/>
  <c r="I1017" i="22" s="1"/>
  <c r="G1017" i="22"/>
  <c r="H1016" i="22"/>
  <c r="I1016" i="22" s="1"/>
  <c r="G1016" i="22"/>
  <c r="H1015" i="22"/>
  <c r="I1015" i="22" s="1"/>
  <c r="G1015" i="22"/>
  <c r="H1014" i="22"/>
  <c r="I1014" i="22" s="1"/>
  <c r="G1014" i="22"/>
  <c r="H1013" i="22"/>
  <c r="I1013" i="22" s="1"/>
  <c r="G1013" i="22"/>
  <c r="H1012" i="22"/>
  <c r="I1012" i="22" s="1"/>
  <c r="G1012" i="22"/>
  <c r="H1011" i="22"/>
  <c r="I1011" i="22" s="1"/>
  <c r="G1011" i="22"/>
  <c r="H1010" i="22"/>
  <c r="I1010" i="22" s="1"/>
  <c r="G1010" i="22"/>
  <c r="H1009" i="22"/>
  <c r="I1009" i="22" s="1"/>
  <c r="G1009" i="22"/>
  <c r="H1008" i="22"/>
  <c r="I1008" i="22" s="1"/>
  <c r="G1008" i="22"/>
  <c r="H1007" i="22"/>
  <c r="I1007" i="22" s="1"/>
  <c r="G1007" i="22"/>
  <c r="H1006" i="22"/>
  <c r="I1006" i="22" s="1"/>
  <c r="G1006" i="22"/>
  <c r="H1005" i="22"/>
  <c r="I1005" i="22" s="1"/>
  <c r="G1005" i="22"/>
  <c r="H1004" i="22"/>
  <c r="I1004" i="22" s="1"/>
  <c r="G1004" i="22"/>
  <c r="H1003" i="22"/>
  <c r="I1003" i="22" s="1"/>
  <c r="G1003" i="22"/>
  <c r="H1002" i="22"/>
  <c r="I1002" i="22" s="1"/>
  <c r="G1002" i="22"/>
  <c r="H1001" i="22"/>
  <c r="I1001" i="22" s="1"/>
  <c r="G1001" i="22"/>
  <c r="H1000" i="22"/>
  <c r="I1000" i="22" s="1"/>
  <c r="G1000" i="22"/>
  <c r="H999" i="22"/>
  <c r="I999" i="22" s="1"/>
  <c r="G999" i="22"/>
  <c r="H998" i="22"/>
  <c r="I998" i="22" s="1"/>
  <c r="G998" i="22"/>
  <c r="H997" i="22"/>
  <c r="I997" i="22" s="1"/>
  <c r="G997" i="22"/>
  <c r="H996" i="22"/>
  <c r="I996" i="22" s="1"/>
  <c r="G996" i="22"/>
  <c r="H995" i="22"/>
  <c r="I995" i="22" s="1"/>
  <c r="G995" i="22"/>
  <c r="H994" i="22"/>
  <c r="I994" i="22" s="1"/>
  <c r="G994" i="22"/>
  <c r="H993" i="22"/>
  <c r="I993" i="22" s="1"/>
  <c r="G993" i="22"/>
  <c r="H992" i="22"/>
  <c r="I992" i="22" s="1"/>
  <c r="G992" i="22"/>
  <c r="H991" i="22"/>
  <c r="I991" i="22" s="1"/>
  <c r="G991" i="22"/>
  <c r="H990" i="22"/>
  <c r="I990" i="22" s="1"/>
  <c r="G990" i="22"/>
  <c r="H989" i="22"/>
  <c r="I989" i="22" s="1"/>
  <c r="G989" i="22"/>
  <c r="H988" i="22"/>
  <c r="I988" i="22" s="1"/>
  <c r="G988" i="22"/>
  <c r="H987" i="22"/>
  <c r="I987" i="22" s="1"/>
  <c r="G987" i="22"/>
  <c r="H986" i="22"/>
  <c r="I986" i="22" s="1"/>
  <c r="G986" i="22"/>
  <c r="H985" i="22"/>
  <c r="I985" i="22" s="1"/>
  <c r="G985" i="22"/>
  <c r="H984" i="22"/>
  <c r="I984" i="22" s="1"/>
  <c r="G984" i="22"/>
  <c r="H983" i="22"/>
  <c r="I983" i="22" s="1"/>
  <c r="G983" i="22"/>
  <c r="H982" i="22"/>
  <c r="I982" i="22" s="1"/>
  <c r="G982" i="22"/>
  <c r="H981" i="22"/>
  <c r="I981" i="22" s="1"/>
  <c r="G981" i="22"/>
  <c r="H980" i="22"/>
  <c r="I980" i="22" s="1"/>
  <c r="G980" i="22"/>
  <c r="H979" i="22"/>
  <c r="I979" i="22" s="1"/>
  <c r="G979" i="22"/>
  <c r="H978" i="22"/>
  <c r="I978" i="22" s="1"/>
  <c r="G978" i="22"/>
  <c r="H977" i="22"/>
  <c r="I977" i="22" s="1"/>
  <c r="G977" i="22"/>
  <c r="H976" i="22"/>
  <c r="I976" i="22" s="1"/>
  <c r="G976" i="22"/>
  <c r="H975" i="22"/>
  <c r="I975" i="22" s="1"/>
  <c r="G975" i="22"/>
  <c r="H974" i="22"/>
  <c r="I974" i="22" s="1"/>
  <c r="G974" i="22"/>
  <c r="H973" i="22"/>
  <c r="I973" i="22" s="1"/>
  <c r="G973" i="22"/>
  <c r="H972" i="22"/>
  <c r="I972" i="22" s="1"/>
  <c r="G972" i="22"/>
  <c r="H971" i="22"/>
  <c r="I971" i="22" s="1"/>
  <c r="G971" i="22"/>
  <c r="H970" i="22"/>
  <c r="I970" i="22" s="1"/>
  <c r="G970" i="22"/>
  <c r="H969" i="22"/>
  <c r="I969" i="22" s="1"/>
  <c r="G969" i="22"/>
  <c r="H968" i="22"/>
  <c r="I968" i="22" s="1"/>
  <c r="G968" i="22"/>
  <c r="H967" i="22"/>
  <c r="I967" i="22" s="1"/>
  <c r="G967" i="22"/>
  <c r="H966" i="22"/>
  <c r="I966" i="22" s="1"/>
  <c r="G966" i="22"/>
  <c r="H965" i="22"/>
  <c r="I965" i="22" s="1"/>
  <c r="G965" i="22"/>
  <c r="H964" i="22"/>
  <c r="I964" i="22" s="1"/>
  <c r="G964" i="22"/>
  <c r="H963" i="22"/>
  <c r="I963" i="22" s="1"/>
  <c r="G963" i="22"/>
  <c r="H962" i="22"/>
  <c r="I962" i="22" s="1"/>
  <c r="G962" i="22"/>
  <c r="H961" i="22"/>
  <c r="I961" i="22" s="1"/>
  <c r="G961" i="22"/>
  <c r="H960" i="22"/>
  <c r="I960" i="22" s="1"/>
  <c r="G960" i="22"/>
  <c r="H959" i="22"/>
  <c r="I959" i="22" s="1"/>
  <c r="G959" i="22"/>
  <c r="H958" i="22"/>
  <c r="I958" i="22" s="1"/>
  <c r="G958" i="22"/>
  <c r="H957" i="22"/>
  <c r="I957" i="22" s="1"/>
  <c r="G957" i="22"/>
  <c r="H956" i="22"/>
  <c r="I956" i="22" s="1"/>
  <c r="G956" i="22"/>
  <c r="H955" i="22"/>
  <c r="I955" i="22" s="1"/>
  <c r="G955" i="22"/>
  <c r="H954" i="22"/>
  <c r="I954" i="22" s="1"/>
  <c r="G954" i="22"/>
  <c r="H953" i="22"/>
  <c r="I953" i="22" s="1"/>
  <c r="G953" i="22"/>
  <c r="H952" i="22"/>
  <c r="I952" i="22" s="1"/>
  <c r="G952" i="22"/>
  <c r="H951" i="22"/>
  <c r="I951" i="22" s="1"/>
  <c r="G951" i="22"/>
  <c r="H950" i="22"/>
  <c r="I950" i="22" s="1"/>
  <c r="G950" i="22"/>
  <c r="H949" i="22"/>
  <c r="I949" i="22" s="1"/>
  <c r="G949" i="22"/>
  <c r="H948" i="22"/>
  <c r="I948" i="22" s="1"/>
  <c r="G948" i="22"/>
  <c r="H947" i="22"/>
  <c r="I947" i="22" s="1"/>
  <c r="G947" i="22"/>
  <c r="H946" i="22"/>
  <c r="I946" i="22" s="1"/>
  <c r="G946" i="22"/>
  <c r="H945" i="22"/>
  <c r="I945" i="22" s="1"/>
  <c r="G945" i="22"/>
  <c r="H944" i="22"/>
  <c r="I944" i="22" s="1"/>
  <c r="G944" i="22"/>
  <c r="H943" i="22"/>
  <c r="I943" i="22" s="1"/>
  <c r="G943" i="22"/>
  <c r="H942" i="22"/>
  <c r="I942" i="22" s="1"/>
  <c r="G942" i="22"/>
  <c r="H941" i="22"/>
  <c r="I941" i="22" s="1"/>
  <c r="G941" i="22"/>
  <c r="H940" i="22"/>
  <c r="I940" i="22" s="1"/>
  <c r="G940" i="22"/>
  <c r="H939" i="22"/>
  <c r="I939" i="22" s="1"/>
  <c r="G939" i="22"/>
  <c r="H938" i="22"/>
  <c r="I938" i="22" s="1"/>
  <c r="G938" i="22"/>
  <c r="H937" i="22"/>
  <c r="I937" i="22" s="1"/>
  <c r="G937" i="22"/>
  <c r="H936" i="22"/>
  <c r="I936" i="22" s="1"/>
  <c r="G936" i="22"/>
  <c r="H935" i="22"/>
  <c r="I935" i="22" s="1"/>
  <c r="G935" i="22"/>
  <c r="H934" i="22"/>
  <c r="I934" i="22" s="1"/>
  <c r="G934" i="22"/>
  <c r="H933" i="22"/>
  <c r="I933" i="22" s="1"/>
  <c r="G933" i="22"/>
  <c r="H932" i="22"/>
  <c r="I932" i="22" s="1"/>
  <c r="G932" i="22"/>
  <c r="H931" i="22"/>
  <c r="I931" i="22" s="1"/>
  <c r="G931" i="22"/>
  <c r="H930" i="22"/>
  <c r="I930" i="22" s="1"/>
  <c r="G930" i="22"/>
  <c r="H929" i="22"/>
  <c r="I929" i="22" s="1"/>
  <c r="G929" i="22"/>
  <c r="H928" i="22"/>
  <c r="I928" i="22" s="1"/>
  <c r="G928" i="22"/>
  <c r="H927" i="22"/>
  <c r="I927" i="22" s="1"/>
  <c r="G927" i="22"/>
  <c r="H926" i="22"/>
  <c r="I926" i="22" s="1"/>
  <c r="G926" i="22"/>
  <c r="H925" i="22"/>
  <c r="I925" i="22" s="1"/>
  <c r="G925" i="22"/>
  <c r="H924" i="22"/>
  <c r="I924" i="22" s="1"/>
  <c r="G924" i="22"/>
  <c r="H923" i="22"/>
  <c r="I923" i="22" s="1"/>
  <c r="G923" i="22"/>
  <c r="H922" i="22"/>
  <c r="I922" i="22" s="1"/>
  <c r="G922" i="22"/>
  <c r="H921" i="22"/>
  <c r="I921" i="22" s="1"/>
  <c r="G921" i="22"/>
  <c r="H920" i="22"/>
  <c r="I920" i="22" s="1"/>
  <c r="G920" i="22"/>
  <c r="H919" i="22"/>
  <c r="I919" i="22" s="1"/>
  <c r="G919" i="22"/>
  <c r="H918" i="22"/>
  <c r="I918" i="22" s="1"/>
  <c r="G918" i="22"/>
  <c r="H917" i="22"/>
  <c r="I917" i="22" s="1"/>
  <c r="G917" i="22"/>
  <c r="H916" i="22"/>
  <c r="I916" i="22" s="1"/>
  <c r="G916" i="22"/>
  <c r="H915" i="22"/>
  <c r="I915" i="22" s="1"/>
  <c r="G915" i="22"/>
  <c r="H914" i="22"/>
  <c r="I914" i="22" s="1"/>
  <c r="G914" i="22"/>
  <c r="H913" i="22"/>
  <c r="I913" i="22" s="1"/>
  <c r="G913" i="22"/>
  <c r="H912" i="22"/>
  <c r="I912" i="22" s="1"/>
  <c r="G912" i="22"/>
  <c r="H911" i="22"/>
  <c r="I911" i="22" s="1"/>
  <c r="G911" i="22"/>
  <c r="H910" i="22"/>
  <c r="I910" i="22" s="1"/>
  <c r="G910" i="22"/>
  <c r="H909" i="22"/>
  <c r="I909" i="22" s="1"/>
  <c r="G909" i="22"/>
  <c r="H908" i="22"/>
  <c r="I908" i="22" s="1"/>
  <c r="G908" i="22"/>
  <c r="H907" i="22"/>
  <c r="I907" i="22" s="1"/>
  <c r="G907" i="22"/>
  <c r="H906" i="22"/>
  <c r="I906" i="22" s="1"/>
  <c r="G906" i="22"/>
  <c r="H905" i="22"/>
  <c r="I905" i="22" s="1"/>
  <c r="G905" i="22"/>
  <c r="H904" i="22"/>
  <c r="I904" i="22" s="1"/>
  <c r="G904" i="22"/>
  <c r="H903" i="22"/>
  <c r="I903" i="22" s="1"/>
  <c r="G903" i="22"/>
  <c r="H902" i="22"/>
  <c r="I902" i="22" s="1"/>
  <c r="G902" i="22"/>
  <c r="H901" i="22"/>
  <c r="I901" i="22" s="1"/>
  <c r="G901" i="22"/>
  <c r="H900" i="22"/>
  <c r="I900" i="22" s="1"/>
  <c r="G900" i="22"/>
  <c r="H899" i="22"/>
  <c r="I899" i="22" s="1"/>
  <c r="G899" i="22"/>
  <c r="H898" i="22"/>
  <c r="I898" i="22" s="1"/>
  <c r="G898" i="22"/>
  <c r="H897" i="22"/>
  <c r="I897" i="22" s="1"/>
  <c r="G897" i="22"/>
  <c r="H896" i="22"/>
  <c r="I896" i="22" s="1"/>
  <c r="G896" i="22"/>
  <c r="H895" i="22"/>
  <c r="I895" i="22" s="1"/>
  <c r="G895" i="22"/>
  <c r="H894" i="22"/>
  <c r="I894" i="22" s="1"/>
  <c r="G894" i="22"/>
  <c r="H893" i="22"/>
  <c r="I893" i="22" s="1"/>
  <c r="G893" i="22"/>
  <c r="H892" i="22"/>
  <c r="I892" i="22" s="1"/>
  <c r="G892" i="22"/>
  <c r="H891" i="22"/>
  <c r="I891" i="22" s="1"/>
  <c r="G891" i="22"/>
  <c r="H890" i="22"/>
  <c r="I890" i="22" s="1"/>
  <c r="G890" i="22"/>
  <c r="H889" i="22"/>
  <c r="I889" i="22" s="1"/>
  <c r="G889" i="22"/>
  <c r="H888" i="22"/>
  <c r="I888" i="22" s="1"/>
  <c r="G888" i="22"/>
  <c r="H887" i="22"/>
  <c r="I887" i="22" s="1"/>
  <c r="G887" i="22"/>
  <c r="H886" i="22"/>
  <c r="I886" i="22" s="1"/>
  <c r="G886" i="22"/>
  <c r="H885" i="22"/>
  <c r="I885" i="22" s="1"/>
  <c r="G885" i="22"/>
  <c r="H884" i="22"/>
  <c r="I884" i="22" s="1"/>
  <c r="G884" i="22"/>
  <c r="H883" i="22"/>
  <c r="I883" i="22" s="1"/>
  <c r="G883" i="22"/>
  <c r="H882" i="22"/>
  <c r="I882" i="22" s="1"/>
  <c r="G882" i="22"/>
  <c r="H881" i="22"/>
  <c r="I881" i="22" s="1"/>
  <c r="G881" i="22"/>
  <c r="H880" i="22"/>
  <c r="I880" i="22" s="1"/>
  <c r="G880" i="22"/>
  <c r="H879" i="22"/>
  <c r="I879" i="22" s="1"/>
  <c r="G879" i="22"/>
  <c r="H878" i="22"/>
  <c r="I878" i="22" s="1"/>
  <c r="G878" i="22"/>
  <c r="H877" i="22"/>
  <c r="I877" i="22" s="1"/>
  <c r="G877" i="22"/>
  <c r="H876" i="22"/>
  <c r="I876" i="22" s="1"/>
  <c r="G876" i="22"/>
  <c r="H875" i="22"/>
  <c r="I875" i="22" s="1"/>
  <c r="G875" i="22"/>
  <c r="H874" i="22"/>
  <c r="I874" i="22" s="1"/>
  <c r="G874" i="22"/>
  <c r="H873" i="22"/>
  <c r="I873" i="22" s="1"/>
  <c r="G873" i="22"/>
  <c r="H872" i="22"/>
  <c r="I872" i="22" s="1"/>
  <c r="G872" i="22"/>
  <c r="H871" i="22"/>
  <c r="I871" i="22" s="1"/>
  <c r="G871" i="22"/>
  <c r="H870" i="22"/>
  <c r="I870" i="22" s="1"/>
  <c r="G870" i="22"/>
  <c r="H869" i="22"/>
  <c r="I869" i="22" s="1"/>
  <c r="G869" i="22"/>
  <c r="H868" i="22"/>
  <c r="I868" i="22" s="1"/>
  <c r="G868" i="22"/>
  <c r="H867" i="22"/>
  <c r="I867" i="22" s="1"/>
  <c r="G867" i="22"/>
  <c r="H866" i="22"/>
  <c r="I866" i="22" s="1"/>
  <c r="G866" i="22"/>
  <c r="H865" i="22"/>
  <c r="I865" i="22" s="1"/>
  <c r="G865" i="22"/>
  <c r="H864" i="22"/>
  <c r="I864" i="22" s="1"/>
  <c r="G864" i="22"/>
  <c r="H863" i="22"/>
  <c r="I863" i="22" s="1"/>
  <c r="G863" i="22"/>
  <c r="H862" i="22"/>
  <c r="I862" i="22" s="1"/>
  <c r="G862" i="22"/>
  <c r="H861" i="22"/>
  <c r="I861" i="22" s="1"/>
  <c r="G861" i="22"/>
  <c r="H860" i="22"/>
  <c r="I860" i="22" s="1"/>
  <c r="G860" i="22"/>
  <c r="H859" i="22"/>
  <c r="I859" i="22" s="1"/>
  <c r="G859" i="22"/>
  <c r="H858" i="22"/>
  <c r="I858" i="22" s="1"/>
  <c r="G858" i="22"/>
  <c r="H857" i="22"/>
  <c r="I857" i="22" s="1"/>
  <c r="G857" i="22"/>
  <c r="H856" i="22"/>
  <c r="I856" i="22" s="1"/>
  <c r="G856" i="22"/>
  <c r="H855" i="22"/>
  <c r="I855" i="22" s="1"/>
  <c r="G855" i="22"/>
  <c r="H854" i="22"/>
  <c r="I854" i="22" s="1"/>
  <c r="G854" i="22"/>
  <c r="H853" i="22"/>
  <c r="I853" i="22" s="1"/>
  <c r="G853" i="22"/>
  <c r="H852" i="22"/>
  <c r="I852" i="22" s="1"/>
  <c r="G852" i="22"/>
  <c r="H851" i="22"/>
  <c r="I851" i="22" s="1"/>
  <c r="G851" i="22"/>
  <c r="H850" i="22"/>
  <c r="I850" i="22" s="1"/>
  <c r="G850" i="22"/>
  <c r="H849" i="22"/>
  <c r="I849" i="22" s="1"/>
  <c r="G849" i="22"/>
  <c r="H848" i="22"/>
  <c r="I848" i="22" s="1"/>
  <c r="G848" i="22"/>
  <c r="H847" i="22"/>
  <c r="I847" i="22" s="1"/>
  <c r="G847" i="22"/>
  <c r="H846" i="22"/>
  <c r="I846" i="22" s="1"/>
  <c r="G846" i="22"/>
  <c r="H845" i="22"/>
  <c r="I845" i="22" s="1"/>
  <c r="G845" i="22"/>
  <c r="H844" i="22"/>
  <c r="I844" i="22" s="1"/>
  <c r="G844" i="22"/>
  <c r="H843" i="22"/>
  <c r="I843" i="22" s="1"/>
  <c r="G843" i="22"/>
  <c r="H842" i="22"/>
  <c r="I842" i="22" s="1"/>
  <c r="G842" i="22"/>
  <c r="H841" i="22"/>
  <c r="I841" i="22" s="1"/>
  <c r="G841" i="22"/>
  <c r="H840" i="22"/>
  <c r="I840" i="22" s="1"/>
  <c r="G840" i="22"/>
  <c r="H839" i="22"/>
  <c r="I839" i="22" s="1"/>
  <c r="G839" i="22"/>
  <c r="H838" i="22"/>
  <c r="I838" i="22" s="1"/>
  <c r="G838" i="22"/>
  <c r="H837" i="22"/>
  <c r="I837" i="22" s="1"/>
  <c r="G837" i="22"/>
  <c r="H836" i="22"/>
  <c r="I836" i="22" s="1"/>
  <c r="G836" i="22"/>
  <c r="H835" i="22"/>
  <c r="I835" i="22" s="1"/>
  <c r="G835" i="22"/>
  <c r="H834" i="22"/>
  <c r="I834" i="22" s="1"/>
  <c r="G834" i="22"/>
  <c r="H833" i="22"/>
  <c r="I833" i="22" s="1"/>
  <c r="G833" i="22"/>
  <c r="H832" i="22"/>
  <c r="I832" i="22" s="1"/>
  <c r="G832" i="22"/>
  <c r="H831" i="22"/>
  <c r="I831" i="22" s="1"/>
  <c r="G831" i="22"/>
  <c r="H830" i="22"/>
  <c r="I830" i="22" s="1"/>
  <c r="G830" i="22"/>
  <c r="H829" i="22"/>
  <c r="I829" i="22" s="1"/>
  <c r="G829" i="22"/>
  <c r="H828" i="22"/>
  <c r="I828" i="22" s="1"/>
  <c r="G828" i="22"/>
  <c r="H827" i="22"/>
  <c r="I827" i="22" s="1"/>
  <c r="G827" i="22"/>
  <c r="H826" i="22"/>
  <c r="I826" i="22" s="1"/>
  <c r="G826" i="22"/>
  <c r="H825" i="22"/>
  <c r="I825" i="22" s="1"/>
  <c r="G825" i="22"/>
  <c r="H824" i="22"/>
  <c r="I824" i="22" s="1"/>
  <c r="G824" i="22"/>
  <c r="H823" i="22"/>
  <c r="I823" i="22" s="1"/>
  <c r="G823" i="22"/>
  <c r="H822" i="22"/>
  <c r="I822" i="22" s="1"/>
  <c r="G822" i="22"/>
  <c r="H821" i="22"/>
  <c r="I821" i="22" s="1"/>
  <c r="G821" i="22"/>
  <c r="H820" i="22"/>
  <c r="I820" i="22" s="1"/>
  <c r="G820" i="22"/>
  <c r="H819" i="22"/>
  <c r="I819" i="22" s="1"/>
  <c r="G819" i="22"/>
  <c r="H818" i="22"/>
  <c r="I818" i="22" s="1"/>
  <c r="G818" i="22"/>
  <c r="H817" i="22"/>
  <c r="I817" i="22" s="1"/>
  <c r="G817" i="22"/>
  <c r="H816" i="22"/>
  <c r="I816" i="22" s="1"/>
  <c r="G816" i="22"/>
  <c r="H815" i="22"/>
  <c r="I815" i="22" s="1"/>
  <c r="G815" i="22"/>
  <c r="H814" i="22"/>
  <c r="I814" i="22" s="1"/>
  <c r="G814" i="22"/>
  <c r="H813" i="22"/>
  <c r="I813" i="22" s="1"/>
  <c r="G813" i="22"/>
  <c r="H812" i="22"/>
  <c r="I812" i="22" s="1"/>
  <c r="G812" i="22"/>
  <c r="H811" i="22"/>
  <c r="I811" i="22" s="1"/>
  <c r="G811" i="22"/>
  <c r="H810" i="22"/>
  <c r="I810" i="22" s="1"/>
  <c r="G810" i="22"/>
  <c r="H809" i="22"/>
  <c r="I809" i="22" s="1"/>
  <c r="G809" i="22"/>
  <c r="H808" i="22"/>
  <c r="I808" i="22" s="1"/>
  <c r="G808" i="22"/>
  <c r="H807" i="22"/>
  <c r="I807" i="22" s="1"/>
  <c r="G807" i="22"/>
  <c r="H806" i="22"/>
  <c r="I806" i="22" s="1"/>
  <c r="G806" i="22"/>
  <c r="H805" i="22"/>
  <c r="I805" i="22" s="1"/>
  <c r="G805" i="22"/>
  <c r="H804" i="22"/>
  <c r="I804" i="22" s="1"/>
  <c r="G804" i="22"/>
  <c r="H803" i="22"/>
  <c r="I803" i="22" s="1"/>
  <c r="G803" i="22"/>
  <c r="H802" i="22"/>
  <c r="I802" i="22" s="1"/>
  <c r="G802" i="22"/>
  <c r="H801" i="22"/>
  <c r="I801" i="22" s="1"/>
  <c r="G801" i="22"/>
  <c r="H800" i="22"/>
  <c r="I800" i="22" s="1"/>
  <c r="G800" i="22"/>
  <c r="H799" i="22"/>
  <c r="I799" i="22" s="1"/>
  <c r="G799" i="22"/>
  <c r="H798" i="22"/>
  <c r="I798" i="22" s="1"/>
  <c r="G798" i="22"/>
  <c r="H797" i="22"/>
  <c r="I797" i="22" s="1"/>
  <c r="G797" i="22"/>
  <c r="H796" i="22"/>
  <c r="I796" i="22" s="1"/>
  <c r="G796" i="22"/>
  <c r="H795" i="22"/>
  <c r="I795" i="22" s="1"/>
  <c r="G795" i="22"/>
  <c r="H794" i="22"/>
  <c r="I794" i="22" s="1"/>
  <c r="G794" i="22"/>
  <c r="H793" i="22"/>
  <c r="I793" i="22" s="1"/>
  <c r="G793" i="22"/>
  <c r="H792" i="22"/>
  <c r="I792" i="22" s="1"/>
  <c r="G792" i="22"/>
  <c r="H791" i="22"/>
  <c r="I791" i="22" s="1"/>
  <c r="G791" i="22"/>
  <c r="H790" i="22"/>
  <c r="I790" i="22" s="1"/>
  <c r="G790" i="22"/>
  <c r="H789" i="22"/>
  <c r="I789" i="22" s="1"/>
  <c r="G789" i="22"/>
  <c r="H788" i="22"/>
  <c r="I788" i="22" s="1"/>
  <c r="G788" i="22"/>
  <c r="H787" i="22"/>
  <c r="I787" i="22" s="1"/>
  <c r="G787" i="22"/>
  <c r="H786" i="22"/>
  <c r="I786" i="22" s="1"/>
  <c r="G786" i="22"/>
  <c r="H785" i="22"/>
  <c r="I785" i="22" s="1"/>
  <c r="G785" i="22"/>
  <c r="H784" i="22"/>
  <c r="I784" i="22" s="1"/>
  <c r="G784" i="22"/>
  <c r="H783" i="22"/>
  <c r="I783" i="22" s="1"/>
  <c r="G783" i="22"/>
  <c r="H782" i="22"/>
  <c r="I782" i="22" s="1"/>
  <c r="G782" i="22"/>
  <c r="H781" i="22"/>
  <c r="I781" i="22" s="1"/>
  <c r="G781" i="22"/>
  <c r="H780" i="22"/>
  <c r="I780" i="22" s="1"/>
  <c r="G780" i="22"/>
  <c r="H779" i="22"/>
  <c r="I779" i="22" s="1"/>
  <c r="G779" i="22"/>
  <c r="H778" i="22"/>
  <c r="I778" i="22" s="1"/>
  <c r="G778" i="22"/>
  <c r="H777" i="22"/>
  <c r="I777" i="22" s="1"/>
  <c r="G777" i="22"/>
  <c r="H776" i="22"/>
  <c r="I776" i="22" s="1"/>
  <c r="G776" i="22"/>
  <c r="H775" i="22"/>
  <c r="I775" i="22" s="1"/>
  <c r="G775" i="22"/>
  <c r="H774" i="22"/>
  <c r="I774" i="22" s="1"/>
  <c r="G774" i="22"/>
  <c r="H773" i="22"/>
  <c r="I773" i="22" s="1"/>
  <c r="G773" i="22"/>
  <c r="H772" i="22"/>
  <c r="I772" i="22" s="1"/>
  <c r="G772" i="22"/>
  <c r="H771" i="22"/>
  <c r="I771" i="22" s="1"/>
  <c r="G771" i="22"/>
  <c r="H770" i="22"/>
  <c r="I770" i="22" s="1"/>
  <c r="G770" i="22"/>
  <c r="H769" i="22"/>
  <c r="I769" i="22" s="1"/>
  <c r="G769" i="22"/>
  <c r="H768" i="22"/>
  <c r="I768" i="22" s="1"/>
  <c r="G768" i="22"/>
  <c r="H767" i="22"/>
  <c r="I767" i="22" s="1"/>
  <c r="G767" i="22"/>
  <c r="H766" i="22"/>
  <c r="I766" i="22" s="1"/>
  <c r="G766" i="22"/>
  <c r="H765" i="22"/>
  <c r="I765" i="22" s="1"/>
  <c r="G765" i="22"/>
  <c r="H764" i="22"/>
  <c r="I764" i="22" s="1"/>
  <c r="G764" i="22"/>
  <c r="H763" i="22"/>
  <c r="I763" i="22" s="1"/>
  <c r="G763" i="22"/>
  <c r="H762" i="22"/>
  <c r="I762" i="22" s="1"/>
  <c r="G762" i="22"/>
  <c r="H761" i="22"/>
  <c r="I761" i="22" s="1"/>
  <c r="G761" i="22"/>
  <c r="H760" i="22"/>
  <c r="I760" i="22" s="1"/>
  <c r="G760" i="22"/>
  <c r="H759" i="22"/>
  <c r="I759" i="22" s="1"/>
  <c r="G759" i="22"/>
  <c r="H758" i="22"/>
  <c r="I758" i="22" s="1"/>
  <c r="G758" i="22"/>
  <c r="H757" i="22"/>
  <c r="I757" i="22" s="1"/>
  <c r="G757" i="22"/>
  <c r="H756" i="22"/>
  <c r="I756" i="22" s="1"/>
  <c r="G756" i="22"/>
  <c r="H755" i="22"/>
  <c r="I755" i="22" s="1"/>
  <c r="G755" i="22"/>
  <c r="H754" i="22"/>
  <c r="I754" i="22" s="1"/>
  <c r="G754" i="22"/>
  <c r="H753" i="22"/>
  <c r="I753" i="22" s="1"/>
  <c r="G753" i="22"/>
  <c r="H752" i="22"/>
  <c r="I752" i="22" s="1"/>
  <c r="G752" i="22"/>
  <c r="H751" i="22"/>
  <c r="I751" i="22" s="1"/>
  <c r="G751" i="22"/>
  <c r="H750" i="22"/>
  <c r="I750" i="22" s="1"/>
  <c r="G750" i="22"/>
  <c r="H749" i="22"/>
  <c r="I749" i="22" s="1"/>
  <c r="G749" i="22"/>
  <c r="H748" i="22"/>
  <c r="I748" i="22" s="1"/>
  <c r="G748" i="22"/>
  <c r="H747" i="22"/>
  <c r="I747" i="22" s="1"/>
  <c r="G747" i="22"/>
  <c r="H746" i="22"/>
  <c r="I746" i="22" s="1"/>
  <c r="G746" i="22"/>
  <c r="H745" i="22"/>
  <c r="I745" i="22" s="1"/>
  <c r="G745" i="22"/>
  <c r="H744" i="22"/>
  <c r="I744" i="22" s="1"/>
  <c r="G744" i="22"/>
  <c r="H743" i="22"/>
  <c r="I743" i="22" s="1"/>
  <c r="G743" i="22"/>
  <c r="H742" i="22"/>
  <c r="I742" i="22" s="1"/>
  <c r="G742" i="22"/>
  <c r="H741" i="22"/>
  <c r="I741" i="22" s="1"/>
  <c r="G741" i="22"/>
  <c r="H740" i="22"/>
  <c r="I740" i="22" s="1"/>
  <c r="G740" i="22"/>
  <c r="H739" i="22"/>
  <c r="I739" i="22" s="1"/>
  <c r="G739" i="22"/>
  <c r="H738" i="22"/>
  <c r="I738" i="22" s="1"/>
  <c r="G738" i="22"/>
  <c r="H737" i="22"/>
  <c r="I737" i="22" s="1"/>
  <c r="G737" i="22"/>
  <c r="H736" i="22"/>
  <c r="I736" i="22" s="1"/>
  <c r="G736" i="22"/>
  <c r="H735" i="22"/>
  <c r="I735" i="22" s="1"/>
  <c r="G735" i="22"/>
  <c r="H734" i="22"/>
  <c r="I734" i="22" s="1"/>
  <c r="G734" i="22"/>
  <c r="H733" i="22"/>
  <c r="I733" i="22" s="1"/>
  <c r="G733" i="22"/>
  <c r="H732" i="22"/>
  <c r="I732" i="22" s="1"/>
  <c r="G732" i="22"/>
  <c r="H731" i="22"/>
  <c r="I731" i="22" s="1"/>
  <c r="G731" i="22"/>
  <c r="H730" i="22"/>
  <c r="I730" i="22" s="1"/>
  <c r="G730" i="22"/>
  <c r="H729" i="22"/>
  <c r="I729" i="22" s="1"/>
  <c r="G729" i="22"/>
  <c r="H728" i="22"/>
  <c r="I728" i="22" s="1"/>
  <c r="G728" i="22"/>
  <c r="H727" i="22"/>
  <c r="I727" i="22" s="1"/>
  <c r="G727" i="22"/>
  <c r="H726" i="22"/>
  <c r="I726" i="22" s="1"/>
  <c r="G726" i="22"/>
  <c r="H725" i="22"/>
  <c r="I725" i="22" s="1"/>
  <c r="G725" i="22"/>
  <c r="H724" i="22"/>
  <c r="I724" i="22" s="1"/>
  <c r="G724" i="22"/>
  <c r="H723" i="22"/>
  <c r="I723" i="22" s="1"/>
  <c r="G723" i="22"/>
  <c r="H722" i="22"/>
  <c r="I722" i="22" s="1"/>
  <c r="G722" i="22"/>
  <c r="H721" i="22"/>
  <c r="I721" i="22" s="1"/>
  <c r="G721" i="22"/>
  <c r="H720" i="22"/>
  <c r="I720" i="22" s="1"/>
  <c r="G720" i="22"/>
  <c r="H719" i="22"/>
  <c r="I719" i="22" s="1"/>
  <c r="G719" i="22"/>
  <c r="H718" i="22"/>
  <c r="I718" i="22" s="1"/>
  <c r="G718" i="22"/>
  <c r="H717" i="22"/>
  <c r="I717" i="22" s="1"/>
  <c r="G717" i="22"/>
  <c r="H716" i="22"/>
  <c r="I716" i="22" s="1"/>
  <c r="G716" i="22"/>
  <c r="H715" i="22"/>
  <c r="I715" i="22" s="1"/>
  <c r="G715" i="22"/>
  <c r="H714" i="22"/>
  <c r="I714" i="22" s="1"/>
  <c r="G714" i="22"/>
  <c r="H713" i="22"/>
  <c r="I713" i="22" s="1"/>
  <c r="G713" i="22"/>
  <c r="H712" i="22"/>
  <c r="I712" i="22" s="1"/>
  <c r="G712" i="22"/>
  <c r="H711" i="22"/>
  <c r="I711" i="22" s="1"/>
  <c r="G711" i="22"/>
  <c r="H710" i="22"/>
  <c r="I710" i="22" s="1"/>
  <c r="G710" i="22"/>
  <c r="H709" i="22"/>
  <c r="I709" i="22" s="1"/>
  <c r="G709" i="22"/>
  <c r="H708" i="22"/>
  <c r="I708" i="22" s="1"/>
  <c r="G708" i="22"/>
  <c r="H707" i="22"/>
  <c r="I707" i="22" s="1"/>
  <c r="G707" i="22"/>
  <c r="H706" i="22"/>
  <c r="I706" i="22" s="1"/>
  <c r="G706" i="22"/>
  <c r="H705" i="22"/>
  <c r="I705" i="22" s="1"/>
  <c r="G705" i="22"/>
  <c r="H704" i="22"/>
  <c r="I704" i="22" s="1"/>
  <c r="G704" i="22"/>
  <c r="H703" i="22"/>
  <c r="I703" i="22" s="1"/>
  <c r="G703" i="22"/>
  <c r="H702" i="22"/>
  <c r="I702" i="22" s="1"/>
  <c r="G702" i="22"/>
  <c r="H701" i="22"/>
  <c r="I701" i="22" s="1"/>
  <c r="G701" i="22"/>
  <c r="H700" i="22"/>
  <c r="I700" i="22" s="1"/>
  <c r="G700" i="22"/>
  <c r="H699" i="22"/>
  <c r="I699" i="22" s="1"/>
  <c r="G699" i="22"/>
  <c r="H698" i="22"/>
  <c r="I698" i="22" s="1"/>
  <c r="G698" i="22"/>
  <c r="H697" i="22"/>
  <c r="I697" i="22" s="1"/>
  <c r="G697" i="22"/>
  <c r="H696" i="22"/>
  <c r="I696" i="22" s="1"/>
  <c r="G696" i="22"/>
  <c r="H695" i="22"/>
  <c r="I695" i="22" s="1"/>
  <c r="G695" i="22"/>
  <c r="H694" i="22"/>
  <c r="I694" i="22" s="1"/>
  <c r="G694" i="22"/>
  <c r="H693" i="22"/>
  <c r="I693" i="22" s="1"/>
  <c r="G693" i="22"/>
  <c r="H692" i="22"/>
  <c r="I692" i="22" s="1"/>
  <c r="G692" i="22"/>
  <c r="H691" i="22"/>
  <c r="I691" i="22" s="1"/>
  <c r="G691" i="22"/>
  <c r="H690" i="22"/>
  <c r="I690" i="22" s="1"/>
  <c r="G690" i="22"/>
  <c r="H689" i="22"/>
  <c r="I689" i="22" s="1"/>
  <c r="G689" i="22"/>
  <c r="H688" i="22"/>
  <c r="I688" i="22" s="1"/>
  <c r="G688" i="22"/>
  <c r="H687" i="22"/>
  <c r="I687" i="22" s="1"/>
  <c r="G687" i="22"/>
  <c r="H686" i="22"/>
  <c r="I686" i="22" s="1"/>
  <c r="G686" i="22"/>
  <c r="H685" i="22"/>
  <c r="I685" i="22" s="1"/>
  <c r="G685" i="22"/>
  <c r="H684" i="22"/>
  <c r="I684" i="22" s="1"/>
  <c r="G684" i="22"/>
  <c r="H683" i="22"/>
  <c r="I683" i="22" s="1"/>
  <c r="G683" i="22"/>
  <c r="H682" i="22"/>
  <c r="I682" i="22" s="1"/>
  <c r="G682" i="22"/>
  <c r="H681" i="22"/>
  <c r="I681" i="22" s="1"/>
  <c r="G681" i="22"/>
  <c r="H680" i="22"/>
  <c r="I680" i="22" s="1"/>
  <c r="G680" i="22"/>
  <c r="H679" i="22"/>
  <c r="I679" i="22" s="1"/>
  <c r="G679" i="22"/>
  <c r="H678" i="22"/>
  <c r="I678" i="22" s="1"/>
  <c r="G678" i="22"/>
  <c r="H677" i="22"/>
  <c r="I677" i="22" s="1"/>
  <c r="G677" i="22"/>
  <c r="H676" i="22"/>
  <c r="I676" i="22" s="1"/>
  <c r="G676" i="22"/>
  <c r="H675" i="22"/>
  <c r="I675" i="22" s="1"/>
  <c r="G675" i="22"/>
  <c r="H674" i="22"/>
  <c r="I674" i="22" s="1"/>
  <c r="G674" i="22"/>
  <c r="H673" i="22"/>
  <c r="I673" i="22" s="1"/>
  <c r="G673" i="22"/>
  <c r="H672" i="22"/>
  <c r="I672" i="22" s="1"/>
  <c r="G672" i="22"/>
  <c r="H671" i="22"/>
  <c r="I671" i="22" s="1"/>
  <c r="G671" i="22"/>
  <c r="H670" i="22"/>
  <c r="I670" i="22" s="1"/>
  <c r="G670" i="22"/>
  <c r="H669" i="22"/>
  <c r="I669" i="22" s="1"/>
  <c r="G669" i="22"/>
  <c r="H668" i="22"/>
  <c r="I668" i="22" s="1"/>
  <c r="G668" i="22"/>
  <c r="H667" i="22"/>
  <c r="I667" i="22" s="1"/>
  <c r="G667" i="22"/>
  <c r="H666" i="22"/>
  <c r="I666" i="22" s="1"/>
  <c r="G666" i="22"/>
  <c r="H665" i="22"/>
  <c r="I665" i="22" s="1"/>
  <c r="G665" i="22"/>
  <c r="H664" i="22"/>
  <c r="I664" i="22" s="1"/>
  <c r="G664" i="22"/>
  <c r="H663" i="22"/>
  <c r="I663" i="22" s="1"/>
  <c r="G663" i="22"/>
  <c r="H662" i="22"/>
  <c r="I662" i="22" s="1"/>
  <c r="G662" i="22"/>
  <c r="H661" i="22"/>
  <c r="I661" i="22" s="1"/>
  <c r="G661" i="22"/>
  <c r="H660" i="22"/>
  <c r="I660" i="22" s="1"/>
  <c r="G660" i="22"/>
  <c r="H659" i="22"/>
  <c r="I659" i="22" s="1"/>
  <c r="G659" i="22"/>
  <c r="H658" i="22"/>
  <c r="I658" i="22" s="1"/>
  <c r="G658" i="22"/>
  <c r="H657" i="22"/>
  <c r="I657" i="22" s="1"/>
  <c r="G657" i="22"/>
  <c r="H656" i="22"/>
  <c r="I656" i="22" s="1"/>
  <c r="G656" i="22"/>
  <c r="H655" i="22"/>
  <c r="I655" i="22" s="1"/>
  <c r="G655" i="22"/>
  <c r="H654" i="22"/>
  <c r="I654" i="22" s="1"/>
  <c r="G654" i="22"/>
  <c r="H653" i="22"/>
  <c r="I653" i="22" s="1"/>
  <c r="G653" i="22"/>
  <c r="H652" i="22"/>
  <c r="I652" i="22" s="1"/>
  <c r="G652" i="22"/>
  <c r="H651" i="22"/>
  <c r="I651" i="22" s="1"/>
  <c r="G651" i="22"/>
  <c r="H650" i="22"/>
  <c r="I650" i="22" s="1"/>
  <c r="G650" i="22"/>
  <c r="H649" i="22"/>
  <c r="I649" i="22" s="1"/>
  <c r="G649" i="22"/>
  <c r="H648" i="22"/>
  <c r="I648" i="22" s="1"/>
  <c r="G648" i="22"/>
  <c r="H647" i="22"/>
  <c r="I647" i="22" s="1"/>
  <c r="G647" i="22"/>
  <c r="H646" i="22"/>
  <c r="I646" i="22" s="1"/>
  <c r="G646" i="22"/>
  <c r="H645" i="22"/>
  <c r="I645" i="22" s="1"/>
  <c r="G645" i="22"/>
  <c r="H644" i="22"/>
  <c r="I644" i="22" s="1"/>
  <c r="G644" i="22"/>
  <c r="H643" i="22"/>
  <c r="I643" i="22" s="1"/>
  <c r="G643" i="22"/>
  <c r="H642" i="22"/>
  <c r="I642" i="22" s="1"/>
  <c r="G642" i="22"/>
  <c r="H641" i="22"/>
  <c r="I641" i="22" s="1"/>
  <c r="G641" i="22"/>
  <c r="H640" i="22"/>
  <c r="I640" i="22" s="1"/>
  <c r="G640" i="22"/>
  <c r="H639" i="22"/>
  <c r="I639" i="22" s="1"/>
  <c r="G639" i="22"/>
  <c r="H638" i="22"/>
  <c r="I638" i="22" s="1"/>
  <c r="G638" i="22"/>
  <c r="H637" i="22"/>
  <c r="I637" i="22" s="1"/>
  <c r="G637" i="22"/>
  <c r="H636" i="22"/>
  <c r="I636" i="22" s="1"/>
  <c r="G636" i="22"/>
  <c r="H635" i="22"/>
  <c r="I635" i="22" s="1"/>
  <c r="G635" i="22"/>
  <c r="H634" i="22"/>
  <c r="I634" i="22" s="1"/>
  <c r="G634" i="22"/>
  <c r="H633" i="22"/>
  <c r="I633" i="22" s="1"/>
  <c r="G633" i="22"/>
  <c r="H632" i="22"/>
  <c r="I632" i="22" s="1"/>
  <c r="G632" i="22"/>
  <c r="H631" i="22"/>
  <c r="I631" i="22" s="1"/>
  <c r="G631" i="22"/>
  <c r="H630" i="22"/>
  <c r="I630" i="22" s="1"/>
  <c r="G630" i="22"/>
  <c r="H629" i="22"/>
  <c r="I629" i="22" s="1"/>
  <c r="G629" i="22"/>
  <c r="H628" i="22"/>
  <c r="I628" i="22" s="1"/>
  <c r="G628" i="22"/>
  <c r="H627" i="22"/>
  <c r="I627" i="22" s="1"/>
  <c r="G627" i="22"/>
  <c r="H626" i="22"/>
  <c r="I626" i="22" s="1"/>
  <c r="G626" i="22"/>
  <c r="H625" i="22"/>
  <c r="I625" i="22" s="1"/>
  <c r="G625" i="22"/>
  <c r="H624" i="22"/>
  <c r="I624" i="22" s="1"/>
  <c r="G624" i="22"/>
  <c r="H623" i="22"/>
  <c r="I623" i="22" s="1"/>
  <c r="G623" i="22"/>
  <c r="H622" i="22"/>
  <c r="I622" i="22" s="1"/>
  <c r="G622" i="22"/>
  <c r="H621" i="22"/>
  <c r="I621" i="22" s="1"/>
  <c r="G621" i="22"/>
  <c r="H620" i="22"/>
  <c r="I620" i="22" s="1"/>
  <c r="G620" i="22"/>
  <c r="H619" i="22"/>
  <c r="I619" i="22" s="1"/>
  <c r="G619" i="22"/>
  <c r="H618" i="22"/>
  <c r="I618" i="22" s="1"/>
  <c r="G618" i="22"/>
  <c r="H617" i="22"/>
  <c r="I617" i="22" s="1"/>
  <c r="G617" i="22"/>
  <c r="H616" i="22"/>
  <c r="I616" i="22" s="1"/>
  <c r="G616" i="22"/>
  <c r="H615" i="22"/>
  <c r="I615" i="22" s="1"/>
  <c r="G615" i="22"/>
  <c r="H614" i="22"/>
  <c r="I614" i="22" s="1"/>
  <c r="G614" i="22"/>
  <c r="H613" i="22"/>
  <c r="I613" i="22" s="1"/>
  <c r="G613" i="22"/>
  <c r="H612" i="22"/>
  <c r="I612" i="22" s="1"/>
  <c r="G612" i="22"/>
  <c r="H611" i="22"/>
  <c r="I611" i="22" s="1"/>
  <c r="G611" i="22"/>
  <c r="H610" i="22"/>
  <c r="I610" i="22" s="1"/>
  <c r="G610" i="22"/>
  <c r="H609" i="22"/>
  <c r="I609" i="22" s="1"/>
  <c r="G609" i="22"/>
  <c r="H608" i="22"/>
  <c r="I608" i="22" s="1"/>
  <c r="G608" i="22"/>
  <c r="H607" i="22"/>
  <c r="I607" i="22" s="1"/>
  <c r="G607" i="22"/>
  <c r="H606" i="22"/>
  <c r="I606" i="22" s="1"/>
  <c r="G606" i="22"/>
  <c r="H605" i="22"/>
  <c r="I605" i="22" s="1"/>
  <c r="G605" i="22"/>
  <c r="H604" i="22"/>
  <c r="I604" i="22" s="1"/>
  <c r="G604" i="22"/>
  <c r="H603" i="22"/>
  <c r="I603" i="22" s="1"/>
  <c r="G603" i="22"/>
  <c r="H602" i="22"/>
  <c r="I602" i="22" s="1"/>
  <c r="G602" i="22"/>
  <c r="H601" i="22"/>
  <c r="I601" i="22" s="1"/>
  <c r="G601" i="22"/>
  <c r="H600" i="22"/>
  <c r="I600" i="22" s="1"/>
  <c r="G600" i="22"/>
  <c r="H599" i="22"/>
  <c r="I599" i="22" s="1"/>
  <c r="G599" i="22"/>
  <c r="H598" i="22"/>
  <c r="I598" i="22" s="1"/>
  <c r="G598" i="22"/>
  <c r="H597" i="22"/>
  <c r="I597" i="22" s="1"/>
  <c r="G597" i="22"/>
  <c r="H596" i="22"/>
  <c r="I596" i="22" s="1"/>
  <c r="G596" i="22"/>
  <c r="H595" i="22"/>
  <c r="I595" i="22" s="1"/>
  <c r="G595" i="22"/>
  <c r="H594" i="22"/>
  <c r="I594" i="22" s="1"/>
  <c r="G594" i="22"/>
  <c r="H593" i="22"/>
  <c r="I593" i="22" s="1"/>
  <c r="G593" i="22"/>
  <c r="H592" i="22"/>
  <c r="I592" i="22" s="1"/>
  <c r="G592" i="22"/>
  <c r="H591" i="22"/>
  <c r="I591" i="22" s="1"/>
  <c r="G591" i="22"/>
  <c r="H590" i="22"/>
  <c r="I590" i="22" s="1"/>
  <c r="G590" i="22"/>
  <c r="H589" i="22"/>
  <c r="I589" i="22" s="1"/>
  <c r="G589" i="22"/>
  <c r="H588" i="22"/>
  <c r="I588" i="22" s="1"/>
  <c r="G588" i="22"/>
  <c r="H587" i="22"/>
  <c r="I587" i="22" s="1"/>
  <c r="G587" i="22"/>
  <c r="H586" i="22"/>
  <c r="I586" i="22" s="1"/>
  <c r="G586" i="22"/>
  <c r="H585" i="22"/>
  <c r="I585" i="22" s="1"/>
  <c r="G585" i="22"/>
  <c r="H584" i="22"/>
  <c r="I584" i="22" s="1"/>
  <c r="G584" i="22"/>
  <c r="H583" i="22"/>
  <c r="I583" i="22" s="1"/>
  <c r="G583" i="22"/>
  <c r="H582" i="22"/>
  <c r="I582" i="22" s="1"/>
  <c r="G582" i="22"/>
  <c r="H581" i="22"/>
  <c r="I581" i="22" s="1"/>
  <c r="G581" i="22"/>
  <c r="H580" i="22"/>
  <c r="I580" i="22" s="1"/>
  <c r="G580" i="22"/>
  <c r="H579" i="22"/>
  <c r="I579" i="22" s="1"/>
  <c r="G579" i="22"/>
  <c r="H578" i="22"/>
  <c r="I578" i="22" s="1"/>
  <c r="G578" i="22"/>
  <c r="H577" i="22"/>
  <c r="I577" i="22" s="1"/>
  <c r="G577" i="22"/>
  <c r="H576" i="22"/>
  <c r="I576" i="22" s="1"/>
  <c r="G576" i="22"/>
  <c r="H575" i="22"/>
  <c r="I575" i="22" s="1"/>
  <c r="G575" i="22"/>
  <c r="H574" i="22"/>
  <c r="I574" i="22" s="1"/>
  <c r="G574" i="22"/>
  <c r="H573" i="22"/>
  <c r="I573" i="22" s="1"/>
  <c r="G573" i="22"/>
  <c r="H572" i="22"/>
  <c r="I572" i="22" s="1"/>
  <c r="G572" i="22"/>
  <c r="H571" i="22"/>
  <c r="I571" i="22" s="1"/>
  <c r="G571" i="22"/>
  <c r="H570" i="22"/>
  <c r="I570" i="22" s="1"/>
  <c r="G570" i="22"/>
  <c r="H569" i="22"/>
  <c r="I569" i="22" s="1"/>
  <c r="G569" i="22"/>
  <c r="H568" i="22"/>
  <c r="I568" i="22" s="1"/>
  <c r="G568" i="22"/>
  <c r="H567" i="22"/>
  <c r="I567" i="22" s="1"/>
  <c r="G567" i="22"/>
  <c r="H566" i="22"/>
  <c r="I566" i="22" s="1"/>
  <c r="G566" i="22"/>
  <c r="H565" i="22"/>
  <c r="I565" i="22" s="1"/>
  <c r="G565" i="22"/>
  <c r="H564" i="22"/>
  <c r="I564" i="22" s="1"/>
  <c r="G564" i="22"/>
  <c r="H563" i="22"/>
  <c r="I563" i="22" s="1"/>
  <c r="G563" i="22"/>
  <c r="H562" i="22"/>
  <c r="I562" i="22" s="1"/>
  <c r="G562" i="22"/>
  <c r="H561" i="22"/>
  <c r="I561" i="22" s="1"/>
  <c r="G561" i="22"/>
  <c r="H560" i="22"/>
  <c r="I560" i="22" s="1"/>
  <c r="G560" i="22"/>
  <c r="H559" i="22"/>
  <c r="I559" i="22" s="1"/>
  <c r="G559" i="22"/>
  <c r="H558" i="22"/>
  <c r="I558" i="22" s="1"/>
  <c r="G558" i="22"/>
  <c r="H557" i="22"/>
  <c r="I557" i="22" s="1"/>
  <c r="G557" i="22"/>
  <c r="H556" i="22"/>
  <c r="I556" i="22" s="1"/>
  <c r="G556" i="22"/>
  <c r="H555" i="22"/>
  <c r="I555" i="22" s="1"/>
  <c r="G555" i="22"/>
  <c r="H554" i="22"/>
  <c r="I554" i="22" s="1"/>
  <c r="G554" i="22"/>
  <c r="H553" i="22"/>
  <c r="I553" i="22" s="1"/>
  <c r="G553" i="22"/>
  <c r="H552" i="22"/>
  <c r="I552" i="22" s="1"/>
  <c r="G552" i="22"/>
  <c r="H551" i="22"/>
  <c r="I551" i="22" s="1"/>
  <c r="G551" i="22"/>
  <c r="H550" i="22"/>
  <c r="I550" i="22" s="1"/>
  <c r="G550" i="22"/>
  <c r="H549" i="22"/>
  <c r="I549" i="22" s="1"/>
  <c r="G549" i="22"/>
  <c r="H548" i="22"/>
  <c r="I548" i="22" s="1"/>
  <c r="G548" i="22"/>
  <c r="H547" i="22"/>
  <c r="I547" i="22" s="1"/>
  <c r="G547" i="22"/>
  <c r="H546" i="22"/>
  <c r="I546" i="22" s="1"/>
  <c r="G546" i="22"/>
  <c r="H545" i="22"/>
  <c r="I545" i="22" s="1"/>
  <c r="G545" i="22"/>
  <c r="H544" i="22"/>
  <c r="I544" i="22" s="1"/>
  <c r="G544" i="22"/>
  <c r="H543" i="22"/>
  <c r="I543" i="22" s="1"/>
  <c r="G543" i="22"/>
  <c r="H542" i="22"/>
  <c r="I542" i="22" s="1"/>
  <c r="G542" i="22"/>
  <c r="H541" i="22"/>
  <c r="I541" i="22" s="1"/>
  <c r="G541" i="22"/>
  <c r="H540" i="22"/>
  <c r="I540" i="22" s="1"/>
  <c r="G540" i="22"/>
  <c r="H539" i="22"/>
  <c r="I539" i="22" s="1"/>
  <c r="G539" i="22"/>
  <c r="H538" i="22"/>
  <c r="I538" i="22" s="1"/>
  <c r="G538" i="22"/>
  <c r="H537" i="22"/>
  <c r="I537" i="22" s="1"/>
  <c r="G537" i="22"/>
  <c r="H536" i="22"/>
  <c r="I536" i="22" s="1"/>
  <c r="G536" i="22"/>
  <c r="H535" i="22"/>
  <c r="I535" i="22" s="1"/>
  <c r="G535" i="22"/>
  <c r="H534" i="22"/>
  <c r="I534" i="22" s="1"/>
  <c r="G534" i="22"/>
  <c r="H533" i="22"/>
  <c r="I533" i="22" s="1"/>
  <c r="G533" i="22"/>
  <c r="H532" i="22"/>
  <c r="I532" i="22" s="1"/>
  <c r="G532" i="22"/>
  <c r="H531" i="22"/>
  <c r="I531" i="22" s="1"/>
  <c r="G531" i="22"/>
  <c r="H530" i="22"/>
  <c r="I530" i="22" s="1"/>
  <c r="G530" i="22"/>
  <c r="H529" i="22"/>
  <c r="I529" i="22" s="1"/>
  <c r="G529" i="22"/>
  <c r="H528" i="22"/>
  <c r="I528" i="22" s="1"/>
  <c r="G528" i="22"/>
  <c r="H527" i="22"/>
  <c r="I527" i="22" s="1"/>
  <c r="G527" i="22"/>
  <c r="H526" i="22"/>
  <c r="I526" i="22" s="1"/>
  <c r="G526" i="22"/>
  <c r="H525" i="22"/>
  <c r="I525" i="22" s="1"/>
  <c r="G525" i="22"/>
  <c r="H524" i="22"/>
  <c r="I524" i="22" s="1"/>
  <c r="G524" i="22"/>
  <c r="H523" i="22"/>
  <c r="I523" i="22" s="1"/>
  <c r="G523" i="22"/>
  <c r="H522" i="22"/>
  <c r="I522" i="22" s="1"/>
  <c r="G522" i="22"/>
  <c r="H521" i="22"/>
  <c r="I521" i="22" s="1"/>
  <c r="G521" i="22"/>
  <c r="H520" i="22"/>
  <c r="I520" i="22" s="1"/>
  <c r="G520" i="22"/>
  <c r="H519" i="22"/>
  <c r="I519" i="22" s="1"/>
  <c r="G519" i="22"/>
  <c r="H518" i="22"/>
  <c r="I518" i="22" s="1"/>
  <c r="G518" i="22"/>
  <c r="H517" i="22"/>
  <c r="I517" i="22" s="1"/>
  <c r="G517" i="22"/>
  <c r="H516" i="22"/>
  <c r="I516" i="22" s="1"/>
  <c r="G516" i="22"/>
  <c r="H515" i="22"/>
  <c r="I515" i="22" s="1"/>
  <c r="G515" i="22"/>
  <c r="H514" i="22"/>
  <c r="I514" i="22" s="1"/>
  <c r="G514" i="22"/>
  <c r="H513" i="22"/>
  <c r="I513" i="22" s="1"/>
  <c r="G513" i="22"/>
  <c r="H512" i="22"/>
  <c r="I512" i="22" s="1"/>
  <c r="G512" i="22"/>
  <c r="H511" i="22"/>
  <c r="I511" i="22" s="1"/>
  <c r="G511" i="22"/>
  <c r="H510" i="22"/>
  <c r="I510" i="22" s="1"/>
  <c r="G510" i="22"/>
  <c r="H509" i="22"/>
  <c r="I509" i="22" s="1"/>
  <c r="G509" i="22"/>
  <c r="H508" i="22"/>
  <c r="I508" i="22" s="1"/>
  <c r="G508" i="22"/>
  <c r="H507" i="22"/>
  <c r="I507" i="22" s="1"/>
  <c r="G507" i="22"/>
  <c r="H506" i="22"/>
  <c r="I506" i="22" s="1"/>
  <c r="G506" i="22"/>
  <c r="H505" i="22"/>
  <c r="I505" i="22" s="1"/>
  <c r="G505" i="22"/>
  <c r="H504" i="22"/>
  <c r="I504" i="22" s="1"/>
  <c r="G504" i="22"/>
  <c r="H503" i="22"/>
  <c r="I503" i="22" s="1"/>
  <c r="G503" i="22"/>
  <c r="H502" i="22"/>
  <c r="I502" i="22" s="1"/>
  <c r="G502" i="22"/>
  <c r="H501" i="22"/>
  <c r="I501" i="22" s="1"/>
  <c r="G501" i="22"/>
  <c r="H500" i="22"/>
  <c r="I500" i="22" s="1"/>
  <c r="G500" i="22"/>
  <c r="H499" i="22"/>
  <c r="I499" i="22" s="1"/>
  <c r="G499" i="22"/>
  <c r="H498" i="22"/>
  <c r="I498" i="22" s="1"/>
  <c r="G498" i="22"/>
  <c r="H497" i="22"/>
  <c r="I497" i="22" s="1"/>
  <c r="G497" i="22"/>
  <c r="H496" i="22"/>
  <c r="I496" i="22" s="1"/>
  <c r="G496" i="22"/>
  <c r="H495" i="22"/>
  <c r="I495" i="22" s="1"/>
  <c r="G495" i="22"/>
  <c r="H494" i="22"/>
  <c r="I494" i="22" s="1"/>
  <c r="G494" i="22"/>
  <c r="H493" i="22"/>
  <c r="I493" i="22" s="1"/>
  <c r="G493" i="22"/>
  <c r="H492" i="22"/>
  <c r="I492" i="22" s="1"/>
  <c r="G492" i="22"/>
  <c r="H491" i="22"/>
  <c r="I491" i="22" s="1"/>
  <c r="G491" i="22"/>
  <c r="H490" i="22"/>
  <c r="I490" i="22" s="1"/>
  <c r="G490" i="22"/>
  <c r="H489" i="22"/>
  <c r="I489" i="22" s="1"/>
  <c r="G489" i="22"/>
  <c r="H488" i="22"/>
  <c r="I488" i="22" s="1"/>
  <c r="G488" i="22"/>
  <c r="H487" i="22"/>
  <c r="I487" i="22" s="1"/>
  <c r="G487" i="22"/>
  <c r="H486" i="22"/>
  <c r="I486" i="22" s="1"/>
  <c r="G486" i="22"/>
  <c r="H485" i="22"/>
  <c r="I485" i="22" s="1"/>
  <c r="G485" i="22"/>
  <c r="H484" i="22"/>
  <c r="I484" i="22" s="1"/>
  <c r="G484" i="22"/>
  <c r="H483" i="22"/>
  <c r="I483" i="22" s="1"/>
  <c r="G483" i="22"/>
  <c r="H482" i="22"/>
  <c r="I482" i="22" s="1"/>
  <c r="G482" i="22"/>
  <c r="H481" i="22"/>
  <c r="I481" i="22" s="1"/>
  <c r="G481" i="22"/>
  <c r="H480" i="22"/>
  <c r="I480" i="22" s="1"/>
  <c r="G480" i="22"/>
  <c r="H479" i="22"/>
  <c r="I479" i="22" s="1"/>
  <c r="G479" i="22"/>
  <c r="H478" i="22"/>
  <c r="I478" i="22" s="1"/>
  <c r="G478" i="22"/>
  <c r="H477" i="22"/>
  <c r="I477" i="22" s="1"/>
  <c r="G477" i="22"/>
  <c r="H476" i="22"/>
  <c r="I476" i="22" s="1"/>
  <c r="G476" i="22"/>
  <c r="H475" i="22"/>
  <c r="I475" i="22" s="1"/>
  <c r="G475" i="22"/>
  <c r="H474" i="22"/>
  <c r="I474" i="22" s="1"/>
  <c r="G474" i="22"/>
  <c r="H473" i="22"/>
  <c r="I473" i="22" s="1"/>
  <c r="G473" i="22"/>
  <c r="H472" i="22"/>
  <c r="I472" i="22" s="1"/>
  <c r="G472" i="22"/>
  <c r="H471" i="22"/>
  <c r="I471" i="22" s="1"/>
  <c r="G471" i="22"/>
  <c r="H470" i="22"/>
  <c r="I470" i="22" s="1"/>
  <c r="G470" i="22"/>
  <c r="H469" i="22"/>
  <c r="I469" i="22" s="1"/>
  <c r="G469" i="22"/>
  <c r="H468" i="22"/>
  <c r="I468" i="22" s="1"/>
  <c r="G468" i="22"/>
  <c r="H467" i="22"/>
  <c r="I467" i="22" s="1"/>
  <c r="G467" i="22"/>
  <c r="H466" i="22"/>
  <c r="I466" i="22" s="1"/>
  <c r="G466" i="22"/>
  <c r="H465" i="22"/>
  <c r="I465" i="22" s="1"/>
  <c r="G465" i="22"/>
  <c r="H464" i="22"/>
  <c r="I464" i="22" s="1"/>
  <c r="G464" i="22"/>
  <c r="H463" i="22"/>
  <c r="I463" i="22" s="1"/>
  <c r="G463" i="22"/>
  <c r="H462" i="22"/>
  <c r="I462" i="22" s="1"/>
  <c r="G462" i="22"/>
  <c r="H461" i="22"/>
  <c r="I461" i="22" s="1"/>
  <c r="G461" i="22"/>
  <c r="H460" i="22"/>
  <c r="I460" i="22" s="1"/>
  <c r="G460" i="22"/>
  <c r="M456" i="22"/>
  <c r="K456" i="22"/>
  <c r="J456" i="22"/>
  <c r="H456" i="22"/>
  <c r="I455" i="22"/>
  <c r="L455" i="22" s="1"/>
  <c r="G455" i="22"/>
  <c r="I454" i="22"/>
  <c r="L454" i="22" s="1"/>
  <c r="G454" i="22"/>
  <c r="I453" i="22"/>
  <c r="L453" i="22" s="1"/>
  <c r="G453" i="22"/>
  <c r="I452" i="22"/>
  <c r="L452" i="22" s="1"/>
  <c r="G452" i="22"/>
  <c r="I451" i="22"/>
  <c r="L451" i="22" s="1"/>
  <c r="G451" i="22"/>
  <c r="I450" i="22"/>
  <c r="L450" i="22" s="1"/>
  <c r="G450" i="22"/>
  <c r="I449" i="22"/>
  <c r="L449" i="22" s="1"/>
  <c r="G449" i="22"/>
  <c r="I448" i="22"/>
  <c r="L448" i="22" s="1"/>
  <c r="G448" i="22"/>
  <c r="I447" i="22"/>
  <c r="L447" i="22" s="1"/>
  <c r="G447" i="22"/>
  <c r="I446" i="22"/>
  <c r="L446" i="22" s="1"/>
  <c r="G446" i="22"/>
  <c r="I445" i="22"/>
  <c r="L445" i="22" s="1"/>
  <c r="G445" i="22"/>
  <c r="I444" i="22"/>
  <c r="L444" i="22" s="1"/>
  <c r="G444" i="22"/>
  <c r="I443" i="22"/>
  <c r="L443" i="22" s="1"/>
  <c r="G443" i="22"/>
  <c r="I442" i="22"/>
  <c r="L442" i="22" s="1"/>
  <c r="G442" i="22"/>
  <c r="I441" i="22"/>
  <c r="L441" i="22" s="1"/>
  <c r="G441" i="22"/>
  <c r="I440" i="22"/>
  <c r="L440" i="22" s="1"/>
  <c r="G440" i="22"/>
  <c r="I439" i="22"/>
  <c r="L439" i="22" s="1"/>
  <c r="G439" i="22"/>
  <c r="I438" i="22"/>
  <c r="L438" i="22" s="1"/>
  <c r="G438" i="22"/>
  <c r="I437" i="22"/>
  <c r="L437" i="22" s="1"/>
  <c r="G437" i="22"/>
  <c r="I436" i="22"/>
  <c r="L436" i="22" s="1"/>
  <c r="G436" i="22"/>
  <c r="I435" i="22"/>
  <c r="L435" i="22" s="1"/>
  <c r="G435" i="22"/>
  <c r="I434" i="22"/>
  <c r="L434" i="22" s="1"/>
  <c r="G434" i="22"/>
  <c r="I433" i="22"/>
  <c r="L433" i="22" s="1"/>
  <c r="G433" i="22"/>
  <c r="I432" i="22"/>
  <c r="L432" i="22" s="1"/>
  <c r="G432" i="22"/>
  <c r="I431" i="22"/>
  <c r="L431" i="22" s="1"/>
  <c r="G431" i="22"/>
  <c r="I430" i="22"/>
  <c r="L430" i="22" s="1"/>
  <c r="G430" i="22"/>
  <c r="I429" i="22"/>
  <c r="L429" i="22" s="1"/>
  <c r="G429" i="22"/>
  <c r="I428" i="22"/>
  <c r="L428" i="22" s="1"/>
  <c r="G428" i="22"/>
  <c r="I427" i="22"/>
  <c r="L427" i="22" s="1"/>
  <c r="G427" i="22"/>
  <c r="I426" i="22"/>
  <c r="L426" i="22" s="1"/>
  <c r="G426" i="22"/>
  <c r="I425" i="22"/>
  <c r="L425" i="22" s="1"/>
  <c r="G425" i="22"/>
  <c r="I424" i="22"/>
  <c r="L424" i="22" s="1"/>
  <c r="G424" i="22"/>
  <c r="I423" i="22"/>
  <c r="L423" i="22" s="1"/>
  <c r="G423" i="22"/>
  <c r="I422" i="22"/>
  <c r="L422" i="22" s="1"/>
  <c r="G422" i="22"/>
  <c r="I421" i="22"/>
  <c r="L421" i="22" s="1"/>
  <c r="G421" i="22"/>
  <c r="I420" i="22"/>
  <c r="L420" i="22" s="1"/>
  <c r="G420" i="22"/>
  <c r="I419" i="22"/>
  <c r="L419" i="22" s="1"/>
  <c r="G419" i="22"/>
  <c r="I418" i="22"/>
  <c r="L418" i="22" s="1"/>
  <c r="G418" i="22"/>
  <c r="I417" i="22"/>
  <c r="L417" i="22" s="1"/>
  <c r="G417" i="22"/>
  <c r="I416" i="22"/>
  <c r="L416" i="22" s="1"/>
  <c r="G416" i="22"/>
  <c r="I415" i="22"/>
  <c r="L415" i="22" s="1"/>
  <c r="G415" i="22"/>
  <c r="I414" i="22"/>
  <c r="L414" i="22" s="1"/>
  <c r="G414" i="22"/>
  <c r="I413" i="22"/>
  <c r="L413" i="22" s="1"/>
  <c r="G413" i="22"/>
  <c r="I412" i="22"/>
  <c r="L412" i="22" s="1"/>
  <c r="G412" i="22"/>
  <c r="I411" i="22"/>
  <c r="L411" i="22" s="1"/>
  <c r="G411" i="22"/>
  <c r="I410" i="22"/>
  <c r="L410" i="22" s="1"/>
  <c r="G410" i="22"/>
  <c r="I409" i="22"/>
  <c r="L409" i="22" s="1"/>
  <c r="G409" i="22"/>
  <c r="I408" i="22"/>
  <c r="L408" i="22" s="1"/>
  <c r="G408" i="22"/>
  <c r="I407" i="22"/>
  <c r="L407" i="22" s="1"/>
  <c r="G407" i="22"/>
  <c r="I406" i="22"/>
  <c r="L406" i="22" s="1"/>
  <c r="G406" i="22"/>
  <c r="I405" i="22"/>
  <c r="L405" i="22" s="1"/>
  <c r="G405" i="22"/>
  <c r="I404" i="22"/>
  <c r="L404" i="22" s="1"/>
  <c r="G404" i="22"/>
  <c r="I403" i="22"/>
  <c r="L403" i="22" s="1"/>
  <c r="G403" i="22"/>
  <c r="I402" i="22"/>
  <c r="L402" i="22" s="1"/>
  <c r="G402" i="22"/>
  <c r="I401" i="22"/>
  <c r="L401" i="22" s="1"/>
  <c r="G401" i="22"/>
  <c r="I400" i="22"/>
  <c r="L400" i="22" s="1"/>
  <c r="G400" i="22"/>
  <c r="I399" i="22"/>
  <c r="L399" i="22" s="1"/>
  <c r="G399" i="22"/>
  <c r="I398" i="22"/>
  <c r="L398" i="22" s="1"/>
  <c r="G398" i="22"/>
  <c r="I397" i="22"/>
  <c r="L397" i="22" s="1"/>
  <c r="G397" i="22"/>
  <c r="I396" i="22"/>
  <c r="L396" i="22" s="1"/>
  <c r="G396" i="22"/>
  <c r="I395" i="22"/>
  <c r="L395" i="22" s="1"/>
  <c r="G395" i="22"/>
  <c r="I394" i="22"/>
  <c r="L394" i="22" s="1"/>
  <c r="G394" i="22"/>
  <c r="I393" i="22"/>
  <c r="L393" i="22" s="1"/>
  <c r="G393" i="22"/>
  <c r="I392" i="22"/>
  <c r="L392" i="22" s="1"/>
  <c r="G392" i="22"/>
  <c r="I391" i="22"/>
  <c r="L391" i="22" s="1"/>
  <c r="G391" i="22"/>
  <c r="I390" i="22"/>
  <c r="L390" i="22" s="1"/>
  <c r="G390" i="22"/>
  <c r="I389" i="22"/>
  <c r="L389" i="22" s="1"/>
  <c r="G389" i="22"/>
  <c r="I388" i="22"/>
  <c r="L388" i="22" s="1"/>
  <c r="G388" i="22"/>
  <c r="I387" i="22"/>
  <c r="L387" i="22" s="1"/>
  <c r="G387" i="22"/>
  <c r="I386" i="22"/>
  <c r="L386" i="22" s="1"/>
  <c r="G386" i="22"/>
  <c r="I385" i="22"/>
  <c r="L385" i="22" s="1"/>
  <c r="G385" i="22"/>
  <c r="I384" i="22"/>
  <c r="L384" i="22" s="1"/>
  <c r="G384" i="22"/>
  <c r="I383" i="22"/>
  <c r="L383" i="22" s="1"/>
  <c r="G383" i="22"/>
  <c r="I382" i="22"/>
  <c r="L382" i="22" s="1"/>
  <c r="G382" i="22"/>
  <c r="I381" i="22"/>
  <c r="L381" i="22" s="1"/>
  <c r="G381" i="22"/>
  <c r="I380" i="22"/>
  <c r="L380" i="22" s="1"/>
  <c r="G380" i="22"/>
  <c r="I379" i="22"/>
  <c r="L379" i="22" s="1"/>
  <c r="G379" i="22"/>
  <c r="I378" i="22"/>
  <c r="L378" i="22" s="1"/>
  <c r="G378" i="22"/>
  <c r="I377" i="22"/>
  <c r="L377" i="22" s="1"/>
  <c r="G377" i="22"/>
  <c r="I376" i="22"/>
  <c r="L376" i="22" s="1"/>
  <c r="G376" i="22"/>
  <c r="I375" i="22"/>
  <c r="L375" i="22" s="1"/>
  <c r="G375" i="22"/>
  <c r="I374" i="22"/>
  <c r="L374" i="22" s="1"/>
  <c r="G374" i="22"/>
  <c r="I373" i="22"/>
  <c r="L373" i="22" s="1"/>
  <c r="G373" i="22"/>
  <c r="I372" i="22"/>
  <c r="L372" i="22" s="1"/>
  <c r="G372" i="22"/>
  <c r="I371" i="22"/>
  <c r="L371" i="22" s="1"/>
  <c r="G371" i="22"/>
  <c r="I370" i="22"/>
  <c r="L370" i="22" s="1"/>
  <c r="G370" i="22"/>
  <c r="I369" i="22"/>
  <c r="L369" i="22" s="1"/>
  <c r="G369" i="22"/>
  <c r="I368" i="22"/>
  <c r="L368" i="22" s="1"/>
  <c r="G368" i="22"/>
  <c r="I367" i="22"/>
  <c r="L367" i="22" s="1"/>
  <c r="G367" i="22"/>
  <c r="I366" i="22"/>
  <c r="L366" i="22" s="1"/>
  <c r="G366" i="22"/>
  <c r="I365" i="22"/>
  <c r="L365" i="22" s="1"/>
  <c r="G365" i="22"/>
  <c r="I364" i="22"/>
  <c r="L364" i="22" s="1"/>
  <c r="G364" i="22"/>
  <c r="I363" i="22"/>
  <c r="L363" i="22" s="1"/>
  <c r="G363" i="22"/>
  <c r="I362" i="22"/>
  <c r="L362" i="22" s="1"/>
  <c r="G362" i="22"/>
  <c r="I361" i="22"/>
  <c r="L361" i="22" s="1"/>
  <c r="G361" i="22"/>
  <c r="I360" i="22"/>
  <c r="L360" i="22" s="1"/>
  <c r="G360" i="22"/>
  <c r="I359" i="22"/>
  <c r="L359" i="22" s="1"/>
  <c r="G359" i="22"/>
  <c r="I358" i="22"/>
  <c r="L358" i="22" s="1"/>
  <c r="G358" i="22"/>
  <c r="I357" i="22"/>
  <c r="L357" i="22" s="1"/>
  <c r="G357" i="22"/>
  <c r="I356" i="22"/>
  <c r="L356" i="22" s="1"/>
  <c r="G356" i="22"/>
  <c r="I355" i="22"/>
  <c r="L355" i="22" s="1"/>
  <c r="G355" i="22"/>
  <c r="I354" i="22"/>
  <c r="L354" i="22" s="1"/>
  <c r="G354" i="22"/>
  <c r="I353" i="22"/>
  <c r="L353" i="22" s="1"/>
  <c r="G353" i="22"/>
  <c r="I352" i="22"/>
  <c r="L352" i="22" s="1"/>
  <c r="G352" i="22"/>
  <c r="I351" i="22"/>
  <c r="L351" i="22" s="1"/>
  <c r="G351" i="22"/>
  <c r="I350" i="22"/>
  <c r="L350" i="22" s="1"/>
  <c r="G350" i="22"/>
  <c r="I349" i="22"/>
  <c r="L349" i="22" s="1"/>
  <c r="G349" i="22"/>
  <c r="I348" i="22"/>
  <c r="L348" i="22" s="1"/>
  <c r="G348" i="22"/>
  <c r="I347" i="22"/>
  <c r="L347" i="22" s="1"/>
  <c r="G347" i="22"/>
  <c r="I346" i="22"/>
  <c r="L346" i="22" s="1"/>
  <c r="G346" i="22"/>
  <c r="I345" i="22"/>
  <c r="L345" i="22" s="1"/>
  <c r="G345" i="22"/>
  <c r="I344" i="22"/>
  <c r="L344" i="22" s="1"/>
  <c r="G344" i="22"/>
  <c r="I343" i="22"/>
  <c r="L343" i="22" s="1"/>
  <c r="G343" i="22"/>
  <c r="I342" i="22"/>
  <c r="L342" i="22" s="1"/>
  <c r="G342" i="22"/>
  <c r="I341" i="22"/>
  <c r="L341" i="22" s="1"/>
  <c r="G341" i="22"/>
  <c r="I340" i="22"/>
  <c r="L340" i="22" s="1"/>
  <c r="G340" i="22"/>
  <c r="I339" i="22"/>
  <c r="L339" i="22" s="1"/>
  <c r="G339" i="22"/>
  <c r="I338" i="22"/>
  <c r="L338" i="22" s="1"/>
  <c r="G338" i="22"/>
  <c r="I337" i="22"/>
  <c r="L337" i="22" s="1"/>
  <c r="G337" i="22"/>
  <c r="I336" i="22"/>
  <c r="L336" i="22" s="1"/>
  <c r="G336" i="22"/>
  <c r="I335" i="22"/>
  <c r="L335" i="22" s="1"/>
  <c r="G335" i="22"/>
  <c r="I334" i="22"/>
  <c r="L334" i="22" s="1"/>
  <c r="G334" i="22"/>
  <c r="I333" i="22"/>
  <c r="L333" i="22" s="1"/>
  <c r="G333" i="22"/>
  <c r="I332" i="22"/>
  <c r="L332" i="22" s="1"/>
  <c r="G332" i="22"/>
  <c r="I331" i="22"/>
  <c r="L331" i="22" s="1"/>
  <c r="G331" i="22"/>
  <c r="I330" i="22"/>
  <c r="L330" i="22" s="1"/>
  <c r="G330" i="22"/>
  <c r="I329" i="22"/>
  <c r="L329" i="22" s="1"/>
  <c r="G329" i="22"/>
  <c r="I328" i="22"/>
  <c r="L328" i="22" s="1"/>
  <c r="G328" i="22"/>
  <c r="I327" i="22"/>
  <c r="L327" i="22" s="1"/>
  <c r="G327" i="22"/>
  <c r="I326" i="22"/>
  <c r="L326" i="22" s="1"/>
  <c r="G326" i="22"/>
  <c r="I325" i="22"/>
  <c r="L325" i="22" s="1"/>
  <c r="G325" i="22"/>
  <c r="I324" i="22"/>
  <c r="L324" i="22" s="1"/>
  <c r="G324" i="22"/>
  <c r="I323" i="22"/>
  <c r="L323" i="22" s="1"/>
  <c r="G323" i="22"/>
  <c r="I322" i="22"/>
  <c r="L322" i="22" s="1"/>
  <c r="G322" i="22"/>
  <c r="I321" i="22"/>
  <c r="L321" i="22" s="1"/>
  <c r="G321" i="22"/>
  <c r="I320" i="22"/>
  <c r="L320" i="22" s="1"/>
  <c r="G320" i="22"/>
  <c r="I319" i="22"/>
  <c r="L319" i="22" s="1"/>
  <c r="G319" i="22"/>
  <c r="I318" i="22"/>
  <c r="L318" i="22" s="1"/>
  <c r="G318" i="22"/>
  <c r="I317" i="22"/>
  <c r="L317" i="22" s="1"/>
  <c r="G317" i="22"/>
  <c r="I316" i="22"/>
  <c r="L316" i="22" s="1"/>
  <c r="G316" i="22"/>
  <c r="I315" i="22"/>
  <c r="L315" i="22" s="1"/>
  <c r="G315" i="22"/>
  <c r="I314" i="22"/>
  <c r="L314" i="22" s="1"/>
  <c r="G314" i="22"/>
  <c r="I313" i="22"/>
  <c r="L313" i="22" s="1"/>
  <c r="G313" i="22"/>
  <c r="I312" i="22"/>
  <c r="L312" i="22" s="1"/>
  <c r="G312" i="22"/>
  <c r="I311" i="22"/>
  <c r="L311" i="22" s="1"/>
  <c r="G311" i="22"/>
  <c r="I310" i="22"/>
  <c r="L310" i="22" s="1"/>
  <c r="G310" i="22"/>
  <c r="I309" i="22"/>
  <c r="L309" i="22" s="1"/>
  <c r="G309" i="22"/>
  <c r="I308" i="22"/>
  <c r="L308" i="22" s="1"/>
  <c r="G308" i="22"/>
  <c r="I307" i="22"/>
  <c r="L307" i="22" s="1"/>
  <c r="G307" i="22"/>
  <c r="I306" i="22"/>
  <c r="L306" i="22" s="1"/>
  <c r="G306" i="22"/>
  <c r="I305" i="22"/>
  <c r="L305" i="22" s="1"/>
  <c r="G305" i="22"/>
  <c r="I304" i="22"/>
  <c r="L304" i="22" s="1"/>
  <c r="G304" i="22"/>
  <c r="I303" i="22"/>
  <c r="L303" i="22" s="1"/>
  <c r="G303" i="22"/>
  <c r="I302" i="22"/>
  <c r="L302" i="22" s="1"/>
  <c r="G302" i="22"/>
  <c r="I301" i="22"/>
  <c r="L301" i="22" s="1"/>
  <c r="G301" i="22"/>
  <c r="I300" i="22"/>
  <c r="L300" i="22" s="1"/>
  <c r="G300" i="22"/>
  <c r="I299" i="22"/>
  <c r="L299" i="22" s="1"/>
  <c r="G299" i="22"/>
  <c r="I298" i="22"/>
  <c r="L298" i="22" s="1"/>
  <c r="G298" i="22"/>
  <c r="I297" i="22"/>
  <c r="L297" i="22" s="1"/>
  <c r="G297" i="22"/>
  <c r="I296" i="22"/>
  <c r="L296" i="22" s="1"/>
  <c r="G296" i="22"/>
  <c r="I295" i="22"/>
  <c r="L295" i="22" s="1"/>
  <c r="G295" i="22"/>
  <c r="I294" i="22"/>
  <c r="L294" i="22" s="1"/>
  <c r="G294" i="22"/>
  <c r="I293" i="22"/>
  <c r="L293" i="22" s="1"/>
  <c r="G293" i="22"/>
  <c r="I292" i="22"/>
  <c r="L292" i="22" s="1"/>
  <c r="G292" i="22"/>
  <c r="I291" i="22"/>
  <c r="L291" i="22" s="1"/>
  <c r="G291" i="22"/>
  <c r="I290" i="22"/>
  <c r="L290" i="22" s="1"/>
  <c r="G290" i="22"/>
  <c r="I289" i="22"/>
  <c r="L289" i="22" s="1"/>
  <c r="G289" i="22"/>
  <c r="I288" i="22"/>
  <c r="L288" i="22" s="1"/>
  <c r="G288" i="22"/>
  <c r="I287" i="22"/>
  <c r="L287" i="22" s="1"/>
  <c r="G287" i="22"/>
  <c r="I286" i="22"/>
  <c r="L286" i="22" s="1"/>
  <c r="G286" i="22"/>
  <c r="I285" i="22"/>
  <c r="L285" i="22" s="1"/>
  <c r="G285" i="22"/>
  <c r="I284" i="22"/>
  <c r="L284" i="22" s="1"/>
  <c r="G284" i="22"/>
  <c r="I283" i="22"/>
  <c r="L283" i="22" s="1"/>
  <c r="G283" i="22"/>
  <c r="I282" i="22"/>
  <c r="L282" i="22" s="1"/>
  <c r="G282" i="22"/>
  <c r="I281" i="22"/>
  <c r="L281" i="22" s="1"/>
  <c r="G281" i="22"/>
  <c r="I280" i="22"/>
  <c r="L280" i="22" s="1"/>
  <c r="G280" i="22"/>
  <c r="I279" i="22"/>
  <c r="L279" i="22" s="1"/>
  <c r="G279" i="22"/>
  <c r="I278" i="22"/>
  <c r="L278" i="22" s="1"/>
  <c r="G278" i="22"/>
  <c r="I277" i="22"/>
  <c r="L277" i="22" s="1"/>
  <c r="G277" i="22"/>
  <c r="I276" i="22"/>
  <c r="L276" i="22" s="1"/>
  <c r="G276" i="22"/>
  <c r="I275" i="22"/>
  <c r="L275" i="22" s="1"/>
  <c r="G275" i="22"/>
  <c r="I274" i="22"/>
  <c r="L274" i="22" s="1"/>
  <c r="G274" i="22"/>
  <c r="I273" i="22"/>
  <c r="L273" i="22" s="1"/>
  <c r="G273" i="22"/>
  <c r="I272" i="22"/>
  <c r="L272" i="22" s="1"/>
  <c r="G272" i="22"/>
  <c r="I271" i="22"/>
  <c r="L271" i="22" s="1"/>
  <c r="G271" i="22"/>
  <c r="I270" i="22"/>
  <c r="L270" i="22" s="1"/>
  <c r="G270" i="22"/>
  <c r="I269" i="22"/>
  <c r="G269" i="22"/>
  <c r="K235" i="22"/>
  <c r="J235" i="22"/>
  <c r="H235" i="22"/>
  <c r="L228" i="22"/>
  <c r="K228" i="22"/>
  <c r="J228" i="22"/>
  <c r="I228" i="22"/>
  <c r="G228" i="22"/>
  <c r="R13" i="22"/>
  <c r="Q13" i="22"/>
  <c r="I13" i="22"/>
  <c r="G13" i="22"/>
  <c r="P72" i="22"/>
  <c r="P39" i="22"/>
  <c r="P117" i="22"/>
  <c r="P92" i="22"/>
  <c r="I68" i="22"/>
  <c r="P68" i="22" s="1"/>
  <c r="I121" i="22"/>
  <c r="P121" i="22" s="1"/>
  <c r="P93" i="22"/>
  <c r="P60" i="22"/>
  <c r="I22" i="22"/>
  <c r="P22" i="22" s="1"/>
  <c r="P41" i="22"/>
  <c r="P40" i="22"/>
  <c r="P38" i="22"/>
  <c r="P81" i="22"/>
  <c r="P49" i="22"/>
  <c r="P48" i="22"/>
  <c r="P141" i="22"/>
  <c r="P105" i="22"/>
  <c r="P74" i="22"/>
  <c r="P84" i="22"/>
  <c r="P149" i="22"/>
  <c r="I130" i="22"/>
  <c r="P130" i="22" s="1"/>
  <c r="P77" i="22"/>
  <c r="I114" i="22"/>
  <c r="P114" i="22" s="1"/>
  <c r="I87" i="22"/>
  <c r="P87" i="22" s="1"/>
  <c r="P83" i="22"/>
  <c r="P104" i="22"/>
  <c r="I103" i="22"/>
  <c r="P103" i="22" s="1"/>
  <c r="I96" i="22"/>
  <c r="P96" i="22" s="1"/>
  <c r="I63" i="22"/>
  <c r="P63" i="22" s="1"/>
  <c r="I15" i="22"/>
  <c r="P15" i="22" s="1"/>
  <c r="I100" i="22"/>
  <c r="P100" i="22" s="1"/>
  <c r="I126" i="22"/>
  <c r="P126" i="22" s="1"/>
  <c r="I118" i="22"/>
  <c r="P118" i="22" s="1"/>
  <c r="I62" i="22"/>
  <c r="P62" i="22" s="1"/>
  <c r="I71" i="22"/>
  <c r="P71" i="22" s="1"/>
  <c r="I133" i="22"/>
  <c r="P133" i="22" s="1"/>
  <c r="I190" i="22"/>
  <c r="P190" i="22" s="1"/>
  <c r="I189" i="22"/>
  <c r="P189" i="22" s="1"/>
  <c r="I139" i="22"/>
  <c r="P139" i="22" s="1"/>
  <c r="P113" i="22"/>
  <c r="P95" i="22"/>
  <c r="P30" i="22"/>
  <c r="P29" i="22"/>
  <c r="P28" i="22"/>
  <c r="P33" i="22"/>
  <c r="P120" i="22"/>
  <c r="P119" i="22"/>
  <c r="P123" i="22"/>
  <c r="P207" i="22"/>
  <c r="P210" i="22"/>
  <c r="I138" i="22"/>
  <c r="P138" i="22" s="1"/>
  <c r="I188" i="22"/>
  <c r="P188" i="22" s="1"/>
  <c r="I46" i="22"/>
  <c r="P46" i="22" s="1"/>
  <c r="I185" i="22"/>
  <c r="P185" i="22" s="1"/>
  <c r="I187" i="22"/>
  <c r="P187" i="22" s="1"/>
  <c r="I186" i="22"/>
  <c r="P186" i="22" s="1"/>
  <c r="I135" i="22"/>
  <c r="P135" i="22" s="1"/>
  <c r="P209" i="22"/>
  <c r="P208" i="22"/>
  <c r="P134" i="22"/>
  <c r="P184" i="22"/>
  <c r="P24" i="22"/>
  <c r="P183" i="22"/>
  <c r="P151" i="22"/>
  <c r="P150" i="22"/>
  <c r="P179" i="22"/>
  <c r="P182" i="22"/>
  <c r="P181" i="22"/>
  <c r="P79" i="22"/>
  <c r="P180" i="22"/>
  <c r="P178" i="22"/>
  <c r="P147" i="22"/>
  <c r="P175" i="22"/>
  <c r="P44" i="22"/>
  <c r="I174" i="22"/>
  <c r="P174" i="22" s="1"/>
  <c r="I177" i="22"/>
  <c r="P177" i="22" s="1"/>
  <c r="P206" i="22"/>
  <c r="I23" i="22"/>
  <c r="P23" i="22" s="1"/>
  <c r="I70" i="22"/>
  <c r="P70" i="22" s="1"/>
  <c r="P193" i="22"/>
  <c r="P42" i="22"/>
  <c r="P110" i="22"/>
  <c r="P54" i="22"/>
  <c r="P173" i="22"/>
  <c r="P146" i="22"/>
  <c r="P109" i="22"/>
  <c r="P204" i="22"/>
  <c r="P53" i="22"/>
  <c r="P198" i="22"/>
  <c r="P197" i="22"/>
  <c r="P200" i="22"/>
  <c r="P196" i="22"/>
  <c r="P199" i="22"/>
  <c r="I145" i="22"/>
  <c r="P145" i="22" s="1"/>
  <c r="I67" i="22"/>
  <c r="P67" i="22" s="1"/>
  <c r="I37" i="22"/>
  <c r="P37" i="22" s="1"/>
  <c r="I136" i="22"/>
  <c r="P136" i="22" s="1"/>
  <c r="I144" i="22"/>
  <c r="P144" i="22" s="1"/>
  <c r="I20" i="22"/>
  <c r="P20" i="22" s="1"/>
  <c r="I171" i="22"/>
  <c r="P171" i="22" s="1"/>
  <c r="P131" i="22"/>
  <c r="P107" i="22"/>
  <c r="P108" i="22"/>
  <c r="P58" i="22"/>
  <c r="P143" i="22"/>
  <c r="P170" i="22"/>
  <c r="P169" i="22"/>
  <c r="P195" i="22"/>
  <c r="P59" i="22"/>
  <c r="P16" i="22"/>
  <c r="P125" i="22"/>
  <c r="P31" i="22"/>
  <c r="P168" i="22"/>
  <c r="P106" i="22"/>
  <c r="P142" i="22"/>
  <c r="P17" i="22"/>
  <c r="P140" i="22"/>
  <c r="P167" i="22"/>
  <c r="P14" i="22"/>
  <c r="P124" i="22"/>
  <c r="P192" i="22"/>
  <c r="P191" i="22"/>
  <c r="N1" i="22"/>
  <c r="K265" i="22" s="1"/>
  <c r="G280" i="14"/>
  <c r="I280" i="14"/>
  <c r="G279" i="14"/>
  <c r="I279" i="14"/>
  <c r="G278" i="14"/>
  <c r="I278" i="14"/>
  <c r="G277" i="14"/>
  <c r="I277" i="14"/>
  <c r="G276" i="14"/>
  <c r="I276" i="14"/>
  <c r="M184" i="14"/>
  <c r="M191" i="14"/>
  <c r="M189" i="14"/>
  <c r="M186" i="14"/>
  <c r="P13" i="22" l="1"/>
  <c r="I211" i="22"/>
  <c r="P211" i="22"/>
  <c r="I456" i="22"/>
  <c r="B4" i="22"/>
  <c r="H228" i="22"/>
  <c r="I2581" i="22"/>
  <c r="L269" i="22"/>
  <c r="L456" i="22" s="1"/>
  <c r="H2581" i="22"/>
  <c r="J4" i="22" s="1"/>
  <c r="P71" i="19"/>
  <c r="P35" i="19"/>
  <c r="P125" i="19"/>
  <c r="P134" i="19"/>
  <c r="P59" i="19"/>
  <c r="P126" i="19"/>
  <c r="P19" i="19"/>
  <c r="P85" i="19"/>
  <c r="P24" i="19"/>
  <c r="P80" i="19"/>
  <c r="P48" i="19"/>
  <c r="P27" i="19"/>
  <c r="P83" i="19"/>
  <c r="P143" i="19"/>
  <c r="P63" i="19"/>
  <c r="P86" i="19"/>
  <c r="P56" i="19"/>
  <c r="P43" i="19"/>
  <c r="P50" i="19"/>
  <c r="P22" i="19"/>
  <c r="P66" i="19"/>
  <c r="P92" i="19"/>
  <c r="P106" i="19"/>
  <c r="P29" i="19"/>
  <c r="P159" i="19"/>
  <c r="P110" i="19"/>
  <c r="P111" i="19"/>
  <c r="P163" i="19"/>
  <c r="P140" i="19"/>
  <c r="P141" i="19"/>
  <c r="P34" i="19"/>
  <c r="P65" i="19"/>
  <c r="P114" i="19"/>
  <c r="P84" i="19"/>
  <c r="P148" i="19"/>
  <c r="P23" i="19"/>
  <c r="P152" i="19"/>
  <c r="P101" i="19"/>
  <c r="P10" i="19"/>
  <c r="P41" i="19"/>
  <c r="P40" i="19"/>
  <c r="P133" i="19"/>
  <c r="P45" i="19"/>
  <c r="P131" i="19"/>
  <c r="P82" i="19"/>
  <c r="P78" i="19"/>
  <c r="P64" i="19"/>
  <c r="P18" i="19"/>
  <c r="P39" i="19"/>
  <c r="P75" i="19"/>
  <c r="P70" i="19"/>
  <c r="P57" i="19"/>
  <c r="P69" i="19"/>
  <c r="P60" i="19"/>
  <c r="P30" i="19"/>
  <c r="P87" i="19"/>
  <c r="P16" i="19"/>
  <c r="P32" i="19"/>
  <c r="P155" i="19"/>
  <c r="P36" i="19"/>
  <c r="P20" i="19"/>
  <c r="P28" i="19"/>
  <c r="P146" i="19"/>
  <c r="P49" i="19"/>
  <c r="P151" i="19"/>
  <c r="P89" i="19"/>
  <c r="P52" i="19"/>
  <c r="P21" i="19"/>
  <c r="P145" i="19"/>
  <c r="P112" i="19"/>
  <c r="P113" i="19"/>
  <c r="P95" i="19"/>
  <c r="P142" i="19"/>
  <c r="P94" i="19"/>
  <c r="P167" i="19"/>
  <c r="P168" i="19"/>
  <c r="P12" i="19"/>
  <c r="P160" i="19"/>
  <c r="P169" i="19"/>
  <c r="P138" i="19"/>
  <c r="P154" i="19"/>
  <c r="P158" i="19"/>
  <c r="P157" i="19"/>
  <c r="P44" i="19"/>
  <c r="P74" i="19"/>
  <c r="P156" i="19"/>
  <c r="P153" i="19"/>
  <c r="P51" i="19"/>
  <c r="P118" i="19"/>
  <c r="P120" i="19"/>
  <c r="P25" i="19"/>
  <c r="M4" i="22" l="1"/>
  <c r="G4" i="22"/>
  <c r="P15" i="19"/>
  <c r="P14" i="19"/>
  <c r="P76" i="19"/>
  <c r="P99" i="19"/>
  <c r="P90" i="19"/>
  <c r="P4" i="22" l="1"/>
  <c r="P102" i="19"/>
  <c r="P119" i="19"/>
  <c r="P68" i="19"/>
  <c r="P100" i="19"/>
  <c r="P13" i="19"/>
  <c r="P132" i="19"/>
  <c r="P139" i="19"/>
  <c r="P130" i="19"/>
  <c r="P61" i="19"/>
  <c r="P47" i="19"/>
  <c r="P129" i="19"/>
  <c r="P42" i="19"/>
  <c r="P170" i="19"/>
  <c r="P37" i="19"/>
  <c r="P115" i="19"/>
  <c r="P147" i="19"/>
  <c r="P81" i="19"/>
  <c r="P62" i="19"/>
  <c r="P137" i="19"/>
  <c r="P108" i="19"/>
  <c r="P122" i="19"/>
  <c r="P33" i="19"/>
  <c r="P88" i="19"/>
  <c r="P97" i="19"/>
  <c r="P150" i="19"/>
  <c r="P149" i="19"/>
  <c r="P53" i="19"/>
  <c r="P98" i="19"/>
  <c r="P72" i="19"/>
  <c r="P31" i="19"/>
  <c r="P55" i="19"/>
  <c r="P79" i="19"/>
  <c r="P58" i="19"/>
  <c r="P135" i="19"/>
  <c r="P144" i="19"/>
  <c r="P46" i="19"/>
  <c r="P67" i="19"/>
  <c r="P96" i="19"/>
  <c r="P54" i="19"/>
  <c r="P77" i="19"/>
  <c r="P107" i="19"/>
  <c r="P104" i="19"/>
  <c r="P103" i="19"/>
  <c r="I91" i="19"/>
  <c r="I171" i="19" s="1"/>
  <c r="P128" i="19"/>
  <c r="P38" i="19"/>
  <c r="P161" i="19" l="1"/>
  <c r="P109" i="19"/>
  <c r="P136" i="19"/>
  <c r="P162" i="19"/>
  <c r="P91" i="19"/>
  <c r="G10" i="18"/>
  <c r="P10" i="18"/>
  <c r="Q10" i="18"/>
  <c r="R10" i="18"/>
  <c r="P66" i="18"/>
  <c r="P64" i="18"/>
  <c r="P70" i="18"/>
  <c r="P87" i="18"/>
  <c r="P136" i="18"/>
  <c r="P98" i="18"/>
  <c r="I234" i="18"/>
  <c r="I235" i="18"/>
  <c r="I236" i="18"/>
  <c r="I237" i="18"/>
  <c r="I238" i="18"/>
  <c r="P89" i="18"/>
  <c r="P116" i="18"/>
  <c r="H176" i="18" l="1"/>
  <c r="M176" i="18" s="1"/>
  <c r="H169" i="18"/>
  <c r="M169" i="18" s="1"/>
  <c r="H170" i="18"/>
  <c r="M170" i="18" s="1"/>
  <c r="M171" i="18"/>
  <c r="H172" i="18"/>
  <c r="M172" i="18" s="1"/>
  <c r="H174" i="18"/>
  <c r="M174" i="18" s="1"/>
  <c r="H175" i="18"/>
  <c r="M175" i="18" s="1"/>
  <c r="H177" i="18"/>
  <c r="M177" i="18" s="1"/>
  <c r="P53" i="18"/>
  <c r="P110" i="18"/>
  <c r="P80" i="18"/>
  <c r="P40" i="18"/>
  <c r="P57" i="18"/>
  <c r="P123" i="18"/>
  <c r="P62" i="18"/>
  <c r="P114" i="18"/>
  <c r="P153" i="18"/>
  <c r="P56" i="18"/>
  <c r="P34" i="18"/>
  <c r="P11" i="18"/>
  <c r="P12" i="18"/>
  <c r="P13" i="18"/>
  <c r="P151" i="18"/>
  <c r="P14" i="18"/>
  <c r="P15" i="18"/>
  <c r="P107" i="18"/>
  <c r="P17" i="18"/>
  <c r="P45" i="18"/>
  <c r="P152" i="18"/>
  <c r="P84" i="18"/>
  <c r="P104" i="18"/>
  <c r="P105" i="18"/>
  <c r="P124" i="18"/>
  <c r="P46" i="18"/>
  <c r="P154" i="18"/>
  <c r="P125" i="18"/>
  <c r="P47" i="18"/>
  <c r="P109" i="18"/>
  <c r="P126" i="18"/>
  <c r="P155" i="18"/>
  <c r="P127" i="18"/>
  <c r="P99" i="18"/>
  <c r="P48" i="18"/>
  <c r="P41" i="18"/>
  <c r="P130" i="18"/>
  <c r="P131" i="18"/>
  <c r="P156" i="18"/>
  <c r="P157" i="18"/>
  <c r="P49" i="18"/>
  <c r="P20" i="18"/>
  <c r="P60" i="18"/>
  <c r="P22" i="18"/>
  <c r="P38" i="18"/>
  <c r="P134" i="18"/>
  <c r="P86" i="18"/>
  <c r="P33" i="18"/>
  <c r="P61" i="18"/>
  <c r="P111" i="18"/>
  <c r="P63" i="18"/>
  <c r="P81" i="18"/>
  <c r="P85" i="18"/>
  <c r="P112" i="18"/>
  <c r="P135" i="18"/>
  <c r="P113" i="18"/>
  <c r="P50" i="18"/>
  <c r="P100" i="18"/>
  <c r="P51" i="18"/>
  <c r="P39" i="18"/>
  <c r="P137" i="18"/>
  <c r="P52" i="18"/>
  <c r="P65" i="18"/>
  <c r="P67" i="18"/>
  <c r="P68" i="18"/>
  <c r="P115" i="18"/>
  <c r="P35" i="18"/>
  <c r="P158" i="18"/>
  <c r="P159" i="18"/>
  <c r="P82" i="18"/>
  <c r="P83" i="18"/>
  <c r="P90" i="18"/>
  <c r="P117" i="18"/>
  <c r="P138" i="18"/>
  <c r="P101" i="18"/>
  <c r="P161" i="18"/>
  <c r="P71" i="18"/>
  <c r="P139" i="18"/>
  <c r="P140" i="18"/>
  <c r="P118" i="18"/>
  <c r="P141" i="18"/>
  <c r="P88" i="18"/>
  <c r="P59" i="18"/>
  <c r="P129" i="18"/>
  <c r="P133" i="18"/>
  <c r="P25" i="18"/>
  <c r="P69" i="18"/>
  <c r="P160" i="18"/>
  <c r="P142" i="18"/>
  <c r="P91" i="18"/>
  <c r="P143" i="18"/>
  <c r="P43" i="18"/>
  <c r="P72" i="18"/>
  <c r="P54" i="18"/>
  <c r="P144" i="18"/>
  <c r="P145" i="18"/>
  <c r="P30" i="18"/>
  <c r="P73" i="18"/>
  <c r="P146" i="18"/>
  <c r="P102" i="18"/>
  <c r="P92" i="18"/>
  <c r="P103" i="18"/>
  <c r="P93" i="18"/>
  <c r="P119" i="18"/>
  <c r="P36" i="18"/>
  <c r="P147" i="18"/>
  <c r="P74" i="18"/>
  <c r="P94" i="18"/>
  <c r="P75" i="18"/>
  <c r="P148" i="18"/>
  <c r="P149" i="18"/>
  <c r="P95" i="18"/>
  <c r="P150" i="18"/>
  <c r="P77" i="18"/>
  <c r="P78" i="18"/>
  <c r="P31" i="18"/>
  <c r="P32" i="18"/>
  <c r="P122" i="18"/>
  <c r="P97" i="18"/>
  <c r="P9" i="18"/>
  <c r="P16" i="18"/>
  <c r="P18" i="18"/>
  <c r="P19" i="18"/>
  <c r="P21" i="18"/>
  <c r="P23" i="18"/>
  <c r="P24" i="18"/>
  <c r="P26" i="18"/>
  <c r="P29" i="18"/>
  <c r="P79" i="18"/>
  <c r="P132" i="18"/>
  <c r="P120" i="18"/>
  <c r="P121" i="18"/>
  <c r="P96" i="18"/>
  <c r="P55" i="18"/>
  <c r="P44" i="18"/>
  <c r="P27" i="18"/>
  <c r="P28" i="18"/>
  <c r="P106" i="18"/>
  <c r="P76" i="18" l="1"/>
  <c r="P58" i="18"/>
  <c r="P42" i="18"/>
  <c r="P128" i="18"/>
  <c r="P108" i="18"/>
  <c r="I212" i="13" l="1"/>
  <c r="G379" i="13"/>
  <c r="H178" i="13" l="1"/>
  <c r="M178" i="13" s="1"/>
  <c r="H172" i="13"/>
  <c r="M172" i="13" s="1"/>
  <c r="H173" i="13"/>
  <c r="M173" i="13" s="1"/>
  <c r="H174" i="13"/>
  <c r="M174" i="13" s="1"/>
  <c r="H175" i="13"/>
  <c r="M175" i="13" s="1"/>
  <c r="H176" i="13"/>
  <c r="M176" i="13" s="1"/>
  <c r="H177" i="13"/>
  <c r="M177" i="13" s="1"/>
  <c r="H179" i="13"/>
  <c r="M179" i="13" s="1"/>
  <c r="P38" i="13" l="1"/>
  <c r="P154" i="13"/>
  <c r="P83" i="13"/>
  <c r="P150" i="13"/>
  <c r="P85" i="13"/>
  <c r="P27" i="13"/>
  <c r="P39" i="13"/>
  <c r="H187" i="13"/>
  <c r="J187" i="13"/>
  <c r="K187" i="13"/>
  <c r="P102" i="13"/>
  <c r="P12" i="13"/>
  <c r="P159" i="13"/>
  <c r="P55" i="13" l="1"/>
  <c r="I54" i="13"/>
  <c r="P10" i="13"/>
  <c r="P52" i="13"/>
  <c r="P135" i="13"/>
  <c r="P134" i="13"/>
  <c r="P58" i="13"/>
  <c r="P133" i="13"/>
  <c r="P157" i="13"/>
  <c r="P56" i="13"/>
  <c r="P11" i="13"/>
  <c r="P139" i="13"/>
  <c r="P110" i="13"/>
  <c r="P61" i="13"/>
  <c r="P137" i="13"/>
  <c r="P101" i="13"/>
  <c r="P122" i="13"/>
  <c r="P138" i="13"/>
  <c r="P136" i="13"/>
  <c r="P123" i="13"/>
  <c r="P140" i="13"/>
  <c r="P106" i="13"/>
  <c r="P160" i="13"/>
  <c r="P62" i="13"/>
  <c r="P65" i="13"/>
  <c r="P29" i="13"/>
  <c r="P53" i="13"/>
  <c r="P108" i="13"/>
  <c r="P107" i="13"/>
  <c r="P111" i="13"/>
  <c r="P64" i="13"/>
  <c r="P43" i="13"/>
  <c r="P41" i="13"/>
  <c r="P47" i="13"/>
  <c r="P69" i="13"/>
  <c r="P112" i="13"/>
  <c r="P67" i="13"/>
  <c r="P48" i="13"/>
  <c r="P46" i="13"/>
  <c r="P34" i="13"/>
  <c r="P161" i="13"/>
  <c r="P36" i="13"/>
  <c r="P72" i="13"/>
  <c r="P35" i="13"/>
  <c r="P49" i="13"/>
  <c r="P44" i="13"/>
  <c r="P74" i="13"/>
  <c r="P162" i="13"/>
  <c r="P142" i="13"/>
  <c r="P103" i="13"/>
  <c r="P19" i="13"/>
  <c r="P116" i="13"/>
  <c r="P113" i="13"/>
  <c r="P141" i="13"/>
  <c r="P75" i="13"/>
  <c r="P76" i="13"/>
  <c r="P145" i="13"/>
  <c r="P22" i="13"/>
  <c r="P127" i="13"/>
  <c r="P50" i="13"/>
  <c r="P164" i="13"/>
  <c r="P45" i="13"/>
  <c r="P126" i="13"/>
  <c r="P125" i="13"/>
  <c r="P165" i="13"/>
  <c r="P77" i="13"/>
  <c r="P21" i="13"/>
  <c r="P163" i="13"/>
  <c r="P144" i="13"/>
  <c r="P117" i="13"/>
  <c r="P32" i="13"/>
  <c r="P33" i="13"/>
  <c r="P143" i="13"/>
  <c r="P79" i="13"/>
  <c r="P82" i="13"/>
  <c r="P81" i="13"/>
  <c r="P119" i="13"/>
  <c r="P146" i="13"/>
  <c r="P24" i="13"/>
  <c r="P80" i="13"/>
  <c r="P98" i="13"/>
  <c r="P84" i="13"/>
  <c r="P149" i="13"/>
  <c r="P128" i="13"/>
  <c r="P151" i="13"/>
  <c r="P152" i="13"/>
  <c r="P114" i="13"/>
  <c r="P167" i="13"/>
  <c r="P105" i="13"/>
  <c r="P104" i="13"/>
  <c r="P156" i="13"/>
  <c r="P88" i="13"/>
  <c r="P90" i="13"/>
  <c r="P89" i="13"/>
  <c r="P94" i="13"/>
  <c r="P92" i="13"/>
  <c r="P130" i="13"/>
  <c r="P99" i="13"/>
  <c r="P131" i="13"/>
  <c r="P132" i="13"/>
  <c r="P91" i="13"/>
  <c r="P51" i="13"/>
  <c r="P120" i="13"/>
  <c r="P68" i="13"/>
  <c r="P9" i="13"/>
  <c r="P59" i="13"/>
  <c r="P153" i="13"/>
  <c r="P16" i="13"/>
  <c r="P121" i="13"/>
  <c r="P57" i="13"/>
  <c r="P115" i="13"/>
  <c r="P158" i="13"/>
  <c r="P124" i="13"/>
  <c r="P66" i="13"/>
  <c r="P14" i="13"/>
  <c r="P70" i="13"/>
  <c r="P71" i="13"/>
  <c r="P37" i="13"/>
  <c r="P73" i="13"/>
  <c r="P109" i="13"/>
  <c r="P30" i="13"/>
  <c r="P31" i="13"/>
  <c r="P78" i="13"/>
  <c r="P118" i="13"/>
  <c r="P148" i="13"/>
  <c r="P147" i="13"/>
  <c r="P86" i="13"/>
  <c r="P95" i="13"/>
  <c r="P166" i="13"/>
  <c r="P40" i="13"/>
  <c r="P60" i="13"/>
  <c r="P54" i="13" l="1"/>
  <c r="I168" i="13"/>
  <c r="P47" i="16"/>
  <c r="P100" i="16"/>
  <c r="P138" i="16"/>
  <c r="P38" i="16"/>
  <c r="P46" i="16"/>
  <c r="P198" i="16"/>
  <c r="P37" i="16"/>
  <c r="P39" i="16"/>
  <c r="P160" i="16"/>
  <c r="H211" i="16" l="1"/>
  <c r="M211" i="16" s="1"/>
  <c r="P89" i="16" l="1"/>
  <c r="P149" i="16"/>
  <c r="P118" i="16"/>
  <c r="P192" i="16"/>
  <c r="P183" i="16"/>
  <c r="P175" i="16"/>
  <c r="P41" i="16"/>
  <c r="P56" i="16"/>
  <c r="P176" i="16"/>
  <c r="P167" i="16"/>
  <c r="P10" i="16"/>
  <c r="P205" i="16"/>
  <c r="P194" i="16"/>
  <c r="P153" i="16"/>
  <c r="P154" i="16"/>
  <c r="P165" i="16"/>
  <c r="P58" i="16"/>
  <c r="P13" i="16"/>
  <c r="P61" i="16"/>
  <c r="P195" i="16"/>
  <c r="P59" i="16"/>
  <c r="P14" i="16"/>
  <c r="P101" i="16"/>
  <c r="P196" i="16"/>
  <c r="P125" i="16"/>
  <c r="P140" i="16"/>
  <c r="P102" i="16"/>
  <c r="P110" i="16"/>
  <c r="P197" i="16"/>
  <c r="P109" i="16"/>
  <c r="P62" i="16"/>
  <c r="P155" i="16"/>
  <c r="P63" i="16"/>
  <c r="P163" i="16"/>
  <c r="P127" i="16"/>
  <c r="P111" i="16"/>
  <c r="P18" i="16"/>
  <c r="P113" i="16"/>
  <c r="P122" i="16"/>
  <c r="P43" i="16"/>
  <c r="P65" i="16"/>
  <c r="P112" i="16"/>
  <c r="P179" i="16"/>
  <c r="P36" i="16"/>
  <c r="P50" i="16"/>
  <c r="P180" i="16"/>
  <c r="P104" i="16"/>
  <c r="P68" i="16"/>
  <c r="P156" i="16"/>
  <c r="P55" i="16"/>
  <c r="P123" i="16"/>
  <c r="P103" i="16"/>
  <c r="P129" i="16"/>
  <c r="P34" i="16"/>
  <c r="P66" i="16"/>
  <c r="P141" i="16"/>
  <c r="P182" i="16"/>
  <c r="P144" i="16"/>
  <c r="P157" i="16"/>
  <c r="P142" i="16"/>
  <c r="P143" i="16"/>
  <c r="P131" i="16"/>
  <c r="P169" i="16"/>
  <c r="P20" i="16"/>
  <c r="P71" i="16"/>
  <c r="P171" i="16"/>
  <c r="P74" i="16"/>
  <c r="P108" i="16"/>
  <c r="P105" i="16"/>
  <c r="P159" i="16"/>
  <c r="P106" i="16"/>
  <c r="P107" i="16"/>
  <c r="P170" i="16"/>
  <c r="P115" i="16"/>
  <c r="P146" i="16"/>
  <c r="P201" i="16"/>
  <c r="P78" i="16"/>
  <c r="P77" i="16"/>
  <c r="P75" i="16"/>
  <c r="P200" i="16"/>
  <c r="P80" i="16"/>
  <c r="P48" i="16"/>
  <c r="P172" i="16"/>
  <c r="P81" i="16"/>
  <c r="P147" i="16"/>
  <c r="P185" i="16"/>
  <c r="P161" i="16"/>
  <c r="P174" i="16"/>
  <c r="P132" i="16"/>
  <c r="P23" i="16"/>
  <c r="P187" i="16"/>
  <c r="P203" i="16"/>
  <c r="P85" i="16"/>
  <c r="P189" i="16"/>
  <c r="P173" i="16"/>
  <c r="P87" i="16"/>
  <c r="P86" i="16"/>
  <c r="P206" i="16"/>
  <c r="P88" i="16"/>
  <c r="P148" i="16"/>
  <c r="P133" i="16"/>
  <c r="P135" i="16"/>
  <c r="P26" i="16"/>
  <c r="P90" i="16"/>
  <c r="P134" i="16"/>
  <c r="P92" i="16"/>
  <c r="P116" i="16"/>
  <c r="P117" i="16"/>
  <c r="P44" i="16"/>
  <c r="P53" i="16"/>
  <c r="P137" i="16"/>
  <c r="P94" i="16"/>
  <c r="P136" i="16"/>
  <c r="P95" i="16"/>
  <c r="P32" i="16"/>
  <c r="P31" i="16"/>
  <c r="P191" i="16"/>
  <c r="P30" i="16"/>
  <c r="P120" i="16"/>
  <c r="P33" i="16"/>
  <c r="P45" i="16"/>
  <c r="P168" i="16"/>
  <c r="P152" i="16"/>
  <c r="P96" i="16"/>
  <c r="P193" i="16"/>
  <c r="P28" i="16"/>
  <c r="P162" i="16"/>
  <c r="P98" i="16"/>
  <c r="P40" i="16"/>
  <c r="P29" i="16"/>
  <c r="P119" i="16"/>
  <c r="P49" i="16"/>
  <c r="P12" i="16"/>
  <c r="P17" i="16"/>
  <c r="P21" i="16"/>
  <c r="P150" i="16"/>
  <c r="P42" i="16"/>
  <c r="P177" i="16"/>
  <c r="P130" i="16"/>
  <c r="P188" i="16"/>
  <c r="P151" i="16"/>
  <c r="P93" i="16"/>
  <c r="P164" i="16"/>
  <c r="P97" i="16"/>
  <c r="P24" i="16"/>
  <c r="P124" i="16"/>
  <c r="P139" i="16"/>
  <c r="P178" i="16"/>
  <c r="P60" i="16"/>
  <c r="P11" i="16"/>
  <c r="P54" i="16"/>
  <c r="P126" i="16"/>
  <c r="P64" i="16"/>
  <c r="P199" i="16"/>
  <c r="P128" i="16"/>
  <c r="P67" i="16"/>
  <c r="P35" i="16"/>
  <c r="P181" i="16"/>
  <c r="P69" i="16"/>
  <c r="P114" i="16"/>
  <c r="P145" i="16"/>
  <c r="P72" i="16"/>
  <c r="P158" i="16"/>
  <c r="P184" i="16"/>
  <c r="P76" i="16"/>
  <c r="P202" i="16"/>
  <c r="P79" i="16"/>
  <c r="P82" i="16"/>
  <c r="P51" i="16"/>
  <c r="P186" i="16"/>
  <c r="P83" i="16"/>
  <c r="P84" i="16"/>
  <c r="P190" i="16"/>
  <c r="P91" i="16"/>
  <c r="P166" i="16"/>
  <c r="P99" i="16"/>
  <c r="P70" i="16"/>
  <c r="H171" i="12" l="1"/>
  <c r="K161" i="12"/>
  <c r="J161" i="12"/>
  <c r="I171" i="12"/>
  <c r="G171" i="12"/>
  <c r="I222" i="12"/>
  <c r="I223" i="12"/>
  <c r="I224" i="12"/>
  <c r="I225" i="12"/>
  <c r="I226" i="12"/>
  <c r="P120" i="12"/>
  <c r="P68" i="12"/>
  <c r="P84" i="12"/>
  <c r="P101" i="12"/>
  <c r="P46" i="12"/>
  <c r="P19" i="12"/>
  <c r="P21" i="12"/>
  <c r="P38" i="12"/>
  <c r="P28" i="12"/>
  <c r="P12" i="12"/>
  <c r="P122" i="12"/>
  <c r="P77" i="12"/>
  <c r="P13" i="12"/>
  <c r="P18" i="12"/>
  <c r="P42" i="12"/>
  <c r="P29" i="12"/>
  <c r="P41" i="12"/>
  <c r="P123" i="12"/>
  <c r="P15" i="12"/>
  <c r="P82" i="12"/>
  <c r="P17" i="12"/>
  <c r="I11" i="12"/>
  <c r="P11" i="12" s="1"/>
  <c r="P133" i="12"/>
  <c r="P32" i="12"/>
  <c r="P131" i="12"/>
  <c r="P150" i="12"/>
  <c r="P10" i="12"/>
  <c r="P127" i="12"/>
  <c r="P115" i="12"/>
  <c r="P54" i="12"/>
  <c r="P128" i="12"/>
  <c r="P52" i="12"/>
  <c r="P48" i="12"/>
  <c r="P151" i="12"/>
  <c r="P57" i="12"/>
  <c r="P116" i="12"/>
  <c r="P135" i="12"/>
  <c r="P152" i="12"/>
  <c r="P134" i="12"/>
  <c r="P108" i="12"/>
  <c r="P100" i="12"/>
  <c r="P136" i="12"/>
  <c r="P153" i="12"/>
  <c r="P89" i="12"/>
  <c r="P129" i="12"/>
  <c r="P16" i="12"/>
  <c r="P137" i="12"/>
  <c r="P59" i="12"/>
  <c r="P158" i="12"/>
  <c r="P63" i="12"/>
  <c r="P118" i="12"/>
  <c r="P117" i="12"/>
  <c r="P61" i="12"/>
  <c r="P26" i="12"/>
  <c r="P62" i="12"/>
  <c r="P25" i="12"/>
  <c r="P103" i="12"/>
  <c r="P146" i="12"/>
  <c r="P58" i="12"/>
  <c r="P33" i="12"/>
  <c r="P24" i="12"/>
  <c r="P119" i="12"/>
  <c r="P39" i="12"/>
  <c r="P141" i="12"/>
  <c r="P64" i="12"/>
  <c r="P96" i="12"/>
  <c r="P66" i="12"/>
  <c r="P40" i="12"/>
  <c r="P73" i="12"/>
  <c r="P69" i="12"/>
  <c r="P74" i="12"/>
  <c r="P35" i="12"/>
  <c r="P110" i="12"/>
  <c r="P36" i="12"/>
  <c r="P67" i="12"/>
  <c r="P140" i="12"/>
  <c r="P72" i="12"/>
  <c r="P65" i="12"/>
  <c r="P71" i="12"/>
  <c r="P70" i="12"/>
  <c r="P157" i="12"/>
  <c r="P75" i="12"/>
  <c r="P130" i="12"/>
  <c r="P45" i="12"/>
  <c r="P147" i="12"/>
  <c r="P43" i="12"/>
  <c r="P44" i="12"/>
  <c r="P91" i="12"/>
  <c r="P47" i="12"/>
  <c r="P79" i="12"/>
  <c r="P76" i="12"/>
  <c r="P143" i="12"/>
  <c r="P107" i="12"/>
  <c r="P105" i="12"/>
  <c r="P80" i="12"/>
  <c r="P78" i="12"/>
  <c r="P111" i="12"/>
  <c r="P159" i="12"/>
  <c r="P106" i="12"/>
  <c r="P20" i="12"/>
  <c r="P83" i="12"/>
  <c r="P81" i="12"/>
  <c r="P102" i="12"/>
  <c r="P144" i="12"/>
  <c r="P85" i="12"/>
  <c r="P87" i="12"/>
  <c r="P93" i="12"/>
  <c r="P112" i="12"/>
  <c r="P160" i="12"/>
  <c r="P37" i="12"/>
  <c r="P92" i="12"/>
  <c r="P99" i="12"/>
  <c r="P88" i="12"/>
  <c r="P53" i="12"/>
  <c r="P142" i="12"/>
  <c r="P109" i="12"/>
  <c r="P154" i="12"/>
  <c r="P104" i="12"/>
  <c r="P55" i="12"/>
  <c r="P132" i="12"/>
  <c r="P8" i="12"/>
  <c r="P86" i="12"/>
  <c r="P145" i="12"/>
  <c r="P124" i="12"/>
  <c r="P94" i="12"/>
  <c r="P30" i="12"/>
  <c r="P97" i="12"/>
  <c r="P22" i="12"/>
  <c r="P98" i="12"/>
  <c r="P139" i="12"/>
  <c r="P156" i="12"/>
  <c r="P155" i="12"/>
  <c r="P34" i="12"/>
  <c r="P121" i="12"/>
  <c r="P27" i="12"/>
  <c r="P95" i="12"/>
  <c r="P138" i="12"/>
  <c r="P90" i="12"/>
  <c r="P60" i="12"/>
  <c r="P23" i="12"/>
  <c r="P51" i="12"/>
  <c r="P114" i="12"/>
  <c r="P149" i="12"/>
  <c r="P113" i="12"/>
  <c r="P152" i="11" l="1"/>
  <c r="P68" i="11"/>
  <c r="P69" i="11"/>
  <c r="P10" i="11"/>
  <c r="P173" i="11"/>
  <c r="M247" i="11"/>
  <c r="M248" i="11"/>
  <c r="M249" i="11"/>
  <c r="M250" i="11"/>
  <c r="N251" i="11"/>
  <c r="L251" i="11"/>
  <c r="K251" i="11"/>
  <c r="I251" i="11"/>
  <c r="P49" i="11"/>
  <c r="P9" i="11"/>
  <c r="P91" i="11"/>
  <c r="P95" i="11"/>
  <c r="P90" i="11"/>
  <c r="P117" i="11"/>
  <c r="J251" i="11" l="1"/>
  <c r="M251" i="11"/>
  <c r="P70" i="11"/>
  <c r="P75" i="11"/>
  <c r="P157" i="11"/>
  <c r="P12" i="11"/>
  <c r="P151" i="11"/>
  <c r="P162" i="11"/>
  <c r="P118" i="11"/>
  <c r="P89" i="11"/>
  <c r="P144" i="11"/>
  <c r="P165" i="11"/>
  <c r="P93" i="11"/>
  <c r="P164" i="11"/>
  <c r="P92" i="11"/>
  <c r="P35" i="11"/>
  <c r="P94" i="11"/>
  <c r="P60" i="11"/>
  <c r="P96" i="11"/>
  <c r="P181" i="11"/>
  <c r="P23" i="11"/>
  <c r="P127" i="11"/>
  <c r="P159" i="11"/>
  <c r="P44" i="11"/>
  <c r="P139" i="11"/>
  <c r="P45" i="11"/>
  <c r="P140" i="11"/>
  <c r="P43" i="11"/>
  <c r="P26" i="11"/>
  <c r="P178" i="11"/>
  <c r="P65" i="11"/>
  <c r="P158" i="11"/>
  <c r="P82" i="11"/>
  <c r="P180" i="11"/>
  <c r="P116" i="11"/>
  <c r="P160" i="11"/>
  <c r="P84" i="11"/>
  <c r="P85" i="11"/>
  <c r="P142" i="11"/>
  <c r="P86" i="11"/>
  <c r="P141" i="11"/>
  <c r="P54" i="11"/>
  <c r="P87" i="11"/>
  <c r="P55" i="11"/>
  <c r="P56" i="11"/>
  <c r="P143" i="11"/>
  <c r="P150" i="11"/>
  <c r="P58" i="11"/>
  <c r="P57" i="11"/>
  <c r="P66" i="11"/>
  <c r="P110" i="11"/>
  <c r="P52" i="11"/>
  <c r="P113" i="11"/>
  <c r="P163" i="11"/>
  <c r="P59" i="11"/>
  <c r="P88" i="11"/>
  <c r="P129" i="11"/>
  <c r="P130" i="11"/>
  <c r="P71" i="11"/>
  <c r="P111" i="11"/>
  <c r="P174" i="11"/>
  <c r="P153" i="11"/>
  <c r="P154" i="11"/>
  <c r="P155" i="11"/>
  <c r="P74" i="11"/>
  <c r="P64" i="11"/>
  <c r="P51" i="11"/>
  <c r="P156" i="11"/>
  <c r="P175" i="11"/>
  <c r="P72" i="11"/>
  <c r="P148" i="11"/>
  <c r="P67" i="11"/>
  <c r="P21" i="11"/>
  <c r="P125" i="11"/>
  <c r="P108" i="11"/>
  <c r="P107" i="11"/>
  <c r="P176" i="11"/>
  <c r="P109" i="11"/>
  <c r="P78" i="11"/>
  <c r="P77" i="11"/>
  <c r="P79" i="11"/>
  <c r="P177" i="11"/>
  <c r="P149" i="11"/>
  <c r="P80" i="11"/>
  <c r="P15" i="11"/>
  <c r="P50" i="11"/>
  <c r="P147" i="11"/>
  <c r="P135" i="11"/>
  <c r="P114" i="11"/>
  <c r="P53" i="11"/>
  <c r="P11" i="11"/>
  <c r="P48" i="11"/>
  <c r="P137" i="11"/>
  <c r="P25" i="11"/>
  <c r="P13" i="11"/>
  <c r="P138" i="11"/>
  <c r="P81" i="11"/>
  <c r="P76" i="11"/>
  <c r="P115" i="11"/>
  <c r="P126" i="11"/>
  <c r="P42" i="11"/>
  <c r="P179" i="11"/>
  <c r="P83" i="11"/>
  <c r="P161" i="11"/>
  <c r="P119" i="11"/>
  <c r="G150" i="10" l="1"/>
  <c r="P63" i="10" l="1"/>
  <c r="P100" i="10"/>
  <c r="I88" i="10"/>
  <c r="P88" i="10" s="1"/>
  <c r="P106" i="10"/>
  <c r="P119" i="10"/>
  <c r="P73" i="10"/>
  <c r="P122" i="10"/>
  <c r="P42" i="10"/>
  <c r="P35" i="10"/>
  <c r="P22" i="10"/>
  <c r="P25" i="10"/>
  <c r="P26" i="10"/>
  <c r="P9" i="10"/>
  <c r="P55" i="10"/>
  <c r="P71" i="10"/>
  <c r="P123" i="10"/>
  <c r="M216" i="10" l="1"/>
  <c r="K216" i="10"/>
  <c r="J216" i="10"/>
  <c r="H216" i="10"/>
  <c r="L215" i="10"/>
  <c r="L214" i="10"/>
  <c r="L213" i="10"/>
  <c r="I216" i="10" l="1"/>
  <c r="L212" i="10"/>
  <c r="L216" i="10" s="1"/>
  <c r="H196" i="10" l="1"/>
  <c r="I196" i="10" s="1"/>
  <c r="H197" i="10"/>
  <c r="I197" i="10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 s="1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 s="1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 s="1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 s="1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 s="1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 s="1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 s="1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 s="1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 s="1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 s="1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 s="1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 s="1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 s="1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 s="1"/>
  <c r="H1494" i="2"/>
  <c r="I1494" i="2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 s="1"/>
  <c r="H1544" i="2"/>
  <c r="I1544" i="2" s="1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I235" i="2"/>
  <c r="L235" i="2" s="1"/>
  <c r="I236" i="2"/>
  <c r="L236" i="2" s="1"/>
  <c r="I237" i="2"/>
  <c r="L237" i="2" s="1"/>
  <c r="I238" i="2"/>
  <c r="L238" i="2" s="1"/>
  <c r="I239" i="2"/>
  <c r="L239" i="2" s="1"/>
  <c r="I240" i="2"/>
  <c r="L240" i="2" s="1"/>
  <c r="I241" i="2"/>
  <c r="L241" i="2" s="1"/>
  <c r="I242" i="2"/>
  <c r="L242" i="2" s="1"/>
  <c r="I243" i="2"/>
  <c r="L243" i="2" s="1"/>
  <c r="I244" i="2"/>
  <c r="L244" i="2" s="1"/>
  <c r="I245" i="2"/>
  <c r="L245" i="2" s="1"/>
  <c r="I225" i="2"/>
  <c r="L225" i="2" s="1"/>
  <c r="I226" i="2"/>
  <c r="L226" i="2" s="1"/>
  <c r="I227" i="2"/>
  <c r="L227" i="2" s="1"/>
  <c r="I228" i="2"/>
  <c r="L228" i="2" s="1"/>
  <c r="I229" i="2"/>
  <c r="L229" i="2" s="1"/>
  <c r="I230" i="2"/>
  <c r="L230" i="2" s="1"/>
  <c r="I231" i="2"/>
  <c r="L231" i="2" s="1"/>
  <c r="I232" i="2"/>
  <c r="L232" i="2" s="1"/>
  <c r="I233" i="2"/>
  <c r="L233" i="2" s="1"/>
  <c r="I234" i="2"/>
  <c r="L234" i="2" s="1"/>
  <c r="I203" i="2"/>
  <c r="L203" i="2" s="1"/>
  <c r="I204" i="2"/>
  <c r="L204" i="2" s="1"/>
  <c r="I205" i="2"/>
  <c r="L205" i="2" s="1"/>
  <c r="I206" i="2"/>
  <c r="L206" i="2" s="1"/>
  <c r="I207" i="2"/>
  <c r="L207" i="2" s="1"/>
  <c r="I208" i="2"/>
  <c r="L208" i="2" s="1"/>
  <c r="I209" i="2"/>
  <c r="L209" i="2" s="1"/>
  <c r="I210" i="2"/>
  <c r="L210" i="2" s="1"/>
  <c r="I211" i="2"/>
  <c r="L211" i="2" s="1"/>
  <c r="I212" i="2"/>
  <c r="L212" i="2" s="1"/>
  <c r="I213" i="2"/>
  <c r="L213" i="2" s="1"/>
  <c r="I214" i="2"/>
  <c r="L214" i="2" s="1"/>
  <c r="I215" i="2"/>
  <c r="L215" i="2" s="1"/>
  <c r="I216" i="2"/>
  <c r="L216" i="2" s="1"/>
  <c r="I217" i="2"/>
  <c r="L217" i="2" s="1"/>
  <c r="I218" i="2"/>
  <c r="L218" i="2" s="1"/>
  <c r="I219" i="2"/>
  <c r="L219" i="2" s="1"/>
  <c r="I220" i="2"/>
  <c r="L220" i="2" s="1"/>
  <c r="I221" i="2"/>
  <c r="L221" i="2" s="1"/>
  <c r="I222" i="2"/>
  <c r="L222" i="2" s="1"/>
  <c r="I223" i="2"/>
  <c r="L223" i="2" s="1"/>
  <c r="I224" i="2"/>
  <c r="L224" i="2" s="1"/>
  <c r="I246" i="2"/>
  <c r="L246" i="2" s="1"/>
  <c r="I247" i="2"/>
  <c r="L247" i="2" s="1"/>
  <c r="I248" i="2"/>
  <c r="L248" i="2" s="1"/>
  <c r="I249" i="2"/>
  <c r="L249" i="2" s="1"/>
  <c r="I250" i="2"/>
  <c r="L250" i="2" s="1"/>
  <c r="I251" i="2"/>
  <c r="L251" i="2" s="1"/>
  <c r="I252" i="2"/>
  <c r="L252" i="2" s="1"/>
  <c r="H198" i="10" l="1"/>
  <c r="K198" i="10"/>
  <c r="P134" i="10" l="1"/>
  <c r="P33" i="10"/>
  <c r="P15" i="10"/>
  <c r="P105" i="10"/>
  <c r="P102" i="10"/>
  <c r="P126" i="10"/>
  <c r="P94" i="10"/>
  <c r="P87" i="10"/>
  <c r="P79" i="10"/>
  <c r="P110" i="10"/>
  <c r="P30" i="10"/>
  <c r="P29" i="10"/>
  <c r="P72" i="10" l="1"/>
  <c r="P81" i="10"/>
  <c r="P12" i="10"/>
  <c r="P20" i="10"/>
  <c r="P66" i="10"/>
  <c r="P27" i="10"/>
  <c r="P19" i="10"/>
  <c r="P14" i="10"/>
  <c r="P13" i="10"/>
  <c r="P75" i="10"/>
  <c r="P50" i="10"/>
  <c r="P49" i="10"/>
  <c r="P130" i="10"/>
  <c r="P48" i="10"/>
  <c r="P18" i="10"/>
  <c r="P82" i="10"/>
  <c r="P109" i="10"/>
  <c r="P118" i="10"/>
  <c r="P44" i="10"/>
  <c r="P45" i="10"/>
  <c r="P86" i="10"/>
  <c r="P117" i="10"/>
  <c r="P129" i="10"/>
  <c r="P17" i="10"/>
  <c r="P40" i="10"/>
  <c r="P47" i="10"/>
  <c r="P85" i="10"/>
  <c r="P107" i="10"/>
  <c r="P8" i="10"/>
  <c r="P69" i="10"/>
  <c r="P104" i="10"/>
  <c r="P80" i="10"/>
  <c r="P46" i="10"/>
  <c r="P53" i="10"/>
  <c r="P68" i="10"/>
  <c r="P38" i="10"/>
  <c r="P37" i="10"/>
  <c r="P78" i="10"/>
  <c r="P83" i="10"/>
  <c r="P84" i="10"/>
  <c r="P93" i="10"/>
  <c r="P67" i="10"/>
  <c r="P77" i="10"/>
  <c r="P103" i="10"/>
  <c r="P64" i="10"/>
  <c r="P101" i="10"/>
  <c r="P65" i="10"/>
  <c r="P108" i="10"/>
  <c r="P89" i="10"/>
  <c r="P61" i="10"/>
  <c r="P127" i="10"/>
  <c r="P116" i="10"/>
  <c r="P16" i="10"/>
  <c r="P128" i="10"/>
  <c r="P96" i="10"/>
  <c r="P52" i="10"/>
  <c r="P57" i="10"/>
  <c r="P59" i="10"/>
  <c r="P60" i="10"/>
  <c r="P31" i="10"/>
  <c r="P32" i="10"/>
  <c r="P92" i="10"/>
  <c r="P125" i="10"/>
  <c r="P43" i="10"/>
  <c r="P39" i="10"/>
  <c r="P99" i="10"/>
  <c r="P115" i="10"/>
  <c r="P133" i="10"/>
  <c r="P114" i="10"/>
  <c r="P91" i="10"/>
  <c r="P113" i="10"/>
  <c r="P90" i="10"/>
  <c r="P131" i="10"/>
  <c r="P132" i="10"/>
  <c r="P62" i="10" l="1"/>
  <c r="P70" i="10"/>
  <c r="P36" i="10"/>
  <c r="P95" i="10"/>
  <c r="P54" i="10"/>
  <c r="P41" i="10"/>
  <c r="P74" i="10"/>
  <c r="P76" i="10"/>
  <c r="P120" i="10"/>
  <c r="P34" i="10"/>
  <c r="P121" i="10"/>
  <c r="P28" i="10"/>
  <c r="P21" i="10"/>
  <c r="P56" i="10"/>
  <c r="P58" i="10"/>
  <c r="P24" i="10"/>
  <c r="P23" i="10"/>
  <c r="I14" i="20"/>
  <c r="I15" i="20"/>
  <c r="I19" i="20"/>
  <c r="P167" i="20" l="1"/>
  <c r="P9" i="20"/>
  <c r="J240" i="20"/>
  <c r="H238" i="20"/>
  <c r="I238" i="20" s="1"/>
  <c r="H239" i="20"/>
  <c r="I239" i="20" s="1"/>
  <c r="G238" i="20"/>
  <c r="G239" i="20"/>
  <c r="A2137" i="8" l="1"/>
  <c r="A2640" i="8"/>
  <c r="A2625" i="8"/>
  <c r="A2609" i="8"/>
  <c r="A2554" i="8"/>
  <c r="A2377" i="8"/>
  <c r="A2307" i="8"/>
  <c r="A2196" i="8"/>
  <c r="A2130" i="8"/>
  <c r="A2639" i="8"/>
  <c r="A2624" i="8"/>
  <c r="A2608" i="8"/>
  <c r="A2553" i="8"/>
  <c r="A2376" i="8"/>
  <c r="A2306" i="8"/>
  <c r="A2195" i="8"/>
  <c r="A2180" i="8"/>
  <c r="A2153" i="8"/>
  <c r="A2058" i="8"/>
  <c r="A1924" i="8"/>
  <c r="A1900" i="8"/>
  <c r="A943" i="8"/>
  <c r="A942" i="8"/>
  <c r="A941" i="8"/>
  <c r="A158" i="8"/>
  <c r="G64" i="20" s="1"/>
  <c r="G124" i="22" l="1"/>
  <c r="G28" i="22"/>
  <c r="G97" i="22"/>
  <c r="G69" i="22"/>
  <c r="Q85" i="22"/>
  <c r="Q51" i="22"/>
  <c r="R85" i="22"/>
  <c r="R51" i="22"/>
  <c r="G86" i="22"/>
  <c r="G154" i="22"/>
  <c r="Q55" i="22"/>
  <c r="Q34" i="22"/>
  <c r="R55" i="22"/>
  <c r="R34" i="22"/>
  <c r="G202" i="22"/>
  <c r="G27" i="22"/>
  <c r="Q157" i="22"/>
  <c r="R166" i="22"/>
  <c r="R25" i="22"/>
  <c r="Q165" i="22"/>
  <c r="R45" i="22"/>
  <c r="G194" i="22"/>
  <c r="G82" i="22"/>
  <c r="Q90" i="22"/>
  <c r="Q61" i="22"/>
  <c r="R90" i="22"/>
  <c r="R61" i="22"/>
  <c r="G91" i="22"/>
  <c r="G162" i="22"/>
  <c r="Q65" i="22"/>
  <c r="Q156" i="22"/>
  <c r="R65" i="22"/>
  <c r="R156" i="22"/>
  <c r="G203" i="22"/>
  <c r="R50" i="22"/>
  <c r="R115" i="22"/>
  <c r="G191" i="22"/>
  <c r="Q76" i="22"/>
  <c r="G19" i="22"/>
  <c r="G128" i="22"/>
  <c r="Q97" i="22"/>
  <c r="Q69" i="22"/>
  <c r="R97" i="22"/>
  <c r="R69" i="22"/>
  <c r="G99" i="22"/>
  <c r="G205" i="22"/>
  <c r="Q75" i="22"/>
  <c r="Q164" i="22"/>
  <c r="R75" i="22"/>
  <c r="R164" i="22"/>
  <c r="G152" i="22"/>
  <c r="Q45" i="22"/>
  <c r="R201" i="22"/>
  <c r="R26" i="22"/>
  <c r="G192" i="22"/>
  <c r="Q47" i="22"/>
  <c r="G18" i="22"/>
  <c r="G21" i="22"/>
  <c r="Q194" i="22"/>
  <c r="Q82" i="22"/>
  <c r="R194" i="22"/>
  <c r="R82" i="22"/>
  <c r="G101" i="22"/>
  <c r="G102" i="22"/>
  <c r="Q86" i="22"/>
  <c r="Q154" i="22"/>
  <c r="R86" i="22"/>
  <c r="R154" i="22"/>
  <c r="G160" i="22"/>
  <c r="Q166" i="22"/>
  <c r="Q25" i="22"/>
  <c r="R202" i="22"/>
  <c r="R27" i="22"/>
  <c r="G164" i="22"/>
  <c r="R32" i="22"/>
  <c r="R36" i="22"/>
  <c r="G122" i="22"/>
  <c r="G43" i="22"/>
  <c r="Q19" i="22"/>
  <c r="Q128" i="22"/>
  <c r="R19" i="22"/>
  <c r="R128" i="22"/>
  <c r="G89" i="22"/>
  <c r="G159" i="22"/>
  <c r="Q91" i="22"/>
  <c r="Q162" i="22"/>
  <c r="R91" i="22"/>
  <c r="R162" i="22"/>
  <c r="G153" i="22"/>
  <c r="Q50" i="22"/>
  <c r="Q115" i="22"/>
  <c r="R203" i="22"/>
  <c r="G61" i="22"/>
  <c r="G56" i="22"/>
  <c r="G66" i="22"/>
  <c r="Q18" i="22"/>
  <c r="Q21" i="22"/>
  <c r="R18" i="22"/>
  <c r="R21" i="22"/>
  <c r="G127" i="22"/>
  <c r="G155" i="22"/>
  <c r="Q99" i="22"/>
  <c r="Q205" i="22"/>
  <c r="R99" i="22"/>
  <c r="R205" i="22"/>
  <c r="G161" i="22"/>
  <c r="Q201" i="22"/>
  <c r="Q26" i="22"/>
  <c r="R152" i="22"/>
  <c r="R47" i="22"/>
  <c r="R165" i="22"/>
  <c r="G57" i="22"/>
  <c r="G78" i="22"/>
  <c r="Q122" i="22"/>
  <c r="Q43" i="22"/>
  <c r="R122" i="22"/>
  <c r="R43" i="22"/>
  <c r="G148" i="22"/>
  <c r="G158" i="22"/>
  <c r="Q101" i="22"/>
  <c r="Q102" i="22"/>
  <c r="R101" i="22"/>
  <c r="R102" i="22"/>
  <c r="G157" i="22"/>
  <c r="Q202" i="22"/>
  <c r="Q27" i="22"/>
  <c r="R160" i="22"/>
  <c r="G75" i="22"/>
  <c r="G201" i="22"/>
  <c r="G64" i="22"/>
  <c r="G88" i="22"/>
  <c r="Q56" i="22"/>
  <c r="Q66" i="22"/>
  <c r="R56" i="22"/>
  <c r="R66" i="22"/>
  <c r="G111" i="22"/>
  <c r="G163" i="22"/>
  <c r="Q89" i="22"/>
  <c r="Q159" i="22"/>
  <c r="R89" i="22"/>
  <c r="R159" i="22"/>
  <c r="G35" i="22"/>
  <c r="Q203" i="22"/>
  <c r="R153" i="22"/>
  <c r="G26" i="22"/>
  <c r="G73" i="22"/>
  <c r="G98" i="22"/>
  <c r="Q57" i="22"/>
  <c r="Q78" i="22"/>
  <c r="R57" i="22"/>
  <c r="R78" i="22"/>
  <c r="G32" i="22"/>
  <c r="G165" i="22"/>
  <c r="Q127" i="22"/>
  <c r="Q155" i="22"/>
  <c r="R127" i="22"/>
  <c r="R155" i="22"/>
  <c r="G45" i="22"/>
  <c r="G36" i="22"/>
  <c r="Q152" i="22"/>
  <c r="R161" i="22"/>
  <c r="R76" i="22"/>
  <c r="G76" i="22"/>
  <c r="G47" i="22"/>
  <c r="Q64" i="22"/>
  <c r="Q88" i="22"/>
  <c r="R64" i="22"/>
  <c r="R88" i="22"/>
  <c r="G55" i="22"/>
  <c r="G34" i="22"/>
  <c r="Q148" i="22"/>
  <c r="Q158" i="22"/>
  <c r="R148" i="22"/>
  <c r="R158" i="22"/>
  <c r="G166" i="22"/>
  <c r="G25" i="22"/>
  <c r="Q160" i="22"/>
  <c r="R157" i="22"/>
  <c r="Q32" i="22"/>
  <c r="Q161" i="22"/>
  <c r="G85" i="22"/>
  <c r="G51" i="22"/>
  <c r="Q73" i="22"/>
  <c r="Q98" i="22"/>
  <c r="R73" i="22"/>
  <c r="R98" i="22"/>
  <c r="G65" i="22"/>
  <c r="G156" i="22"/>
  <c r="Q111" i="22"/>
  <c r="Q163" i="22"/>
  <c r="R111" i="22"/>
  <c r="R163" i="22"/>
  <c r="G50" i="22"/>
  <c r="G115" i="22"/>
  <c r="Q153" i="22"/>
  <c r="R35" i="22"/>
  <c r="G193" i="22"/>
  <c r="G90" i="22"/>
  <c r="H216" i="14"/>
  <c r="J200" i="14"/>
  <c r="J214" i="14"/>
  <c r="K210" i="14"/>
  <c r="Q117" i="19"/>
  <c r="Q166" i="19"/>
  <c r="J207" i="19"/>
  <c r="H204" i="14"/>
  <c r="J209" i="14"/>
  <c r="J215" i="14"/>
  <c r="K207" i="14"/>
  <c r="R26" i="19"/>
  <c r="R117" i="19"/>
  <c r="R166" i="19"/>
  <c r="J210" i="19"/>
  <c r="K203" i="19"/>
  <c r="H210" i="14"/>
  <c r="J222" i="14"/>
  <c r="J201" i="14"/>
  <c r="K219" i="14"/>
  <c r="G121" i="19"/>
  <c r="G123" i="19"/>
  <c r="G165" i="19"/>
  <c r="K201" i="19"/>
  <c r="H207" i="14"/>
  <c r="J206" i="14"/>
  <c r="K212" i="14"/>
  <c r="K223" i="14"/>
  <c r="H219" i="14"/>
  <c r="J203" i="14"/>
  <c r="K221" i="14"/>
  <c r="K217" i="14"/>
  <c r="Q121" i="19"/>
  <c r="Q123" i="19"/>
  <c r="Q165" i="19"/>
  <c r="K207" i="19"/>
  <c r="J204" i="14"/>
  <c r="G124" i="19"/>
  <c r="H201" i="19"/>
  <c r="H212" i="14"/>
  <c r="H223" i="14"/>
  <c r="J216" i="14"/>
  <c r="K200" i="14"/>
  <c r="K214" i="14"/>
  <c r="R121" i="19"/>
  <c r="R123" i="19"/>
  <c r="R165" i="19"/>
  <c r="K210" i="19"/>
  <c r="H217" i="14"/>
  <c r="G116" i="19"/>
  <c r="H221" i="14"/>
  <c r="K209" i="14"/>
  <c r="K215" i="14"/>
  <c r="H200" i="14"/>
  <c r="H214" i="14"/>
  <c r="J210" i="14"/>
  <c r="K222" i="14"/>
  <c r="K201" i="14"/>
  <c r="H203" i="19"/>
  <c r="H209" i="14"/>
  <c r="H215" i="14"/>
  <c r="J207" i="14"/>
  <c r="K206" i="14"/>
  <c r="Q124" i="19"/>
  <c r="Q116" i="19"/>
  <c r="H207" i="19"/>
  <c r="H201" i="14"/>
  <c r="J219" i="14"/>
  <c r="K203" i="14"/>
  <c r="R124" i="19"/>
  <c r="R116" i="19"/>
  <c r="H210" i="19"/>
  <c r="G117" i="19"/>
  <c r="J201" i="19"/>
  <c r="J221" i="14"/>
  <c r="K204" i="14"/>
  <c r="J203" i="19"/>
  <c r="H222" i="14"/>
  <c r="H206" i="14"/>
  <c r="J212" i="14"/>
  <c r="J223" i="14"/>
  <c r="K216" i="14"/>
  <c r="G26" i="19"/>
  <c r="G166" i="19"/>
  <c r="J217" i="14"/>
  <c r="H203" i="14"/>
  <c r="Q21" i="25"/>
  <c r="R21" i="25"/>
  <c r="G21" i="25"/>
  <c r="G104" i="19"/>
  <c r="H202" i="19"/>
  <c r="K202" i="19"/>
  <c r="H208" i="19"/>
  <c r="J208" i="19"/>
  <c r="K208" i="19"/>
  <c r="J202" i="19"/>
  <c r="G13" i="25"/>
  <c r="G15" i="25"/>
  <c r="G17" i="25"/>
  <c r="G18" i="25"/>
  <c r="G107" i="25"/>
  <c r="G20" i="25"/>
  <c r="G22" i="25"/>
  <c r="G23" i="25"/>
  <c r="G24" i="25"/>
  <c r="G26" i="25"/>
  <c r="G28" i="25"/>
  <c r="G84" i="25"/>
  <c r="Q15" i="25"/>
  <c r="Q17" i="25"/>
  <c r="Q18" i="25"/>
  <c r="Q107" i="25"/>
  <c r="Q20" i="25"/>
  <c r="Q23" i="25"/>
  <c r="Q24" i="25"/>
  <c r="Q28" i="25"/>
  <c r="R13" i="25"/>
  <c r="R17" i="25"/>
  <c r="R107" i="25"/>
  <c r="R22" i="25"/>
  <c r="R23" i="25"/>
  <c r="R26" i="25"/>
  <c r="R84" i="25"/>
  <c r="Q13" i="25"/>
  <c r="Q22" i="25"/>
  <c r="Q26" i="25"/>
  <c r="Q84" i="25"/>
  <c r="R15" i="25"/>
  <c r="R18" i="25"/>
  <c r="R20" i="25"/>
  <c r="R24" i="25"/>
  <c r="R28" i="25"/>
  <c r="K202" i="25"/>
  <c r="J192" i="25"/>
  <c r="H195" i="25"/>
  <c r="K191" i="25"/>
  <c r="J201" i="25"/>
  <c r="H194" i="25"/>
  <c r="K200" i="25"/>
  <c r="J190" i="25"/>
  <c r="H189" i="25"/>
  <c r="K197" i="25"/>
  <c r="J188" i="25"/>
  <c r="H196" i="25"/>
  <c r="K199" i="25"/>
  <c r="R154" i="25"/>
  <c r="R130" i="25"/>
  <c r="Q46" i="25"/>
  <c r="G131" i="25"/>
  <c r="G38" i="25"/>
  <c r="R44" i="25"/>
  <c r="Q45" i="25"/>
  <c r="G29" i="25"/>
  <c r="R83" i="25"/>
  <c r="Q117" i="25"/>
  <c r="G50" i="25"/>
  <c r="R82" i="25"/>
  <c r="R153" i="25"/>
  <c r="Q128" i="25"/>
  <c r="G81" i="25"/>
  <c r="G78" i="25"/>
  <c r="R80" i="25"/>
  <c r="Q76" i="25"/>
  <c r="G27" i="25"/>
  <c r="R105" i="25"/>
  <c r="Q152" i="25"/>
  <c r="G74" i="25"/>
  <c r="R87" i="25"/>
  <c r="Q106" i="25"/>
  <c r="Q49" i="25"/>
  <c r="G113" i="25"/>
  <c r="R151" i="25"/>
  <c r="R91" i="25"/>
  <c r="Q150" i="25"/>
  <c r="G72" i="25"/>
  <c r="G25" i="25"/>
  <c r="R71" i="25"/>
  <c r="Q70" i="25"/>
  <c r="G103" i="25"/>
  <c r="R164" i="25"/>
  <c r="Q48" i="25"/>
  <c r="G30" i="25"/>
  <c r="J203" i="25"/>
  <c r="H202" i="25"/>
  <c r="K195" i="25"/>
  <c r="J204" i="25"/>
  <c r="H191" i="25"/>
  <c r="K194" i="25"/>
  <c r="J193" i="25"/>
  <c r="H200" i="25"/>
  <c r="K189" i="25"/>
  <c r="J198" i="25"/>
  <c r="H197" i="25"/>
  <c r="K196" i="25"/>
  <c r="J187" i="25"/>
  <c r="H199" i="25"/>
  <c r="Q37" i="25"/>
  <c r="G130" i="25"/>
  <c r="R131" i="25"/>
  <c r="Q38" i="25"/>
  <c r="Q51" i="25"/>
  <c r="G44" i="25"/>
  <c r="R88" i="25"/>
  <c r="R29" i="25"/>
  <c r="Q165" i="25"/>
  <c r="G83" i="25"/>
  <c r="G117" i="25"/>
  <c r="R50" i="25"/>
  <c r="Q129" i="25"/>
  <c r="G153" i="25"/>
  <c r="R81" i="25"/>
  <c r="Q78" i="25"/>
  <c r="Q79" i="25"/>
  <c r="G80" i="25"/>
  <c r="R77" i="25"/>
  <c r="R27" i="25"/>
  <c r="Q75" i="25"/>
  <c r="G105" i="25"/>
  <c r="R74" i="25"/>
  <c r="Q116" i="25"/>
  <c r="G87" i="25"/>
  <c r="G106" i="25"/>
  <c r="R113" i="25"/>
  <c r="Q73" i="25"/>
  <c r="G91" i="25"/>
  <c r="R72" i="25"/>
  <c r="Q25" i="25"/>
  <c r="Q127" i="25"/>
  <c r="G71" i="25"/>
  <c r="R126" i="25"/>
  <c r="R103" i="25"/>
  <c r="Q47" i="25"/>
  <c r="G164" i="25"/>
  <c r="G48" i="25"/>
  <c r="R42" i="25"/>
  <c r="Q68" i="25"/>
  <c r="G124" i="25"/>
  <c r="R125" i="25"/>
  <c r="Q102" i="25"/>
  <c r="Q149" i="25"/>
  <c r="G90" i="25"/>
  <c r="R65" i="25"/>
  <c r="R147" i="25"/>
  <c r="Q148" i="25"/>
  <c r="H203" i="25"/>
  <c r="K192" i="25"/>
  <c r="J195" i="25"/>
  <c r="H204" i="25"/>
  <c r="K201" i="25"/>
  <c r="J194" i="25"/>
  <c r="H193" i="25"/>
  <c r="K190" i="25"/>
  <c r="J189" i="25"/>
  <c r="H198" i="25"/>
  <c r="K188" i="25"/>
  <c r="J196" i="25"/>
  <c r="H187" i="25"/>
  <c r="G37" i="25"/>
  <c r="G154" i="25"/>
  <c r="R46" i="25"/>
  <c r="Q131" i="25"/>
  <c r="G51" i="25"/>
  <c r="R45" i="25"/>
  <c r="Q88" i="25"/>
  <c r="Q29" i="25"/>
  <c r="G165" i="25"/>
  <c r="R117" i="25"/>
  <c r="R92" i="25"/>
  <c r="Q50" i="25"/>
  <c r="G129" i="25"/>
  <c r="G82" i="25"/>
  <c r="R128" i="25"/>
  <c r="Q81" i="25"/>
  <c r="G79" i="25"/>
  <c r="R76" i="25"/>
  <c r="Q77" i="25"/>
  <c r="Q27" i="25"/>
  <c r="G75" i="25"/>
  <c r="R152" i="25"/>
  <c r="Q74" i="25"/>
  <c r="G116" i="25"/>
  <c r="R106" i="25"/>
  <c r="R49" i="25"/>
  <c r="Q113" i="25"/>
  <c r="G73" i="25"/>
  <c r="G151" i="25"/>
  <c r="R150" i="25"/>
  <c r="Q72" i="25"/>
  <c r="G127" i="25"/>
  <c r="R70" i="25"/>
  <c r="Q126" i="25"/>
  <c r="Q103" i="25"/>
  <c r="G47" i="25"/>
  <c r="R48" i="25"/>
  <c r="R69" i="25"/>
  <c r="Q42" i="25"/>
  <c r="G68" i="25"/>
  <c r="G66" i="25"/>
  <c r="R67" i="25"/>
  <c r="Q125" i="25"/>
  <c r="G149" i="25"/>
  <c r="R101" i="25"/>
  <c r="Q65" i="25"/>
  <c r="Q147" i="25"/>
  <c r="G148" i="25"/>
  <c r="J202" i="25"/>
  <c r="H201" i="25"/>
  <c r="K198" i="25"/>
  <c r="J199" i="25"/>
  <c r="Q154" i="25"/>
  <c r="R38" i="25"/>
  <c r="G45" i="25"/>
  <c r="Q83" i="25"/>
  <c r="Q82" i="25"/>
  <c r="R78" i="25"/>
  <c r="G76" i="25"/>
  <c r="Q105" i="25"/>
  <c r="R68" i="25"/>
  <c r="R124" i="25"/>
  <c r="G125" i="25"/>
  <c r="R149" i="25"/>
  <c r="G101" i="25"/>
  <c r="R148" i="25"/>
  <c r="R161" i="25"/>
  <c r="R163" i="25"/>
  <c r="Q162" i="25"/>
  <c r="G109" i="25"/>
  <c r="G146" i="25"/>
  <c r="R145" i="25"/>
  <c r="Q115" i="25"/>
  <c r="G64" i="25"/>
  <c r="R43" i="25"/>
  <c r="Q112" i="25"/>
  <c r="Q108" i="25"/>
  <c r="G122" i="25"/>
  <c r="R62" i="25"/>
  <c r="R63" i="25"/>
  <c r="Q61" i="25"/>
  <c r="G60" i="25"/>
  <c r="G143" i="25"/>
  <c r="R141" i="25"/>
  <c r="Q100" i="25"/>
  <c r="G31" i="25"/>
  <c r="R86" i="25"/>
  <c r="Q160" i="25"/>
  <c r="Q16" i="25"/>
  <c r="G33" i="25"/>
  <c r="R32" i="25"/>
  <c r="R36" i="25"/>
  <c r="Q35" i="25"/>
  <c r="G34" i="25"/>
  <c r="G159" i="25"/>
  <c r="R121" i="25"/>
  <c r="G40" i="25"/>
  <c r="R57" i="25"/>
  <c r="Q104" i="25"/>
  <c r="G158" i="25"/>
  <c r="R120" i="25"/>
  <c r="R56" i="25"/>
  <c r="R110" i="25"/>
  <c r="Q14" i="25"/>
  <c r="G138" i="25"/>
  <c r="G139" i="25"/>
  <c r="R137" i="25"/>
  <c r="Q156" i="25"/>
  <c r="G119" i="25"/>
  <c r="R55" i="25"/>
  <c r="Q134" i="25"/>
  <c r="Q39" i="25"/>
  <c r="G133" i="25"/>
  <c r="R97" i="25"/>
  <c r="R96" i="25"/>
  <c r="Q95" i="25"/>
  <c r="G94" i="25"/>
  <c r="G54" i="25"/>
  <c r="R10" i="25"/>
  <c r="Q132" i="25"/>
  <c r="G12" i="25"/>
  <c r="R52" i="25"/>
  <c r="Q114" i="25"/>
  <c r="H192" i="25"/>
  <c r="K193" i="25"/>
  <c r="J197" i="25"/>
  <c r="G152" i="25"/>
  <c r="G49" i="25"/>
  <c r="R127" i="25"/>
  <c r="G126" i="25"/>
  <c r="Q69" i="25"/>
  <c r="R66" i="25"/>
  <c r="Q124" i="25"/>
  <c r="R102" i="25"/>
  <c r="R90" i="25"/>
  <c r="R93" i="25"/>
  <c r="Q161" i="25"/>
  <c r="Q163" i="25"/>
  <c r="G162" i="25"/>
  <c r="R146" i="25"/>
  <c r="R123" i="25"/>
  <c r="Q145" i="25"/>
  <c r="G115" i="25"/>
  <c r="G41" i="25"/>
  <c r="R144" i="25"/>
  <c r="Q43" i="25"/>
  <c r="G108" i="25"/>
  <c r="R19" i="25"/>
  <c r="Q62" i="25"/>
  <c r="Q63" i="25"/>
  <c r="G61" i="25"/>
  <c r="R143" i="25"/>
  <c r="R111" i="25"/>
  <c r="Q141" i="25"/>
  <c r="G100" i="25"/>
  <c r="G142" i="25"/>
  <c r="R85" i="25"/>
  <c r="Q86" i="25"/>
  <c r="G16" i="25"/>
  <c r="R99" i="25"/>
  <c r="Q32" i="25"/>
  <c r="Q36" i="25"/>
  <c r="G35" i="25"/>
  <c r="R159" i="25"/>
  <c r="R59" i="25"/>
  <c r="Q121" i="25"/>
  <c r="G89" i="25"/>
  <c r="G140" i="25"/>
  <c r="R58" i="25"/>
  <c r="Q57" i="25"/>
  <c r="G104" i="25"/>
  <c r="R157" i="25"/>
  <c r="Q120" i="25"/>
  <c r="Q56" i="25"/>
  <c r="Q110" i="25"/>
  <c r="G14" i="25"/>
  <c r="R139" i="25"/>
  <c r="R136" i="25"/>
  <c r="Q137" i="25"/>
  <c r="G156" i="25"/>
  <c r="G155" i="25"/>
  <c r="R118" i="25"/>
  <c r="Q55" i="25"/>
  <c r="G39" i="25"/>
  <c r="R98" i="25"/>
  <c r="Q97" i="25"/>
  <c r="Q96" i="25"/>
  <c r="G95" i="25"/>
  <c r="R54" i="25"/>
  <c r="R135" i="25"/>
  <c r="Q10" i="25"/>
  <c r="G132" i="25"/>
  <c r="G11" i="25"/>
  <c r="R53" i="25"/>
  <c r="Q52" i="25"/>
  <c r="G114" i="25"/>
  <c r="K204" i="25"/>
  <c r="J200" i="25"/>
  <c r="H188" i="25"/>
  <c r="Q130" i="25"/>
  <c r="R51" i="25"/>
  <c r="G88" i="25"/>
  <c r="G92" i="25"/>
  <c r="Q153" i="25"/>
  <c r="R79" i="25"/>
  <c r="G77" i="25"/>
  <c r="R116" i="25"/>
  <c r="R73" i="25"/>
  <c r="G150" i="25"/>
  <c r="Q71" i="25"/>
  <c r="R47" i="25"/>
  <c r="G69" i="25"/>
  <c r="Q66" i="25"/>
  <c r="Q67" i="25"/>
  <c r="G65" i="25"/>
  <c r="Q93" i="25"/>
  <c r="G163" i="25"/>
  <c r="R109" i="25"/>
  <c r="Q146" i="25"/>
  <c r="Q123" i="25"/>
  <c r="G145" i="25"/>
  <c r="R41" i="25"/>
  <c r="R64" i="25"/>
  <c r="Q144" i="25"/>
  <c r="G43" i="25"/>
  <c r="G112" i="25"/>
  <c r="R122" i="25"/>
  <c r="Q19" i="25"/>
  <c r="G63" i="25"/>
  <c r="R60" i="25"/>
  <c r="Q143" i="25"/>
  <c r="Q111" i="25"/>
  <c r="G141" i="25"/>
  <c r="R142" i="25"/>
  <c r="R31" i="25"/>
  <c r="G86" i="25"/>
  <c r="G160" i="25"/>
  <c r="R33" i="25"/>
  <c r="Q99" i="25"/>
  <c r="G36" i="25"/>
  <c r="R34" i="25"/>
  <c r="Q159" i="25"/>
  <c r="Q59" i="25"/>
  <c r="G121" i="25"/>
  <c r="R140" i="25"/>
  <c r="R40" i="25"/>
  <c r="Q58" i="25"/>
  <c r="G57" i="25"/>
  <c r="R158" i="25"/>
  <c r="Q157" i="25"/>
  <c r="G110" i="25"/>
  <c r="R138" i="25"/>
  <c r="Q139" i="25"/>
  <c r="Q136" i="25"/>
  <c r="G137" i="25"/>
  <c r="R155" i="25"/>
  <c r="R119" i="25"/>
  <c r="Q118" i="25"/>
  <c r="G55" i="25"/>
  <c r="G134" i="25"/>
  <c r="R133" i="25"/>
  <c r="Q98" i="25"/>
  <c r="G96" i="25"/>
  <c r="R94" i="25"/>
  <c r="Q54" i="25"/>
  <c r="Q135" i="25"/>
  <c r="G10" i="25"/>
  <c r="R11" i="25"/>
  <c r="R12" i="25"/>
  <c r="Q53" i="25"/>
  <c r="G52" i="25"/>
  <c r="R30" i="25"/>
  <c r="K203" i="25"/>
  <c r="J191" i="25"/>
  <c r="H190" i="25"/>
  <c r="K187" i="25"/>
  <c r="R37" i="25"/>
  <c r="G46" i="25"/>
  <c r="Q44" i="25"/>
  <c r="R165" i="25"/>
  <c r="R129" i="25"/>
  <c r="G128" i="25"/>
  <c r="Q80" i="25"/>
  <c r="R75" i="25"/>
  <c r="Q87" i="25"/>
  <c r="Q151" i="25"/>
  <c r="R25" i="25"/>
  <c r="G70" i="25"/>
  <c r="Q164" i="25"/>
  <c r="G42" i="25"/>
  <c r="G67" i="25"/>
  <c r="G102" i="25"/>
  <c r="Q101" i="25"/>
  <c r="G147" i="25"/>
  <c r="G93" i="25"/>
  <c r="G161" i="25"/>
  <c r="R162" i="25"/>
  <c r="Q109" i="25"/>
  <c r="G123" i="25"/>
  <c r="R115" i="25"/>
  <c r="Q41" i="25"/>
  <c r="Q64" i="25"/>
  <c r="G144" i="25"/>
  <c r="R112" i="25"/>
  <c r="R108" i="25"/>
  <c r="Q122" i="25"/>
  <c r="G19" i="25"/>
  <c r="G62" i="25"/>
  <c r="R61" i="25"/>
  <c r="Q60" i="25"/>
  <c r="G111" i="25"/>
  <c r="R100" i="25"/>
  <c r="Q142" i="25"/>
  <c r="G85" i="25"/>
  <c r="R160" i="25"/>
  <c r="R16" i="25"/>
  <c r="Q33" i="25"/>
  <c r="G99" i="25"/>
  <c r="G32" i="25"/>
  <c r="R35" i="25"/>
  <c r="Q34" i="25"/>
  <c r="G59" i="25"/>
  <c r="Q40" i="25"/>
  <c r="G157" i="25"/>
  <c r="G56" i="25"/>
  <c r="G136" i="25"/>
  <c r="Q119" i="25"/>
  <c r="R39" i="25"/>
  <c r="G97" i="25"/>
  <c r="G135" i="25"/>
  <c r="Q12" i="25"/>
  <c r="R89" i="25"/>
  <c r="G58" i="25"/>
  <c r="R14" i="25"/>
  <c r="R156" i="25"/>
  <c r="G118" i="25"/>
  <c r="Q133" i="25"/>
  <c r="R95" i="25"/>
  <c r="R132" i="25"/>
  <c r="G53" i="25"/>
  <c r="Q140" i="25"/>
  <c r="R104" i="25"/>
  <c r="G120" i="25"/>
  <c r="Q138" i="25"/>
  <c r="Q155" i="25"/>
  <c r="R134" i="25"/>
  <c r="G98" i="25"/>
  <c r="Q94" i="25"/>
  <c r="Q11" i="25"/>
  <c r="R114" i="25"/>
  <c r="Q158" i="25"/>
  <c r="G513" i="13"/>
  <c r="G517" i="13"/>
  <c r="G521" i="13"/>
  <c r="G525" i="13"/>
  <c r="G529" i="13"/>
  <c r="G531" i="13"/>
  <c r="G535" i="13"/>
  <c r="G539" i="13"/>
  <c r="G543" i="13"/>
  <c r="G549" i="13"/>
  <c r="G553" i="13"/>
  <c r="G557" i="13"/>
  <c r="G561" i="13"/>
  <c r="G567" i="13"/>
  <c r="G571" i="13"/>
  <c r="G575" i="13"/>
  <c r="G579" i="13"/>
  <c r="G581" i="13"/>
  <c r="G585" i="13"/>
  <c r="G589" i="13"/>
  <c r="G593" i="13"/>
  <c r="G597" i="13"/>
  <c r="G600" i="13"/>
  <c r="G604" i="13"/>
  <c r="G608" i="13"/>
  <c r="G612" i="13"/>
  <c r="G618" i="13"/>
  <c r="G622" i="13"/>
  <c r="G626" i="13"/>
  <c r="G630" i="13"/>
  <c r="G633" i="13"/>
  <c r="G637" i="13"/>
  <c r="G641" i="13"/>
  <c r="G645" i="13"/>
  <c r="G650" i="13"/>
  <c r="G654" i="13"/>
  <c r="G658" i="13"/>
  <c r="G662" i="13"/>
  <c r="G669" i="13"/>
  <c r="G673" i="13"/>
  <c r="G677" i="13"/>
  <c r="G681" i="13"/>
  <c r="G2518" i="13"/>
  <c r="G2522" i="13"/>
  <c r="G2526" i="13"/>
  <c r="G2530" i="13"/>
  <c r="G2534" i="13"/>
  <c r="G2538" i="13"/>
  <c r="G2542" i="13"/>
  <c r="G2546" i="13"/>
  <c r="G2550" i="13"/>
  <c r="G2554" i="13"/>
  <c r="G2558" i="13"/>
  <c r="G2562" i="13"/>
  <c r="G2566" i="13"/>
  <c r="G2570" i="13"/>
  <c r="G2574" i="13"/>
  <c r="G2578" i="13"/>
  <c r="G2582" i="13"/>
  <c r="G2586" i="13"/>
  <c r="G514" i="13"/>
  <c r="G518" i="13"/>
  <c r="G522" i="13"/>
  <c r="G526" i="13"/>
  <c r="G515" i="13"/>
  <c r="G519" i="13"/>
  <c r="G523" i="13"/>
  <c r="G527" i="13"/>
  <c r="G533" i="13"/>
  <c r="G537" i="13"/>
  <c r="G541" i="13"/>
  <c r="G545" i="13"/>
  <c r="G547" i="13"/>
  <c r="G551" i="13"/>
  <c r="G555" i="13"/>
  <c r="G559" i="13"/>
  <c r="G563" i="13"/>
  <c r="G565" i="13"/>
  <c r="G569" i="13"/>
  <c r="G573" i="13"/>
  <c r="G577" i="13"/>
  <c r="G583" i="13"/>
  <c r="G587" i="13"/>
  <c r="G591" i="13"/>
  <c r="G595" i="13"/>
  <c r="G598" i="13"/>
  <c r="G602" i="13"/>
  <c r="G606" i="13"/>
  <c r="G610" i="13"/>
  <c r="G614" i="13"/>
  <c r="G616" i="13"/>
  <c r="G620" i="13"/>
  <c r="G624" i="13"/>
  <c r="G628" i="13"/>
  <c r="G635" i="13"/>
  <c r="G639" i="13"/>
  <c r="G643" i="13"/>
  <c r="G647" i="13"/>
  <c r="G652" i="13"/>
  <c r="G656" i="13"/>
  <c r="G660" i="13"/>
  <c r="G664" i="13"/>
  <c r="G667" i="13"/>
  <c r="G671" i="13"/>
  <c r="G675" i="13"/>
  <c r="G679" i="13"/>
  <c r="G2516" i="13"/>
  <c r="G2520" i="13"/>
  <c r="G2524" i="13"/>
  <c r="G2528" i="13"/>
  <c r="G2532" i="13"/>
  <c r="G2536" i="13"/>
  <c r="G2540" i="13"/>
  <c r="G2544" i="13"/>
  <c r="G2548" i="13"/>
  <c r="G2552" i="13"/>
  <c r="G2556" i="13"/>
  <c r="G2560" i="13"/>
  <c r="G2564" i="13"/>
  <c r="G2568" i="13"/>
  <c r="G2572" i="13"/>
  <c r="G2576" i="13"/>
  <c r="G2580" i="13"/>
  <c r="G2584" i="13"/>
  <c r="G2588" i="13"/>
  <c r="G516" i="13"/>
  <c r="G520" i="13"/>
  <c r="G524" i="13"/>
  <c r="G528" i="13"/>
  <c r="G530" i="13"/>
  <c r="G534" i="13"/>
  <c r="G538" i="13"/>
  <c r="G542" i="13"/>
  <c r="G546" i="13"/>
  <c r="G548" i="13"/>
  <c r="G552" i="13"/>
  <c r="G556" i="13"/>
  <c r="G560" i="13"/>
  <c r="G566" i="13"/>
  <c r="G570" i="13"/>
  <c r="G574" i="13"/>
  <c r="G578" i="13"/>
  <c r="G584" i="13"/>
  <c r="G588" i="13"/>
  <c r="G592" i="13"/>
  <c r="G596" i="13"/>
  <c r="G599" i="13"/>
  <c r="G603" i="13"/>
  <c r="G607" i="13"/>
  <c r="G611" i="13"/>
  <c r="G617" i="13"/>
  <c r="G621" i="13"/>
  <c r="G625" i="13"/>
  <c r="G629" i="13"/>
  <c r="G632" i="13"/>
  <c r="G636" i="13"/>
  <c r="G640" i="13"/>
  <c r="G644" i="13"/>
  <c r="G648" i="13"/>
  <c r="G649" i="13"/>
  <c r="G653" i="13"/>
  <c r="G657" i="13"/>
  <c r="G661" i="13"/>
  <c r="G665" i="13"/>
  <c r="G668" i="13"/>
  <c r="G672" i="13"/>
  <c r="G676" i="13"/>
  <c r="G680" i="13"/>
  <c r="G2517" i="13"/>
  <c r="G2521" i="13"/>
  <c r="G2525" i="13"/>
  <c r="G2529" i="13"/>
  <c r="G2533" i="13"/>
  <c r="G2537" i="13"/>
  <c r="G2541" i="13"/>
  <c r="G2545" i="13"/>
  <c r="G2549" i="13"/>
  <c r="G2553" i="13"/>
  <c r="G2557" i="13"/>
  <c r="G2561" i="13"/>
  <c r="G2565" i="13"/>
  <c r="G2569" i="13"/>
  <c r="G2573" i="13"/>
  <c r="G2577" i="13"/>
  <c r="G2581" i="13"/>
  <c r="G2585" i="13"/>
  <c r="G2589" i="13"/>
  <c r="G544" i="13"/>
  <c r="G554" i="13"/>
  <c r="G564" i="13"/>
  <c r="G580" i="13"/>
  <c r="G586" i="13"/>
  <c r="G601" i="13"/>
  <c r="G623" i="13"/>
  <c r="G634" i="13"/>
  <c r="G655" i="13"/>
  <c r="G666" i="13"/>
  <c r="G682" i="13"/>
  <c r="G532" i="13"/>
  <c r="G558" i="13"/>
  <c r="G568" i="13"/>
  <c r="G590" i="13"/>
  <c r="G605" i="13"/>
  <c r="G627" i="13"/>
  <c r="G638" i="13"/>
  <c r="G659" i="13"/>
  <c r="G670" i="13"/>
  <c r="G2519" i="13"/>
  <c r="G2535" i="13"/>
  <c r="G2551" i="13"/>
  <c r="G2567" i="13"/>
  <c r="G2583" i="13"/>
  <c r="G2392" i="13"/>
  <c r="G2396" i="13"/>
  <c r="G2400" i="13"/>
  <c r="G2404" i="13"/>
  <c r="G2408" i="13"/>
  <c r="G2412" i="13"/>
  <c r="G2416" i="13"/>
  <c r="G2420" i="13"/>
  <c r="G2424" i="13"/>
  <c r="G2428" i="13"/>
  <c r="G2432" i="13"/>
  <c r="G2436" i="13"/>
  <c r="G2440" i="13"/>
  <c r="G2444" i="13"/>
  <c r="G2448" i="13"/>
  <c r="G2452" i="13"/>
  <c r="G2456" i="13"/>
  <c r="G2460" i="13"/>
  <c r="G2464" i="13"/>
  <c r="G2468" i="13"/>
  <c r="G2472" i="13"/>
  <c r="G2476" i="13"/>
  <c r="G2480" i="13"/>
  <c r="G2484" i="13"/>
  <c r="G2488" i="13"/>
  <c r="G2492" i="13"/>
  <c r="G2496" i="13"/>
  <c r="G2500" i="13"/>
  <c r="G2504" i="13"/>
  <c r="G2508" i="13"/>
  <c r="G2512" i="13"/>
  <c r="G2276" i="13"/>
  <c r="G2280" i="13"/>
  <c r="G2284" i="13"/>
  <c r="G2288" i="13"/>
  <c r="G2292" i="13"/>
  <c r="G2296" i="13"/>
  <c r="G2300" i="13"/>
  <c r="G2304" i="13"/>
  <c r="G2308" i="13"/>
  <c r="G2312" i="13"/>
  <c r="G2316" i="13"/>
  <c r="G2320" i="13"/>
  <c r="G2324" i="13"/>
  <c r="G2328" i="13"/>
  <c r="G2332" i="13"/>
  <c r="G2336" i="13"/>
  <c r="G2340" i="13"/>
  <c r="G2344" i="13"/>
  <c r="G2348" i="13"/>
  <c r="G2352" i="13"/>
  <c r="G2356" i="13"/>
  <c r="G2360" i="13"/>
  <c r="G2364" i="13"/>
  <c r="G2368" i="13"/>
  <c r="G2372" i="13"/>
  <c r="G2376" i="13"/>
  <c r="G2380" i="13"/>
  <c r="G2384" i="13"/>
  <c r="G2388" i="13"/>
  <c r="G2198" i="13"/>
  <c r="G2202" i="13"/>
  <c r="G2206" i="13"/>
  <c r="G2210" i="13"/>
  <c r="G2214" i="13"/>
  <c r="G2218" i="13"/>
  <c r="G2222" i="13"/>
  <c r="G2226" i="13"/>
  <c r="G2230" i="13"/>
  <c r="G2234" i="13"/>
  <c r="G2238" i="13"/>
  <c r="G572" i="13"/>
  <c r="G582" i="13"/>
  <c r="G613" i="13"/>
  <c r="G619" i="13"/>
  <c r="G646" i="13"/>
  <c r="G651" i="13"/>
  <c r="G678" i="13"/>
  <c r="G2515" i="13"/>
  <c r="G2539" i="13"/>
  <c r="G2559" i="13"/>
  <c r="G2579" i="13"/>
  <c r="G2393" i="13"/>
  <c r="G2398" i="13"/>
  <c r="G2403" i="13"/>
  <c r="G2409" i="13"/>
  <c r="G2414" i="13"/>
  <c r="G2419" i="13"/>
  <c r="G2425" i="13"/>
  <c r="G2430" i="13"/>
  <c r="G2435" i="13"/>
  <c r="G2441" i="13"/>
  <c r="G2446" i="13"/>
  <c r="G2451" i="13"/>
  <c r="G2457" i="13"/>
  <c r="G2462" i="13"/>
  <c r="G2467" i="13"/>
  <c r="G2473" i="13"/>
  <c r="G2478" i="13"/>
  <c r="G2483" i="13"/>
  <c r="G2489" i="13"/>
  <c r="G2494" i="13"/>
  <c r="G2499" i="13"/>
  <c r="G2505" i="13"/>
  <c r="G2510" i="13"/>
  <c r="G2281" i="13"/>
  <c r="G2286" i="13"/>
  <c r="G2291" i="13"/>
  <c r="G2297" i="13"/>
  <c r="G2302" i="13"/>
  <c r="G2307" i="13"/>
  <c r="G2313" i="13"/>
  <c r="G2318" i="13"/>
  <c r="G2323" i="13"/>
  <c r="G2329" i="13"/>
  <c r="G2334" i="13"/>
  <c r="G2339" i="13"/>
  <c r="G2345" i="13"/>
  <c r="G2350" i="13"/>
  <c r="G2355" i="13"/>
  <c r="G2361" i="13"/>
  <c r="G2366" i="13"/>
  <c r="G2371" i="13"/>
  <c r="G2377" i="13"/>
  <c r="G2382" i="13"/>
  <c r="G2387" i="13"/>
  <c r="G2199" i="13"/>
  <c r="G2204" i="13"/>
  <c r="G2209" i="13"/>
  <c r="G2215" i="13"/>
  <c r="G2220" i="13"/>
  <c r="G2225" i="13"/>
  <c r="G2231" i="13"/>
  <c r="G2236" i="13"/>
  <c r="G2241" i="13"/>
  <c r="G2245" i="13"/>
  <c r="G2249" i="13"/>
  <c r="G2253" i="13"/>
  <c r="G2257" i="13"/>
  <c r="G2261" i="13"/>
  <c r="G2265" i="13"/>
  <c r="G2269" i="13"/>
  <c r="G2273" i="13"/>
  <c r="G2193" i="13"/>
  <c r="G387" i="13"/>
  <c r="G536" i="13"/>
  <c r="G550" i="13"/>
  <c r="G576" i="13"/>
  <c r="G594" i="13"/>
  <c r="G631" i="13"/>
  <c r="G663" i="13"/>
  <c r="G2523" i="13"/>
  <c r="G2543" i="13"/>
  <c r="G2563" i="13"/>
  <c r="G2587" i="13"/>
  <c r="G2389" i="13"/>
  <c r="G2394" i="13"/>
  <c r="G2399" i="13"/>
  <c r="G2405" i="13"/>
  <c r="G2410" i="13"/>
  <c r="G2415" i="13"/>
  <c r="G2421" i="13"/>
  <c r="G2426" i="13"/>
  <c r="G2431" i="13"/>
  <c r="G2437" i="13"/>
  <c r="G2442" i="13"/>
  <c r="G2447" i="13"/>
  <c r="G2453" i="13"/>
  <c r="G2458" i="13"/>
  <c r="G2463" i="13"/>
  <c r="G2469" i="13"/>
  <c r="G2474" i="13"/>
  <c r="G2479" i="13"/>
  <c r="G2485" i="13"/>
  <c r="G2490" i="13"/>
  <c r="G2495" i="13"/>
  <c r="G2501" i="13"/>
  <c r="G2506" i="13"/>
  <c r="G2511" i="13"/>
  <c r="G2277" i="13"/>
  <c r="G2282" i="13"/>
  <c r="G2287" i="13"/>
  <c r="G2293" i="13"/>
  <c r="G2298" i="13"/>
  <c r="G2303" i="13"/>
  <c r="G2309" i="13"/>
  <c r="G2314" i="13"/>
  <c r="G2319" i="13"/>
  <c r="G2325" i="13"/>
  <c r="G2330" i="13"/>
  <c r="G2335" i="13"/>
  <c r="G2341" i="13"/>
  <c r="G2346" i="13"/>
  <c r="G2351" i="13"/>
  <c r="G2357" i="13"/>
  <c r="G2362" i="13"/>
  <c r="G2367" i="13"/>
  <c r="G2373" i="13"/>
  <c r="G2378" i="13"/>
  <c r="G2383" i="13"/>
  <c r="G2200" i="13"/>
  <c r="G2205" i="13"/>
  <c r="G2211" i="13"/>
  <c r="G2216" i="13"/>
  <c r="G2221" i="13"/>
  <c r="G2227" i="13"/>
  <c r="G2232" i="13"/>
  <c r="G2237" i="13"/>
  <c r="G2242" i="13"/>
  <c r="G2246" i="13"/>
  <c r="G2250" i="13"/>
  <c r="G2254" i="13"/>
  <c r="G2258" i="13"/>
  <c r="G2262" i="13"/>
  <c r="G2266" i="13"/>
  <c r="G2270" i="13"/>
  <c r="G2274" i="13"/>
  <c r="G2194" i="13"/>
  <c r="G388" i="13"/>
  <c r="G392" i="13"/>
  <c r="G396" i="13"/>
  <c r="G400" i="13"/>
  <c r="G404" i="13"/>
  <c r="G408" i="13"/>
  <c r="G412" i="13"/>
  <c r="G416" i="13"/>
  <c r="G420" i="13"/>
  <c r="G424" i="13"/>
  <c r="G428" i="13"/>
  <c r="G432" i="13"/>
  <c r="G436" i="13"/>
  <c r="G440" i="13"/>
  <c r="G444" i="13"/>
  <c r="G448" i="13"/>
  <c r="G540" i="13"/>
  <c r="G562" i="13"/>
  <c r="G2527" i="13"/>
  <c r="G2547" i="13"/>
  <c r="G2571" i="13"/>
  <c r="G2390" i="13"/>
  <c r="G2395" i="13"/>
  <c r="G2401" i="13"/>
  <c r="G2406" i="13"/>
  <c r="G2411" i="13"/>
  <c r="G2417" i="13"/>
  <c r="G2422" i="13"/>
  <c r="G2427" i="13"/>
  <c r="G2433" i="13"/>
  <c r="G2438" i="13"/>
  <c r="G2443" i="13"/>
  <c r="G2449" i="13"/>
  <c r="G2454" i="13"/>
  <c r="G2459" i="13"/>
  <c r="G2465" i="13"/>
  <c r="G2470" i="13"/>
  <c r="G2475" i="13"/>
  <c r="G2481" i="13"/>
  <c r="G2486" i="13"/>
  <c r="G2491" i="13"/>
  <c r="G2497" i="13"/>
  <c r="G2502" i="13"/>
  <c r="G2507" i="13"/>
  <c r="G2513" i="13"/>
  <c r="G2278" i="13"/>
  <c r="G2283" i="13"/>
  <c r="G2289" i="13"/>
  <c r="G2294" i="13"/>
  <c r="G2299" i="13"/>
  <c r="G2305" i="13"/>
  <c r="G2310" i="13"/>
  <c r="G2315" i="13"/>
  <c r="G2321" i="13"/>
  <c r="G2326" i="13"/>
  <c r="G2331" i="13"/>
  <c r="G2337" i="13"/>
  <c r="G2342" i="13"/>
  <c r="G2347" i="13"/>
  <c r="G2353" i="13"/>
  <c r="G2358" i="13"/>
  <c r="G2363" i="13"/>
  <c r="G2369" i="13"/>
  <c r="G2374" i="13"/>
  <c r="G2379" i="13"/>
  <c r="G2385" i="13"/>
  <c r="G2196" i="13"/>
  <c r="G2201" i="13"/>
  <c r="G2207" i="13"/>
  <c r="G2212" i="13"/>
  <c r="G2217" i="13"/>
  <c r="G2223" i="13"/>
  <c r="G2228" i="13"/>
  <c r="G2233" i="13"/>
  <c r="G2239" i="13"/>
  <c r="G2243" i="13"/>
  <c r="G2247" i="13"/>
  <c r="G2251" i="13"/>
  <c r="G2255" i="13"/>
  <c r="G2259" i="13"/>
  <c r="G2263" i="13"/>
  <c r="G2267" i="13"/>
  <c r="G2271" i="13"/>
  <c r="G2275" i="13"/>
  <c r="G2195" i="13"/>
  <c r="G389" i="13"/>
  <c r="G393" i="13"/>
  <c r="G397" i="13"/>
  <c r="G401" i="13"/>
  <c r="G405" i="13"/>
  <c r="G409" i="13"/>
  <c r="G413" i="13"/>
  <c r="G417" i="13"/>
  <c r="G421" i="13"/>
  <c r="G425" i="13"/>
  <c r="G429" i="13"/>
  <c r="G433" i="13"/>
  <c r="G437" i="13"/>
  <c r="G441" i="13"/>
  <c r="G445" i="13"/>
  <c r="G449" i="13"/>
  <c r="G642" i="13"/>
  <c r="G2397" i="13"/>
  <c r="G2418" i="13"/>
  <c r="G2439" i="13"/>
  <c r="G2461" i="13"/>
  <c r="G2482" i="13"/>
  <c r="G2503" i="13"/>
  <c r="G2279" i="13"/>
  <c r="G2301" i="13"/>
  <c r="G2322" i="13"/>
  <c r="G2343" i="13"/>
  <c r="G2365" i="13"/>
  <c r="G2386" i="13"/>
  <c r="G2208" i="13"/>
  <c r="G2229" i="13"/>
  <c r="G2248" i="13"/>
  <c r="G2264" i="13"/>
  <c r="G386" i="13"/>
  <c r="G395" i="13"/>
  <c r="G403" i="13"/>
  <c r="G411" i="13"/>
  <c r="G419" i="13"/>
  <c r="G427" i="13"/>
  <c r="G435" i="13"/>
  <c r="G443" i="13"/>
  <c r="G451" i="13"/>
  <c r="G455" i="13"/>
  <c r="G459" i="13"/>
  <c r="G463" i="13"/>
  <c r="G467" i="13"/>
  <c r="G471" i="13"/>
  <c r="G475" i="13"/>
  <c r="G479" i="13"/>
  <c r="G483" i="13"/>
  <c r="G487" i="13"/>
  <c r="G491" i="13"/>
  <c r="G495" i="13"/>
  <c r="G499" i="13"/>
  <c r="G503" i="13"/>
  <c r="G507" i="13"/>
  <c r="G511" i="13"/>
  <c r="G685" i="13"/>
  <c r="G689" i="13"/>
  <c r="G693" i="13"/>
  <c r="G697" i="13"/>
  <c r="G701" i="13"/>
  <c r="G705" i="13"/>
  <c r="G709" i="13"/>
  <c r="G713" i="13"/>
  <c r="G717" i="13"/>
  <c r="G721" i="13"/>
  <c r="G725" i="13"/>
  <c r="G729" i="13"/>
  <c r="G733" i="13"/>
  <c r="G737" i="13"/>
  <c r="G741" i="13"/>
  <c r="G745" i="13"/>
  <c r="G749" i="13"/>
  <c r="G753" i="13"/>
  <c r="G757" i="13"/>
  <c r="G761" i="13"/>
  <c r="G764" i="13"/>
  <c r="G768" i="13"/>
  <c r="G772" i="13"/>
  <c r="G776" i="13"/>
  <c r="G780" i="13"/>
  <c r="G784" i="13"/>
  <c r="G788" i="13"/>
  <c r="G792" i="13"/>
  <c r="G796" i="13"/>
  <c r="G800" i="13"/>
  <c r="G804" i="13"/>
  <c r="G808" i="13"/>
  <c r="G812" i="13"/>
  <c r="G816" i="13"/>
  <c r="G820" i="13"/>
  <c r="G824" i="13"/>
  <c r="G828" i="13"/>
  <c r="G832" i="13"/>
  <c r="G836" i="13"/>
  <c r="G840" i="13"/>
  <c r="G844" i="13"/>
  <c r="G848" i="13"/>
  <c r="G852" i="13"/>
  <c r="G856" i="13"/>
  <c r="G860" i="13"/>
  <c r="G864" i="13"/>
  <c r="G868" i="13"/>
  <c r="G872" i="13"/>
  <c r="G876" i="13"/>
  <c r="G880" i="13"/>
  <c r="G884" i="13"/>
  <c r="G888" i="13"/>
  <c r="G892" i="13"/>
  <c r="G896" i="13"/>
  <c r="G900" i="13"/>
  <c r="G903" i="13"/>
  <c r="G907" i="13"/>
  <c r="G911" i="13"/>
  <c r="G915" i="13"/>
  <c r="G919" i="13"/>
  <c r="G923" i="13"/>
  <c r="G927" i="13"/>
  <c r="G931" i="13"/>
  <c r="G935" i="13"/>
  <c r="G939" i="13"/>
  <c r="G943" i="13"/>
  <c r="G947" i="13"/>
  <c r="G951" i="13"/>
  <c r="G955" i="13"/>
  <c r="G959" i="13"/>
  <c r="G963" i="13"/>
  <c r="G967" i="13"/>
  <c r="G971" i="13"/>
  <c r="G975" i="13"/>
  <c r="G979" i="13"/>
  <c r="G983" i="13"/>
  <c r="G987" i="13"/>
  <c r="G991" i="13"/>
  <c r="G995" i="13"/>
  <c r="G999" i="13"/>
  <c r="G1003" i="13"/>
  <c r="G1007" i="13"/>
  <c r="G674" i="13"/>
  <c r="G2531" i="13"/>
  <c r="G2402" i="13"/>
  <c r="G2423" i="13"/>
  <c r="G2445" i="13"/>
  <c r="G2466" i="13"/>
  <c r="G2487" i="13"/>
  <c r="G2509" i="13"/>
  <c r="G2285" i="13"/>
  <c r="G2306" i="13"/>
  <c r="G2327" i="13"/>
  <c r="G2349" i="13"/>
  <c r="G2370" i="13"/>
  <c r="G2213" i="13"/>
  <c r="G2235" i="13"/>
  <c r="G2252" i="13"/>
  <c r="G2268" i="13"/>
  <c r="G390" i="13"/>
  <c r="G398" i="13"/>
  <c r="G406" i="13"/>
  <c r="G414" i="13"/>
  <c r="G422" i="13"/>
  <c r="G430" i="13"/>
  <c r="G438" i="13"/>
  <c r="G446" i="13"/>
  <c r="G452" i="13"/>
  <c r="G456" i="13"/>
  <c r="G460" i="13"/>
  <c r="G464" i="13"/>
  <c r="G468" i="13"/>
  <c r="G472" i="13"/>
  <c r="G476" i="13"/>
  <c r="G480" i="13"/>
  <c r="G484" i="13"/>
  <c r="G488" i="13"/>
  <c r="G492" i="13"/>
  <c r="G496" i="13"/>
  <c r="G500" i="13"/>
  <c r="G504" i="13"/>
  <c r="G508" i="13"/>
  <c r="G512" i="13"/>
  <c r="G686" i="13"/>
  <c r="G690" i="13"/>
  <c r="G694" i="13"/>
  <c r="G698" i="13"/>
  <c r="G702" i="13"/>
  <c r="G706" i="13"/>
  <c r="G710" i="13"/>
  <c r="G714" i="13"/>
  <c r="G718" i="13"/>
  <c r="G722" i="13"/>
  <c r="G726" i="13"/>
  <c r="G730" i="13"/>
  <c r="G734" i="13"/>
  <c r="G738" i="13"/>
  <c r="G742" i="13"/>
  <c r="G746" i="13"/>
  <c r="G750" i="13"/>
  <c r="G754" i="13"/>
  <c r="G758" i="13"/>
  <c r="G762" i="13"/>
  <c r="G765" i="13"/>
  <c r="G769" i="13"/>
  <c r="G773" i="13"/>
  <c r="G777" i="13"/>
  <c r="G781" i="13"/>
  <c r="G785" i="13"/>
  <c r="G789" i="13"/>
  <c r="G793" i="13"/>
  <c r="G797" i="13"/>
  <c r="G801" i="13"/>
  <c r="G805" i="13"/>
  <c r="G809" i="13"/>
  <c r="G813" i="13"/>
  <c r="G817" i="13"/>
  <c r="G821" i="13"/>
  <c r="G825" i="13"/>
  <c r="G829" i="13"/>
  <c r="G833" i="13"/>
  <c r="G837" i="13"/>
  <c r="G841" i="13"/>
  <c r="G845" i="13"/>
  <c r="G849" i="13"/>
  <c r="G853" i="13"/>
  <c r="G857" i="13"/>
  <c r="G861" i="13"/>
  <c r="G865" i="13"/>
  <c r="G869" i="13"/>
  <c r="G873" i="13"/>
  <c r="G877" i="13"/>
  <c r="G881" i="13"/>
  <c r="G885" i="13"/>
  <c r="G889" i="13"/>
  <c r="G893" i="13"/>
  <c r="G897" i="13"/>
  <c r="G904" i="13"/>
  <c r="G908" i="13"/>
  <c r="G912" i="13"/>
  <c r="G916" i="13"/>
  <c r="G920" i="13"/>
  <c r="G924" i="13"/>
  <c r="G928" i="13"/>
  <c r="G932" i="13"/>
  <c r="G936" i="13"/>
  <c r="G940" i="13"/>
  <c r="G944" i="13"/>
  <c r="G948" i="13"/>
  <c r="G952" i="13"/>
  <c r="G956" i="13"/>
  <c r="G960" i="13"/>
  <c r="G964" i="13"/>
  <c r="G968" i="13"/>
  <c r="G972" i="13"/>
  <c r="G976" i="13"/>
  <c r="G615" i="13"/>
  <c r="G2555" i="13"/>
  <c r="G2407" i="13"/>
  <c r="G2429" i="13"/>
  <c r="G2450" i="13"/>
  <c r="G2471" i="13"/>
  <c r="G2493" i="13"/>
  <c r="G2514" i="13"/>
  <c r="G2290" i="13"/>
  <c r="G2311" i="13"/>
  <c r="G2333" i="13"/>
  <c r="G2354" i="13"/>
  <c r="G2375" i="13"/>
  <c r="G2197" i="13"/>
  <c r="G2219" i="13"/>
  <c r="G2240" i="13"/>
  <c r="G2256" i="13"/>
  <c r="G2272" i="13"/>
  <c r="G391" i="13"/>
  <c r="G399" i="13"/>
  <c r="G407" i="13"/>
  <c r="G415" i="13"/>
  <c r="G423" i="13"/>
  <c r="G431" i="13"/>
  <c r="G439" i="13"/>
  <c r="G447" i="13"/>
  <c r="G453" i="13"/>
  <c r="G457" i="13"/>
  <c r="G461" i="13"/>
  <c r="G465" i="13"/>
  <c r="G469" i="13"/>
  <c r="G473" i="13"/>
  <c r="G477" i="13"/>
  <c r="G481" i="13"/>
  <c r="G485" i="13"/>
  <c r="G489" i="13"/>
  <c r="G493" i="13"/>
  <c r="G497" i="13"/>
  <c r="G501" i="13"/>
  <c r="G505" i="13"/>
  <c r="G509" i="13"/>
  <c r="G683" i="13"/>
  <c r="G687" i="13"/>
  <c r="G691" i="13"/>
  <c r="G695" i="13"/>
  <c r="G699" i="13"/>
  <c r="G703" i="13"/>
  <c r="G707" i="13"/>
  <c r="G711" i="13"/>
  <c r="G715" i="13"/>
  <c r="G719" i="13"/>
  <c r="G723" i="13"/>
  <c r="G727" i="13"/>
  <c r="G731" i="13"/>
  <c r="G735" i="13"/>
  <c r="G739" i="13"/>
  <c r="G743" i="13"/>
  <c r="G747" i="13"/>
  <c r="G751" i="13"/>
  <c r="G755" i="13"/>
  <c r="G759" i="13"/>
  <c r="G766" i="13"/>
  <c r="G770" i="13"/>
  <c r="G774" i="13"/>
  <c r="G778" i="13"/>
  <c r="G782" i="13"/>
  <c r="G786" i="13"/>
  <c r="G790" i="13"/>
  <c r="G794" i="13"/>
  <c r="G798" i="13"/>
  <c r="G802" i="13"/>
  <c r="G806" i="13"/>
  <c r="G810" i="13"/>
  <c r="G814" i="13"/>
  <c r="G818" i="13"/>
  <c r="G822" i="13"/>
  <c r="G826" i="13"/>
  <c r="G830" i="13"/>
  <c r="G834" i="13"/>
  <c r="G838" i="13"/>
  <c r="G842" i="13"/>
  <c r="G846" i="13"/>
  <c r="G850" i="13"/>
  <c r="G854" i="13"/>
  <c r="G858" i="13"/>
  <c r="G862" i="13"/>
  <c r="G866" i="13"/>
  <c r="G870" i="13"/>
  <c r="G874" i="13"/>
  <c r="G878" i="13"/>
  <c r="G882" i="13"/>
  <c r="G886" i="13"/>
  <c r="G890" i="13"/>
  <c r="G894" i="13"/>
  <c r="G898" i="13"/>
  <c r="G901" i="13"/>
  <c r="G905" i="13"/>
  <c r="G909" i="13"/>
  <c r="G913" i="13"/>
  <c r="G917" i="13"/>
  <c r="G921" i="13"/>
  <c r="G925" i="13"/>
  <c r="G929" i="13"/>
  <c r="G933" i="13"/>
  <c r="G937" i="13"/>
  <c r="G941" i="13"/>
  <c r="G945" i="13"/>
  <c r="G949" i="13"/>
  <c r="G953" i="13"/>
  <c r="G957" i="13"/>
  <c r="G961" i="13"/>
  <c r="G965" i="13"/>
  <c r="G969" i="13"/>
  <c r="G973" i="13"/>
  <c r="G977" i="13"/>
  <c r="G981" i="13"/>
  <c r="G985" i="13"/>
  <c r="G989" i="13"/>
  <c r="G993" i="13"/>
  <c r="G997" i="13"/>
  <c r="G1001" i="13"/>
  <c r="G1005" i="13"/>
  <c r="G609" i="13"/>
  <c r="G2575" i="13"/>
  <c r="G2391" i="13"/>
  <c r="G2413" i="13"/>
  <c r="G2434" i="13"/>
  <c r="G2455" i="13"/>
  <c r="G2477" i="13"/>
  <c r="G2498" i="13"/>
  <c r="G2295" i="13"/>
  <c r="G2317" i="13"/>
  <c r="G2338" i="13"/>
  <c r="G2359" i="13"/>
  <c r="G2381" i="13"/>
  <c r="G2203" i="13"/>
  <c r="G2224" i="13"/>
  <c r="G2244" i="13"/>
  <c r="G2260" i="13"/>
  <c r="G2192" i="13"/>
  <c r="G394" i="13"/>
  <c r="G402" i="13"/>
  <c r="G410" i="13"/>
  <c r="G418" i="13"/>
  <c r="G426" i="13"/>
  <c r="G434" i="13"/>
  <c r="G442" i="13"/>
  <c r="G450" i="13"/>
  <c r="G454" i="13"/>
  <c r="G458" i="13"/>
  <c r="G462" i="13"/>
  <c r="G466" i="13"/>
  <c r="G470" i="13"/>
  <c r="G474" i="13"/>
  <c r="G478" i="13"/>
  <c r="G482" i="13"/>
  <c r="G486" i="13"/>
  <c r="G490" i="13"/>
  <c r="G494" i="13"/>
  <c r="G498" i="13"/>
  <c r="G502" i="13"/>
  <c r="G506" i="13"/>
  <c r="G510" i="13"/>
  <c r="G684" i="13"/>
  <c r="G688" i="13"/>
  <c r="G692" i="13"/>
  <c r="G696" i="13"/>
  <c r="G700" i="13"/>
  <c r="G704" i="13"/>
  <c r="G708" i="13"/>
  <c r="G712" i="13"/>
  <c r="G716" i="13"/>
  <c r="G720" i="13"/>
  <c r="G724" i="13"/>
  <c r="G728" i="13"/>
  <c r="G732" i="13"/>
  <c r="G736" i="13"/>
  <c r="G740" i="13"/>
  <c r="G744" i="13"/>
  <c r="G748" i="13"/>
  <c r="G752" i="13"/>
  <c r="G756" i="13"/>
  <c r="G760" i="13"/>
  <c r="G763" i="13"/>
  <c r="G767" i="13"/>
  <c r="G771" i="13"/>
  <c r="G775" i="13"/>
  <c r="G779" i="13"/>
  <c r="G783" i="13"/>
  <c r="G787" i="13"/>
  <c r="G791" i="13"/>
  <c r="G795" i="13"/>
  <c r="G799" i="13"/>
  <c r="G803" i="13"/>
  <c r="G807" i="13"/>
  <c r="G811" i="13"/>
  <c r="G815" i="13"/>
  <c r="G819" i="13"/>
  <c r="G823" i="13"/>
  <c r="G827" i="13"/>
  <c r="G831" i="13"/>
  <c r="G835" i="13"/>
  <c r="G839" i="13"/>
  <c r="G843" i="13"/>
  <c r="G847" i="13"/>
  <c r="G851" i="13"/>
  <c r="G855" i="13"/>
  <c r="G863" i="13"/>
  <c r="G879" i="13"/>
  <c r="G895" i="13"/>
  <c r="G906" i="13"/>
  <c r="G922" i="13"/>
  <c r="G938" i="13"/>
  <c r="G954" i="13"/>
  <c r="G970" i="13"/>
  <c r="G982" i="13"/>
  <c r="G990" i="13"/>
  <c r="G998" i="13"/>
  <c r="G1006" i="13"/>
  <c r="G1011" i="13"/>
  <c r="G1015" i="13"/>
  <c r="G1019" i="13"/>
  <c r="G1023" i="13"/>
  <c r="G1027" i="13"/>
  <c r="G1031" i="13"/>
  <c r="G1035" i="13"/>
  <c r="G1039" i="13"/>
  <c r="G1043" i="13"/>
  <c r="G1047" i="13"/>
  <c r="G1051" i="13"/>
  <c r="G1055" i="13"/>
  <c r="G1059" i="13"/>
  <c r="G1063" i="13"/>
  <c r="G1067" i="13"/>
  <c r="G1071" i="13"/>
  <c r="G1075" i="13"/>
  <c r="G1079" i="13"/>
  <c r="G1083" i="13"/>
  <c r="G1087" i="13"/>
  <c r="G1091" i="13"/>
  <c r="G1095" i="13"/>
  <c r="G1099" i="13"/>
  <c r="G1103" i="13"/>
  <c r="G1107" i="13"/>
  <c r="G1110" i="13"/>
  <c r="G1114" i="13"/>
  <c r="G1118" i="13"/>
  <c r="G1122" i="13"/>
  <c r="G1126" i="13"/>
  <c r="G1130" i="13"/>
  <c r="G1134" i="13"/>
  <c r="G1138" i="13"/>
  <c r="G1142" i="13"/>
  <c r="G1146" i="13"/>
  <c r="G1150" i="13"/>
  <c r="G1154" i="13"/>
  <c r="G1158" i="13"/>
  <c r="G1162" i="13"/>
  <c r="G1166" i="13"/>
  <c r="G1170" i="13"/>
  <c r="G1174" i="13"/>
  <c r="G1177" i="13"/>
  <c r="G1181" i="13"/>
  <c r="G1185" i="13"/>
  <c r="G1189" i="13"/>
  <c r="G1193" i="13"/>
  <c r="G1197" i="13"/>
  <c r="G1201" i="13"/>
  <c r="G1205" i="13"/>
  <c r="G1209" i="13"/>
  <c r="G1213" i="13"/>
  <c r="G1217" i="13"/>
  <c r="G1221" i="13"/>
  <c r="G1225" i="13"/>
  <c r="G1229" i="13"/>
  <c r="G1233" i="13"/>
  <c r="G1237" i="13"/>
  <c r="G1241" i="13"/>
  <c r="G1245" i="13"/>
  <c r="G1248" i="13"/>
  <c r="G1252" i="13"/>
  <c r="G1256" i="13"/>
  <c r="G1260" i="13"/>
  <c r="G1264" i="13"/>
  <c r="G1268" i="13"/>
  <c r="G1272" i="13"/>
  <c r="G1276" i="13"/>
  <c r="G1280" i="13"/>
  <c r="G1284" i="13"/>
  <c r="G1288" i="13"/>
  <c r="G1292" i="13"/>
  <c r="G1296" i="13"/>
  <c r="G1300" i="13"/>
  <c r="G1304" i="13"/>
  <c r="G1308" i="13"/>
  <c r="G1312" i="13"/>
  <c r="G1315" i="13"/>
  <c r="G1319" i="13"/>
  <c r="G1323" i="13"/>
  <c r="G1327" i="13"/>
  <c r="G1331" i="13"/>
  <c r="G1335" i="13"/>
  <c r="G1339" i="13"/>
  <c r="G1343" i="13"/>
  <c r="G1347" i="13"/>
  <c r="G1351" i="13"/>
  <c r="G1355" i="13"/>
  <c r="G1359" i="13"/>
  <c r="G1363" i="13"/>
  <c r="G1367" i="13"/>
  <c r="G1371" i="13"/>
  <c r="G1375" i="13"/>
  <c r="G1379" i="13"/>
  <c r="G1383" i="13"/>
  <c r="G1385" i="13"/>
  <c r="G1389" i="13"/>
  <c r="G1393" i="13"/>
  <c r="G1397" i="13"/>
  <c r="G1401" i="13"/>
  <c r="G1405" i="13"/>
  <c r="G1409" i="13"/>
  <c r="G1413" i="13"/>
  <c r="G1417" i="13"/>
  <c r="G1421" i="13"/>
  <c r="G1425" i="13"/>
  <c r="G1429" i="13"/>
  <c r="G1433" i="13"/>
  <c r="G1437" i="13"/>
  <c r="G1441" i="13"/>
  <c r="G1445" i="13"/>
  <c r="G1449" i="13"/>
  <c r="G1456" i="13"/>
  <c r="G1460" i="13"/>
  <c r="G1464" i="13"/>
  <c r="G1468" i="13"/>
  <c r="G1472" i="13"/>
  <c r="G1476" i="13"/>
  <c r="G1480" i="13"/>
  <c r="G1484" i="13"/>
  <c r="G1488" i="13"/>
  <c r="G1492" i="13"/>
  <c r="G1496" i="13"/>
  <c r="G1500" i="13"/>
  <c r="G1504" i="13"/>
  <c r="G1508" i="13"/>
  <c r="G1512" i="13"/>
  <c r="G1516" i="13"/>
  <c r="G1520" i="13"/>
  <c r="G1522" i="13"/>
  <c r="G1526" i="13"/>
  <c r="G1530" i="13"/>
  <c r="G1534" i="13"/>
  <c r="G1538" i="13"/>
  <c r="G1542" i="13"/>
  <c r="G1546" i="13"/>
  <c r="G1550" i="13"/>
  <c r="G1554" i="13"/>
  <c r="G1558" i="13"/>
  <c r="G1562" i="13"/>
  <c r="G1566" i="13"/>
  <c r="G1570" i="13"/>
  <c r="G1574" i="13"/>
  <c r="G1578" i="13"/>
  <c r="G1582" i="13"/>
  <c r="G1586" i="13"/>
  <c r="G1590" i="13"/>
  <c r="G1591" i="13"/>
  <c r="G1595" i="13"/>
  <c r="G1599" i="13"/>
  <c r="G1603" i="13"/>
  <c r="G1607" i="13"/>
  <c r="G1611" i="13"/>
  <c r="G1615" i="13"/>
  <c r="G1619" i="13"/>
  <c r="G1623" i="13"/>
  <c r="G1627" i="13"/>
  <c r="G1631" i="13"/>
  <c r="G867" i="13"/>
  <c r="G883" i="13"/>
  <c r="G899" i="13"/>
  <c r="G910" i="13"/>
  <c r="G926" i="13"/>
  <c r="G942" i="13"/>
  <c r="G958" i="13"/>
  <c r="G974" i="13"/>
  <c r="G984" i="13"/>
  <c r="G992" i="13"/>
  <c r="G1000" i="13"/>
  <c r="G1008" i="13"/>
  <c r="G1012" i="13"/>
  <c r="G1016" i="13"/>
  <c r="G1020" i="13"/>
  <c r="G1024" i="13"/>
  <c r="G1028" i="13"/>
  <c r="G1032" i="13"/>
  <c r="G1036" i="13"/>
  <c r="G1040" i="13"/>
  <c r="G1044" i="13"/>
  <c r="G1048" i="13"/>
  <c r="G1052" i="13"/>
  <c r="G1056" i="13"/>
  <c r="G1060" i="13"/>
  <c r="G1064" i="13"/>
  <c r="G1068" i="13"/>
  <c r="G1072" i="13"/>
  <c r="G1076" i="13"/>
  <c r="G1080" i="13"/>
  <c r="G1084" i="13"/>
  <c r="G1088" i="13"/>
  <c r="G1092" i="13"/>
  <c r="G1096" i="13"/>
  <c r="G1100" i="13"/>
  <c r="G1104" i="13"/>
  <c r="G1111" i="13"/>
  <c r="G1115" i="13"/>
  <c r="G1119" i="13"/>
  <c r="G1123" i="13"/>
  <c r="G1127" i="13"/>
  <c r="G1131" i="13"/>
  <c r="G1135" i="13"/>
  <c r="G1139" i="13"/>
  <c r="G1143" i="13"/>
  <c r="G1147" i="13"/>
  <c r="G1151" i="13"/>
  <c r="G1155" i="13"/>
  <c r="G1159" i="13"/>
  <c r="G1163" i="13"/>
  <c r="G1167" i="13"/>
  <c r="G1171" i="13"/>
  <c r="G1175" i="13"/>
  <c r="G1178" i="13"/>
  <c r="G1182" i="13"/>
  <c r="G1186" i="13"/>
  <c r="G1190" i="13"/>
  <c r="G1194" i="13"/>
  <c r="G1198" i="13"/>
  <c r="G1202" i="13"/>
  <c r="G1206" i="13"/>
  <c r="G1210" i="13"/>
  <c r="G1214" i="13"/>
  <c r="G1218" i="13"/>
  <c r="G1222" i="13"/>
  <c r="G1226" i="13"/>
  <c r="G1230" i="13"/>
  <c r="G1234" i="13"/>
  <c r="G1238" i="13"/>
  <c r="G1242" i="13"/>
  <c r="G1249" i="13"/>
  <c r="G1253" i="13"/>
  <c r="G1257" i="13"/>
  <c r="G1261" i="13"/>
  <c r="G1265" i="13"/>
  <c r="G1269" i="13"/>
  <c r="G1273" i="13"/>
  <c r="G1277" i="13"/>
  <c r="G1281" i="13"/>
  <c r="G1285" i="13"/>
  <c r="G1289" i="13"/>
  <c r="G1293" i="13"/>
  <c r="G1297" i="13"/>
  <c r="G1301" i="13"/>
  <c r="G1305" i="13"/>
  <c r="G1309" i="13"/>
  <c r="G1313" i="13"/>
  <c r="G1316" i="13"/>
  <c r="G1320" i="13"/>
  <c r="G1324" i="13"/>
  <c r="G1328" i="13"/>
  <c r="G1332" i="13"/>
  <c r="G1336" i="13"/>
  <c r="G1340" i="13"/>
  <c r="G1344" i="13"/>
  <c r="G1348" i="13"/>
  <c r="G1352" i="13"/>
  <c r="G1356" i="13"/>
  <c r="G1360" i="13"/>
  <c r="G1364" i="13"/>
  <c r="G1368" i="13"/>
  <c r="G1372" i="13"/>
  <c r="G1376" i="13"/>
  <c r="G1380" i="13"/>
  <c r="G1386" i="13"/>
  <c r="G1390" i="13"/>
  <c r="G1394" i="13"/>
  <c r="G1398" i="13"/>
  <c r="G1402" i="13"/>
  <c r="G871" i="13"/>
  <c r="G887" i="13"/>
  <c r="G914" i="13"/>
  <c r="G930" i="13"/>
  <c r="G946" i="13"/>
  <c r="G962" i="13"/>
  <c r="G978" i="13"/>
  <c r="G986" i="13"/>
  <c r="G994" i="13"/>
  <c r="G1002" i="13"/>
  <c r="G1009" i="13"/>
  <c r="G1013" i="13"/>
  <c r="G1017" i="13"/>
  <c r="G1021" i="13"/>
  <c r="G1025" i="13"/>
  <c r="G1029" i="13"/>
  <c r="G1033" i="13"/>
  <c r="G1037" i="13"/>
  <c r="G1041" i="13"/>
  <c r="G1045" i="13"/>
  <c r="G1049" i="13"/>
  <c r="G1053" i="13"/>
  <c r="G1057" i="13"/>
  <c r="G1061" i="13"/>
  <c r="G1065" i="13"/>
  <c r="G1069" i="13"/>
  <c r="G1073" i="13"/>
  <c r="G1077" i="13"/>
  <c r="G1081" i="13"/>
  <c r="G1085" i="13"/>
  <c r="G1089" i="13"/>
  <c r="G1093" i="13"/>
  <c r="G1097" i="13"/>
  <c r="G1101" i="13"/>
  <c r="G1105" i="13"/>
  <c r="G1108" i="13"/>
  <c r="G1112" i="13"/>
  <c r="G1116" i="13"/>
  <c r="G1120" i="13"/>
  <c r="G1124" i="13"/>
  <c r="G1128" i="13"/>
  <c r="G1132" i="13"/>
  <c r="G1136" i="13"/>
  <c r="G1140" i="13"/>
  <c r="G1144" i="13"/>
  <c r="G1148" i="13"/>
  <c r="G1152" i="13"/>
  <c r="G1156" i="13"/>
  <c r="G1160" i="13"/>
  <c r="G1164" i="13"/>
  <c r="G1168" i="13"/>
  <c r="G1172" i="13"/>
  <c r="G1176" i="13"/>
  <c r="G1179" i="13"/>
  <c r="G1183" i="13"/>
  <c r="G1187" i="13"/>
  <c r="G1191" i="13"/>
  <c r="G1195" i="13"/>
  <c r="G1199" i="13"/>
  <c r="G1203" i="13"/>
  <c r="G1207" i="13"/>
  <c r="G1211" i="13"/>
  <c r="G1215" i="13"/>
  <c r="G1219" i="13"/>
  <c r="G1223" i="13"/>
  <c r="G1227" i="13"/>
  <c r="G1231" i="13"/>
  <c r="G1235" i="13"/>
  <c r="G1239" i="13"/>
  <c r="G1243" i="13"/>
  <c r="G1246" i="13"/>
  <c r="G1250" i="13"/>
  <c r="G1254" i="13"/>
  <c r="G1258" i="13"/>
  <c r="G1262" i="13"/>
  <c r="G1266" i="13"/>
  <c r="G1270" i="13"/>
  <c r="G1274" i="13"/>
  <c r="G1278" i="13"/>
  <c r="G1282" i="13"/>
  <c r="G1286" i="13"/>
  <c r="G1290" i="13"/>
  <c r="G1294" i="13"/>
  <c r="G1298" i="13"/>
  <c r="G1302" i="13"/>
  <c r="G1306" i="13"/>
  <c r="G1310" i="13"/>
  <c r="G1314" i="13"/>
  <c r="G1317" i="13"/>
  <c r="G1321" i="13"/>
  <c r="G1325" i="13"/>
  <c r="G1329" i="13"/>
  <c r="G1333" i="13"/>
  <c r="G1337" i="13"/>
  <c r="G1341" i="13"/>
  <c r="G1345" i="13"/>
  <c r="G1349" i="13"/>
  <c r="G1353" i="13"/>
  <c r="G1357" i="13"/>
  <c r="G1361" i="13"/>
  <c r="G1365" i="13"/>
  <c r="G1369" i="13"/>
  <c r="G1373" i="13"/>
  <c r="G1377" i="13"/>
  <c r="G1381" i="13"/>
  <c r="G1387" i="13"/>
  <c r="G1391" i="13"/>
  <c r="G1395" i="13"/>
  <c r="G1399" i="13"/>
  <c r="G1403" i="13"/>
  <c r="G1407" i="13"/>
  <c r="G1411" i="13"/>
  <c r="G1415" i="13"/>
  <c r="G1419" i="13"/>
  <c r="G1423" i="13"/>
  <c r="G1427" i="13"/>
  <c r="G1431" i="13"/>
  <c r="G1435" i="13"/>
  <c r="G1439" i="13"/>
  <c r="G1443" i="13"/>
  <c r="G1447" i="13"/>
  <c r="G1451" i="13"/>
  <c r="G1454" i="13"/>
  <c r="G1458" i="13"/>
  <c r="G1462" i="13"/>
  <c r="G1466" i="13"/>
  <c r="G1470" i="13"/>
  <c r="G1474" i="13"/>
  <c r="G1478" i="13"/>
  <c r="G1482" i="13"/>
  <c r="G1486" i="13"/>
  <c r="G1490" i="13"/>
  <c r="G1494" i="13"/>
  <c r="G1498" i="13"/>
  <c r="G1502" i="13"/>
  <c r="G1506" i="13"/>
  <c r="G1510" i="13"/>
  <c r="G1514" i="13"/>
  <c r="G1518" i="13"/>
  <c r="G1524" i="13"/>
  <c r="G1528" i="13"/>
  <c r="G1532" i="13"/>
  <c r="G1536" i="13"/>
  <c r="G1540" i="13"/>
  <c r="G1544" i="13"/>
  <c r="G1548" i="13"/>
  <c r="G1552" i="13"/>
  <c r="G1556" i="13"/>
  <c r="G1560" i="13"/>
  <c r="G1564" i="13"/>
  <c r="G1568" i="13"/>
  <c r="G1572" i="13"/>
  <c r="G1576" i="13"/>
  <c r="G1580" i="13"/>
  <c r="G1584" i="13"/>
  <c r="G1588" i="13"/>
  <c r="G1593" i="13"/>
  <c r="G1597" i="13"/>
  <c r="G1601" i="13"/>
  <c r="G1605" i="13"/>
  <c r="G1609" i="13"/>
  <c r="G1613" i="13"/>
  <c r="G1617" i="13"/>
  <c r="G1621" i="13"/>
  <c r="G1625" i="13"/>
  <c r="G1629" i="13"/>
  <c r="G1633" i="13"/>
  <c r="G1637" i="13"/>
  <c r="G1641" i="13"/>
  <c r="G1645" i="13"/>
  <c r="G859" i="13"/>
  <c r="G875" i="13"/>
  <c r="G891" i="13"/>
  <c r="G902" i="13"/>
  <c r="G918" i="13"/>
  <c r="G934" i="13"/>
  <c r="G950" i="13"/>
  <c r="G966" i="13"/>
  <c r="G980" i="13"/>
  <c r="G988" i="13"/>
  <c r="G996" i="13"/>
  <c r="G1004" i="13"/>
  <c r="G1010" i="13"/>
  <c r="G1014" i="13"/>
  <c r="G1018" i="13"/>
  <c r="G1022" i="13"/>
  <c r="G1026" i="13"/>
  <c r="G1030" i="13"/>
  <c r="G1034" i="13"/>
  <c r="G1038" i="13"/>
  <c r="G1042" i="13"/>
  <c r="G1046" i="13"/>
  <c r="G1050" i="13"/>
  <c r="G1054" i="13"/>
  <c r="G1058" i="13"/>
  <c r="G1062" i="13"/>
  <c r="G1066" i="13"/>
  <c r="G1070" i="13"/>
  <c r="G1074" i="13"/>
  <c r="G1078" i="13"/>
  <c r="G1082" i="13"/>
  <c r="G1086" i="13"/>
  <c r="G1090" i="13"/>
  <c r="G1094" i="13"/>
  <c r="G1098" i="13"/>
  <c r="G1102" i="13"/>
  <c r="G1106" i="13"/>
  <c r="G1109" i="13"/>
  <c r="G1113" i="13"/>
  <c r="G1117" i="13"/>
  <c r="G1121" i="13"/>
  <c r="G1125" i="13"/>
  <c r="G1129" i="13"/>
  <c r="G1133" i="13"/>
  <c r="G1137" i="13"/>
  <c r="G1141" i="13"/>
  <c r="G1145" i="13"/>
  <c r="G1149" i="13"/>
  <c r="G1153" i="13"/>
  <c r="G1157" i="13"/>
  <c r="G1161" i="13"/>
  <c r="G1165" i="13"/>
  <c r="G1169" i="13"/>
  <c r="G1173" i="13"/>
  <c r="G1180" i="13"/>
  <c r="G1184" i="13"/>
  <c r="G1188" i="13"/>
  <c r="G1192" i="13"/>
  <c r="G1196" i="13"/>
  <c r="G1200" i="13"/>
  <c r="G1204" i="13"/>
  <c r="G1216" i="13"/>
  <c r="G1232" i="13"/>
  <c r="G1259" i="13"/>
  <c r="G1275" i="13"/>
  <c r="G1291" i="13"/>
  <c r="G1307" i="13"/>
  <c r="G1322" i="13"/>
  <c r="G1338" i="13"/>
  <c r="G1354" i="13"/>
  <c r="G1370" i="13"/>
  <c r="G1392" i="13"/>
  <c r="G1406" i="13"/>
  <c r="G1414" i="13"/>
  <c r="G1422" i="13"/>
  <c r="G1430" i="13"/>
  <c r="G1438" i="13"/>
  <c r="G1446" i="13"/>
  <c r="G1459" i="13"/>
  <c r="G1467" i="13"/>
  <c r="G1475" i="13"/>
  <c r="G1483" i="13"/>
  <c r="G1491" i="13"/>
  <c r="G1499" i="13"/>
  <c r="G1507" i="13"/>
  <c r="G1515" i="13"/>
  <c r="G1527" i="13"/>
  <c r="G1535" i="13"/>
  <c r="G1543" i="13"/>
  <c r="G1551" i="13"/>
  <c r="G1559" i="13"/>
  <c r="G1567" i="13"/>
  <c r="G1575" i="13"/>
  <c r="G1583" i="13"/>
  <c r="G1594" i="13"/>
  <c r="G1602" i="13"/>
  <c r="G1610" i="13"/>
  <c r="G1618" i="13"/>
  <c r="G1626" i="13"/>
  <c r="G1634" i="13"/>
  <c r="G1639" i="13"/>
  <c r="G1644" i="13"/>
  <c r="G1649" i="13"/>
  <c r="G1653" i="13"/>
  <c r="G1657" i="13"/>
  <c r="G1663" i="13"/>
  <c r="G1667" i="13"/>
  <c r="G1671" i="13"/>
  <c r="G1675" i="13"/>
  <c r="G1679" i="13"/>
  <c r="G1683" i="13"/>
  <c r="G1687" i="13"/>
  <c r="G1691" i="13"/>
  <c r="G1695" i="13"/>
  <c r="G1699" i="13"/>
  <c r="G1703" i="13"/>
  <c r="G1707" i="13"/>
  <c r="G1711" i="13"/>
  <c r="G1715" i="13"/>
  <c r="G1719" i="13"/>
  <c r="G1723" i="13"/>
  <c r="G1727" i="13"/>
  <c r="G1732" i="13"/>
  <c r="G1736" i="13"/>
  <c r="G1740" i="13"/>
  <c r="G1744" i="13"/>
  <c r="G1748" i="13"/>
  <c r="G1752" i="13"/>
  <c r="G1756" i="13"/>
  <c r="G1760" i="13"/>
  <c r="G1764" i="13"/>
  <c r="G1768" i="13"/>
  <c r="G1772" i="13"/>
  <c r="G1776" i="13"/>
  <c r="G1780" i="13"/>
  <c r="G1784" i="13"/>
  <c r="G1788" i="13"/>
  <c r="G1792" i="13"/>
  <c r="G1796" i="13"/>
  <c r="G1800" i="13"/>
  <c r="G1804" i="13"/>
  <c r="G1808" i="13"/>
  <c r="G1812" i="13"/>
  <c r="G1816" i="13"/>
  <c r="G1820" i="13"/>
  <c r="G1824" i="13"/>
  <c r="G1828" i="13"/>
  <c r="G1832" i="13"/>
  <c r="G1836" i="13"/>
  <c r="G1840" i="13"/>
  <c r="G1844" i="13"/>
  <c r="G1848" i="13"/>
  <c r="G1852" i="13"/>
  <c r="G1856" i="13"/>
  <c r="G1860" i="13"/>
  <c r="G1864" i="13"/>
  <c r="G1869" i="13"/>
  <c r="G1873" i="13"/>
  <c r="G1877" i="13"/>
  <c r="G1881" i="13"/>
  <c r="G1885" i="13"/>
  <c r="G1889" i="13"/>
  <c r="G1893" i="13"/>
  <c r="G1897" i="13"/>
  <c r="G1901" i="13"/>
  <c r="G1905" i="13"/>
  <c r="G1909" i="13"/>
  <c r="G1913" i="13"/>
  <c r="G1917" i="13"/>
  <c r="G1921" i="13"/>
  <c r="G1925" i="13"/>
  <c r="G1929" i="13"/>
  <c r="G1933" i="13"/>
  <c r="G1939" i="13"/>
  <c r="G1943" i="13"/>
  <c r="G1947" i="13"/>
  <c r="G1950" i="13"/>
  <c r="G1954" i="13"/>
  <c r="G1958" i="13"/>
  <c r="G1962" i="13"/>
  <c r="G1965" i="13"/>
  <c r="G1969" i="13"/>
  <c r="G1973" i="13"/>
  <c r="G1977" i="13"/>
  <c r="G1980" i="13"/>
  <c r="G1984" i="13"/>
  <c r="G1988" i="13"/>
  <c r="G1995" i="13"/>
  <c r="G1999" i="13"/>
  <c r="G2003" i="13"/>
  <c r="G2006" i="13"/>
  <c r="G2010" i="13"/>
  <c r="G2014" i="13"/>
  <c r="G2018" i="13"/>
  <c r="G2021" i="13"/>
  <c r="G2025" i="13"/>
  <c r="G2029" i="13"/>
  <c r="G2033" i="13"/>
  <c r="G2037" i="13"/>
  <c r="G2041" i="13"/>
  <c r="G2045" i="13"/>
  <c r="G2048" i="13"/>
  <c r="G2052" i="13"/>
  <c r="G2056" i="13"/>
  <c r="G2060" i="13"/>
  <c r="G2063" i="13"/>
  <c r="G2067" i="13"/>
  <c r="G2071" i="13"/>
  <c r="G2075" i="13"/>
  <c r="G2078" i="13"/>
  <c r="G2082" i="13"/>
  <c r="G2086" i="13"/>
  <c r="G2093" i="13"/>
  <c r="G2097" i="13"/>
  <c r="G2101" i="13"/>
  <c r="G2107" i="13"/>
  <c r="G2111" i="13"/>
  <c r="G2115" i="13"/>
  <c r="G2121" i="13"/>
  <c r="G2125" i="13"/>
  <c r="G2129" i="13"/>
  <c r="G2135" i="13"/>
  <c r="G2139" i="13"/>
  <c r="G2143" i="13"/>
  <c r="G2147" i="13"/>
  <c r="G2151" i="13"/>
  <c r="G1220" i="13"/>
  <c r="G1236" i="13"/>
  <c r="G1247" i="13"/>
  <c r="G1263" i="13"/>
  <c r="G1279" i="13"/>
  <c r="G1295" i="13"/>
  <c r="G1311" i="13"/>
  <c r="G1326" i="13"/>
  <c r="G1342" i="13"/>
  <c r="G1358" i="13"/>
  <c r="G1374" i="13"/>
  <c r="G1396" i="13"/>
  <c r="G1408" i="13"/>
  <c r="G1416" i="13"/>
  <c r="G1424" i="13"/>
  <c r="G1432" i="13"/>
  <c r="G1440" i="13"/>
  <c r="G1448" i="13"/>
  <c r="G1453" i="13"/>
  <c r="G1461" i="13"/>
  <c r="G1469" i="13"/>
  <c r="G1477" i="13"/>
  <c r="G1485" i="13"/>
  <c r="G1493" i="13"/>
  <c r="G1501" i="13"/>
  <c r="G1509" i="13"/>
  <c r="G1517" i="13"/>
  <c r="G1529" i="13"/>
  <c r="G1537" i="13"/>
  <c r="G1545" i="13"/>
  <c r="G1553" i="13"/>
  <c r="G1561" i="13"/>
  <c r="G1569" i="13"/>
  <c r="G1577" i="13"/>
  <c r="G1585" i="13"/>
  <c r="G1596" i="13"/>
  <c r="G1604" i="13"/>
  <c r="G1612" i="13"/>
  <c r="G1620" i="13"/>
  <c r="G1628" i="13"/>
  <c r="G1635" i="13"/>
  <c r="G1640" i="13"/>
  <c r="G1646" i="13"/>
  <c r="G1650" i="13"/>
  <c r="G1654" i="13"/>
  <c r="G1658" i="13"/>
  <c r="G1660" i="13"/>
  <c r="G1664" i="13"/>
  <c r="G1668" i="13"/>
  <c r="G1672" i="13"/>
  <c r="G1676" i="13"/>
  <c r="G1680" i="13"/>
  <c r="G1684" i="13"/>
  <c r="G1688" i="13"/>
  <c r="G1692" i="13"/>
  <c r="G1696" i="13"/>
  <c r="G1700" i="13"/>
  <c r="G1704" i="13"/>
  <c r="G1708" i="13"/>
  <c r="G1712" i="13"/>
  <c r="G1716" i="13"/>
  <c r="G1720" i="13"/>
  <c r="G1724" i="13"/>
  <c r="G1728" i="13"/>
  <c r="G1729" i="13"/>
  <c r="G1733" i="13"/>
  <c r="G1737" i="13"/>
  <c r="G1741" i="13"/>
  <c r="G1745" i="13"/>
  <c r="G1749" i="13"/>
  <c r="G1753" i="13"/>
  <c r="G1757" i="13"/>
  <c r="G1761" i="13"/>
  <c r="G1765" i="13"/>
  <c r="G1769" i="13"/>
  <c r="G1773" i="13"/>
  <c r="G1777" i="13"/>
  <c r="G1781" i="13"/>
  <c r="G1785" i="13"/>
  <c r="G1789" i="13"/>
  <c r="G1793" i="13"/>
  <c r="G1797" i="13"/>
  <c r="G1801" i="13"/>
  <c r="G1805" i="13"/>
  <c r="G1809" i="13"/>
  <c r="G1813" i="13"/>
  <c r="G1817" i="13"/>
  <c r="G1821" i="13"/>
  <c r="G1825" i="13"/>
  <c r="G1829" i="13"/>
  <c r="G1833" i="13"/>
  <c r="G1837" i="13"/>
  <c r="G1841" i="13"/>
  <c r="G1845" i="13"/>
  <c r="G1849" i="13"/>
  <c r="G1853" i="13"/>
  <c r="G1857" i="13"/>
  <c r="G1861" i="13"/>
  <c r="G1865" i="13"/>
  <c r="G1870" i="13"/>
  <c r="G1874" i="13"/>
  <c r="G1878" i="13"/>
  <c r="G1882" i="13"/>
  <c r="G1886" i="13"/>
  <c r="G1890" i="13"/>
  <c r="G1894" i="13"/>
  <c r="G1898" i="13"/>
  <c r="G1902" i="13"/>
  <c r="G1906" i="13"/>
  <c r="G1910" i="13"/>
  <c r="G1914" i="13"/>
  <c r="G1918" i="13"/>
  <c r="G1922" i="13"/>
  <c r="G1926" i="13"/>
  <c r="G1930" i="13"/>
  <c r="G1934" i="13"/>
  <c r="G1936" i="13"/>
  <c r="G1940" i="13"/>
  <c r="G1944" i="13"/>
  <c r="G1948" i="13"/>
  <c r="G1951" i="13"/>
  <c r="G1955" i="13"/>
  <c r="G1959" i="13"/>
  <c r="G1963" i="13"/>
  <c r="G1966" i="13"/>
  <c r="G1970" i="13"/>
  <c r="G1974" i="13"/>
  <c r="G1981" i="13"/>
  <c r="G1985" i="13"/>
  <c r="G1989" i="13"/>
  <c r="G1992" i="13"/>
  <c r="G1996" i="13"/>
  <c r="G2000" i="13"/>
  <c r="G2004" i="13"/>
  <c r="G2007" i="13"/>
  <c r="G2011" i="13"/>
  <c r="G2015" i="13"/>
  <c r="G2019" i="13"/>
  <c r="G2022" i="13"/>
  <c r="G2026" i="13"/>
  <c r="G2030" i="13"/>
  <c r="G2034" i="13"/>
  <c r="G2038" i="13"/>
  <c r="G2042" i="13"/>
  <c r="G2046" i="13"/>
  <c r="G2049" i="13"/>
  <c r="G2053" i="13"/>
  <c r="G2057" i="13"/>
  <c r="G2061" i="13"/>
  <c r="G2064" i="13"/>
  <c r="G2068" i="13"/>
  <c r="G2072" i="13"/>
  <c r="G2079" i="13"/>
  <c r="G2083" i="13"/>
  <c r="G2087" i="13"/>
  <c r="G2090" i="13"/>
  <c r="G2094" i="13"/>
  <c r="G2098" i="13"/>
  <c r="G2102" i="13"/>
  <c r="G2104" i="13"/>
  <c r="G2108" i="13"/>
  <c r="G2112" i="13"/>
  <c r="G2116" i="13"/>
  <c r="G2118" i="13"/>
  <c r="G2122" i="13"/>
  <c r="G2126" i="13"/>
  <c r="G2130" i="13"/>
  <c r="G2132" i="13"/>
  <c r="G2136" i="13"/>
  <c r="G2140" i="13"/>
  <c r="G1208" i="13"/>
  <c r="G1224" i="13"/>
  <c r="G1240" i="13"/>
  <c r="G1251" i="13"/>
  <c r="G1267" i="13"/>
  <c r="G1283" i="13"/>
  <c r="G1299" i="13"/>
  <c r="G1330" i="13"/>
  <c r="G1346" i="13"/>
  <c r="G1362" i="13"/>
  <c r="G1378" i="13"/>
  <c r="G1384" i="13"/>
  <c r="G1400" i="13"/>
  <c r="G1410" i="13"/>
  <c r="G1418" i="13"/>
  <c r="G1426" i="13"/>
  <c r="G1434" i="13"/>
  <c r="G1442" i="13"/>
  <c r="G1450" i="13"/>
  <c r="G1455" i="13"/>
  <c r="G1463" i="13"/>
  <c r="G1471" i="13"/>
  <c r="G1479" i="13"/>
  <c r="G1487" i="13"/>
  <c r="G1495" i="13"/>
  <c r="G1503" i="13"/>
  <c r="G1511" i="13"/>
  <c r="G1519" i="13"/>
  <c r="G1523" i="13"/>
  <c r="G1531" i="13"/>
  <c r="G1539" i="13"/>
  <c r="G1547" i="13"/>
  <c r="G1555" i="13"/>
  <c r="G1563" i="13"/>
  <c r="G1571" i="13"/>
  <c r="G1579" i="13"/>
  <c r="G1587" i="13"/>
  <c r="G1598" i="13"/>
  <c r="G1606" i="13"/>
  <c r="G1614" i="13"/>
  <c r="G1622" i="13"/>
  <c r="G1630" i="13"/>
  <c r="G1636" i="13"/>
  <c r="G1642" i="13"/>
  <c r="G1647" i="13"/>
  <c r="G1651" i="13"/>
  <c r="G1655" i="13"/>
  <c r="G1659" i="13"/>
  <c r="G1661" i="13"/>
  <c r="G1665" i="13"/>
  <c r="G1669" i="13"/>
  <c r="G1673" i="13"/>
  <c r="G1677" i="13"/>
  <c r="G1681" i="13"/>
  <c r="G1685" i="13"/>
  <c r="G1689" i="13"/>
  <c r="G1693" i="13"/>
  <c r="G1697" i="13"/>
  <c r="G1701" i="13"/>
  <c r="G1705" i="13"/>
  <c r="G1709" i="13"/>
  <c r="G1713" i="13"/>
  <c r="G1717" i="13"/>
  <c r="G1721" i="13"/>
  <c r="G1725" i="13"/>
  <c r="G1730" i="13"/>
  <c r="G1734" i="13"/>
  <c r="G1738" i="13"/>
  <c r="G1742" i="13"/>
  <c r="G1746" i="13"/>
  <c r="G1750" i="13"/>
  <c r="G1754" i="13"/>
  <c r="G1758" i="13"/>
  <c r="G1762" i="13"/>
  <c r="G1766" i="13"/>
  <c r="G1770" i="13"/>
  <c r="G1774" i="13"/>
  <c r="G1778" i="13"/>
  <c r="G1782" i="13"/>
  <c r="G1786" i="13"/>
  <c r="G1790" i="13"/>
  <c r="G1794" i="13"/>
  <c r="G1798" i="13"/>
  <c r="G1802" i="13"/>
  <c r="G1806" i="13"/>
  <c r="G1810" i="13"/>
  <c r="G1814" i="13"/>
  <c r="G1818" i="13"/>
  <c r="G1822" i="13"/>
  <c r="G1826" i="13"/>
  <c r="G1830" i="13"/>
  <c r="G1834" i="13"/>
  <c r="G1838" i="13"/>
  <c r="G1842" i="13"/>
  <c r="G1846" i="13"/>
  <c r="G1850" i="13"/>
  <c r="G1854" i="13"/>
  <c r="G1858" i="13"/>
  <c r="G1862" i="13"/>
  <c r="G1866" i="13"/>
  <c r="G1867" i="13"/>
  <c r="G1871" i="13"/>
  <c r="G1875" i="13"/>
  <c r="G1879" i="13"/>
  <c r="G1883" i="13"/>
  <c r="G1887" i="13"/>
  <c r="G1891" i="13"/>
  <c r="G1895" i="13"/>
  <c r="G1899" i="13"/>
  <c r="G1903" i="13"/>
  <c r="G1907" i="13"/>
  <c r="G1911" i="13"/>
  <c r="G1915" i="13"/>
  <c r="G1919" i="13"/>
  <c r="G1923" i="13"/>
  <c r="G1927" i="13"/>
  <c r="G1931" i="13"/>
  <c r="G1935" i="13"/>
  <c r="G1937" i="13"/>
  <c r="G1941" i="13"/>
  <c r="G1945" i="13"/>
  <c r="G1949" i="13"/>
  <c r="G1952" i="13"/>
  <c r="G1956" i="13"/>
  <c r="G1960" i="13"/>
  <c r="G1967" i="13"/>
  <c r="G1971" i="13"/>
  <c r="G1975" i="13"/>
  <c r="G1978" i="13"/>
  <c r="G1982" i="13"/>
  <c r="G1986" i="13"/>
  <c r="G1990" i="13"/>
  <c r="G1993" i="13"/>
  <c r="G1997" i="13"/>
  <c r="G2001" i="13"/>
  <c r="G2005" i="13"/>
  <c r="G2008" i="13"/>
  <c r="G2012" i="13"/>
  <c r="G2016" i="13"/>
  <c r="G2023" i="13"/>
  <c r="G2027" i="13"/>
  <c r="G2031" i="13"/>
  <c r="G2035" i="13"/>
  <c r="G2039" i="13"/>
  <c r="G2043" i="13"/>
  <c r="G2047" i="13"/>
  <c r="G2050" i="13"/>
  <c r="G2054" i="13"/>
  <c r="G2058" i="13"/>
  <c r="G2065" i="13"/>
  <c r="G2069" i="13"/>
  <c r="G2073" i="13"/>
  <c r="G2076" i="13"/>
  <c r="G2080" i="13"/>
  <c r="G2084" i="13"/>
  <c r="G2088" i="13"/>
  <c r="G2091" i="13"/>
  <c r="G2095" i="13"/>
  <c r="G2099" i="13"/>
  <c r="G2103" i="13"/>
  <c r="G2105" i="13"/>
  <c r="G2109" i="13"/>
  <c r="G2113" i="13"/>
  <c r="G2117" i="13"/>
  <c r="G2119" i="13"/>
  <c r="G2123" i="13"/>
  <c r="G2127" i="13"/>
  <c r="G2131" i="13"/>
  <c r="G2133" i="13"/>
  <c r="G2137" i="13"/>
  <c r="G2141" i="13"/>
  <c r="G1212" i="13"/>
  <c r="G1228" i="13"/>
  <c r="G1244" i="13"/>
  <c r="G1255" i="13"/>
  <c r="G1271" i="13"/>
  <c r="G1287" i="13"/>
  <c r="G1303" i="13"/>
  <c r="G1318" i="13"/>
  <c r="G1334" i="13"/>
  <c r="G1350" i="13"/>
  <c r="G1366" i="13"/>
  <c r="G1382" i="13"/>
  <c r="G1388" i="13"/>
  <c r="G1404" i="13"/>
  <c r="G1412" i="13"/>
  <c r="G1420" i="13"/>
  <c r="G1428" i="13"/>
  <c r="G1436" i="13"/>
  <c r="G1444" i="13"/>
  <c r="G1452" i="13"/>
  <c r="G1457" i="13"/>
  <c r="G1465" i="13"/>
  <c r="G1473" i="13"/>
  <c r="G1481" i="13"/>
  <c r="G1489" i="13"/>
  <c r="G1497" i="13"/>
  <c r="G1505" i="13"/>
  <c r="G1513" i="13"/>
  <c r="G1521" i="13"/>
  <c r="G1525" i="13"/>
  <c r="G1533" i="13"/>
  <c r="G1541" i="13"/>
  <c r="G1549" i="13"/>
  <c r="G1557" i="13"/>
  <c r="G1565" i="13"/>
  <c r="G1573" i="13"/>
  <c r="G1581" i="13"/>
  <c r="G1589" i="13"/>
  <c r="G1592" i="13"/>
  <c r="G1600" i="13"/>
  <c r="G1608" i="13"/>
  <c r="G1616" i="13"/>
  <c r="G1624" i="13"/>
  <c r="G1632" i="13"/>
  <c r="G1638" i="13"/>
  <c r="G1643" i="13"/>
  <c r="G1648" i="13"/>
  <c r="G1652" i="13"/>
  <c r="G1656" i="13"/>
  <c r="G1662" i="13"/>
  <c r="G1666" i="13"/>
  <c r="G1670" i="13"/>
  <c r="G1674" i="13"/>
  <c r="G1678" i="13"/>
  <c r="G1682" i="13"/>
  <c r="G1686" i="13"/>
  <c r="G1690" i="13"/>
  <c r="G1694" i="13"/>
  <c r="G1698" i="13"/>
  <c r="G1702" i="13"/>
  <c r="G1706" i="13"/>
  <c r="G1710" i="13"/>
  <c r="G1714" i="13"/>
  <c r="G1718" i="13"/>
  <c r="G1722" i="13"/>
  <c r="G1726" i="13"/>
  <c r="G1731" i="13"/>
  <c r="G1735" i="13"/>
  <c r="G1739" i="13"/>
  <c r="G1743" i="13"/>
  <c r="G1747" i="13"/>
  <c r="G1751" i="13"/>
  <c r="G1755" i="13"/>
  <c r="G1759" i="13"/>
  <c r="G1763" i="13"/>
  <c r="G1767" i="13"/>
  <c r="G1771" i="13"/>
  <c r="G1775" i="13"/>
  <c r="G1779" i="13"/>
  <c r="G1783" i="13"/>
  <c r="G1787" i="13"/>
  <c r="G1791" i="13"/>
  <c r="G1795" i="13"/>
  <c r="G1799" i="13"/>
  <c r="G1803" i="13"/>
  <c r="G1807" i="13"/>
  <c r="G1811" i="13"/>
  <c r="G1815" i="13"/>
  <c r="G1819" i="13"/>
  <c r="G1823" i="13"/>
  <c r="G1827" i="13"/>
  <c r="G1831" i="13"/>
  <c r="G1835" i="13"/>
  <c r="G1839" i="13"/>
  <c r="G1843" i="13"/>
  <c r="G1847" i="13"/>
  <c r="G1851" i="13"/>
  <c r="G1855" i="13"/>
  <c r="G1859" i="13"/>
  <c r="G1863" i="13"/>
  <c r="G1868" i="13"/>
  <c r="G1872" i="13"/>
  <c r="G1876" i="13"/>
  <c r="G1880" i="13"/>
  <c r="G1884" i="13"/>
  <c r="G1888" i="13"/>
  <c r="G1892" i="13"/>
  <c r="G1896" i="13"/>
  <c r="G1900" i="13"/>
  <c r="G1904" i="13"/>
  <c r="G1908" i="13"/>
  <c r="G1912" i="13"/>
  <c r="G1916" i="13"/>
  <c r="G1920" i="13"/>
  <c r="G1924" i="13"/>
  <c r="G1928" i="13"/>
  <c r="G1932" i="13"/>
  <c r="G1938" i="13"/>
  <c r="G1942" i="13"/>
  <c r="G1946" i="13"/>
  <c r="G1953" i="13"/>
  <c r="G1957" i="13"/>
  <c r="G1961" i="13"/>
  <c r="G1964" i="13"/>
  <c r="G1968" i="13"/>
  <c r="G1972" i="13"/>
  <c r="G1976" i="13"/>
  <c r="G1979" i="13"/>
  <c r="G1983" i="13"/>
  <c r="G1987" i="13"/>
  <c r="G1991" i="13"/>
  <c r="G1994" i="13"/>
  <c r="G1998" i="13"/>
  <c r="G2002" i="13"/>
  <c r="G2009" i="13"/>
  <c r="G2013" i="13"/>
  <c r="G2017" i="13"/>
  <c r="G2020" i="13"/>
  <c r="G2024" i="13"/>
  <c r="G2028" i="13"/>
  <c r="G2032" i="13"/>
  <c r="G2036" i="13"/>
  <c r="G2040" i="13"/>
  <c r="G2044" i="13"/>
  <c r="G2051" i="13"/>
  <c r="G2055" i="13"/>
  <c r="G2059" i="13"/>
  <c r="G2062" i="13"/>
  <c r="G2066" i="13"/>
  <c r="G2070" i="13"/>
  <c r="G2074" i="13"/>
  <c r="G2077" i="13"/>
  <c r="G2081" i="13"/>
  <c r="G2085" i="13"/>
  <c r="G2089" i="13"/>
  <c r="G2092" i="13"/>
  <c r="G2096" i="13"/>
  <c r="G2100" i="13"/>
  <c r="G2106" i="13"/>
  <c r="G2110" i="13"/>
  <c r="G2114" i="13"/>
  <c r="G2120" i="13"/>
  <c r="G2124" i="13"/>
  <c r="G2128" i="13"/>
  <c r="G2134" i="13"/>
  <c r="G2138" i="13"/>
  <c r="G2142" i="13"/>
  <c r="G2146" i="13"/>
  <c r="G2150" i="13"/>
  <c r="G2148" i="13"/>
  <c r="G2154" i="13"/>
  <c r="G2158" i="13"/>
  <c r="G2161" i="13"/>
  <c r="G2165" i="13"/>
  <c r="G2169" i="13"/>
  <c r="G2173" i="13"/>
  <c r="G2176" i="13"/>
  <c r="G2180" i="13"/>
  <c r="G2183" i="13"/>
  <c r="G2187" i="13"/>
  <c r="G2188" i="13"/>
  <c r="G374" i="13"/>
  <c r="G228" i="13"/>
  <c r="G232" i="13"/>
  <c r="G236" i="13"/>
  <c r="G240" i="13"/>
  <c r="G245" i="13"/>
  <c r="G249" i="13"/>
  <c r="G253" i="13"/>
  <c r="G257" i="13"/>
  <c r="G261" i="13"/>
  <c r="G266" i="13"/>
  <c r="G270" i="13"/>
  <c r="G274" i="13"/>
  <c r="G278" i="13"/>
  <c r="G283" i="13"/>
  <c r="G287" i="13"/>
  <c r="G291" i="13"/>
  <c r="G295" i="13"/>
  <c r="G299" i="13"/>
  <c r="G304" i="13"/>
  <c r="G308" i="13"/>
  <c r="G312" i="13"/>
  <c r="G316" i="13"/>
  <c r="G320" i="13"/>
  <c r="G324" i="13"/>
  <c r="G328" i="13"/>
  <c r="G332" i="13"/>
  <c r="G336" i="13"/>
  <c r="G345" i="13"/>
  <c r="G357" i="13"/>
  <c r="G2149" i="13"/>
  <c r="G2155" i="13"/>
  <c r="G2159" i="13"/>
  <c r="G2162" i="13"/>
  <c r="G2166" i="13"/>
  <c r="G2170" i="13"/>
  <c r="G2177" i="13"/>
  <c r="G2181" i="13"/>
  <c r="G2184" i="13"/>
  <c r="G2191" i="13"/>
  <c r="G385" i="13"/>
  <c r="G225" i="13"/>
  <c r="G229" i="13"/>
  <c r="G233" i="13"/>
  <c r="G237" i="13"/>
  <c r="G241" i="13"/>
  <c r="G246" i="13"/>
  <c r="G250" i="13"/>
  <c r="G254" i="13"/>
  <c r="G258" i="13"/>
  <c r="G262" i="13"/>
  <c r="G263" i="13"/>
  <c r="G267" i="13"/>
  <c r="G271" i="13"/>
  <c r="G275" i="13"/>
  <c r="G279" i="13"/>
  <c r="G284" i="13"/>
  <c r="G288" i="13"/>
  <c r="G292" i="13"/>
  <c r="G296" i="13"/>
  <c r="G300" i="13"/>
  <c r="G301" i="13"/>
  <c r="G305" i="13"/>
  <c r="G309" i="13"/>
  <c r="G313" i="13"/>
  <c r="G317" i="13"/>
  <c r="G321" i="13"/>
  <c r="G325" i="13"/>
  <c r="G329" i="13"/>
  <c r="G333" i="13"/>
  <c r="G337" i="13"/>
  <c r="G342" i="13"/>
  <c r="G346" i="13"/>
  <c r="G350" i="13"/>
  <c r="G354" i="13"/>
  <c r="G359" i="13"/>
  <c r="G363" i="13"/>
  <c r="G361" i="13"/>
  <c r="G341" i="13"/>
  <c r="G353" i="13"/>
  <c r="G362" i="13"/>
  <c r="G2144" i="13"/>
  <c r="G2152" i="13"/>
  <c r="G2156" i="13"/>
  <c r="G2163" i="13"/>
  <c r="G2167" i="13"/>
  <c r="G2171" i="13"/>
  <c r="G2174" i="13"/>
  <c r="G2178" i="13"/>
  <c r="G2182" i="13"/>
  <c r="G2185" i="13"/>
  <c r="G2190" i="13"/>
  <c r="G384" i="13"/>
  <c r="G226" i="13"/>
  <c r="G230" i="13"/>
  <c r="G234" i="13"/>
  <c r="G238" i="13"/>
  <c r="G242" i="13"/>
  <c r="G247" i="13"/>
  <c r="G251" i="13"/>
  <c r="G255" i="13"/>
  <c r="G259" i="13"/>
  <c r="G264" i="13"/>
  <c r="G268" i="13"/>
  <c r="G272" i="13"/>
  <c r="G276" i="13"/>
  <c r="G280" i="13"/>
  <c r="G285" i="13"/>
  <c r="G289" i="13"/>
  <c r="G293" i="13"/>
  <c r="G297" i="13"/>
  <c r="G302" i="13"/>
  <c r="G306" i="13"/>
  <c r="G310" i="13"/>
  <c r="G314" i="13"/>
  <c r="G318" i="13"/>
  <c r="G322" i="13"/>
  <c r="G326" i="13"/>
  <c r="G330" i="13"/>
  <c r="G334" i="13"/>
  <c r="G338" i="13"/>
  <c r="G339" i="13"/>
  <c r="G343" i="13"/>
  <c r="G347" i="13"/>
  <c r="G351" i="13"/>
  <c r="G355" i="13"/>
  <c r="G360" i="13"/>
  <c r="G364" i="13"/>
  <c r="G358" i="13"/>
  <c r="G2145" i="13"/>
  <c r="G2153" i="13"/>
  <c r="G2157" i="13"/>
  <c r="G2160" i="13"/>
  <c r="G2164" i="13"/>
  <c r="G2168" i="13"/>
  <c r="G2172" i="13"/>
  <c r="G2175" i="13"/>
  <c r="G2179" i="13"/>
  <c r="G2186" i="13"/>
  <c r="G2189" i="13"/>
  <c r="G227" i="13"/>
  <c r="G231" i="13"/>
  <c r="G235" i="13"/>
  <c r="G239" i="13"/>
  <c r="G243" i="13"/>
  <c r="G244" i="13"/>
  <c r="G248" i="13"/>
  <c r="G252" i="13"/>
  <c r="G256" i="13"/>
  <c r="G260" i="13"/>
  <c r="G265" i="13"/>
  <c r="G269" i="13"/>
  <c r="G273" i="13"/>
  <c r="G277" i="13"/>
  <c r="G281" i="13"/>
  <c r="G282" i="13"/>
  <c r="G286" i="13"/>
  <c r="G290" i="13"/>
  <c r="G294" i="13"/>
  <c r="G298" i="13"/>
  <c r="G303" i="13"/>
  <c r="G307" i="13"/>
  <c r="G311" i="13"/>
  <c r="G315" i="13"/>
  <c r="G319" i="13"/>
  <c r="G323" i="13"/>
  <c r="G327" i="13"/>
  <c r="G331" i="13"/>
  <c r="G335" i="13"/>
  <c r="G340" i="13"/>
  <c r="G344" i="13"/>
  <c r="G348" i="13"/>
  <c r="G352" i="13"/>
  <c r="G356" i="13"/>
  <c r="G349" i="13"/>
  <c r="G25" i="13"/>
  <c r="G23" i="13"/>
  <c r="G97" i="13"/>
  <c r="G20" i="13"/>
  <c r="G17" i="13"/>
  <c r="G18" i="13"/>
  <c r="G15" i="13"/>
  <c r="G63" i="13"/>
  <c r="G13" i="13"/>
  <c r="G26" i="13"/>
  <c r="G28" i="13"/>
  <c r="R26" i="13"/>
  <c r="R23" i="13"/>
  <c r="R20" i="13"/>
  <c r="R18" i="13"/>
  <c r="R63" i="13"/>
  <c r="R28" i="13"/>
  <c r="Q25" i="13"/>
  <c r="Q23" i="13"/>
  <c r="Q20" i="13"/>
  <c r="Q17" i="13"/>
  <c r="Q18" i="13"/>
  <c r="Q15" i="13"/>
  <c r="Q63" i="13"/>
  <c r="Q13" i="13"/>
  <c r="Q26" i="13"/>
  <c r="Q28" i="13"/>
  <c r="R25" i="13"/>
  <c r="R97" i="13"/>
  <c r="R17" i="13"/>
  <c r="R15" i="13"/>
  <c r="R13" i="13"/>
  <c r="G204" i="16"/>
  <c r="G205" i="23"/>
  <c r="R52" i="16"/>
  <c r="G52" i="16"/>
  <c r="Q204" i="16"/>
  <c r="Q205" i="23"/>
  <c r="Q52" i="16"/>
  <c r="R204" i="16"/>
  <c r="R205" i="23"/>
  <c r="H223" i="23"/>
  <c r="J246" i="23"/>
  <c r="H245" i="23"/>
  <c r="K243" i="23"/>
  <c r="J242" i="23"/>
  <c r="H241" i="23"/>
  <c r="K239" i="23"/>
  <c r="J238" i="23"/>
  <c r="H237" i="23"/>
  <c r="K235" i="23"/>
  <c r="J234" i="23"/>
  <c r="H233" i="23"/>
  <c r="K231" i="23"/>
  <c r="J230" i="23"/>
  <c r="H229" i="23"/>
  <c r="K227" i="23"/>
  <c r="J226" i="23"/>
  <c r="H225" i="23"/>
  <c r="K223" i="23"/>
  <c r="R203" i="23"/>
  <c r="Q202" i="23"/>
  <c r="G201" i="23"/>
  <c r="R199" i="23"/>
  <c r="Q198" i="23"/>
  <c r="G197" i="23"/>
  <c r="R195" i="23"/>
  <c r="Q194" i="23"/>
  <c r="G193" i="23"/>
  <c r="R191" i="23"/>
  <c r="Q190" i="23"/>
  <c r="G189" i="23"/>
  <c r="R187" i="23"/>
  <c r="Q186" i="23"/>
  <c r="G185" i="23"/>
  <c r="R183" i="23"/>
  <c r="Q182" i="23"/>
  <c r="G181" i="23"/>
  <c r="R179" i="23"/>
  <c r="Q178" i="23"/>
  <c r="G177" i="23"/>
  <c r="R175" i="23"/>
  <c r="Q174" i="23"/>
  <c r="G173" i="23"/>
  <c r="R171" i="23"/>
  <c r="Q170" i="23"/>
  <c r="G169" i="23"/>
  <c r="R167" i="23"/>
  <c r="Q166" i="23"/>
  <c r="G165" i="23"/>
  <c r="R163" i="23"/>
  <c r="Q162" i="23"/>
  <c r="G160" i="23"/>
  <c r="R158" i="23"/>
  <c r="Q157" i="23"/>
  <c r="G156" i="23"/>
  <c r="R154" i="23"/>
  <c r="Q153" i="23"/>
  <c r="Q152" i="23"/>
  <c r="G151" i="23"/>
  <c r="R149" i="23"/>
  <c r="R148" i="23"/>
  <c r="H246" i="23"/>
  <c r="K244" i="23"/>
  <c r="K245" i="23"/>
  <c r="J244" i="23"/>
  <c r="H243" i="23"/>
  <c r="K241" i="23"/>
  <c r="J240" i="23"/>
  <c r="H239" i="23"/>
  <c r="K237" i="23"/>
  <c r="J236" i="23"/>
  <c r="H235" i="23"/>
  <c r="K233" i="23"/>
  <c r="J232" i="23"/>
  <c r="H231" i="23"/>
  <c r="K229" i="23"/>
  <c r="J228" i="23"/>
  <c r="H227" i="23"/>
  <c r="K225" i="23"/>
  <c r="J224" i="23"/>
  <c r="Q204" i="23"/>
  <c r="G203" i="23"/>
  <c r="R201" i="23"/>
  <c r="Q200" i="23"/>
  <c r="G199" i="23"/>
  <c r="R197" i="23"/>
  <c r="Q196" i="23"/>
  <c r="G195" i="23"/>
  <c r="R193" i="23"/>
  <c r="Q192" i="23"/>
  <c r="G191" i="23"/>
  <c r="R189" i="23"/>
  <c r="Q188" i="23"/>
  <c r="G187" i="23"/>
  <c r="R185" i="23"/>
  <c r="Q184" i="23"/>
  <c r="G183" i="23"/>
  <c r="R181" i="23"/>
  <c r="Q180" i="23"/>
  <c r="G179" i="23"/>
  <c r="R177" i="23"/>
  <c r="Q176" i="23"/>
  <c r="G175" i="23"/>
  <c r="R173" i="23"/>
  <c r="Q172" i="23"/>
  <c r="G171" i="23"/>
  <c r="R169" i="23"/>
  <c r="Q168" i="23"/>
  <c r="G167" i="23"/>
  <c r="R165" i="23"/>
  <c r="Q164" i="23"/>
  <c r="G163" i="23"/>
  <c r="R161" i="23"/>
  <c r="R160" i="23"/>
  <c r="Q159" i="23"/>
  <c r="G158" i="23"/>
  <c r="R156" i="23"/>
  <c r="Q155" i="23"/>
  <c r="G154" i="23"/>
  <c r="G153" i="23"/>
  <c r="R151" i="23"/>
  <c r="Q150" i="23"/>
  <c r="G148" i="23"/>
  <c r="R146" i="23"/>
  <c r="Q145" i="23"/>
  <c r="G144" i="23"/>
  <c r="R142" i="23"/>
  <c r="Q141" i="23"/>
  <c r="G140" i="23"/>
  <c r="R138" i="23"/>
  <c r="Q137" i="23"/>
  <c r="G136" i="23"/>
  <c r="R134" i="23"/>
  <c r="Q133" i="23"/>
  <c r="G132" i="23"/>
  <c r="R130" i="23"/>
  <c r="Q129" i="23"/>
  <c r="G128" i="23"/>
  <c r="R126" i="23"/>
  <c r="Q125" i="23"/>
  <c r="G124" i="23"/>
  <c r="R122" i="23"/>
  <c r="Q121" i="23"/>
  <c r="Q120" i="23"/>
  <c r="G119" i="23"/>
  <c r="R117" i="23"/>
  <c r="R116" i="23"/>
  <c r="K246" i="23"/>
  <c r="J245" i="23"/>
  <c r="H244" i="23"/>
  <c r="K242" i="23"/>
  <c r="J241" i="23"/>
  <c r="H240" i="23"/>
  <c r="K238" i="23"/>
  <c r="J237" i="23"/>
  <c r="H236" i="23"/>
  <c r="K234" i="23"/>
  <c r="J233" i="23"/>
  <c r="H232" i="23"/>
  <c r="K230" i="23"/>
  <c r="J229" i="23"/>
  <c r="H228" i="23"/>
  <c r="K226" i="23"/>
  <c r="J225" i="23"/>
  <c r="H224" i="23"/>
  <c r="G204" i="23"/>
  <c r="R202" i="23"/>
  <c r="Q201" i="23"/>
  <c r="G200" i="23"/>
  <c r="R198" i="23"/>
  <c r="Q197" i="23"/>
  <c r="G196" i="23"/>
  <c r="R194" i="23"/>
  <c r="Q193" i="23"/>
  <c r="G192" i="23"/>
  <c r="R190" i="23"/>
  <c r="Q189" i="23"/>
  <c r="G188" i="23"/>
  <c r="R186" i="23"/>
  <c r="Q185" i="23"/>
  <c r="G184" i="23"/>
  <c r="R182" i="23"/>
  <c r="Q181" i="23"/>
  <c r="G180" i="23"/>
  <c r="R178" i="23"/>
  <c r="Q177" i="23"/>
  <c r="G176" i="23"/>
  <c r="R174" i="23"/>
  <c r="Q173" i="23"/>
  <c r="G172" i="23"/>
  <c r="R170" i="23"/>
  <c r="Q169" i="23"/>
  <c r="G168" i="23"/>
  <c r="R166" i="23"/>
  <c r="Q165" i="23"/>
  <c r="G164" i="23"/>
  <c r="R162" i="23"/>
  <c r="Q161" i="23"/>
  <c r="Q160" i="23"/>
  <c r="G159" i="23"/>
  <c r="R157" i="23"/>
  <c r="Q156" i="23"/>
  <c r="G155" i="23"/>
  <c r="R153" i="23"/>
  <c r="R152" i="23"/>
  <c r="Q151" i="23"/>
  <c r="G150" i="23"/>
  <c r="G149" i="23"/>
  <c r="R147" i="23"/>
  <c r="Q146" i="23"/>
  <c r="G145" i="23"/>
  <c r="R143" i="23"/>
  <c r="Q142" i="23"/>
  <c r="G141" i="23"/>
  <c r="R139" i="23"/>
  <c r="Q138" i="23"/>
  <c r="G137" i="23"/>
  <c r="R135" i="23"/>
  <c r="Q134" i="23"/>
  <c r="G133" i="23"/>
  <c r="R131" i="23"/>
  <c r="Q130" i="23"/>
  <c r="G129" i="23"/>
  <c r="R127" i="23"/>
  <c r="Q126" i="23"/>
  <c r="G125" i="23"/>
  <c r="R123" i="23"/>
  <c r="Q122" i="23"/>
  <c r="G120" i="23"/>
  <c r="R118" i="23"/>
  <c r="Q117" i="23"/>
  <c r="K240" i="23"/>
  <c r="J235" i="23"/>
  <c r="H230" i="23"/>
  <c r="K224" i="23"/>
  <c r="R200" i="23"/>
  <c r="Q195" i="23"/>
  <c r="G190" i="23"/>
  <c r="R184" i="23"/>
  <c r="Q179" i="23"/>
  <c r="G174" i="23"/>
  <c r="R168" i="23"/>
  <c r="Q163" i="23"/>
  <c r="R159" i="23"/>
  <c r="Q154" i="23"/>
  <c r="Q149" i="23"/>
  <c r="G147" i="23"/>
  <c r="Q144" i="23"/>
  <c r="R141" i="23"/>
  <c r="G139" i="23"/>
  <c r="Q136" i="23"/>
  <c r="R133" i="23"/>
  <c r="G131" i="23"/>
  <c r="Q128" i="23"/>
  <c r="R125" i="23"/>
  <c r="G123" i="23"/>
  <c r="G121" i="23"/>
  <c r="Q118" i="23"/>
  <c r="Q116" i="23"/>
  <c r="G115" i="23"/>
  <c r="R113" i="23"/>
  <c r="Q112" i="23"/>
  <c r="G111" i="23"/>
  <c r="R109" i="23"/>
  <c r="Q108" i="23"/>
  <c r="G107" i="23"/>
  <c r="R105" i="23"/>
  <c r="Q104" i="23"/>
  <c r="G103" i="23"/>
  <c r="R101" i="23"/>
  <c r="Q100" i="23"/>
  <c r="G99" i="23"/>
  <c r="R97" i="23"/>
  <c r="Q96" i="23"/>
  <c r="G95" i="23"/>
  <c r="R93" i="23"/>
  <c r="Q92" i="23"/>
  <c r="G91" i="23"/>
  <c r="R89" i="23"/>
  <c r="Q88" i="23"/>
  <c r="G87" i="23"/>
  <c r="R85" i="23"/>
  <c r="Q84" i="23"/>
  <c r="G83" i="23"/>
  <c r="R81" i="23"/>
  <c r="Q80" i="23"/>
  <c r="G79" i="23"/>
  <c r="R77" i="23"/>
  <c r="Q76" i="23"/>
  <c r="G75" i="23"/>
  <c r="R73" i="23"/>
  <c r="Q72" i="23"/>
  <c r="G71" i="23"/>
  <c r="J239" i="23"/>
  <c r="H234" i="23"/>
  <c r="K228" i="23"/>
  <c r="J223" i="23"/>
  <c r="R204" i="23"/>
  <c r="Q199" i="23"/>
  <c r="G194" i="23"/>
  <c r="R188" i="23"/>
  <c r="Q183" i="23"/>
  <c r="G178" i="23"/>
  <c r="R172" i="23"/>
  <c r="Q167" i="23"/>
  <c r="G162" i="23"/>
  <c r="Q158" i="23"/>
  <c r="G146" i="23"/>
  <c r="Q143" i="23"/>
  <c r="R140" i="23"/>
  <c r="G138" i="23"/>
  <c r="Q135" i="23"/>
  <c r="R132" i="23"/>
  <c r="G130" i="23"/>
  <c r="Q127" i="23"/>
  <c r="R124" i="23"/>
  <c r="G122" i="23"/>
  <c r="R120" i="23"/>
  <c r="G118" i="23"/>
  <c r="G116" i="23"/>
  <c r="R114" i="23"/>
  <c r="Q113" i="23"/>
  <c r="G112" i="23"/>
  <c r="R110" i="23"/>
  <c r="Q109" i="23"/>
  <c r="G108" i="23"/>
  <c r="R106" i="23"/>
  <c r="Q105" i="23"/>
  <c r="G104" i="23"/>
  <c r="R102" i="23"/>
  <c r="Q101" i="23"/>
  <c r="G100" i="23"/>
  <c r="R98" i="23"/>
  <c r="Q97" i="23"/>
  <c r="G96" i="23"/>
  <c r="R94" i="23"/>
  <c r="Q93" i="23"/>
  <c r="G92" i="23"/>
  <c r="R90" i="23"/>
  <c r="Q89" i="23"/>
  <c r="G88" i="23"/>
  <c r="R86" i="23"/>
  <c r="Q85" i="23"/>
  <c r="G84" i="23"/>
  <c r="R82" i="23"/>
  <c r="Q81" i="23"/>
  <c r="G80" i="23"/>
  <c r="R78" i="23"/>
  <c r="Q77" i="23"/>
  <c r="G76" i="23"/>
  <c r="R74" i="23"/>
  <c r="Q73" i="23"/>
  <c r="G72" i="23"/>
  <c r="R70" i="23"/>
  <c r="Q69" i="23"/>
  <c r="Q68" i="23"/>
  <c r="G67" i="23"/>
  <c r="R65" i="23"/>
  <c r="R64" i="23"/>
  <c r="Q63" i="23"/>
  <c r="G62" i="23"/>
  <c r="R60" i="23"/>
  <c r="Q59" i="23"/>
  <c r="G58" i="23"/>
  <c r="R56" i="23"/>
  <c r="Q55" i="23"/>
  <c r="G54" i="23"/>
  <c r="R52" i="23"/>
  <c r="Q51" i="23"/>
  <c r="G50" i="23"/>
  <c r="R48" i="23"/>
  <c r="Q47" i="23"/>
  <c r="G46" i="23"/>
  <c r="R44" i="23"/>
  <c r="Q43" i="23"/>
  <c r="G42" i="23"/>
  <c r="G41" i="23"/>
  <c r="R39" i="23"/>
  <c r="J243" i="23"/>
  <c r="H238" i="23"/>
  <c r="K232" i="23"/>
  <c r="J227" i="23"/>
  <c r="Q203" i="23"/>
  <c r="G198" i="23"/>
  <c r="R192" i="23"/>
  <c r="Q187" i="23"/>
  <c r="G182" i="23"/>
  <c r="R176" i="23"/>
  <c r="Q171" i="23"/>
  <c r="G166" i="23"/>
  <c r="G157" i="23"/>
  <c r="G152" i="23"/>
  <c r="Q148" i="23"/>
  <c r="R145" i="23"/>
  <c r="G143" i="23"/>
  <c r="Q140" i="23"/>
  <c r="R137" i="23"/>
  <c r="G135" i="23"/>
  <c r="Q132" i="23"/>
  <c r="R129" i="23"/>
  <c r="G127" i="23"/>
  <c r="Q124" i="23"/>
  <c r="R121" i="23"/>
  <c r="R119" i="23"/>
  <c r="R115" i="23"/>
  <c r="Q114" i="23"/>
  <c r="G113" i="23"/>
  <c r="R111" i="23"/>
  <c r="Q110" i="23"/>
  <c r="G109" i="23"/>
  <c r="R107" i="23"/>
  <c r="Q106" i="23"/>
  <c r="G105" i="23"/>
  <c r="R103" i="23"/>
  <c r="Q102" i="23"/>
  <c r="G101" i="23"/>
  <c r="R99" i="23"/>
  <c r="Q98" i="23"/>
  <c r="G97" i="23"/>
  <c r="R95" i="23"/>
  <c r="Q94" i="23"/>
  <c r="G93" i="23"/>
  <c r="R91" i="23"/>
  <c r="Q90" i="23"/>
  <c r="G89" i="23"/>
  <c r="R87" i="23"/>
  <c r="Q86" i="23"/>
  <c r="G85" i="23"/>
  <c r="R83" i="23"/>
  <c r="Q82" i="23"/>
  <c r="G81" i="23"/>
  <c r="R79" i="23"/>
  <c r="Q78" i="23"/>
  <c r="G77" i="23"/>
  <c r="R75" i="23"/>
  <c r="Q74" i="23"/>
  <c r="G73" i="23"/>
  <c r="R71" i="23"/>
  <c r="Q70" i="23"/>
  <c r="G68" i="23"/>
  <c r="R66" i="23"/>
  <c r="Q65" i="23"/>
  <c r="Q64" i="23"/>
  <c r="G63" i="23"/>
  <c r="R61" i="23"/>
  <c r="Q60" i="23"/>
  <c r="G59" i="23"/>
  <c r="R57" i="23"/>
  <c r="Q56" i="23"/>
  <c r="G55" i="23"/>
  <c r="R53" i="23"/>
  <c r="Q52" i="23"/>
  <c r="G51" i="23"/>
  <c r="R49" i="23"/>
  <c r="Q48" i="23"/>
  <c r="G47" i="23"/>
  <c r="R45" i="23"/>
  <c r="Q44" i="23"/>
  <c r="G43" i="23"/>
  <c r="R41" i="23"/>
  <c r="R40" i="23"/>
  <c r="Q39" i="23"/>
  <c r="G38" i="23"/>
  <c r="G37" i="23"/>
  <c r="R35" i="23"/>
  <c r="Q34" i="23"/>
  <c r="G33" i="23"/>
  <c r="R31" i="23"/>
  <c r="J231" i="23"/>
  <c r="G186" i="23"/>
  <c r="R164" i="23"/>
  <c r="R144" i="23"/>
  <c r="G134" i="23"/>
  <c r="Q123" i="23"/>
  <c r="G117" i="23"/>
  <c r="Q111" i="23"/>
  <c r="G106" i="23"/>
  <c r="R100" i="23"/>
  <c r="Q95" i="23"/>
  <c r="G90" i="23"/>
  <c r="R84" i="23"/>
  <c r="Q79" i="23"/>
  <c r="G74" i="23"/>
  <c r="R69" i="23"/>
  <c r="R67" i="23"/>
  <c r="R62" i="23"/>
  <c r="G60" i="23"/>
  <c r="Q57" i="23"/>
  <c r="R54" i="23"/>
  <c r="G52" i="23"/>
  <c r="Q49" i="23"/>
  <c r="R46" i="23"/>
  <c r="G44" i="23"/>
  <c r="Q41" i="23"/>
  <c r="G39" i="23"/>
  <c r="Q37" i="23"/>
  <c r="G36" i="23"/>
  <c r="G34" i="23"/>
  <c r="Q32" i="23"/>
  <c r="R30" i="23"/>
  <c r="Q29" i="23"/>
  <c r="G28" i="23"/>
  <c r="R26" i="23"/>
  <c r="Q25" i="23"/>
  <c r="G24" i="23"/>
  <c r="R22" i="23"/>
  <c r="Q21" i="23"/>
  <c r="G20" i="23"/>
  <c r="R18" i="23"/>
  <c r="Q17" i="23"/>
  <c r="Q16" i="23"/>
  <c r="G15" i="23"/>
  <c r="R13" i="23"/>
  <c r="R12" i="23"/>
  <c r="Q11" i="23"/>
  <c r="G10" i="23"/>
  <c r="G9" i="23"/>
  <c r="H226" i="23"/>
  <c r="G202" i="23"/>
  <c r="R180" i="23"/>
  <c r="R150" i="23"/>
  <c r="G142" i="23"/>
  <c r="Q131" i="23"/>
  <c r="Q115" i="23"/>
  <c r="G110" i="23"/>
  <c r="R104" i="23"/>
  <c r="Q99" i="23"/>
  <c r="G94" i="23"/>
  <c r="R88" i="23"/>
  <c r="Q83" i="23"/>
  <c r="G78" i="23"/>
  <c r="R72" i="23"/>
  <c r="Q67" i="23"/>
  <c r="G65" i="23"/>
  <c r="Q62" i="23"/>
  <c r="R59" i="23"/>
  <c r="G57" i="23"/>
  <c r="Q54" i="23"/>
  <c r="R51" i="23"/>
  <c r="G49" i="23"/>
  <c r="Q46" i="23"/>
  <c r="R43" i="23"/>
  <c r="R38" i="23"/>
  <c r="Q35" i="23"/>
  <c r="R33" i="23"/>
  <c r="G32" i="23"/>
  <c r="Q30" i="23"/>
  <c r="G29" i="23"/>
  <c r="R27" i="23"/>
  <c r="Q26" i="23"/>
  <c r="G25" i="23"/>
  <c r="R23" i="23"/>
  <c r="Q22" i="23"/>
  <c r="G21" i="23"/>
  <c r="R19" i="23"/>
  <c r="Q18" i="23"/>
  <c r="G16" i="23"/>
  <c r="R14" i="23"/>
  <c r="Q13" i="23"/>
  <c r="Q12" i="23"/>
  <c r="G11" i="23"/>
  <c r="R9" i="23"/>
  <c r="R8" i="23"/>
  <c r="R136" i="23"/>
  <c r="R96" i="23"/>
  <c r="G86" i="23"/>
  <c r="Q75" i="23"/>
  <c r="R68" i="23"/>
  <c r="R63" i="23"/>
  <c r="Q58" i="23"/>
  <c r="G53" i="23"/>
  <c r="R47" i="23"/>
  <c r="Q42" i="23"/>
  <c r="R37" i="23"/>
  <c r="R34" i="23"/>
  <c r="G31" i="23"/>
  <c r="Q28" i="23"/>
  <c r="Q24" i="23"/>
  <c r="G23" i="23"/>
  <c r="Q20" i="23"/>
  <c r="R17" i="23"/>
  <c r="Q15" i="23"/>
  <c r="G13" i="23"/>
  <c r="Q10" i="23"/>
  <c r="H242" i="23"/>
  <c r="R196" i="23"/>
  <c r="Q175" i="23"/>
  <c r="G161" i="23"/>
  <c r="Q139" i="23"/>
  <c r="R128" i="23"/>
  <c r="Q119" i="23"/>
  <c r="G114" i="23"/>
  <c r="R108" i="23"/>
  <c r="Q103" i="23"/>
  <c r="G98" i="23"/>
  <c r="R92" i="23"/>
  <c r="Q87" i="23"/>
  <c r="G82" i="23"/>
  <c r="R76" i="23"/>
  <c r="Q71" i="23"/>
  <c r="G69" i="23"/>
  <c r="Q66" i="23"/>
  <c r="G64" i="23"/>
  <c r="Q61" i="23"/>
  <c r="R58" i="23"/>
  <c r="G56" i="23"/>
  <c r="Q53" i="23"/>
  <c r="R50" i="23"/>
  <c r="G48" i="23"/>
  <c r="Q45" i="23"/>
  <c r="R42" i="23"/>
  <c r="Q40" i="23"/>
  <c r="Q38" i="23"/>
  <c r="R36" i="23"/>
  <c r="G35" i="23"/>
  <c r="Q33" i="23"/>
  <c r="Q31" i="23"/>
  <c r="G30" i="23"/>
  <c r="R28" i="23"/>
  <c r="Q27" i="23"/>
  <c r="G26" i="23"/>
  <c r="R24" i="23"/>
  <c r="Q23" i="23"/>
  <c r="G22" i="23"/>
  <c r="R20" i="23"/>
  <c r="Q19" i="23"/>
  <c r="G18" i="23"/>
  <c r="G17" i="23"/>
  <c r="R15" i="23"/>
  <c r="Q14" i="23"/>
  <c r="G12" i="23"/>
  <c r="R10" i="23"/>
  <c r="Q9" i="23"/>
  <c r="Q8" i="23"/>
  <c r="K236" i="23"/>
  <c r="Q191" i="23"/>
  <c r="G170" i="23"/>
  <c r="R155" i="23"/>
  <c r="Q147" i="23"/>
  <c r="G126" i="23"/>
  <c r="R112" i="23"/>
  <c r="Q107" i="23"/>
  <c r="G102" i="23"/>
  <c r="Q91" i="23"/>
  <c r="R80" i="23"/>
  <c r="G70" i="23"/>
  <c r="G66" i="23"/>
  <c r="G61" i="23"/>
  <c r="R55" i="23"/>
  <c r="Q50" i="23"/>
  <c r="G45" i="23"/>
  <c r="G40" i="23"/>
  <c r="Q36" i="23"/>
  <c r="R32" i="23"/>
  <c r="R29" i="23"/>
  <c r="G27" i="23"/>
  <c r="R25" i="23"/>
  <c r="R21" i="23"/>
  <c r="G19" i="23"/>
  <c r="R16" i="23"/>
  <c r="G14" i="23"/>
  <c r="R11" i="23"/>
  <c r="G8" i="23"/>
  <c r="G22" i="16"/>
  <c r="G73" i="16"/>
  <c r="H194" i="13"/>
  <c r="J198" i="13"/>
  <c r="H205" i="13"/>
  <c r="K206" i="13"/>
  <c r="G121" i="16"/>
  <c r="H195" i="13"/>
  <c r="K193" i="13"/>
  <c r="K211" i="13"/>
  <c r="Q22" i="16"/>
  <c r="G21" i="16"/>
  <c r="H196" i="13"/>
  <c r="K194" i="13"/>
  <c r="K205" i="13"/>
  <c r="R22" i="16"/>
  <c r="G12" i="16"/>
  <c r="H197" i="13"/>
  <c r="K195" i="13"/>
  <c r="J199" i="13"/>
  <c r="G27" i="16"/>
  <c r="G19" i="16"/>
  <c r="G17" i="16"/>
  <c r="H210" i="13"/>
  <c r="K196" i="13"/>
  <c r="J200" i="13"/>
  <c r="G16" i="16"/>
  <c r="H198" i="13"/>
  <c r="K197" i="13"/>
  <c r="J206" i="13"/>
  <c r="J197" i="13"/>
  <c r="Q27" i="16"/>
  <c r="Q19" i="16"/>
  <c r="J193" i="13"/>
  <c r="K210" i="13"/>
  <c r="J211" i="13"/>
  <c r="K199" i="13"/>
  <c r="R27" i="16"/>
  <c r="R19" i="16"/>
  <c r="J194" i="13"/>
  <c r="K198" i="13"/>
  <c r="J205" i="13"/>
  <c r="Q25" i="16"/>
  <c r="G25" i="16"/>
  <c r="G15" i="16"/>
  <c r="J195" i="13"/>
  <c r="H199" i="13"/>
  <c r="Q15" i="16"/>
  <c r="J196" i="13"/>
  <c r="H200" i="13"/>
  <c r="H206" i="13"/>
  <c r="R25" i="16"/>
  <c r="R15" i="16"/>
  <c r="H193" i="13"/>
  <c r="J210" i="13"/>
  <c r="H211" i="13"/>
  <c r="K200" i="13"/>
  <c r="H189" i="12"/>
  <c r="H193" i="12"/>
  <c r="H203" i="12"/>
  <c r="H204" i="12"/>
  <c r="J205" i="12"/>
  <c r="J192" i="12"/>
  <c r="J196" i="12"/>
  <c r="J198" i="12"/>
  <c r="K188" i="12"/>
  <c r="K191" i="12"/>
  <c r="K195" i="12"/>
  <c r="K197" i="12"/>
  <c r="H199" i="12"/>
  <c r="H184" i="12"/>
  <c r="J199" i="12"/>
  <c r="J184" i="12"/>
  <c r="K199" i="12"/>
  <c r="K184" i="12"/>
  <c r="G38" i="11"/>
  <c r="G170" i="11"/>
  <c r="G31" i="11"/>
  <c r="G73" i="11"/>
  <c r="G29" i="11"/>
  <c r="G24" i="11"/>
  <c r="H191" i="12"/>
  <c r="H195" i="12"/>
  <c r="H197" i="12"/>
  <c r="J190" i="12"/>
  <c r="J207" i="12"/>
  <c r="K189" i="12"/>
  <c r="K203" i="12"/>
  <c r="H186" i="12"/>
  <c r="K183" i="12"/>
  <c r="R30" i="11"/>
  <c r="R32" i="11"/>
  <c r="Q38" i="11"/>
  <c r="Q73" i="11"/>
  <c r="Q24" i="11"/>
  <c r="H192" i="12"/>
  <c r="H196" i="12"/>
  <c r="J191" i="12"/>
  <c r="J195" i="12"/>
  <c r="K187" i="12"/>
  <c r="K207" i="12"/>
  <c r="H176" i="12"/>
  <c r="K176" i="12"/>
  <c r="G28" i="11"/>
  <c r="G32" i="11"/>
  <c r="R38" i="11"/>
  <c r="R31" i="11"/>
  <c r="R29" i="11"/>
  <c r="R24" i="11"/>
  <c r="H187" i="12"/>
  <c r="H190" i="12"/>
  <c r="H194" i="12"/>
  <c r="H207" i="12"/>
  <c r="J189" i="12"/>
  <c r="J193" i="12"/>
  <c r="J203" i="12"/>
  <c r="J204" i="12"/>
  <c r="K205" i="12"/>
  <c r="K192" i="12"/>
  <c r="K196" i="12"/>
  <c r="K198" i="12"/>
  <c r="H182" i="12"/>
  <c r="H185" i="12"/>
  <c r="J182" i="12"/>
  <c r="J185" i="12"/>
  <c r="K182" i="12"/>
  <c r="K185" i="12"/>
  <c r="Q28" i="11"/>
  <c r="Q30" i="11"/>
  <c r="Q32" i="11"/>
  <c r="H188" i="12"/>
  <c r="J187" i="12"/>
  <c r="J194" i="12"/>
  <c r="K193" i="12"/>
  <c r="K204" i="12"/>
  <c r="H183" i="12"/>
  <c r="J183" i="12"/>
  <c r="J186" i="12"/>
  <c r="K186" i="12"/>
  <c r="R28" i="11"/>
  <c r="Q36" i="11"/>
  <c r="Q170" i="11"/>
  <c r="Q31" i="11"/>
  <c r="Q29" i="11"/>
  <c r="H205" i="12"/>
  <c r="H198" i="12"/>
  <c r="J188" i="12"/>
  <c r="J197" i="12"/>
  <c r="K190" i="12"/>
  <c r="K194" i="12"/>
  <c r="G30" i="11"/>
  <c r="G36" i="11"/>
  <c r="R36" i="11"/>
  <c r="R170" i="11"/>
  <c r="R73" i="11"/>
  <c r="G97" i="11"/>
  <c r="G132" i="11"/>
  <c r="G63" i="11"/>
  <c r="G14" i="11"/>
  <c r="G19" i="11"/>
  <c r="G168" i="11"/>
  <c r="G133" i="11"/>
  <c r="G104" i="11"/>
  <c r="G61" i="11"/>
  <c r="G20" i="11"/>
  <c r="Q97" i="11"/>
  <c r="Q132" i="11"/>
  <c r="Q14" i="11"/>
  <c r="Q19" i="11"/>
  <c r="R121" i="11"/>
  <c r="R99" i="11"/>
  <c r="R105" i="11"/>
  <c r="R123" i="11"/>
  <c r="R22" i="11"/>
  <c r="Q27" i="11"/>
  <c r="R33" i="11"/>
  <c r="Q166" i="11"/>
  <c r="R102" i="11"/>
  <c r="G39" i="11"/>
  <c r="Q120" i="11"/>
  <c r="R97" i="11"/>
  <c r="Q39" i="11"/>
  <c r="R20" i="11"/>
  <c r="G121" i="11"/>
  <c r="G99" i="11"/>
  <c r="G105" i="11"/>
  <c r="G123" i="11"/>
  <c r="G22" i="11"/>
  <c r="Q168" i="11"/>
  <c r="Q133" i="11"/>
  <c r="Q104" i="11"/>
  <c r="Q61" i="11"/>
  <c r="Q20" i="11"/>
  <c r="R131" i="11"/>
  <c r="R171" i="11"/>
  <c r="R46" i="11"/>
  <c r="R103" i="11"/>
  <c r="G112" i="11"/>
  <c r="Q33" i="11"/>
  <c r="R34" i="11"/>
  <c r="Q40" i="11"/>
  <c r="G17" i="11"/>
  <c r="Q100" i="11"/>
  <c r="R167" i="11"/>
  <c r="R39" i="11"/>
  <c r="R14" i="11"/>
  <c r="Q167" i="11"/>
  <c r="R133" i="11"/>
  <c r="Q112" i="11"/>
  <c r="G131" i="11"/>
  <c r="G171" i="11"/>
  <c r="G46" i="11"/>
  <c r="G103" i="11"/>
  <c r="Q121" i="11"/>
  <c r="Q99" i="11"/>
  <c r="Q105" i="11"/>
  <c r="Q123" i="11"/>
  <c r="Q22" i="11"/>
  <c r="R122" i="11"/>
  <c r="R145" i="11"/>
  <c r="R146" i="11"/>
  <c r="R124" i="11"/>
  <c r="G27" i="11"/>
  <c r="Q34" i="11"/>
  <c r="R37" i="11"/>
  <c r="R40" i="11"/>
  <c r="R106" i="11"/>
  <c r="G34" i="11"/>
  <c r="R41" i="11"/>
  <c r="Q16" i="11"/>
  <c r="R98" i="11"/>
  <c r="G37" i="11"/>
  <c r="Q41" i="11"/>
  <c r="G18" i="11"/>
  <c r="Q101" i="11"/>
  <c r="Q17" i="11"/>
  <c r="R63" i="11"/>
  <c r="R19" i="11"/>
  <c r="R112" i="11"/>
  <c r="Q98" i="11"/>
  <c r="Q18" i="11"/>
  <c r="R104" i="11"/>
  <c r="G41" i="11"/>
  <c r="G122" i="11"/>
  <c r="G145" i="11"/>
  <c r="G146" i="11"/>
  <c r="G124" i="11"/>
  <c r="Q131" i="11"/>
  <c r="Q171" i="11"/>
  <c r="Q46" i="11"/>
  <c r="Q103" i="11"/>
  <c r="R166" i="11"/>
  <c r="R62" i="11"/>
  <c r="R100" i="11"/>
  <c r="R47" i="11"/>
  <c r="R16" i="11"/>
  <c r="G33" i="11"/>
  <c r="Q37" i="11"/>
  <c r="R17" i="11"/>
  <c r="G106" i="11"/>
  <c r="Q47" i="11"/>
  <c r="R18" i="11"/>
  <c r="Q169" i="11"/>
  <c r="Q106" i="11"/>
  <c r="R132" i="11"/>
  <c r="G40" i="11"/>
  <c r="Q102" i="11"/>
  <c r="R168" i="11"/>
  <c r="R61" i="11"/>
  <c r="G166" i="11"/>
  <c r="G62" i="11"/>
  <c r="G100" i="11"/>
  <c r="G47" i="11"/>
  <c r="G16" i="11"/>
  <c r="Q122" i="11"/>
  <c r="Q145" i="11"/>
  <c r="Q146" i="11"/>
  <c r="Q124" i="11"/>
  <c r="R120" i="11"/>
  <c r="R169" i="11"/>
  <c r="R101" i="11"/>
  <c r="R27" i="11"/>
  <c r="G120" i="11"/>
  <c r="G169" i="11"/>
  <c r="G101" i="11"/>
  <c r="G167" i="11"/>
  <c r="G98" i="11"/>
  <c r="G102" i="11"/>
  <c r="J167" i="10"/>
  <c r="H173" i="10"/>
  <c r="H170" i="10"/>
  <c r="H158" i="10"/>
  <c r="J176" i="10"/>
  <c r="K170" i="10"/>
  <c r="K158" i="10"/>
  <c r="J170" i="10"/>
  <c r="J173" i="10"/>
  <c r="H177" i="10"/>
  <c r="J159" i="10"/>
  <c r="H167" i="10"/>
  <c r="K172" i="10"/>
  <c r="H166" i="10"/>
  <c r="H159" i="10"/>
  <c r="J177" i="10"/>
  <c r="K166" i="10"/>
  <c r="K159" i="10"/>
  <c r="K173" i="10"/>
  <c r="J172" i="10"/>
  <c r="H176" i="10"/>
  <c r="J158" i="10"/>
  <c r="K176" i="10"/>
  <c r="K167" i="10"/>
  <c r="H172" i="10"/>
  <c r="J166" i="10"/>
  <c r="K177" i="10"/>
  <c r="R24" i="2"/>
  <c r="R31" i="2"/>
  <c r="G35" i="2"/>
  <c r="G28" i="2"/>
  <c r="G63" i="2"/>
  <c r="G23" i="2"/>
  <c r="G26" i="2"/>
  <c r="G37" i="2"/>
  <c r="Q25" i="2"/>
  <c r="Q78" i="2"/>
  <c r="Q32" i="2"/>
  <c r="Q21" i="2"/>
  <c r="Q19" i="2"/>
  <c r="Q14" i="2"/>
  <c r="Q39" i="2"/>
  <c r="Q38" i="2"/>
  <c r="Q20" i="2"/>
  <c r="Q18" i="2"/>
  <c r="Q17" i="2"/>
  <c r="Q15" i="2"/>
  <c r="Q98" i="2"/>
  <c r="Q9" i="2"/>
  <c r="Q70" i="2"/>
  <c r="Q64" i="2"/>
  <c r="Q130" i="2"/>
  <c r="Q120" i="2"/>
  <c r="Q121" i="2"/>
  <c r="Q122" i="2"/>
  <c r="Q137" i="2"/>
  <c r="Q132" i="2"/>
  <c r="Q101" i="2"/>
  <c r="Q10" i="2"/>
  <c r="Q56" i="2"/>
  <c r="Q71" i="2"/>
  <c r="Q105" i="2"/>
  <c r="Q144" i="2"/>
  <c r="Q145" i="2"/>
  <c r="Q12" i="2"/>
  <c r="Q90" i="2"/>
  <c r="Q35" i="2"/>
  <c r="Q28" i="2"/>
  <c r="Q63" i="2"/>
  <c r="Q23" i="2"/>
  <c r="Q26" i="2"/>
  <c r="Q37" i="2"/>
  <c r="G25" i="2"/>
  <c r="G78" i="2"/>
  <c r="G32" i="2"/>
  <c r="G21" i="2"/>
  <c r="G19" i="2"/>
  <c r="G14" i="2"/>
  <c r="G39" i="2"/>
  <c r="G38" i="2"/>
  <c r="G20" i="2"/>
  <c r="G18" i="2"/>
  <c r="G17" i="2"/>
  <c r="G15" i="2"/>
  <c r="G98" i="2"/>
  <c r="G9" i="2"/>
  <c r="G70" i="2"/>
  <c r="G64" i="2"/>
  <c r="G130" i="2"/>
  <c r="G120" i="2"/>
  <c r="G121" i="2"/>
  <c r="G122" i="2"/>
  <c r="G137" i="2"/>
  <c r="G132" i="2"/>
  <c r="G101" i="2"/>
  <c r="G10" i="2"/>
  <c r="G56" i="2"/>
  <c r="G71" i="2"/>
  <c r="G105" i="2"/>
  <c r="G144" i="2"/>
  <c r="G145" i="2"/>
  <c r="G12" i="2"/>
  <c r="G146" i="2"/>
  <c r="R146" i="2"/>
  <c r="R118" i="2"/>
  <c r="R65" i="2"/>
  <c r="R72" i="2"/>
  <c r="R100" i="2"/>
  <c r="R102" i="2"/>
  <c r="R11" i="2"/>
  <c r="R41" i="2"/>
  <c r="R117" i="2"/>
  <c r="R106" i="2"/>
  <c r="R73" i="2"/>
  <c r="R48" i="2"/>
  <c r="R103" i="2"/>
  <c r="R133" i="2"/>
  <c r="R13" i="2"/>
  <c r="R123" i="2"/>
  <c r="R138" i="2"/>
  <c r="R74" i="2"/>
  <c r="R139" i="2"/>
  <c r="R42" i="2"/>
  <c r="R43" i="2"/>
  <c r="R44" i="2"/>
  <c r="R45" i="2"/>
  <c r="R107" i="2"/>
  <c r="R108" i="2"/>
  <c r="R97" i="2"/>
  <c r="R134" i="2"/>
  <c r="R57" i="2"/>
  <c r="R75" i="2"/>
  <c r="R119" i="2"/>
  <c r="R91" i="2"/>
  <c r="R109" i="2"/>
  <c r="R76" i="2"/>
  <c r="R110" i="2"/>
  <c r="R49" i="2"/>
  <c r="R46" i="2"/>
  <c r="R47" i="2"/>
  <c r="R61" i="2"/>
  <c r="R66" i="2"/>
  <c r="R67" i="2"/>
  <c r="R140" i="2"/>
  <c r="R141" i="2"/>
  <c r="R96" i="2"/>
  <c r="R142" i="2"/>
  <c r="R58" i="2"/>
  <c r="R124" i="2"/>
  <c r="R50" i="2"/>
  <c r="Q24" i="2"/>
  <c r="Q31" i="2"/>
  <c r="R90" i="2"/>
  <c r="R35" i="2"/>
  <c r="R28" i="2"/>
  <c r="R63" i="2"/>
  <c r="R23" i="2"/>
  <c r="R26" i="2"/>
  <c r="R37" i="2"/>
  <c r="G118" i="2"/>
  <c r="G65" i="2"/>
  <c r="G72" i="2"/>
  <c r="G100" i="2"/>
  <c r="G102" i="2"/>
  <c r="G11" i="2"/>
  <c r="G41" i="2"/>
  <c r="G117" i="2"/>
  <c r="G106" i="2"/>
  <c r="G73" i="2"/>
  <c r="G48" i="2"/>
  <c r="G103" i="2"/>
  <c r="G133" i="2"/>
  <c r="G13" i="2"/>
  <c r="G123" i="2"/>
  <c r="G138" i="2"/>
  <c r="G74" i="2"/>
  <c r="G139" i="2"/>
  <c r="G42" i="2"/>
  <c r="G43" i="2"/>
  <c r="G44" i="2"/>
  <c r="G45" i="2"/>
  <c r="G107" i="2"/>
  <c r="G108" i="2"/>
  <c r="G97" i="2"/>
  <c r="G134" i="2"/>
  <c r="G57" i="2"/>
  <c r="G75" i="2"/>
  <c r="G119" i="2"/>
  <c r="G91" i="2"/>
  <c r="G109" i="2"/>
  <c r="G76" i="2"/>
  <c r="G110" i="2"/>
  <c r="G49" i="2"/>
  <c r="G46" i="2"/>
  <c r="G47" i="2"/>
  <c r="G61" i="2"/>
  <c r="G66" i="2"/>
  <c r="G67" i="2"/>
  <c r="G140" i="2"/>
  <c r="G141" i="2"/>
  <c r="G96" i="2"/>
  <c r="G142" i="2"/>
  <c r="G58" i="2"/>
  <c r="G124" i="2"/>
  <c r="G50" i="2"/>
  <c r="G92" i="2"/>
  <c r="G125" i="2"/>
  <c r="G126" i="2"/>
  <c r="G93" i="2"/>
  <c r="G79" i="2"/>
  <c r="Q146" i="2"/>
  <c r="Q65" i="2"/>
  <c r="Q100" i="2"/>
  <c r="Q11" i="2"/>
  <c r="Q117" i="2"/>
  <c r="Q73" i="2"/>
  <c r="Q103" i="2"/>
  <c r="Q13" i="2"/>
  <c r="Q138" i="2"/>
  <c r="Q139" i="2"/>
  <c r="Q43" i="2"/>
  <c r="Q45" i="2"/>
  <c r="Q108" i="2"/>
  <c r="Q134" i="2"/>
  <c r="Q75" i="2"/>
  <c r="Q91" i="2"/>
  <c r="Q76" i="2"/>
  <c r="Q49" i="2"/>
  <c r="Q47" i="2"/>
  <c r="Q66" i="2"/>
  <c r="Q140" i="2"/>
  <c r="Q96" i="2"/>
  <c r="Q58" i="2"/>
  <c r="Q50" i="2"/>
  <c r="Q126" i="2"/>
  <c r="R93" i="2"/>
  <c r="G68" i="2"/>
  <c r="G51" i="2"/>
  <c r="G52" i="2"/>
  <c r="G136" i="2"/>
  <c r="G53" i="2"/>
  <c r="G62" i="2"/>
  <c r="G54" i="2"/>
  <c r="G22" i="2"/>
  <c r="G80" i="2"/>
  <c r="G55" i="2"/>
  <c r="G129" i="2"/>
  <c r="G143" i="2"/>
  <c r="G111" i="2"/>
  <c r="G81" i="2"/>
  <c r="G82" i="2"/>
  <c r="G69" i="2"/>
  <c r="G60" i="2"/>
  <c r="G83" i="2"/>
  <c r="G36" i="2"/>
  <c r="G131" i="2"/>
  <c r="G84" i="2"/>
  <c r="G127" i="2"/>
  <c r="G94" i="2"/>
  <c r="G85" i="2"/>
  <c r="G86" i="2"/>
  <c r="G87" i="2"/>
  <c r="G112" i="2"/>
  <c r="G113" i="2"/>
  <c r="G114" i="2"/>
  <c r="G135" i="2"/>
  <c r="G115" i="2"/>
  <c r="G104" i="2"/>
  <c r="G128" i="2"/>
  <c r="G116" i="2"/>
  <c r="G59" i="2"/>
  <c r="G88" i="2"/>
  <c r="G95" i="2"/>
  <c r="G30" i="2"/>
  <c r="G27" i="2"/>
  <c r="G89" i="2"/>
  <c r="G16" i="2"/>
  <c r="G29" i="2"/>
  <c r="G33" i="2"/>
  <c r="G40" i="2"/>
  <c r="G34" i="2"/>
  <c r="G77" i="2"/>
  <c r="G99" i="2"/>
  <c r="Q53" i="2"/>
  <c r="Q22" i="2"/>
  <c r="Q129" i="2"/>
  <c r="Q81" i="2"/>
  <c r="Q60" i="2"/>
  <c r="Q36" i="2"/>
  <c r="Q84" i="2"/>
  <c r="Q94" i="2"/>
  <c r="Q85" i="2"/>
  <c r="Q112" i="2"/>
  <c r="Q114" i="2"/>
  <c r="Q104" i="2"/>
  <c r="G24" i="2"/>
  <c r="G90" i="2"/>
  <c r="R78" i="2"/>
  <c r="R21" i="2"/>
  <c r="R14" i="2"/>
  <c r="R38" i="2"/>
  <c r="R18" i="2"/>
  <c r="R15" i="2"/>
  <c r="R9" i="2"/>
  <c r="R64" i="2"/>
  <c r="R120" i="2"/>
  <c r="R122" i="2"/>
  <c r="R132" i="2"/>
  <c r="R10" i="2"/>
  <c r="R71" i="2"/>
  <c r="R144" i="2"/>
  <c r="R12" i="2"/>
  <c r="Q125" i="2"/>
  <c r="R126" i="2"/>
  <c r="Q136" i="2"/>
  <c r="Q80" i="2"/>
  <c r="Q111" i="2"/>
  <c r="Q69" i="2"/>
  <c r="Q135" i="2"/>
  <c r="Q128" i="2"/>
  <c r="Q118" i="2"/>
  <c r="Q72" i="2"/>
  <c r="Q102" i="2"/>
  <c r="Q41" i="2"/>
  <c r="Q106" i="2"/>
  <c r="Q48" i="2"/>
  <c r="Q133" i="2"/>
  <c r="Q123" i="2"/>
  <c r="Q74" i="2"/>
  <c r="Q42" i="2"/>
  <c r="Q44" i="2"/>
  <c r="Q107" i="2"/>
  <c r="Q97" i="2"/>
  <c r="Q57" i="2"/>
  <c r="Q119" i="2"/>
  <c r="Q109" i="2"/>
  <c r="Q110" i="2"/>
  <c r="Q46" i="2"/>
  <c r="Q61" i="2"/>
  <c r="Q67" i="2"/>
  <c r="Q141" i="2"/>
  <c r="Q142" i="2"/>
  <c r="Q124" i="2"/>
  <c r="Q92" i="2"/>
  <c r="R125" i="2"/>
  <c r="Q79" i="2"/>
  <c r="Q68" i="2"/>
  <c r="Q51" i="2"/>
  <c r="Q52" i="2"/>
  <c r="Q62" i="2"/>
  <c r="Q54" i="2"/>
  <c r="Q55" i="2"/>
  <c r="Q143" i="2"/>
  <c r="Q82" i="2"/>
  <c r="Q83" i="2"/>
  <c r="Q131" i="2"/>
  <c r="Q127" i="2"/>
  <c r="Q86" i="2"/>
  <c r="Q87" i="2"/>
  <c r="Q113" i="2"/>
  <c r="Q115" i="2"/>
  <c r="Q116" i="2"/>
  <c r="R32" i="2"/>
  <c r="R17" i="2"/>
  <c r="R121" i="2"/>
  <c r="R105" i="2"/>
  <c r="R79" i="2"/>
  <c r="R51" i="2"/>
  <c r="R136" i="2"/>
  <c r="R62" i="2"/>
  <c r="R22" i="2"/>
  <c r="R55" i="2"/>
  <c r="R143" i="2"/>
  <c r="R81" i="2"/>
  <c r="R69" i="2"/>
  <c r="R83" i="2"/>
  <c r="R131" i="2"/>
  <c r="R127" i="2"/>
  <c r="R85" i="2"/>
  <c r="R87" i="2"/>
  <c r="R113" i="2"/>
  <c r="R135" i="2"/>
  <c r="R104" i="2"/>
  <c r="R116" i="2"/>
  <c r="Q95" i="2"/>
  <c r="R30" i="2"/>
  <c r="Q16" i="2"/>
  <c r="R29" i="2"/>
  <c r="Q34" i="2"/>
  <c r="R77" i="2"/>
  <c r="R27" i="2"/>
  <c r="Q77" i="2"/>
  <c r="R25" i="2"/>
  <c r="R20" i="2"/>
  <c r="R130" i="2"/>
  <c r="R56" i="2"/>
  <c r="Q88" i="2"/>
  <c r="R95" i="2"/>
  <c r="Q89" i="2"/>
  <c r="R16" i="2"/>
  <c r="Q40" i="2"/>
  <c r="R34" i="2"/>
  <c r="R82" i="2"/>
  <c r="R36" i="2"/>
  <c r="R94" i="2"/>
  <c r="R112" i="2"/>
  <c r="R115" i="2"/>
  <c r="Q59" i="2"/>
  <c r="Q27" i="2"/>
  <c r="Q33" i="2"/>
  <c r="Q99" i="2"/>
  <c r="R98" i="2"/>
  <c r="R145" i="2"/>
  <c r="R59" i="2"/>
  <c r="R33" i="2"/>
  <c r="G31" i="2"/>
  <c r="R39" i="2"/>
  <c r="R70" i="2"/>
  <c r="R101" i="2"/>
  <c r="R92" i="2"/>
  <c r="Q93" i="2"/>
  <c r="R68" i="2"/>
  <c r="R52" i="2"/>
  <c r="R53" i="2"/>
  <c r="R54" i="2"/>
  <c r="R80" i="2"/>
  <c r="R129" i="2"/>
  <c r="R111" i="2"/>
  <c r="R60" i="2"/>
  <c r="R84" i="2"/>
  <c r="R86" i="2"/>
  <c r="R114" i="2"/>
  <c r="R128" i="2"/>
  <c r="R88" i="2"/>
  <c r="R89" i="2"/>
  <c r="R40" i="2"/>
  <c r="R19" i="2"/>
  <c r="R137" i="2"/>
  <c r="Q30" i="2"/>
  <c r="Q29" i="2"/>
  <c r="R99" i="2"/>
  <c r="H173" i="2"/>
  <c r="J168" i="2"/>
  <c r="K169" i="2"/>
  <c r="H182" i="2"/>
  <c r="H168" i="2"/>
  <c r="J169" i="2"/>
  <c r="J182" i="2"/>
  <c r="H169" i="2"/>
  <c r="K184" i="2"/>
  <c r="K182" i="2"/>
  <c r="J184" i="2"/>
  <c r="K177" i="2"/>
  <c r="H184" i="2"/>
  <c r="J177" i="2"/>
  <c r="K178" i="2"/>
  <c r="H177" i="2"/>
  <c r="J178" i="2"/>
  <c r="K179" i="2"/>
  <c r="H178" i="2"/>
  <c r="J179" i="2"/>
  <c r="K173" i="2"/>
  <c r="H179" i="2"/>
  <c r="J173" i="2"/>
  <c r="K168" i="2"/>
  <c r="G112" i="20"/>
  <c r="Q138" i="20"/>
  <c r="H222" i="20"/>
  <c r="J216" i="20"/>
  <c r="K201" i="20"/>
  <c r="H196" i="20"/>
  <c r="J210" i="20"/>
  <c r="J212" i="20"/>
  <c r="K198" i="20"/>
  <c r="G95" i="20"/>
  <c r="G168" i="20"/>
  <c r="Q68" i="20"/>
  <c r="Q50" i="20"/>
  <c r="Q126" i="20"/>
  <c r="R95" i="20"/>
  <c r="R168" i="20"/>
  <c r="H202" i="20"/>
  <c r="J206" i="20"/>
  <c r="G141" i="20"/>
  <c r="Q96" i="20"/>
  <c r="H210" i="20"/>
  <c r="G96" i="20"/>
  <c r="R96" i="20"/>
  <c r="G122" i="20"/>
  <c r="H199" i="20"/>
  <c r="H218" i="20"/>
  <c r="J203" i="20"/>
  <c r="K202" i="20"/>
  <c r="H197" i="20"/>
  <c r="J196" i="20"/>
  <c r="K210" i="20"/>
  <c r="K212" i="20"/>
  <c r="G90" i="20"/>
  <c r="Q158" i="20"/>
  <c r="Q155" i="20"/>
  <c r="R90" i="20"/>
  <c r="R154" i="20"/>
  <c r="K218" i="20"/>
  <c r="K205" i="20"/>
  <c r="Q21" i="20"/>
  <c r="R141" i="20"/>
  <c r="J198" i="20"/>
  <c r="G138" i="20"/>
  <c r="H221" i="20"/>
  <c r="H219" i="20"/>
  <c r="J222" i="20"/>
  <c r="K216" i="20"/>
  <c r="H204" i="20"/>
  <c r="J197" i="20"/>
  <c r="K196" i="20"/>
  <c r="G68" i="20"/>
  <c r="G50" i="20"/>
  <c r="G126" i="20"/>
  <c r="Q83" i="20"/>
  <c r="Q64" i="20"/>
  <c r="Q154" i="20"/>
  <c r="R68" i="20"/>
  <c r="R50" i="20"/>
  <c r="R126" i="20"/>
  <c r="R64" i="20"/>
  <c r="H211" i="20"/>
  <c r="R17" i="20"/>
  <c r="K211" i="20"/>
  <c r="R157" i="20"/>
  <c r="H200" i="20"/>
  <c r="J199" i="20"/>
  <c r="J218" i="20"/>
  <c r="K203" i="20"/>
  <c r="H205" i="20"/>
  <c r="J204" i="20"/>
  <c r="K197" i="20"/>
  <c r="G158" i="20"/>
  <c r="G155" i="20"/>
  <c r="Q17" i="20"/>
  <c r="Q141" i="20"/>
  <c r="R158" i="20"/>
  <c r="R155" i="20"/>
  <c r="K199" i="20"/>
  <c r="G17" i="20"/>
  <c r="Q157" i="20"/>
  <c r="K200" i="20"/>
  <c r="G157" i="20"/>
  <c r="G110" i="20"/>
  <c r="H201" i="20"/>
  <c r="J221" i="20"/>
  <c r="J219" i="20"/>
  <c r="K222" i="20"/>
  <c r="H206" i="20"/>
  <c r="J205" i="20"/>
  <c r="K204" i="20"/>
  <c r="G83" i="20"/>
  <c r="G154" i="20"/>
  <c r="Q20" i="20"/>
  <c r="Q71" i="20"/>
  <c r="Q153" i="20"/>
  <c r="R83" i="20"/>
  <c r="R112" i="20"/>
  <c r="J200" i="20"/>
  <c r="G21" i="20"/>
  <c r="Q90" i="20"/>
  <c r="Q112" i="20"/>
  <c r="R122" i="20"/>
  <c r="Q110" i="20"/>
  <c r="H216" i="20"/>
  <c r="J201" i="20"/>
  <c r="K221" i="20"/>
  <c r="K219" i="20"/>
  <c r="H198" i="20"/>
  <c r="J211" i="20"/>
  <c r="K206" i="20"/>
  <c r="G20" i="20"/>
  <c r="G71" i="20"/>
  <c r="G153" i="20"/>
  <c r="Q95" i="20"/>
  <c r="Q168" i="20"/>
  <c r="R20" i="20"/>
  <c r="R71" i="20"/>
  <c r="R153" i="20"/>
  <c r="Q122" i="20"/>
  <c r="R138" i="20"/>
  <c r="R110" i="20"/>
  <c r="H203" i="20"/>
  <c r="J202" i="20"/>
  <c r="H212" i="20"/>
  <c r="R21" i="20"/>
  <c r="G9" i="20"/>
  <c r="Q9" i="20"/>
  <c r="R9" i="20"/>
  <c r="G167" i="20"/>
  <c r="Q167" i="20"/>
  <c r="R167" i="20"/>
  <c r="G52" i="22"/>
  <c r="Q52" i="22"/>
  <c r="G129" i="22"/>
  <c r="Q129" i="22"/>
  <c r="G132" i="22"/>
  <c r="Q132" i="22"/>
  <c r="G172" i="22"/>
  <c r="Q172" i="22"/>
  <c r="R52" i="22"/>
  <c r="R129" i="22"/>
  <c r="R132" i="22"/>
  <c r="R172" i="22"/>
  <c r="G116" i="22"/>
  <c r="Q116" i="22"/>
  <c r="G112" i="22"/>
  <c r="Q112" i="22"/>
  <c r="G80" i="22"/>
  <c r="Q80" i="22"/>
  <c r="Q137" i="22"/>
  <c r="Q176" i="22"/>
  <c r="G94" i="22"/>
  <c r="Q94" i="22"/>
  <c r="G137" i="22"/>
  <c r="G176" i="22"/>
  <c r="R176" i="22"/>
  <c r="R116" i="22"/>
  <c r="R112" i="22"/>
  <c r="R80" i="22"/>
  <c r="R94" i="22"/>
  <c r="R137" i="22"/>
  <c r="H247" i="22"/>
  <c r="H249" i="22"/>
  <c r="H257" i="22"/>
  <c r="H244" i="22"/>
  <c r="J252" i="22"/>
  <c r="K247" i="22"/>
  <c r="K249" i="22"/>
  <c r="K257" i="22"/>
  <c r="K244" i="22"/>
  <c r="H242" i="22"/>
  <c r="H256" i="22"/>
  <c r="H255" i="22"/>
  <c r="J245" i="22"/>
  <c r="J238" i="22"/>
  <c r="K242" i="22"/>
  <c r="K256" i="22"/>
  <c r="K255" i="22"/>
  <c r="J236" i="22"/>
  <c r="K240" i="22"/>
  <c r="R72" i="22"/>
  <c r="R39" i="22"/>
  <c r="R117" i="22"/>
  <c r="R92" i="22"/>
  <c r="R68" i="22"/>
  <c r="R121" i="22"/>
  <c r="R93" i="22"/>
  <c r="R60" i="22"/>
  <c r="R22" i="22"/>
  <c r="R41" i="22"/>
  <c r="R40" i="22"/>
  <c r="R38" i="22"/>
  <c r="R81" i="22"/>
  <c r="R49" i="22"/>
  <c r="R48" i="22"/>
  <c r="R141" i="22"/>
  <c r="R105" i="22"/>
  <c r="R74" i="22"/>
  <c r="R84" i="22"/>
  <c r="R149" i="22"/>
  <c r="R130" i="22"/>
  <c r="R77" i="22"/>
  <c r="R114" i="22"/>
  <c r="R87" i="22"/>
  <c r="R83" i="22"/>
  <c r="R104" i="22"/>
  <c r="R103" i="22"/>
  <c r="R96" i="22"/>
  <c r="R63" i="22"/>
  <c r="R15" i="22"/>
  <c r="R100" i="22"/>
  <c r="R126" i="22"/>
  <c r="R118" i="22"/>
  <c r="R62" i="22"/>
  <c r="R71" i="22"/>
  <c r="R133" i="22"/>
  <c r="H241" i="22"/>
  <c r="H258" i="22"/>
  <c r="H237" i="22"/>
  <c r="H253" i="22"/>
  <c r="J251" i="22"/>
  <c r="J243" i="22"/>
  <c r="J239" i="22"/>
  <c r="K241" i="22"/>
  <c r="K258" i="22"/>
  <c r="K237" i="22"/>
  <c r="K253" i="22"/>
  <c r="H259" i="22"/>
  <c r="H254" i="22"/>
  <c r="J250" i="22"/>
  <c r="J248" i="22"/>
  <c r="J234" i="22"/>
  <c r="K259" i="22"/>
  <c r="K254" i="22"/>
  <c r="H236" i="22"/>
  <c r="J240" i="22"/>
  <c r="Q72" i="22"/>
  <c r="Q39" i="22"/>
  <c r="Q117" i="22"/>
  <c r="Q92" i="22"/>
  <c r="Q68" i="22"/>
  <c r="Q121" i="22"/>
  <c r="Q93" i="22"/>
  <c r="Q60" i="22"/>
  <c r="Q22" i="22"/>
  <c r="Q41" i="22"/>
  <c r="Q40" i="22"/>
  <c r="Q38" i="22"/>
  <c r="Q81" i="22"/>
  <c r="Q49" i="22"/>
  <c r="Q48" i="22"/>
  <c r="Q141" i="22"/>
  <c r="Q74" i="22"/>
  <c r="Q84" i="22"/>
  <c r="Q149" i="22"/>
  <c r="Q130" i="22"/>
  <c r="Q77" i="22"/>
  <c r="Q114" i="22"/>
  <c r="Q87" i="22"/>
  <c r="Q83" i="22"/>
  <c r="Q104" i="22"/>
  <c r="Q103" i="22"/>
  <c r="Q96" i="22"/>
  <c r="Q63" i="22"/>
  <c r="Q15" i="22"/>
  <c r="Q100" i="22"/>
  <c r="Q126" i="22"/>
  <c r="Q118" i="22"/>
  <c r="Q62" i="22"/>
  <c r="Q71" i="22"/>
  <c r="H252" i="22"/>
  <c r="J247" i="22"/>
  <c r="J249" i="22"/>
  <c r="J257" i="22"/>
  <c r="J244" i="22"/>
  <c r="K252" i="22"/>
  <c r="H246" i="22"/>
  <c r="H245" i="22"/>
  <c r="H238" i="22"/>
  <c r="J242" i="22"/>
  <c r="J256" i="22"/>
  <c r="J255" i="22"/>
  <c r="K246" i="22"/>
  <c r="K245" i="22"/>
  <c r="K238" i="22"/>
  <c r="H240" i="22"/>
  <c r="H251" i="22"/>
  <c r="H243" i="22"/>
  <c r="H239" i="22"/>
  <c r="J241" i="22"/>
  <c r="J258" i="22"/>
  <c r="J237" i="22"/>
  <c r="J253" i="22"/>
  <c r="K251" i="22"/>
  <c r="K243" i="22"/>
  <c r="K239" i="22"/>
  <c r="H250" i="22"/>
  <c r="H248" i="22"/>
  <c r="H234" i="22"/>
  <c r="J259" i="22"/>
  <c r="J254" i="22"/>
  <c r="K250" i="22"/>
  <c r="K248" i="22"/>
  <c r="K234" i="22"/>
  <c r="K236" i="22"/>
  <c r="G72" i="22"/>
  <c r="G39" i="22"/>
  <c r="G117" i="22"/>
  <c r="G92" i="22"/>
  <c r="G68" i="22"/>
  <c r="G121" i="22"/>
  <c r="G93" i="22"/>
  <c r="G60" i="22"/>
  <c r="G22" i="22"/>
  <c r="G41" i="22"/>
  <c r="G40" i="22"/>
  <c r="G38" i="22"/>
  <c r="G81" i="22"/>
  <c r="G49" i="22"/>
  <c r="G48" i="22"/>
  <c r="G141" i="22"/>
  <c r="G105" i="22"/>
  <c r="G74" i="22"/>
  <c r="G84" i="22"/>
  <c r="G149" i="22"/>
  <c r="G130" i="22"/>
  <c r="G77" i="22"/>
  <c r="G114" i="22"/>
  <c r="G87" i="22"/>
  <c r="G83" i="22"/>
  <c r="G104" i="22"/>
  <c r="G103" i="22"/>
  <c r="G96" i="22"/>
  <c r="G63" i="22"/>
  <c r="G15" i="22"/>
  <c r="G100" i="22"/>
  <c r="G126" i="22"/>
  <c r="G118" i="22"/>
  <c r="G62" i="22"/>
  <c r="G71" i="22"/>
  <c r="G133" i="22"/>
  <c r="G190" i="22"/>
  <c r="G189" i="22"/>
  <c r="G139" i="22"/>
  <c r="G113" i="22"/>
  <c r="G95" i="22"/>
  <c r="G30" i="22"/>
  <c r="G29" i="22"/>
  <c r="G33" i="22"/>
  <c r="G120" i="22"/>
  <c r="G119" i="22"/>
  <c r="G123" i="22"/>
  <c r="G207" i="22"/>
  <c r="G210" i="22"/>
  <c r="G138" i="22"/>
  <c r="G188" i="22"/>
  <c r="G46" i="22"/>
  <c r="G185" i="22"/>
  <c r="G187" i="22"/>
  <c r="G186" i="22"/>
  <c r="G135" i="22"/>
  <c r="G209" i="22"/>
  <c r="G208" i="22"/>
  <c r="G134" i="22"/>
  <c r="G184" i="22"/>
  <c r="G24" i="22"/>
  <c r="G183" i="22"/>
  <c r="G151" i="22"/>
  <c r="G150" i="22"/>
  <c r="G179" i="22"/>
  <c r="G182" i="22"/>
  <c r="G181" i="22"/>
  <c r="G79" i="22"/>
  <c r="G180" i="22"/>
  <c r="G178" i="22"/>
  <c r="G147" i="22"/>
  <c r="G175" i="22"/>
  <c r="G44" i="22"/>
  <c r="G174" i="22"/>
  <c r="G177" i="22"/>
  <c r="G206" i="22"/>
  <c r="G23" i="22"/>
  <c r="G70" i="22"/>
  <c r="G42" i="22"/>
  <c r="G110" i="22"/>
  <c r="G54" i="22"/>
  <c r="G173" i="22"/>
  <c r="G146" i="22"/>
  <c r="G109" i="22"/>
  <c r="G204" i="22"/>
  <c r="G53" i="22"/>
  <c r="G198" i="22"/>
  <c r="G197" i="22"/>
  <c r="G200" i="22"/>
  <c r="G196" i="22"/>
  <c r="G199" i="22"/>
  <c r="G145" i="22"/>
  <c r="G67" i="22"/>
  <c r="G37" i="22"/>
  <c r="G136" i="22"/>
  <c r="G144" i="22"/>
  <c r="G20" i="22"/>
  <c r="G171" i="22"/>
  <c r="G131" i="22"/>
  <c r="G107" i="22"/>
  <c r="G108" i="22"/>
  <c r="G58" i="22"/>
  <c r="G143" i="22"/>
  <c r="G170" i="22"/>
  <c r="G169" i="22"/>
  <c r="G195" i="22"/>
  <c r="G59" i="22"/>
  <c r="G16" i="22"/>
  <c r="G125" i="22"/>
  <c r="G31" i="22"/>
  <c r="G168" i="22"/>
  <c r="G106" i="22"/>
  <c r="G142" i="22"/>
  <c r="G17" i="22"/>
  <c r="G140" i="22"/>
  <c r="R190" i="22"/>
  <c r="R189" i="22"/>
  <c r="R139" i="22"/>
  <c r="R113" i="22"/>
  <c r="R95" i="22"/>
  <c r="R30" i="22"/>
  <c r="R29" i="22"/>
  <c r="R28" i="22"/>
  <c r="R33" i="22"/>
  <c r="R120" i="22"/>
  <c r="R119" i="22"/>
  <c r="R123" i="22"/>
  <c r="R207" i="22"/>
  <c r="R210" i="22"/>
  <c r="R138" i="22"/>
  <c r="R188" i="22"/>
  <c r="R46" i="22"/>
  <c r="R185" i="22"/>
  <c r="R187" i="22"/>
  <c r="R186" i="22"/>
  <c r="R135" i="22"/>
  <c r="R209" i="22"/>
  <c r="R208" i="22"/>
  <c r="R134" i="22"/>
  <c r="R184" i="22"/>
  <c r="R24" i="22"/>
  <c r="R183" i="22"/>
  <c r="R151" i="22"/>
  <c r="R150" i="22"/>
  <c r="R179" i="22"/>
  <c r="R182" i="22"/>
  <c r="R181" i="22"/>
  <c r="R79" i="22"/>
  <c r="R180" i="22"/>
  <c r="R178" i="22"/>
  <c r="R147" i="22"/>
  <c r="R175" i="22"/>
  <c r="R44" i="22"/>
  <c r="R174" i="22"/>
  <c r="R177" i="22"/>
  <c r="R206" i="22"/>
  <c r="R23" i="22"/>
  <c r="R70" i="22"/>
  <c r="R193" i="22"/>
  <c r="R42" i="22"/>
  <c r="R110" i="22"/>
  <c r="R54" i="22"/>
  <c r="R173" i="22"/>
  <c r="R146" i="22"/>
  <c r="R109" i="22"/>
  <c r="R204" i="22"/>
  <c r="Q190" i="22"/>
  <c r="Q189" i="22"/>
  <c r="Q139" i="22"/>
  <c r="Q113" i="22"/>
  <c r="Q95" i="22"/>
  <c r="Q33" i="22"/>
  <c r="Q120" i="22"/>
  <c r="Q119" i="22"/>
  <c r="Q123" i="22"/>
  <c r="Q207" i="22"/>
  <c r="Q210" i="22"/>
  <c r="Q138" i="22"/>
  <c r="Q188" i="22"/>
  <c r="Q46" i="22"/>
  <c r="Q185" i="22"/>
  <c r="Q187" i="22"/>
  <c r="Q186" i="22"/>
  <c r="Q135" i="22"/>
  <c r="Q209" i="22"/>
  <c r="Q208" i="22"/>
  <c r="Q134" i="22"/>
  <c r="Q184" i="22"/>
  <c r="Q24" i="22"/>
  <c r="Q183" i="22"/>
  <c r="Q151" i="22"/>
  <c r="Q150" i="22"/>
  <c r="Q179" i="22"/>
  <c r="Q182" i="22"/>
  <c r="Q181" i="22"/>
  <c r="Q79" i="22"/>
  <c r="Q180" i="22"/>
  <c r="Q178" i="22"/>
  <c r="Q147" i="22"/>
  <c r="Q175" i="22"/>
  <c r="Q44" i="22"/>
  <c r="Q174" i="22"/>
  <c r="Q177" i="22"/>
  <c r="Q206" i="22"/>
  <c r="Q23" i="22"/>
  <c r="Q70" i="22"/>
  <c r="Q193" i="22"/>
  <c r="Q42" i="22"/>
  <c r="Q110" i="22"/>
  <c r="Q54" i="22"/>
  <c r="Q173" i="22"/>
  <c r="Q146" i="22"/>
  <c r="Q109" i="22"/>
  <c r="Q204" i="22"/>
  <c r="Q53" i="22"/>
  <c r="Q198" i="22"/>
  <c r="Q197" i="22"/>
  <c r="Q200" i="22"/>
  <c r="Q196" i="22"/>
  <c r="Q199" i="22"/>
  <c r="Q145" i="22"/>
  <c r="Q67" i="22"/>
  <c r="Q37" i="22"/>
  <c r="Q136" i="22"/>
  <c r="Q144" i="22"/>
  <c r="Q20" i="22"/>
  <c r="Q171" i="22"/>
  <c r="Q131" i="22"/>
  <c r="Q107" i="22"/>
  <c r="Q108" i="22"/>
  <c r="Q58" i="22"/>
  <c r="Q143" i="22"/>
  <c r="Q170" i="22"/>
  <c r="Q169" i="22"/>
  <c r="Q195" i="22"/>
  <c r="Q59" i="22"/>
  <c r="Q16" i="22"/>
  <c r="Q125" i="22"/>
  <c r="Q31" i="22"/>
  <c r="Q168" i="22"/>
  <c r="Q106" i="22"/>
  <c r="Q142" i="22"/>
  <c r="Q17" i="22"/>
  <c r="Q140" i="22"/>
  <c r="Q133" i="22"/>
  <c r="Q167" i="22"/>
  <c r="Q14" i="22"/>
  <c r="Q124" i="22"/>
  <c r="Q192" i="22"/>
  <c r="Q191" i="22"/>
  <c r="R200" i="22"/>
  <c r="R196" i="22"/>
  <c r="R37" i="22"/>
  <c r="R144" i="22"/>
  <c r="R171" i="22"/>
  <c r="R170" i="22"/>
  <c r="R168" i="22"/>
  <c r="R198" i="22"/>
  <c r="R58" i="22"/>
  <c r="R125" i="22"/>
  <c r="R140" i="22"/>
  <c r="G167" i="22"/>
  <c r="G14" i="22"/>
  <c r="R124" i="22"/>
  <c r="R191" i="22"/>
  <c r="R145" i="22"/>
  <c r="R107" i="22"/>
  <c r="R195" i="22"/>
  <c r="R59" i="22"/>
  <c r="R142" i="22"/>
  <c r="R53" i="22"/>
  <c r="R197" i="22"/>
  <c r="R199" i="22"/>
  <c r="R67" i="22"/>
  <c r="R136" i="22"/>
  <c r="R20" i="22"/>
  <c r="R131" i="22"/>
  <c r="R108" i="22"/>
  <c r="R143" i="22"/>
  <c r="R169" i="22"/>
  <c r="R16" i="22"/>
  <c r="R31" i="22"/>
  <c r="R106" i="22"/>
  <c r="R17" i="22"/>
  <c r="R167" i="22"/>
  <c r="R14" i="22"/>
  <c r="R192" i="22"/>
  <c r="G250" i="14"/>
  <c r="G251" i="14"/>
  <c r="G252" i="14"/>
  <c r="G268" i="14"/>
  <c r="G269" i="14"/>
  <c r="G275" i="14"/>
  <c r="G274" i="14"/>
  <c r="G249" i="14"/>
  <c r="G270" i="14"/>
  <c r="G271" i="14"/>
  <c r="G272" i="14"/>
  <c r="G273" i="14"/>
  <c r="R59" i="19"/>
  <c r="Q59" i="19"/>
  <c r="Q134" i="19"/>
  <c r="R134" i="19"/>
  <c r="G59" i="19"/>
  <c r="G126" i="19"/>
  <c r="Q126" i="19"/>
  <c r="G134" i="19"/>
  <c r="R126" i="19"/>
  <c r="H199" i="19"/>
  <c r="J200" i="19"/>
  <c r="H219" i="19"/>
  <c r="K219" i="19"/>
  <c r="J204" i="19"/>
  <c r="G71" i="19"/>
  <c r="Q71" i="19"/>
  <c r="G14" i="19"/>
  <c r="Q14" i="19"/>
  <c r="G125" i="19"/>
  <c r="G24" i="19"/>
  <c r="G48" i="19"/>
  <c r="R80" i="19"/>
  <c r="R27" i="19"/>
  <c r="G86" i="19"/>
  <c r="Q143" i="19"/>
  <c r="Q43" i="19"/>
  <c r="R86" i="19"/>
  <c r="G19" i="19"/>
  <c r="G92" i="19"/>
  <c r="Q22" i="19"/>
  <c r="R50" i="19"/>
  <c r="G29" i="19"/>
  <c r="Q29" i="19"/>
  <c r="R106" i="19"/>
  <c r="R110" i="19"/>
  <c r="G141" i="19"/>
  <c r="Q141" i="19"/>
  <c r="R163" i="19"/>
  <c r="R65" i="19"/>
  <c r="G23" i="19"/>
  <c r="Q23" i="19"/>
  <c r="R84" i="19"/>
  <c r="R101" i="19"/>
  <c r="G133" i="19"/>
  <c r="Q133" i="19"/>
  <c r="R133" i="19"/>
  <c r="G82" i="19"/>
  <c r="Q82" i="19"/>
  <c r="R82" i="19"/>
  <c r="H216" i="19"/>
  <c r="K213" i="19"/>
  <c r="H220" i="19"/>
  <c r="J214" i="19"/>
  <c r="H211" i="19"/>
  <c r="J209" i="19"/>
  <c r="K196" i="19"/>
  <c r="J193" i="19"/>
  <c r="K198" i="19"/>
  <c r="G18" i="19"/>
  <c r="G57" i="19"/>
  <c r="G87" i="19"/>
  <c r="G36" i="19"/>
  <c r="G49" i="19"/>
  <c r="G21" i="19"/>
  <c r="Q18" i="19"/>
  <c r="Q57" i="19"/>
  <c r="Q87" i="19"/>
  <c r="Q36" i="19"/>
  <c r="Q49" i="19"/>
  <c r="Q21" i="19"/>
  <c r="R39" i="19"/>
  <c r="R69" i="19"/>
  <c r="R16" i="19"/>
  <c r="R20" i="19"/>
  <c r="R151" i="19"/>
  <c r="R64" i="19"/>
  <c r="G113" i="19"/>
  <c r="G167" i="19"/>
  <c r="G169" i="19"/>
  <c r="G157" i="19"/>
  <c r="G120" i="19"/>
  <c r="Q145" i="19"/>
  <c r="Q142" i="19"/>
  <c r="Q12" i="19"/>
  <c r="Q154" i="19"/>
  <c r="Q74" i="19"/>
  <c r="Q51" i="19"/>
  <c r="R112" i="19"/>
  <c r="R94" i="19"/>
  <c r="R160" i="19"/>
  <c r="R158" i="19"/>
  <c r="J199" i="19"/>
  <c r="H206" i="19"/>
  <c r="K206" i="19"/>
  <c r="H215" i="19"/>
  <c r="K215" i="19"/>
  <c r="G35" i="19"/>
  <c r="Q35" i="19"/>
  <c r="G15" i="19"/>
  <c r="Q15" i="19"/>
  <c r="Q125" i="19"/>
  <c r="G80" i="19"/>
  <c r="G27" i="19"/>
  <c r="Q24" i="19"/>
  <c r="Q48" i="19"/>
  <c r="R85" i="19"/>
  <c r="G83" i="19"/>
  <c r="G56" i="19"/>
  <c r="Q63" i="19"/>
  <c r="R83" i="19"/>
  <c r="R56" i="19"/>
  <c r="G22" i="19"/>
  <c r="Q66" i="19"/>
  <c r="R19" i="19"/>
  <c r="R92" i="19"/>
  <c r="G159" i="19"/>
  <c r="Q159" i="19"/>
  <c r="R76" i="19"/>
  <c r="R111" i="19"/>
  <c r="G34" i="19"/>
  <c r="Q34" i="19"/>
  <c r="R140" i="19"/>
  <c r="R114" i="19"/>
  <c r="G152" i="19"/>
  <c r="Q152" i="19"/>
  <c r="R148" i="19"/>
  <c r="R10" i="19"/>
  <c r="G45" i="19"/>
  <c r="Q45" i="19"/>
  <c r="R45" i="19"/>
  <c r="J213" i="19"/>
  <c r="K217" i="19"/>
  <c r="H214" i="19"/>
  <c r="K205" i="19"/>
  <c r="H209" i="19"/>
  <c r="J196" i="19"/>
  <c r="H193" i="19"/>
  <c r="J198" i="19"/>
  <c r="K194" i="19"/>
  <c r="G39" i="19"/>
  <c r="G69" i="19"/>
  <c r="G16" i="19"/>
  <c r="G20" i="19"/>
  <c r="G151" i="19"/>
  <c r="G64" i="19"/>
  <c r="Q39" i="19"/>
  <c r="Q69" i="19"/>
  <c r="Q16" i="19"/>
  <c r="Q20" i="19"/>
  <c r="Q151" i="19"/>
  <c r="Q64" i="19"/>
  <c r="R75" i="19"/>
  <c r="R60" i="19"/>
  <c r="R32" i="19"/>
  <c r="R28" i="19"/>
  <c r="R89" i="19"/>
  <c r="R78" i="19"/>
  <c r="G95" i="19"/>
  <c r="G168" i="19"/>
  <c r="G138" i="19"/>
  <c r="G44" i="19"/>
  <c r="G153" i="19"/>
  <c r="Q112" i="19"/>
  <c r="Q94" i="19"/>
  <c r="Q160" i="19"/>
  <c r="Q158" i="19"/>
  <c r="Q156" i="19"/>
  <c r="Q118" i="19"/>
  <c r="R113" i="19"/>
  <c r="R167" i="19"/>
  <c r="R169" i="19"/>
  <c r="R157" i="19"/>
  <c r="K199" i="19"/>
  <c r="H200" i="19"/>
  <c r="K200" i="19"/>
  <c r="J219" i="19"/>
  <c r="H204" i="19"/>
  <c r="K204" i="19"/>
  <c r="R71" i="19"/>
  <c r="R14" i="19"/>
  <c r="G85" i="19"/>
  <c r="Q80" i="19"/>
  <c r="Q27" i="19"/>
  <c r="G143" i="19"/>
  <c r="G43" i="19"/>
  <c r="Q86" i="19"/>
  <c r="R143" i="19"/>
  <c r="R43" i="19"/>
  <c r="G66" i="19"/>
  <c r="Q50" i="19"/>
  <c r="R22" i="19"/>
  <c r="G106" i="19"/>
  <c r="G110" i="19"/>
  <c r="Q106" i="19"/>
  <c r="Q110" i="19"/>
  <c r="R29" i="19"/>
  <c r="G163" i="19"/>
  <c r="G65" i="19"/>
  <c r="Q163" i="19"/>
  <c r="Q65" i="19"/>
  <c r="R141" i="19"/>
  <c r="G84" i="19"/>
  <c r="G101" i="19"/>
  <c r="Q84" i="19"/>
  <c r="Q101" i="19"/>
  <c r="R23" i="19"/>
  <c r="G41" i="19"/>
  <c r="Q41" i="19"/>
  <c r="R41" i="19"/>
  <c r="G131" i="19"/>
  <c r="Q131" i="19"/>
  <c r="R131" i="19"/>
  <c r="H213" i="19"/>
  <c r="J217" i="19"/>
  <c r="K216" i="19"/>
  <c r="J205" i="19"/>
  <c r="K220" i="19"/>
  <c r="H196" i="19"/>
  <c r="K211" i="19"/>
  <c r="H198" i="19"/>
  <c r="J194" i="19"/>
  <c r="G75" i="19"/>
  <c r="G60" i="19"/>
  <c r="G32" i="19"/>
  <c r="G28" i="19"/>
  <c r="G89" i="19"/>
  <c r="G78" i="19"/>
  <c r="Q75" i="19"/>
  <c r="Q60" i="19"/>
  <c r="Q32" i="19"/>
  <c r="Q28" i="19"/>
  <c r="Q89" i="19"/>
  <c r="Q78" i="19"/>
  <c r="R70" i="19"/>
  <c r="R30" i="19"/>
  <c r="R155" i="19"/>
  <c r="R146" i="19"/>
  <c r="R52" i="19"/>
  <c r="G145" i="19"/>
  <c r="G142" i="19"/>
  <c r="G12" i="19"/>
  <c r="G154" i="19"/>
  <c r="G74" i="19"/>
  <c r="G51" i="19"/>
  <c r="Q113" i="19"/>
  <c r="Q167" i="19"/>
  <c r="Q169" i="19"/>
  <c r="Q157" i="19"/>
  <c r="J206" i="19"/>
  <c r="J215" i="19"/>
  <c r="R35" i="19"/>
  <c r="R15" i="19"/>
  <c r="R125" i="19"/>
  <c r="Q85" i="19"/>
  <c r="R24" i="19"/>
  <c r="R48" i="19"/>
  <c r="G63" i="19"/>
  <c r="Q83" i="19"/>
  <c r="Q56" i="19"/>
  <c r="R63" i="19"/>
  <c r="G50" i="19"/>
  <c r="Q19" i="19"/>
  <c r="Q92" i="19"/>
  <c r="R66" i="19"/>
  <c r="G76" i="19"/>
  <c r="G111" i="19"/>
  <c r="Q76" i="19"/>
  <c r="Q111" i="19"/>
  <c r="R159" i="19"/>
  <c r="G140" i="19"/>
  <c r="G114" i="19"/>
  <c r="Q140" i="19"/>
  <c r="Q114" i="19"/>
  <c r="R34" i="19"/>
  <c r="G148" i="19"/>
  <c r="G10" i="19"/>
  <c r="Q148" i="19"/>
  <c r="Q10" i="19"/>
  <c r="R152" i="19"/>
  <c r="G40" i="19"/>
  <c r="Q40" i="19"/>
  <c r="R40" i="19"/>
  <c r="H217" i="19"/>
  <c r="J216" i="19"/>
  <c r="H205" i="19"/>
  <c r="J220" i="19"/>
  <c r="K214" i="19"/>
  <c r="J211" i="19"/>
  <c r="K209" i="19"/>
  <c r="H194" i="19"/>
  <c r="K193" i="19"/>
  <c r="G70" i="19"/>
  <c r="G30" i="19"/>
  <c r="G155" i="19"/>
  <c r="G146" i="19"/>
  <c r="G52" i="19"/>
  <c r="Q70" i="19"/>
  <c r="Q30" i="19"/>
  <c r="Q155" i="19"/>
  <c r="Q146" i="19"/>
  <c r="Q52" i="19"/>
  <c r="R18" i="19"/>
  <c r="R57" i="19"/>
  <c r="R87" i="19"/>
  <c r="R36" i="19"/>
  <c r="R49" i="19"/>
  <c r="R21" i="19"/>
  <c r="G112" i="19"/>
  <c r="G94" i="19"/>
  <c r="G160" i="19"/>
  <c r="G158" i="19"/>
  <c r="G156" i="19"/>
  <c r="G118" i="19"/>
  <c r="Q95" i="19"/>
  <c r="Q168" i="19"/>
  <c r="Q138" i="19"/>
  <c r="Q44" i="19"/>
  <c r="Q153" i="19"/>
  <c r="R145" i="19"/>
  <c r="R142" i="19"/>
  <c r="R12" i="19"/>
  <c r="R74" i="19"/>
  <c r="R118" i="19"/>
  <c r="Q99" i="19"/>
  <c r="R90" i="19"/>
  <c r="R25" i="19"/>
  <c r="Q120" i="19"/>
  <c r="R138" i="19"/>
  <c r="R156" i="19"/>
  <c r="R120" i="19"/>
  <c r="R99" i="19"/>
  <c r="G25" i="19"/>
  <c r="R95" i="19"/>
  <c r="R154" i="19"/>
  <c r="R153" i="19"/>
  <c r="G99" i="19"/>
  <c r="G90" i="19"/>
  <c r="R168" i="19"/>
  <c r="R44" i="19"/>
  <c r="R51" i="19"/>
  <c r="Q90" i="19"/>
  <c r="Q25" i="19"/>
  <c r="G53" i="19"/>
  <c r="G13" i="19"/>
  <c r="G129" i="19"/>
  <c r="G115" i="19"/>
  <c r="G137" i="19"/>
  <c r="Q100" i="19"/>
  <c r="Q102" i="19"/>
  <c r="Q47" i="19"/>
  <c r="Q37" i="19"/>
  <c r="Q62" i="19"/>
  <c r="R119" i="19"/>
  <c r="R132" i="19"/>
  <c r="R130" i="19"/>
  <c r="R42" i="19"/>
  <c r="R147" i="19"/>
  <c r="R108" i="19"/>
  <c r="G88" i="19"/>
  <c r="G98" i="19"/>
  <c r="Q33" i="19"/>
  <c r="Q149" i="19"/>
  <c r="R122" i="19"/>
  <c r="R150" i="19"/>
  <c r="R72" i="19"/>
  <c r="G58" i="19"/>
  <c r="G67" i="19"/>
  <c r="Q55" i="19"/>
  <c r="Q144" i="19"/>
  <c r="R31" i="19"/>
  <c r="R135" i="19"/>
  <c r="R96" i="19"/>
  <c r="G77" i="19"/>
  <c r="G107" i="19"/>
  <c r="Q17" i="19"/>
  <c r="R162" i="19"/>
  <c r="R136" i="19"/>
  <c r="R103" i="19"/>
  <c r="Q128" i="19"/>
  <c r="R38" i="19"/>
  <c r="Q38" i="19"/>
  <c r="G119" i="19"/>
  <c r="G132" i="19"/>
  <c r="G130" i="19"/>
  <c r="G42" i="19"/>
  <c r="G147" i="19"/>
  <c r="G108" i="19"/>
  <c r="Q13" i="19"/>
  <c r="Q129" i="19"/>
  <c r="Q115" i="19"/>
  <c r="Q137" i="19"/>
  <c r="R68" i="19"/>
  <c r="R139" i="19"/>
  <c r="R61" i="19"/>
  <c r="R170" i="19"/>
  <c r="R81" i="19"/>
  <c r="G97" i="19"/>
  <c r="G72" i="19"/>
  <c r="Q88" i="19"/>
  <c r="Q53" i="19"/>
  <c r="R33" i="19"/>
  <c r="R149" i="19"/>
  <c r="G31" i="19"/>
  <c r="G135" i="19"/>
  <c r="G96" i="19"/>
  <c r="Q79" i="19"/>
  <c r="Q46" i="19"/>
  <c r="R55" i="19"/>
  <c r="R144" i="19"/>
  <c r="G162" i="19"/>
  <c r="G136" i="19"/>
  <c r="Q109" i="19"/>
  <c r="Q161" i="19"/>
  <c r="R54" i="19"/>
  <c r="R17" i="19"/>
  <c r="Q103" i="19"/>
  <c r="G68" i="19"/>
  <c r="G139" i="19"/>
  <c r="G61" i="19"/>
  <c r="G170" i="19"/>
  <c r="G81" i="19"/>
  <c r="Q119" i="19"/>
  <c r="Q132" i="19"/>
  <c r="Q130" i="19"/>
  <c r="Q42" i="19"/>
  <c r="Q147" i="19"/>
  <c r="Q108" i="19"/>
  <c r="R100" i="19"/>
  <c r="R102" i="19"/>
  <c r="R47" i="19"/>
  <c r="R37" i="19"/>
  <c r="R62" i="19"/>
  <c r="G122" i="19"/>
  <c r="G150" i="19"/>
  <c r="Q97" i="19"/>
  <c r="Q98" i="19"/>
  <c r="R88" i="19"/>
  <c r="R53" i="19"/>
  <c r="G55" i="19"/>
  <c r="G144" i="19"/>
  <c r="Q58" i="19"/>
  <c r="Q67" i="19"/>
  <c r="R79" i="19"/>
  <c r="R46" i="19"/>
  <c r="G54" i="19"/>
  <c r="G17" i="19"/>
  <c r="Q77" i="19"/>
  <c r="Q107" i="19"/>
  <c r="R109" i="19"/>
  <c r="R161" i="19"/>
  <c r="R104" i="19"/>
  <c r="G128" i="19"/>
  <c r="R91" i="19"/>
  <c r="Q91" i="19"/>
  <c r="G100" i="19"/>
  <c r="G102" i="19"/>
  <c r="G47" i="19"/>
  <c r="G37" i="19"/>
  <c r="G62" i="19"/>
  <c r="Q68" i="19"/>
  <c r="Q139" i="19"/>
  <c r="Q61" i="19"/>
  <c r="Q170" i="19"/>
  <c r="Q81" i="19"/>
  <c r="R13" i="19"/>
  <c r="R129" i="19"/>
  <c r="R115" i="19"/>
  <c r="R137" i="19"/>
  <c r="G33" i="19"/>
  <c r="G149" i="19"/>
  <c r="Q122" i="19"/>
  <c r="Q150" i="19"/>
  <c r="Q72" i="19"/>
  <c r="R97" i="19"/>
  <c r="R98" i="19"/>
  <c r="G79" i="19"/>
  <c r="G46" i="19"/>
  <c r="Q31" i="19"/>
  <c r="Q135" i="19"/>
  <c r="Q96" i="19"/>
  <c r="R58" i="19"/>
  <c r="R67" i="19"/>
  <c r="G109" i="19"/>
  <c r="G161" i="19"/>
  <c r="Q162" i="19"/>
  <c r="Q136" i="19"/>
  <c r="R77" i="19"/>
  <c r="R107" i="19"/>
  <c r="G103" i="19"/>
  <c r="Q104" i="19"/>
  <c r="G38" i="19"/>
  <c r="R128" i="19"/>
  <c r="G91" i="19"/>
  <c r="G66" i="18"/>
  <c r="G64" i="18"/>
  <c r="G70" i="18"/>
  <c r="G87" i="18"/>
  <c r="G136" i="18"/>
  <c r="G98" i="18"/>
  <c r="R89" i="18"/>
  <c r="R116" i="18"/>
  <c r="R136" i="18"/>
  <c r="Q116" i="18"/>
  <c r="G89" i="18"/>
  <c r="G116" i="18"/>
  <c r="R98" i="18"/>
  <c r="Q66" i="18"/>
  <c r="Q64" i="18"/>
  <c r="Q70" i="18"/>
  <c r="Q87" i="18"/>
  <c r="Q136" i="18"/>
  <c r="Q98" i="18"/>
  <c r="R87" i="18"/>
  <c r="Q89" i="18"/>
  <c r="R66" i="18"/>
  <c r="R64" i="18"/>
  <c r="R70" i="18"/>
  <c r="G53" i="18"/>
  <c r="Q110" i="18"/>
  <c r="R53" i="18"/>
  <c r="R57" i="18"/>
  <c r="R123" i="18"/>
  <c r="G114" i="18"/>
  <c r="G153" i="18"/>
  <c r="H195" i="18"/>
  <c r="H187" i="18"/>
  <c r="H196" i="18"/>
  <c r="J198" i="18"/>
  <c r="J186" i="18"/>
  <c r="J190" i="18"/>
  <c r="J206" i="18"/>
  <c r="K185" i="18"/>
  <c r="K189" i="18"/>
  <c r="K192" i="18"/>
  <c r="H202" i="18"/>
  <c r="K207" i="18"/>
  <c r="H193" i="18"/>
  <c r="J194" i="18"/>
  <c r="H208" i="18"/>
  <c r="J197" i="18"/>
  <c r="K184" i="18"/>
  <c r="J209" i="18"/>
  <c r="K204" i="18"/>
  <c r="G56" i="18"/>
  <c r="G12" i="18"/>
  <c r="G15" i="18"/>
  <c r="G59" i="18"/>
  <c r="G84" i="18"/>
  <c r="G46" i="18"/>
  <c r="G109" i="18"/>
  <c r="G128" i="18"/>
  <c r="G129" i="18"/>
  <c r="G133" i="18"/>
  <c r="G60" i="18"/>
  <c r="G25" i="18"/>
  <c r="G62" i="18"/>
  <c r="G85" i="18"/>
  <c r="G50" i="18"/>
  <c r="G39" i="18"/>
  <c r="G67" i="18"/>
  <c r="G35" i="18"/>
  <c r="G82" i="18"/>
  <c r="G138" i="18"/>
  <c r="G139" i="18"/>
  <c r="G142" i="18"/>
  <c r="Q88" i="18"/>
  <c r="Q13" i="18"/>
  <c r="Q107" i="18"/>
  <c r="Q17" i="18"/>
  <c r="Q154" i="18"/>
  <c r="Q126" i="18"/>
  <c r="Q99" i="18"/>
  <c r="Q130" i="18"/>
  <c r="Q157" i="18"/>
  <c r="Q22" i="18"/>
  <c r="Q86" i="18"/>
  <c r="Q111" i="18"/>
  <c r="Q112" i="18"/>
  <c r="Q100" i="18"/>
  <c r="Q137" i="18"/>
  <c r="Q68" i="18"/>
  <c r="Q158" i="18"/>
  <c r="Q83" i="18"/>
  <c r="Q101" i="18"/>
  <c r="Q140" i="18"/>
  <c r="R56" i="18"/>
  <c r="R12" i="18"/>
  <c r="R15" i="18"/>
  <c r="R59" i="18"/>
  <c r="R84" i="18"/>
  <c r="R46" i="18"/>
  <c r="R109" i="18"/>
  <c r="G110" i="18"/>
  <c r="R110" i="18"/>
  <c r="G57" i="18"/>
  <c r="G123" i="18"/>
  <c r="H199" i="18"/>
  <c r="H188" i="18"/>
  <c r="H191" i="18"/>
  <c r="J195" i="18"/>
  <c r="J187" i="18"/>
  <c r="J196" i="18"/>
  <c r="K198" i="18"/>
  <c r="K186" i="18"/>
  <c r="K190" i="18"/>
  <c r="K206" i="18"/>
  <c r="J207" i="18"/>
  <c r="K201" i="18"/>
  <c r="G80" i="18"/>
  <c r="Q40" i="18"/>
  <c r="R80" i="18"/>
  <c r="Q114" i="18"/>
  <c r="Q153" i="18"/>
  <c r="H185" i="18"/>
  <c r="H189" i="18"/>
  <c r="H192" i="18"/>
  <c r="J199" i="18"/>
  <c r="J188" i="18"/>
  <c r="J191" i="18"/>
  <c r="K195" i="18"/>
  <c r="K187" i="18"/>
  <c r="K196" i="18"/>
  <c r="H207" i="18"/>
  <c r="J201" i="18"/>
  <c r="K202" i="18"/>
  <c r="J203" i="18"/>
  <c r="K193" i="18"/>
  <c r="H184" i="18"/>
  <c r="K208" i="18"/>
  <c r="H204" i="18"/>
  <c r="J205" i="18"/>
  <c r="G34" i="18"/>
  <c r="G151" i="18"/>
  <c r="G58" i="18"/>
  <c r="G45" i="18"/>
  <c r="G105" i="18"/>
  <c r="G125" i="18"/>
  <c r="G155" i="18"/>
  <c r="G48" i="18"/>
  <c r="G131" i="18"/>
  <c r="G49" i="18"/>
  <c r="G38" i="18"/>
  <c r="G33" i="18"/>
  <c r="G63" i="18"/>
  <c r="G135" i="18"/>
  <c r="G42" i="18"/>
  <c r="G52" i="18"/>
  <c r="G115" i="18"/>
  <c r="G159" i="18"/>
  <c r="G90" i="18"/>
  <c r="G161" i="18"/>
  <c r="G118" i="18"/>
  <c r="Q11" i="18"/>
  <c r="Q14" i="18"/>
  <c r="Q108" i="18"/>
  <c r="Q152" i="18"/>
  <c r="Q124" i="18"/>
  <c r="Q47" i="18"/>
  <c r="Q127" i="18"/>
  <c r="Q41" i="18"/>
  <c r="Q156" i="18"/>
  <c r="Q20" i="18"/>
  <c r="Q134" i="18"/>
  <c r="Q61" i="18"/>
  <c r="Q81" i="18"/>
  <c r="Q113" i="18"/>
  <c r="Q51" i="18"/>
  <c r="Q65" i="18"/>
  <c r="Q69" i="18"/>
  <c r="Q160" i="18"/>
  <c r="Q117" i="18"/>
  <c r="Q71" i="18"/>
  <c r="Q141" i="18"/>
  <c r="R34" i="18"/>
  <c r="R151" i="18"/>
  <c r="R153" i="18"/>
  <c r="H206" i="18"/>
  <c r="K199" i="18"/>
  <c r="J202" i="18"/>
  <c r="K203" i="18"/>
  <c r="J204" i="18"/>
  <c r="G88" i="18"/>
  <c r="G107" i="18"/>
  <c r="G104" i="18"/>
  <c r="G126" i="18"/>
  <c r="G130" i="18"/>
  <c r="G22" i="18"/>
  <c r="G111" i="18"/>
  <c r="G100" i="18"/>
  <c r="G68" i="18"/>
  <c r="G83" i="18"/>
  <c r="G140" i="18"/>
  <c r="Q56" i="18"/>
  <c r="Q15" i="18"/>
  <c r="Q84" i="18"/>
  <c r="Q109" i="18"/>
  <c r="Q129" i="18"/>
  <c r="Q60" i="18"/>
  <c r="Q62" i="18"/>
  <c r="Q50" i="18"/>
  <c r="Q67" i="18"/>
  <c r="Q82" i="18"/>
  <c r="Q139" i="18"/>
  <c r="R11" i="18"/>
  <c r="R58" i="18"/>
  <c r="R152" i="18"/>
  <c r="R154" i="18"/>
  <c r="R155" i="18"/>
  <c r="R48" i="18"/>
  <c r="R131" i="18"/>
  <c r="R49" i="18"/>
  <c r="R38" i="18"/>
  <c r="R33" i="18"/>
  <c r="R63" i="18"/>
  <c r="R135" i="18"/>
  <c r="R42" i="18"/>
  <c r="R52" i="18"/>
  <c r="R115" i="18"/>
  <c r="R159" i="18"/>
  <c r="R90" i="18"/>
  <c r="R161" i="18"/>
  <c r="R118" i="18"/>
  <c r="G143" i="18"/>
  <c r="G144" i="18"/>
  <c r="G146" i="18"/>
  <c r="G93" i="18"/>
  <c r="G74" i="18"/>
  <c r="G76" i="18"/>
  <c r="G150" i="18"/>
  <c r="G32" i="18"/>
  <c r="G97" i="18"/>
  <c r="G19" i="18"/>
  <c r="G26" i="18"/>
  <c r="G132" i="18"/>
  <c r="Q43" i="18"/>
  <c r="Q145" i="18"/>
  <c r="Q102" i="18"/>
  <c r="Q119" i="18"/>
  <c r="Q94" i="18"/>
  <c r="Q148" i="18"/>
  <c r="Q77" i="18"/>
  <c r="Q121" i="18"/>
  <c r="Q9" i="18"/>
  <c r="Q21" i="18"/>
  <c r="Q53" i="18"/>
  <c r="Q57" i="18"/>
  <c r="Q123" i="18"/>
  <c r="H198" i="18"/>
  <c r="J185" i="18"/>
  <c r="K188" i="18"/>
  <c r="H203" i="18"/>
  <c r="K194" i="18"/>
  <c r="K197" i="18"/>
  <c r="K209" i="18"/>
  <c r="G11" i="18"/>
  <c r="G108" i="18"/>
  <c r="G124" i="18"/>
  <c r="G127" i="18"/>
  <c r="G156" i="18"/>
  <c r="G134" i="18"/>
  <c r="G81" i="18"/>
  <c r="G51" i="18"/>
  <c r="G69" i="18"/>
  <c r="G117" i="18"/>
  <c r="G141" i="18"/>
  <c r="Q34" i="18"/>
  <c r="Q58" i="18"/>
  <c r="Q155" i="18"/>
  <c r="Q131" i="18"/>
  <c r="Q38" i="18"/>
  <c r="Q63" i="18"/>
  <c r="Q42" i="18"/>
  <c r="Q115" i="18"/>
  <c r="Q90" i="18"/>
  <c r="Q118" i="18"/>
  <c r="R13" i="18"/>
  <c r="R108" i="18"/>
  <c r="R104" i="18"/>
  <c r="R125" i="18"/>
  <c r="R127" i="18"/>
  <c r="R41" i="18"/>
  <c r="R156" i="18"/>
  <c r="R20" i="18"/>
  <c r="R134" i="18"/>
  <c r="R61" i="18"/>
  <c r="R81" i="18"/>
  <c r="R113" i="18"/>
  <c r="R51" i="18"/>
  <c r="R65" i="18"/>
  <c r="R69" i="18"/>
  <c r="R160" i="18"/>
  <c r="R117" i="18"/>
  <c r="R71" i="18"/>
  <c r="R141" i="18"/>
  <c r="G43" i="18"/>
  <c r="G145" i="18"/>
  <c r="G102" i="18"/>
  <c r="G119" i="18"/>
  <c r="G94" i="18"/>
  <c r="G148" i="18"/>
  <c r="G77" i="18"/>
  <c r="G121" i="18"/>
  <c r="G9" i="18"/>
  <c r="G21" i="18"/>
  <c r="G40" i="18"/>
  <c r="R114" i="18"/>
  <c r="H186" i="18"/>
  <c r="J189" i="18"/>
  <c r="K191" i="18"/>
  <c r="H194" i="18"/>
  <c r="H197" i="18"/>
  <c r="H209" i="18"/>
  <c r="K205" i="18"/>
  <c r="G13" i="18"/>
  <c r="G17" i="18"/>
  <c r="G154" i="18"/>
  <c r="G99" i="18"/>
  <c r="G157" i="18"/>
  <c r="G86" i="18"/>
  <c r="G112" i="18"/>
  <c r="G137" i="18"/>
  <c r="G158" i="18"/>
  <c r="G101" i="18"/>
  <c r="Q12" i="18"/>
  <c r="Q59" i="18"/>
  <c r="Q46" i="18"/>
  <c r="Q128" i="18"/>
  <c r="Q133" i="18"/>
  <c r="Q25" i="18"/>
  <c r="Q85" i="18"/>
  <c r="Q39" i="18"/>
  <c r="Q35" i="18"/>
  <c r="Q138" i="18"/>
  <c r="Q142" i="18"/>
  <c r="R14" i="18"/>
  <c r="R17" i="18"/>
  <c r="R105" i="18"/>
  <c r="R47" i="18"/>
  <c r="R128" i="18"/>
  <c r="R129" i="18"/>
  <c r="R133" i="18"/>
  <c r="R60" i="18"/>
  <c r="R25" i="18"/>
  <c r="R62" i="18"/>
  <c r="R85" i="18"/>
  <c r="R50" i="18"/>
  <c r="R39" i="18"/>
  <c r="R67" i="18"/>
  <c r="R35" i="18"/>
  <c r="R82" i="18"/>
  <c r="R138" i="18"/>
  <c r="R139" i="18"/>
  <c r="R142" i="18"/>
  <c r="G72" i="18"/>
  <c r="G30" i="18"/>
  <c r="G92" i="18"/>
  <c r="G36" i="18"/>
  <c r="G75" i="18"/>
  <c r="G149" i="18"/>
  <c r="G78" i="18"/>
  <c r="G122" i="18"/>
  <c r="G16" i="18"/>
  <c r="G23" i="18"/>
  <c r="G29" i="18"/>
  <c r="Q91" i="18"/>
  <c r="Q54" i="18"/>
  <c r="Q73" i="18"/>
  <c r="Q103" i="18"/>
  <c r="Q147" i="18"/>
  <c r="Q120" i="18"/>
  <c r="Q95" i="18"/>
  <c r="Q31" i="18"/>
  <c r="Q96" i="18"/>
  <c r="Q18" i="18"/>
  <c r="Q24" i="18"/>
  <c r="J193" i="18"/>
  <c r="G47" i="18"/>
  <c r="G113" i="18"/>
  <c r="Q125" i="18"/>
  <c r="Q135" i="18"/>
  <c r="R88" i="18"/>
  <c r="R126" i="18"/>
  <c r="R22" i="18"/>
  <c r="R100" i="18"/>
  <c r="R83" i="18"/>
  <c r="G54" i="18"/>
  <c r="G120" i="18"/>
  <c r="G18" i="18"/>
  <c r="G79" i="18"/>
  <c r="Q144" i="18"/>
  <c r="Q93" i="18"/>
  <c r="Q76" i="18"/>
  <c r="Q32" i="18"/>
  <c r="Q19" i="18"/>
  <c r="R91" i="18"/>
  <c r="R54" i="18"/>
  <c r="R73" i="18"/>
  <c r="R103" i="18"/>
  <c r="R147" i="18"/>
  <c r="R120" i="18"/>
  <c r="R95" i="18"/>
  <c r="R31" i="18"/>
  <c r="R96" i="18"/>
  <c r="R18" i="18"/>
  <c r="R24" i="18"/>
  <c r="R79" i="18"/>
  <c r="G27" i="18"/>
  <c r="Q55" i="18"/>
  <c r="R55" i="18"/>
  <c r="Q49" i="18"/>
  <c r="R68" i="18"/>
  <c r="Q146" i="18"/>
  <c r="Q97" i="18"/>
  <c r="R43" i="18"/>
  <c r="R119" i="18"/>
  <c r="R77" i="18"/>
  <c r="R21" i="18"/>
  <c r="Q27" i="18"/>
  <c r="Q45" i="18"/>
  <c r="R112" i="18"/>
  <c r="H190" i="18"/>
  <c r="J208" i="18"/>
  <c r="G41" i="18"/>
  <c r="G65" i="18"/>
  <c r="Q48" i="18"/>
  <c r="Q52" i="18"/>
  <c r="R107" i="18"/>
  <c r="R99" i="18"/>
  <c r="R86" i="18"/>
  <c r="R137" i="18"/>
  <c r="R101" i="18"/>
  <c r="G73" i="18"/>
  <c r="G95" i="18"/>
  <c r="G24" i="18"/>
  <c r="Q30" i="18"/>
  <c r="Q36" i="18"/>
  <c r="Q149" i="18"/>
  <c r="Q122" i="18"/>
  <c r="Q23" i="18"/>
  <c r="Q29" i="18"/>
  <c r="R143" i="18"/>
  <c r="R144" i="18"/>
  <c r="R146" i="18"/>
  <c r="R93" i="18"/>
  <c r="R74" i="18"/>
  <c r="R76" i="18"/>
  <c r="R150" i="18"/>
  <c r="R32" i="18"/>
  <c r="R97" i="18"/>
  <c r="R19" i="18"/>
  <c r="R26" i="18"/>
  <c r="R132" i="18"/>
  <c r="G28" i="18"/>
  <c r="G106" i="18"/>
  <c r="Q44" i="18"/>
  <c r="R44" i="18"/>
  <c r="G160" i="18"/>
  <c r="Q159" i="18"/>
  <c r="R130" i="18"/>
  <c r="G103" i="18"/>
  <c r="G31" i="18"/>
  <c r="Q74" i="18"/>
  <c r="Q26" i="18"/>
  <c r="R145" i="18"/>
  <c r="R94" i="18"/>
  <c r="R121" i="18"/>
  <c r="G55" i="18"/>
  <c r="H201" i="18"/>
  <c r="G61" i="18"/>
  <c r="Q161" i="18"/>
  <c r="R124" i="18"/>
  <c r="J192" i="18"/>
  <c r="H205" i="18"/>
  <c r="G14" i="18"/>
  <c r="G20" i="18"/>
  <c r="Q151" i="18"/>
  <c r="R45" i="18"/>
  <c r="R111" i="18"/>
  <c r="R140" i="18"/>
  <c r="Q143" i="18"/>
  <c r="Q150" i="18"/>
  <c r="Q79" i="18"/>
  <c r="R102" i="18"/>
  <c r="R148" i="18"/>
  <c r="R9" i="18"/>
  <c r="R27" i="18"/>
  <c r="R40" i="18"/>
  <c r="G152" i="18"/>
  <c r="G71" i="18"/>
  <c r="R157" i="18"/>
  <c r="G96" i="18"/>
  <c r="Q78" i="18"/>
  <c r="Q132" i="18"/>
  <c r="R36" i="18"/>
  <c r="R122" i="18"/>
  <c r="R28" i="18"/>
  <c r="R72" i="18"/>
  <c r="R75" i="18"/>
  <c r="R16" i="18"/>
  <c r="R29" i="18"/>
  <c r="R106" i="18"/>
  <c r="R23" i="18"/>
  <c r="Q28" i="18"/>
  <c r="G147" i="18"/>
  <c r="R78" i="18"/>
  <c r="R158" i="18"/>
  <c r="Q72" i="18"/>
  <c r="Q16" i="18"/>
  <c r="G91" i="18"/>
  <c r="Q92" i="18"/>
  <c r="R30" i="18"/>
  <c r="R149" i="18"/>
  <c r="G44" i="18"/>
  <c r="Q75" i="18"/>
  <c r="R92" i="18"/>
  <c r="G38" i="13"/>
  <c r="Q38" i="13"/>
  <c r="G154" i="13"/>
  <c r="Q154" i="13"/>
  <c r="G83" i="13"/>
  <c r="Q83" i="13"/>
  <c r="G150" i="13"/>
  <c r="Q150" i="13"/>
  <c r="G85" i="13"/>
  <c r="Q85" i="13"/>
  <c r="J186" i="13"/>
  <c r="R38" i="13"/>
  <c r="R154" i="13"/>
  <c r="R83" i="13"/>
  <c r="R150" i="13"/>
  <c r="R85" i="13"/>
  <c r="H186" i="13"/>
  <c r="K186" i="13"/>
  <c r="G27" i="13"/>
  <c r="Q27" i="13"/>
  <c r="G39" i="13"/>
  <c r="Q39" i="13"/>
  <c r="R27" i="13"/>
  <c r="R39" i="13"/>
  <c r="R102" i="13"/>
  <c r="R12" i="13"/>
  <c r="G102" i="13"/>
  <c r="Q102" i="13"/>
  <c r="G12" i="13"/>
  <c r="Q12" i="13"/>
  <c r="H184" i="13"/>
  <c r="J184" i="13"/>
  <c r="K184" i="13"/>
  <c r="H185" i="13"/>
  <c r="J185" i="13"/>
  <c r="K185" i="13"/>
  <c r="G159" i="13"/>
  <c r="Q159" i="13"/>
  <c r="R159" i="13"/>
  <c r="H207" i="13"/>
  <c r="H203" i="13"/>
  <c r="J207" i="13"/>
  <c r="J203" i="13"/>
  <c r="K207" i="13"/>
  <c r="K203" i="13"/>
  <c r="H188" i="13"/>
  <c r="H189" i="13"/>
  <c r="J188" i="13"/>
  <c r="J189" i="13"/>
  <c r="K188" i="13"/>
  <c r="K189" i="13"/>
  <c r="H190" i="13"/>
  <c r="H204" i="13"/>
  <c r="J190" i="13"/>
  <c r="J204" i="13"/>
  <c r="K190" i="13"/>
  <c r="K204" i="13"/>
  <c r="G55" i="13"/>
  <c r="G54" i="13"/>
  <c r="G52" i="13"/>
  <c r="G134" i="13"/>
  <c r="G133" i="13"/>
  <c r="G56" i="13"/>
  <c r="G139" i="13"/>
  <c r="G61" i="13"/>
  <c r="G101" i="13"/>
  <c r="G138" i="13"/>
  <c r="G123" i="13"/>
  <c r="G106" i="13"/>
  <c r="G62" i="13"/>
  <c r="G29" i="13"/>
  <c r="G108" i="13"/>
  <c r="G111" i="13"/>
  <c r="G43" i="13"/>
  <c r="Q41" i="13"/>
  <c r="Q10" i="13"/>
  <c r="Q135" i="13"/>
  <c r="Q58" i="13"/>
  <c r="Q157" i="13"/>
  <c r="Q11" i="13"/>
  <c r="Q110" i="13"/>
  <c r="Q137" i="13"/>
  <c r="Q122" i="13"/>
  <c r="Q136" i="13"/>
  <c r="Q140" i="13"/>
  <c r="Q160" i="13"/>
  <c r="Q65" i="13"/>
  <c r="Q53" i="13"/>
  <c r="Q107" i="13"/>
  <c r="Q64" i="13"/>
  <c r="R55" i="13"/>
  <c r="R54" i="13"/>
  <c r="R52" i="13"/>
  <c r="R134" i="13"/>
  <c r="R133" i="13"/>
  <c r="R56" i="13"/>
  <c r="R139" i="13"/>
  <c r="R61" i="13"/>
  <c r="R101" i="13"/>
  <c r="R138" i="13"/>
  <c r="R123" i="13"/>
  <c r="R106" i="13"/>
  <c r="R62" i="13"/>
  <c r="R29" i="13"/>
  <c r="R108" i="13"/>
  <c r="R111" i="13"/>
  <c r="R43" i="13"/>
  <c r="G69" i="13"/>
  <c r="G67" i="13"/>
  <c r="G46" i="13"/>
  <c r="G161" i="13"/>
  <c r="G72" i="13"/>
  <c r="G49" i="13"/>
  <c r="G74" i="13"/>
  <c r="G142" i="13"/>
  <c r="G19" i="13"/>
  <c r="G113" i="13"/>
  <c r="G75" i="13"/>
  <c r="H208" i="13"/>
  <c r="H201" i="13"/>
  <c r="J208" i="13"/>
  <c r="J201" i="13"/>
  <c r="K208" i="13"/>
  <c r="K201" i="13"/>
  <c r="H202" i="13"/>
  <c r="H209" i="13"/>
  <c r="J202" i="13"/>
  <c r="J209" i="13"/>
  <c r="K202" i="13"/>
  <c r="K209" i="13"/>
  <c r="H191" i="13"/>
  <c r="H192" i="13"/>
  <c r="J191" i="13"/>
  <c r="J192" i="13"/>
  <c r="K191" i="13"/>
  <c r="K192" i="13"/>
  <c r="G41" i="13"/>
  <c r="G10" i="13"/>
  <c r="G135" i="13"/>
  <c r="G58" i="13"/>
  <c r="G157" i="13"/>
  <c r="G11" i="13"/>
  <c r="G110" i="13"/>
  <c r="G137" i="13"/>
  <c r="G122" i="13"/>
  <c r="G136" i="13"/>
  <c r="G140" i="13"/>
  <c r="G160" i="13"/>
  <c r="G65" i="13"/>
  <c r="G53" i="13"/>
  <c r="G107" i="13"/>
  <c r="G64" i="13"/>
  <c r="Q55" i="13"/>
  <c r="Q54" i="13"/>
  <c r="Q52" i="13"/>
  <c r="Q134" i="13"/>
  <c r="Q133" i="13"/>
  <c r="Q56" i="13"/>
  <c r="Q139" i="13"/>
  <c r="Q61" i="13"/>
  <c r="Q101" i="13"/>
  <c r="Q138" i="13"/>
  <c r="Q123" i="13"/>
  <c r="Q106" i="13"/>
  <c r="Q62" i="13"/>
  <c r="Q29" i="13"/>
  <c r="Q108" i="13"/>
  <c r="Q111" i="13"/>
  <c r="Q43" i="13"/>
  <c r="R41" i="13"/>
  <c r="R10" i="13"/>
  <c r="R135" i="13"/>
  <c r="R58" i="13"/>
  <c r="R157" i="13"/>
  <c r="R11" i="13"/>
  <c r="R110" i="13"/>
  <c r="R137" i="13"/>
  <c r="R122" i="13"/>
  <c r="R136" i="13"/>
  <c r="R140" i="13"/>
  <c r="R160" i="13"/>
  <c r="R65" i="13"/>
  <c r="R53" i="13"/>
  <c r="R107" i="13"/>
  <c r="R64" i="13"/>
  <c r="G47" i="13"/>
  <c r="G112" i="13"/>
  <c r="G48" i="13"/>
  <c r="G34" i="13"/>
  <c r="G36" i="13"/>
  <c r="G35" i="13"/>
  <c r="G44" i="13"/>
  <c r="G162" i="13"/>
  <c r="G103" i="13"/>
  <c r="G116" i="13"/>
  <c r="G141" i="13"/>
  <c r="G76" i="13"/>
  <c r="G22" i="13"/>
  <c r="G50" i="13"/>
  <c r="G45" i="13"/>
  <c r="G145" i="13"/>
  <c r="G164" i="13"/>
  <c r="G125" i="13"/>
  <c r="G77" i="13"/>
  <c r="Q69" i="13"/>
  <c r="Q67" i="13"/>
  <c r="Q46" i="13"/>
  <c r="Q161" i="13"/>
  <c r="Q72" i="13"/>
  <c r="Q49" i="13"/>
  <c r="Q74" i="13"/>
  <c r="Q142" i="13"/>
  <c r="Q19" i="13"/>
  <c r="Q113" i="13"/>
  <c r="Q75" i="13"/>
  <c r="Q145" i="13"/>
  <c r="Q127" i="13"/>
  <c r="Q164" i="13"/>
  <c r="Q126" i="13"/>
  <c r="Q165" i="13"/>
  <c r="R47" i="13"/>
  <c r="R112" i="13"/>
  <c r="R48" i="13"/>
  <c r="R34" i="13"/>
  <c r="R36" i="13"/>
  <c r="R35" i="13"/>
  <c r="R44" i="13"/>
  <c r="R162" i="13"/>
  <c r="R103" i="13"/>
  <c r="R116" i="13"/>
  <c r="R141" i="13"/>
  <c r="R76" i="13"/>
  <c r="R22" i="13"/>
  <c r="R50" i="13"/>
  <c r="R45" i="13"/>
  <c r="R125" i="13"/>
  <c r="R77" i="13"/>
  <c r="G163" i="13"/>
  <c r="G117" i="13"/>
  <c r="G33" i="13"/>
  <c r="G79" i="13"/>
  <c r="G81" i="13"/>
  <c r="G146" i="13"/>
  <c r="G80" i="13"/>
  <c r="G84" i="13"/>
  <c r="G128" i="13"/>
  <c r="G152" i="13"/>
  <c r="G167" i="13"/>
  <c r="G104" i="13"/>
  <c r="G88" i="13"/>
  <c r="G89" i="13"/>
  <c r="G92" i="13"/>
  <c r="G99" i="13"/>
  <c r="Q163" i="13"/>
  <c r="Q117" i="13"/>
  <c r="Q33" i="13"/>
  <c r="Q79" i="13"/>
  <c r="Q81" i="13"/>
  <c r="Q146" i="13"/>
  <c r="Q80" i="13"/>
  <c r="Q84" i="13"/>
  <c r="Q128" i="13"/>
  <c r="Q152" i="13"/>
  <c r="Q167" i="13"/>
  <c r="Q104" i="13"/>
  <c r="Q88" i="13"/>
  <c r="Q89" i="13"/>
  <c r="Q92" i="13"/>
  <c r="Q99" i="13"/>
  <c r="R21" i="13"/>
  <c r="R144" i="13"/>
  <c r="R32" i="13"/>
  <c r="R143" i="13"/>
  <c r="R82" i="13"/>
  <c r="R119" i="13"/>
  <c r="R24" i="13"/>
  <c r="R98" i="13"/>
  <c r="R149" i="13"/>
  <c r="R151" i="13"/>
  <c r="R114" i="13"/>
  <c r="R105" i="13"/>
  <c r="R156" i="13"/>
  <c r="R90" i="13"/>
  <c r="R94" i="13"/>
  <c r="R130" i="13"/>
  <c r="G127" i="13"/>
  <c r="G126" i="13"/>
  <c r="G165" i="13"/>
  <c r="Q47" i="13"/>
  <c r="Q112" i="13"/>
  <c r="Q48" i="13"/>
  <c r="Q34" i="13"/>
  <c r="Q36" i="13"/>
  <c r="Q35" i="13"/>
  <c r="Q44" i="13"/>
  <c r="Q162" i="13"/>
  <c r="Q103" i="13"/>
  <c r="Q116" i="13"/>
  <c r="Q141" i="13"/>
  <c r="Q76" i="13"/>
  <c r="Q22" i="13"/>
  <c r="Q50" i="13"/>
  <c r="Q45" i="13"/>
  <c r="Q125" i="13"/>
  <c r="Q77" i="13"/>
  <c r="R69" i="13"/>
  <c r="R67" i="13"/>
  <c r="R46" i="13"/>
  <c r="R161" i="13"/>
  <c r="R72" i="13"/>
  <c r="R49" i="13"/>
  <c r="R74" i="13"/>
  <c r="R142" i="13"/>
  <c r="R19" i="13"/>
  <c r="R113" i="13"/>
  <c r="R75" i="13"/>
  <c r="R145" i="13"/>
  <c r="R127" i="13"/>
  <c r="R164" i="13"/>
  <c r="R126" i="13"/>
  <c r="R165" i="13"/>
  <c r="G21" i="13"/>
  <c r="G144" i="13"/>
  <c r="G32" i="13"/>
  <c r="G143" i="13"/>
  <c r="G82" i="13"/>
  <c r="G119" i="13"/>
  <c r="G24" i="13"/>
  <c r="G98" i="13"/>
  <c r="G149" i="13"/>
  <c r="G151" i="13"/>
  <c r="G114" i="13"/>
  <c r="G105" i="13"/>
  <c r="G156" i="13"/>
  <c r="G90" i="13"/>
  <c r="G94" i="13"/>
  <c r="G130" i="13"/>
  <c r="G131" i="13"/>
  <c r="Q21" i="13"/>
  <c r="Q144" i="13"/>
  <c r="Q32" i="13"/>
  <c r="Q143" i="13"/>
  <c r="Q82" i="13"/>
  <c r="Q119" i="13"/>
  <c r="Q24" i="13"/>
  <c r="Q149" i="13"/>
  <c r="Q151" i="13"/>
  <c r="Q114" i="13"/>
  <c r="Q105" i="13"/>
  <c r="Q156" i="13"/>
  <c r="Q90" i="13"/>
  <c r="Q94" i="13"/>
  <c r="Q130" i="13"/>
  <c r="Q131" i="13"/>
  <c r="R163" i="13"/>
  <c r="R117" i="13"/>
  <c r="R33" i="13"/>
  <c r="R79" i="13"/>
  <c r="R81" i="13"/>
  <c r="R146" i="13"/>
  <c r="R80" i="13"/>
  <c r="R84" i="13"/>
  <c r="R128" i="13"/>
  <c r="R152" i="13"/>
  <c r="R167" i="13"/>
  <c r="R104" i="13"/>
  <c r="R88" i="13"/>
  <c r="R89" i="13"/>
  <c r="R92" i="13"/>
  <c r="R131" i="13"/>
  <c r="G91" i="13"/>
  <c r="G120" i="13"/>
  <c r="G153" i="13"/>
  <c r="G9" i="13"/>
  <c r="Q132" i="13"/>
  <c r="Q51" i="13"/>
  <c r="Q59" i="13"/>
  <c r="Q68" i="13"/>
  <c r="R132" i="13"/>
  <c r="R51" i="13"/>
  <c r="R59" i="13"/>
  <c r="R68" i="13"/>
  <c r="Q16" i="13"/>
  <c r="R16" i="13"/>
  <c r="G121" i="13"/>
  <c r="G115" i="13"/>
  <c r="G124" i="13"/>
  <c r="G14" i="13"/>
  <c r="G71" i="13"/>
  <c r="Q121" i="13"/>
  <c r="Q115" i="13"/>
  <c r="Q124" i="13"/>
  <c r="Q14" i="13"/>
  <c r="Q71" i="13"/>
  <c r="R121" i="13"/>
  <c r="R115" i="13"/>
  <c r="R124" i="13"/>
  <c r="R14" i="13"/>
  <c r="R71" i="13"/>
  <c r="G73" i="13"/>
  <c r="G30" i="13"/>
  <c r="G78" i="13"/>
  <c r="G148" i="13"/>
  <c r="G86" i="13"/>
  <c r="Q73" i="13"/>
  <c r="Q30" i="13"/>
  <c r="Q78" i="13"/>
  <c r="Q148" i="13"/>
  <c r="Q86" i="13"/>
  <c r="R73" i="13"/>
  <c r="R30" i="13"/>
  <c r="R78" i="13"/>
  <c r="R148" i="13"/>
  <c r="R86" i="13"/>
  <c r="R95" i="13"/>
  <c r="R166" i="13"/>
  <c r="R40" i="13"/>
  <c r="R60" i="13"/>
  <c r="Q40" i="13"/>
  <c r="Q60" i="13"/>
  <c r="R99" i="13"/>
  <c r="G132" i="13"/>
  <c r="G51" i="13"/>
  <c r="G59" i="13"/>
  <c r="G68" i="13"/>
  <c r="Q91" i="13"/>
  <c r="Q120" i="13"/>
  <c r="Q153" i="13"/>
  <c r="Q9" i="13"/>
  <c r="R91" i="13"/>
  <c r="R120" i="13"/>
  <c r="R153" i="13"/>
  <c r="R9" i="13"/>
  <c r="G16" i="13"/>
  <c r="G57" i="13"/>
  <c r="G158" i="13"/>
  <c r="G66" i="13"/>
  <c r="G70" i="13"/>
  <c r="Q57" i="13"/>
  <c r="Q158" i="13"/>
  <c r="Q66" i="13"/>
  <c r="Q70" i="13"/>
  <c r="R57" i="13"/>
  <c r="R158" i="13"/>
  <c r="R66" i="13"/>
  <c r="R70" i="13"/>
  <c r="G37" i="13"/>
  <c r="G109" i="13"/>
  <c r="G31" i="13"/>
  <c r="G118" i="13"/>
  <c r="G147" i="13"/>
  <c r="Q37" i="13"/>
  <c r="Q31" i="13"/>
  <c r="Q118" i="13"/>
  <c r="Q147" i="13"/>
  <c r="R37" i="13"/>
  <c r="R109" i="13"/>
  <c r="R31" i="13"/>
  <c r="R118" i="13"/>
  <c r="R147" i="13"/>
  <c r="G95" i="13"/>
  <c r="Q95" i="13"/>
  <c r="G166" i="13"/>
  <c r="Q166" i="13"/>
  <c r="G40" i="13"/>
  <c r="G60" i="13"/>
  <c r="R47" i="16"/>
  <c r="R100" i="16"/>
  <c r="R138" i="16"/>
  <c r="R38" i="16"/>
  <c r="R73" i="16"/>
  <c r="G46" i="16"/>
  <c r="G198" i="16"/>
  <c r="R37" i="16"/>
  <c r="R39" i="16"/>
  <c r="R160" i="16"/>
  <c r="G47" i="16"/>
  <c r="G100" i="16"/>
  <c r="G138" i="16"/>
  <c r="G38" i="16"/>
  <c r="K243" i="16"/>
  <c r="G37" i="16"/>
  <c r="Q198" i="16"/>
  <c r="G39" i="16"/>
  <c r="Q47" i="16"/>
  <c r="Q100" i="16"/>
  <c r="Q138" i="16"/>
  <c r="Q38" i="16"/>
  <c r="Q73" i="16"/>
  <c r="H243" i="16"/>
  <c r="R46" i="16"/>
  <c r="R198" i="16"/>
  <c r="Q39" i="16"/>
  <c r="Q160" i="16"/>
  <c r="G160" i="16"/>
  <c r="J243" i="16"/>
  <c r="Q37" i="16"/>
  <c r="H235" i="16"/>
  <c r="J235" i="16"/>
  <c r="K235" i="16"/>
  <c r="H224" i="16"/>
  <c r="J224" i="16"/>
  <c r="K224" i="16"/>
  <c r="Q175" i="16"/>
  <c r="R175" i="16"/>
  <c r="Q70" i="16"/>
  <c r="G175" i="16"/>
  <c r="R70" i="16"/>
  <c r="G70" i="16"/>
  <c r="H244" i="16"/>
  <c r="K244" i="16"/>
  <c r="H234" i="16"/>
  <c r="K234" i="16"/>
  <c r="J233" i="16"/>
  <c r="J248" i="16"/>
  <c r="K248" i="16"/>
  <c r="J244" i="16"/>
  <c r="J234" i="16"/>
  <c r="H233" i="16"/>
  <c r="K233" i="16"/>
  <c r="H248" i="16"/>
  <c r="H231" i="16"/>
  <c r="H236" i="16"/>
  <c r="J232" i="16"/>
  <c r="J245" i="16"/>
  <c r="K231" i="16"/>
  <c r="K236" i="16"/>
  <c r="H240" i="16"/>
  <c r="J241" i="16"/>
  <c r="J227" i="16"/>
  <c r="K240" i="16"/>
  <c r="H239" i="16"/>
  <c r="K239" i="16"/>
  <c r="H242" i="16"/>
  <c r="J242" i="16"/>
  <c r="K242" i="16"/>
  <c r="H238" i="16"/>
  <c r="J238" i="16"/>
  <c r="K238" i="16"/>
  <c r="H228" i="16"/>
  <c r="K228" i="16"/>
  <c r="H232" i="16"/>
  <c r="H245" i="16"/>
  <c r="J231" i="16"/>
  <c r="K232" i="16"/>
  <c r="K245" i="16"/>
  <c r="H241" i="16"/>
  <c r="H227" i="16"/>
  <c r="J240" i="16"/>
  <c r="K241" i="16"/>
  <c r="K227" i="16"/>
  <c r="J239" i="16"/>
  <c r="H237" i="16"/>
  <c r="J237" i="16"/>
  <c r="K237" i="16"/>
  <c r="H246" i="16"/>
  <c r="J246" i="16"/>
  <c r="K246" i="16"/>
  <c r="H247" i="16"/>
  <c r="J247" i="16"/>
  <c r="K247" i="16"/>
  <c r="J228" i="16"/>
  <c r="G89" i="16"/>
  <c r="G118" i="16"/>
  <c r="G183" i="16"/>
  <c r="Q149" i="16"/>
  <c r="Q192" i="16"/>
  <c r="R89" i="16"/>
  <c r="R118" i="16"/>
  <c r="R183" i="16"/>
  <c r="G56" i="16"/>
  <c r="G167" i="16"/>
  <c r="G205" i="16"/>
  <c r="G153" i="16"/>
  <c r="G165" i="16"/>
  <c r="Q41" i="16"/>
  <c r="Q176" i="16"/>
  <c r="Q10" i="16"/>
  <c r="Q194" i="16"/>
  <c r="Q154" i="16"/>
  <c r="Q58" i="16"/>
  <c r="R56" i="16"/>
  <c r="R167" i="16"/>
  <c r="R205" i="16"/>
  <c r="R153" i="16"/>
  <c r="R165" i="16"/>
  <c r="G13" i="16"/>
  <c r="G195" i="16"/>
  <c r="G14" i="16"/>
  <c r="G196" i="16"/>
  <c r="G140" i="16"/>
  <c r="G110" i="16"/>
  <c r="G109" i="16"/>
  <c r="Q61" i="16"/>
  <c r="Q59" i="16"/>
  <c r="Q101" i="16"/>
  <c r="Q125" i="16"/>
  <c r="Q102" i="16"/>
  <c r="Q197" i="16"/>
  <c r="R13" i="16"/>
  <c r="R195" i="16"/>
  <c r="R14" i="16"/>
  <c r="R196" i="16"/>
  <c r="R140" i="16"/>
  <c r="R110" i="16"/>
  <c r="R109" i="16"/>
  <c r="G179" i="16"/>
  <c r="G63" i="16"/>
  <c r="G127" i="16"/>
  <c r="G18" i="16"/>
  <c r="G122" i="16"/>
  <c r="G65" i="16"/>
  <c r="Q62" i="16"/>
  <c r="Q155" i="16"/>
  <c r="Q163" i="16"/>
  <c r="Q111" i="16"/>
  <c r="Q113" i="16"/>
  <c r="Q43" i="16"/>
  <c r="Q112" i="16"/>
  <c r="R179" i="16"/>
  <c r="R63" i="16"/>
  <c r="R127" i="16"/>
  <c r="R18" i="16"/>
  <c r="R122" i="16"/>
  <c r="R65" i="16"/>
  <c r="G36" i="16"/>
  <c r="G180" i="16"/>
  <c r="G68" i="16"/>
  <c r="G55" i="16"/>
  <c r="G103" i="16"/>
  <c r="G34" i="16"/>
  <c r="G141" i="16"/>
  <c r="Q36" i="16"/>
  <c r="Q180" i="16"/>
  <c r="Q68" i="16"/>
  <c r="Q55" i="16"/>
  <c r="Q103" i="16"/>
  <c r="Q34" i="16"/>
  <c r="Q141" i="16"/>
  <c r="R50" i="16"/>
  <c r="R104" i="16"/>
  <c r="R156" i="16"/>
  <c r="R123" i="16"/>
  <c r="R129" i="16"/>
  <c r="R66" i="16"/>
  <c r="G182" i="16"/>
  <c r="G149" i="16"/>
  <c r="G192" i="16"/>
  <c r="Q89" i="16"/>
  <c r="Q118" i="16"/>
  <c r="Q183" i="16"/>
  <c r="R149" i="16"/>
  <c r="R192" i="16"/>
  <c r="G41" i="16"/>
  <c r="G176" i="16"/>
  <c r="G10" i="16"/>
  <c r="G194" i="16"/>
  <c r="G154" i="16"/>
  <c r="G58" i="16"/>
  <c r="Q56" i="16"/>
  <c r="Q167" i="16"/>
  <c r="Q153" i="16"/>
  <c r="Q165" i="16"/>
  <c r="R41" i="16"/>
  <c r="R176" i="16"/>
  <c r="R10" i="16"/>
  <c r="R194" i="16"/>
  <c r="R154" i="16"/>
  <c r="R58" i="16"/>
  <c r="G61" i="16"/>
  <c r="G59" i="16"/>
  <c r="G101" i="16"/>
  <c r="G125" i="16"/>
  <c r="G102" i="16"/>
  <c r="G197" i="16"/>
  <c r="Q13" i="16"/>
  <c r="Q195" i="16"/>
  <c r="Q14" i="16"/>
  <c r="Q196" i="16"/>
  <c r="Q140" i="16"/>
  <c r="Q110" i="16"/>
  <c r="Q109" i="16"/>
  <c r="R61" i="16"/>
  <c r="R59" i="16"/>
  <c r="R101" i="16"/>
  <c r="R125" i="16"/>
  <c r="R102" i="16"/>
  <c r="R197" i="16"/>
  <c r="G62" i="16"/>
  <c r="G155" i="16"/>
  <c r="G163" i="16"/>
  <c r="G111" i="16"/>
  <c r="G113" i="16"/>
  <c r="G43" i="16"/>
  <c r="G112" i="16"/>
  <c r="Q179" i="16"/>
  <c r="Q63" i="16"/>
  <c r="Q127" i="16"/>
  <c r="Q18" i="16"/>
  <c r="Q122" i="16"/>
  <c r="Q65" i="16"/>
  <c r="R62" i="16"/>
  <c r="R155" i="16"/>
  <c r="R163" i="16"/>
  <c r="R111" i="16"/>
  <c r="R113" i="16"/>
  <c r="R43" i="16"/>
  <c r="R112" i="16"/>
  <c r="G50" i="16"/>
  <c r="G104" i="16"/>
  <c r="G156" i="16"/>
  <c r="G123" i="16"/>
  <c r="G129" i="16"/>
  <c r="G66" i="16"/>
  <c r="Q104" i="16"/>
  <c r="Q156" i="16"/>
  <c r="Q123" i="16"/>
  <c r="Q129" i="16"/>
  <c r="Q66" i="16"/>
  <c r="R36" i="16"/>
  <c r="R180" i="16"/>
  <c r="R68" i="16"/>
  <c r="R55" i="16"/>
  <c r="R103" i="16"/>
  <c r="R34" i="16"/>
  <c r="R141" i="16"/>
  <c r="G105" i="16"/>
  <c r="G144" i="16"/>
  <c r="G142" i="16"/>
  <c r="G131" i="16"/>
  <c r="G20" i="16"/>
  <c r="G171" i="16"/>
  <c r="G108" i="16"/>
  <c r="Q105" i="16"/>
  <c r="Q157" i="16"/>
  <c r="Q143" i="16"/>
  <c r="Q169" i="16"/>
  <c r="Q71" i="16"/>
  <c r="Q74" i="16"/>
  <c r="R182" i="16"/>
  <c r="R144" i="16"/>
  <c r="R142" i="16"/>
  <c r="R131" i="16"/>
  <c r="R20" i="16"/>
  <c r="R171" i="16"/>
  <c r="R108" i="16"/>
  <c r="G106" i="16"/>
  <c r="G170" i="16"/>
  <c r="G146" i="16"/>
  <c r="G78" i="16"/>
  <c r="G75" i="16"/>
  <c r="G80" i="16"/>
  <c r="Q106" i="16"/>
  <c r="Q170" i="16"/>
  <c r="Q146" i="16"/>
  <c r="Q78" i="16"/>
  <c r="Q75" i="16"/>
  <c r="Q80" i="16"/>
  <c r="R159" i="16"/>
  <c r="R107" i="16"/>
  <c r="R115" i="16"/>
  <c r="R201" i="16"/>
  <c r="R77" i="16"/>
  <c r="R200" i="16"/>
  <c r="R48" i="16"/>
  <c r="G81" i="16"/>
  <c r="G185" i="16"/>
  <c r="G174" i="16"/>
  <c r="G23" i="16"/>
  <c r="G203" i="16"/>
  <c r="G189" i="16"/>
  <c r="Q172" i="16"/>
  <c r="Q147" i="16"/>
  <c r="Q161" i="16"/>
  <c r="Q132" i="16"/>
  <c r="Q187" i="16"/>
  <c r="Q85" i="16"/>
  <c r="Q173" i="16"/>
  <c r="R81" i="16"/>
  <c r="R185" i="16"/>
  <c r="R174" i="16"/>
  <c r="R23" i="16"/>
  <c r="R203" i="16"/>
  <c r="R189" i="16"/>
  <c r="G87" i="16"/>
  <c r="G206" i="16"/>
  <c r="G148" i="16"/>
  <c r="G135" i="16"/>
  <c r="G90" i="16"/>
  <c r="G92" i="16"/>
  <c r="G117" i="16"/>
  <c r="Q87" i="16"/>
  <c r="Q148" i="16"/>
  <c r="Q135" i="16"/>
  <c r="Q90" i="16"/>
  <c r="Q92" i="16"/>
  <c r="Q117" i="16"/>
  <c r="R86" i="16"/>
  <c r="R88" i="16"/>
  <c r="R133" i="16"/>
  <c r="R26" i="16"/>
  <c r="R134" i="16"/>
  <c r="R116" i="16"/>
  <c r="G44" i="16"/>
  <c r="G137" i="16"/>
  <c r="G136" i="16"/>
  <c r="G32" i="16"/>
  <c r="G191" i="16"/>
  <c r="G120" i="16"/>
  <c r="G45" i="16"/>
  <c r="Q53" i="16"/>
  <c r="G157" i="16"/>
  <c r="G143" i="16"/>
  <c r="G169" i="16"/>
  <c r="G71" i="16"/>
  <c r="G74" i="16"/>
  <c r="Q182" i="16"/>
  <c r="Q144" i="16"/>
  <c r="Q142" i="16"/>
  <c r="Q131" i="16"/>
  <c r="Q20" i="16"/>
  <c r="Q171" i="16"/>
  <c r="Q108" i="16"/>
  <c r="R105" i="16"/>
  <c r="R157" i="16"/>
  <c r="R143" i="16"/>
  <c r="R169" i="16"/>
  <c r="R71" i="16"/>
  <c r="R74" i="16"/>
  <c r="G159" i="16"/>
  <c r="G107" i="16"/>
  <c r="G115" i="16"/>
  <c r="G201" i="16"/>
  <c r="G77" i="16"/>
  <c r="G200" i="16"/>
  <c r="G48" i="16"/>
  <c r="Q159" i="16"/>
  <c r="Q107" i="16"/>
  <c r="Q115" i="16"/>
  <c r="Q201" i="16"/>
  <c r="Q77" i="16"/>
  <c r="Q200" i="16"/>
  <c r="Q48" i="16"/>
  <c r="R106" i="16"/>
  <c r="R170" i="16"/>
  <c r="R146" i="16"/>
  <c r="R78" i="16"/>
  <c r="R75" i="16"/>
  <c r="R80" i="16"/>
  <c r="G172" i="16"/>
  <c r="G147" i="16"/>
  <c r="G161" i="16"/>
  <c r="G132" i="16"/>
  <c r="G187" i="16"/>
  <c r="G85" i="16"/>
  <c r="G173" i="16"/>
  <c r="Q81" i="16"/>
  <c r="Q185" i="16"/>
  <c r="Q174" i="16"/>
  <c r="Q23" i="16"/>
  <c r="Q203" i="16"/>
  <c r="Q189" i="16"/>
  <c r="R172" i="16"/>
  <c r="R147" i="16"/>
  <c r="R161" i="16"/>
  <c r="R132" i="16"/>
  <c r="R187" i="16"/>
  <c r="R85" i="16"/>
  <c r="R173" i="16"/>
  <c r="G86" i="16"/>
  <c r="G88" i="16"/>
  <c r="G133" i="16"/>
  <c r="G26" i="16"/>
  <c r="G134" i="16"/>
  <c r="G116" i="16"/>
  <c r="Q86" i="16"/>
  <c r="Q88" i="16"/>
  <c r="Q133" i="16"/>
  <c r="Q26" i="16"/>
  <c r="Q134" i="16"/>
  <c r="Q116" i="16"/>
  <c r="R87" i="16"/>
  <c r="R206" i="16"/>
  <c r="R148" i="16"/>
  <c r="R135" i="16"/>
  <c r="R90" i="16"/>
  <c r="R92" i="16"/>
  <c r="R117" i="16"/>
  <c r="G53" i="16"/>
  <c r="G94" i="16"/>
  <c r="G95" i="16"/>
  <c r="G31" i="16"/>
  <c r="G30" i="16"/>
  <c r="G33" i="16"/>
  <c r="Q137" i="16"/>
  <c r="Q136" i="16"/>
  <c r="Q191" i="16"/>
  <c r="Q120" i="16"/>
  <c r="Q45" i="16"/>
  <c r="R53" i="16"/>
  <c r="R94" i="16"/>
  <c r="R95" i="16"/>
  <c r="R31" i="16"/>
  <c r="R30" i="16"/>
  <c r="R33" i="16"/>
  <c r="G168" i="16"/>
  <c r="Q168" i="16"/>
  <c r="G152" i="16"/>
  <c r="Q152" i="16"/>
  <c r="G96" i="16"/>
  <c r="Q96" i="16"/>
  <c r="G193" i="16"/>
  <c r="Q193" i="16"/>
  <c r="G28" i="16"/>
  <c r="Q28" i="16"/>
  <c r="G162" i="16"/>
  <c r="Q162" i="16"/>
  <c r="G98" i="16"/>
  <c r="Q98" i="16"/>
  <c r="G40" i="16"/>
  <c r="Q40" i="16"/>
  <c r="G29" i="16"/>
  <c r="Q29" i="16"/>
  <c r="G119" i="16"/>
  <c r="Q119" i="16"/>
  <c r="G49" i="16"/>
  <c r="Q49" i="16"/>
  <c r="Q12" i="16"/>
  <c r="Q121" i="16"/>
  <c r="Q16" i="16"/>
  <c r="Q17" i="16"/>
  <c r="Q21" i="16"/>
  <c r="G150" i="16"/>
  <c r="Q150" i="16"/>
  <c r="G42" i="16"/>
  <c r="Q42" i="16"/>
  <c r="G177" i="16"/>
  <c r="Q177" i="16"/>
  <c r="G130" i="16"/>
  <c r="Q130" i="16"/>
  <c r="G188" i="16"/>
  <c r="Q188" i="16"/>
  <c r="G151" i="16"/>
  <c r="G93" i="16"/>
  <c r="Q93" i="16"/>
  <c r="G164" i="16"/>
  <c r="Q164" i="16"/>
  <c r="G97" i="16"/>
  <c r="Q97" i="16"/>
  <c r="G24" i="16"/>
  <c r="Q24" i="16"/>
  <c r="G124" i="16"/>
  <c r="G178" i="16"/>
  <c r="G11" i="16"/>
  <c r="G126" i="16"/>
  <c r="G199" i="16"/>
  <c r="G67" i="16"/>
  <c r="Q124" i="16"/>
  <c r="Q178" i="16"/>
  <c r="Q11" i="16"/>
  <c r="Q126" i="16"/>
  <c r="Q199" i="16"/>
  <c r="Q67" i="16"/>
  <c r="R124" i="16"/>
  <c r="R178" i="16"/>
  <c r="R11" i="16"/>
  <c r="R126" i="16"/>
  <c r="R199" i="16"/>
  <c r="R67" i="16"/>
  <c r="G181" i="16"/>
  <c r="G114" i="16"/>
  <c r="G72" i="16"/>
  <c r="G184" i="16"/>
  <c r="G202" i="16"/>
  <c r="G82" i="16"/>
  <c r="Q181" i="16"/>
  <c r="Q114" i="16"/>
  <c r="Q72" i="16"/>
  <c r="Q184" i="16"/>
  <c r="Q202" i="16"/>
  <c r="Q82" i="16"/>
  <c r="R181" i="16"/>
  <c r="R114" i="16"/>
  <c r="R72" i="16"/>
  <c r="R184" i="16"/>
  <c r="R202" i="16"/>
  <c r="R82" i="16"/>
  <c r="G186" i="16"/>
  <c r="G84" i="16"/>
  <c r="G91" i="16"/>
  <c r="Q83" i="16"/>
  <c r="Q190" i="16"/>
  <c r="R186" i="16"/>
  <c r="R84" i="16"/>
  <c r="R91" i="16"/>
  <c r="Q99" i="16"/>
  <c r="Q44" i="16"/>
  <c r="Q94" i="16"/>
  <c r="Q95" i="16"/>
  <c r="R44" i="16"/>
  <c r="R137" i="16"/>
  <c r="R136" i="16"/>
  <c r="R32" i="16"/>
  <c r="R191" i="16"/>
  <c r="R120" i="16"/>
  <c r="R45" i="16"/>
  <c r="R168" i="16"/>
  <c r="R152" i="16"/>
  <c r="R96" i="16"/>
  <c r="R193" i="16"/>
  <c r="R28" i="16"/>
  <c r="R162" i="16"/>
  <c r="R98" i="16"/>
  <c r="R40" i="16"/>
  <c r="R29" i="16"/>
  <c r="R119" i="16"/>
  <c r="R49" i="16"/>
  <c r="R12" i="16"/>
  <c r="R121" i="16"/>
  <c r="R16" i="16"/>
  <c r="R17" i="16"/>
  <c r="R21" i="16"/>
  <c r="R150" i="16"/>
  <c r="R42" i="16"/>
  <c r="R177" i="16"/>
  <c r="R130" i="16"/>
  <c r="R188" i="16"/>
  <c r="R151" i="16"/>
  <c r="R93" i="16"/>
  <c r="R164" i="16"/>
  <c r="R97" i="16"/>
  <c r="R24" i="16"/>
  <c r="G139" i="16"/>
  <c r="G60" i="16"/>
  <c r="G54" i="16"/>
  <c r="G64" i="16"/>
  <c r="G128" i="16"/>
  <c r="G35" i="16"/>
  <c r="Q139" i="16"/>
  <c r="Q60" i="16"/>
  <c r="Q54" i="16"/>
  <c r="Q64" i="16"/>
  <c r="Q128" i="16"/>
  <c r="Q35" i="16"/>
  <c r="R139" i="16"/>
  <c r="R60" i="16"/>
  <c r="R54" i="16"/>
  <c r="R64" i="16"/>
  <c r="R128" i="16"/>
  <c r="R35" i="16"/>
  <c r="G69" i="16"/>
  <c r="G145" i="16"/>
  <c r="G158" i="16"/>
  <c r="G76" i="16"/>
  <c r="G79" i="16"/>
  <c r="G51" i="16"/>
  <c r="Q69" i="16"/>
  <c r="Q145" i="16"/>
  <c r="Q158" i="16"/>
  <c r="Q76" i="16"/>
  <c r="Q79" i="16"/>
  <c r="R69" i="16"/>
  <c r="R145" i="16"/>
  <c r="R158" i="16"/>
  <c r="R76" i="16"/>
  <c r="R79" i="16"/>
  <c r="R51" i="16"/>
  <c r="G83" i="16"/>
  <c r="G190" i="16"/>
  <c r="Q186" i="16"/>
  <c r="Q84" i="16"/>
  <c r="Q91" i="16"/>
  <c r="R83" i="16"/>
  <c r="R190" i="16"/>
  <c r="G166" i="16"/>
  <c r="Q166" i="16"/>
  <c r="R166" i="16"/>
  <c r="G99" i="16"/>
  <c r="R99" i="16"/>
  <c r="G120" i="12"/>
  <c r="R120" i="12"/>
  <c r="G68" i="12"/>
  <c r="R68" i="12"/>
  <c r="R84" i="12"/>
  <c r="Q101" i="12"/>
  <c r="G18" i="12"/>
  <c r="G38" i="12"/>
  <c r="G12" i="12"/>
  <c r="Q21" i="12"/>
  <c r="Q77" i="12"/>
  <c r="R19" i="12"/>
  <c r="R122" i="12"/>
  <c r="G42" i="12"/>
  <c r="G15" i="12"/>
  <c r="Q29" i="12"/>
  <c r="R29" i="12"/>
  <c r="G11" i="12"/>
  <c r="R11" i="12"/>
  <c r="G99" i="12"/>
  <c r="Q84" i="12"/>
  <c r="R38" i="12"/>
  <c r="G123" i="12"/>
  <c r="Q15" i="12"/>
  <c r="Q11" i="12"/>
  <c r="G84" i="12"/>
  <c r="G101" i="12"/>
  <c r="R101" i="12"/>
  <c r="G19" i="12"/>
  <c r="G122" i="12"/>
  <c r="Q28" i="12"/>
  <c r="Q13" i="12"/>
  <c r="R21" i="12"/>
  <c r="R77" i="12"/>
  <c r="G29" i="12"/>
  <c r="Q41" i="12"/>
  <c r="Q82" i="12"/>
  <c r="R41" i="12"/>
  <c r="R82" i="12"/>
  <c r="Q68" i="12"/>
  <c r="R46" i="12"/>
  <c r="G13" i="12"/>
  <c r="Q19" i="12"/>
  <c r="R18" i="12"/>
  <c r="Q42" i="12"/>
  <c r="R15" i="12"/>
  <c r="Q17" i="12"/>
  <c r="G21" i="12"/>
  <c r="G77" i="12"/>
  <c r="Q18" i="12"/>
  <c r="Q38" i="12"/>
  <c r="Q12" i="12"/>
  <c r="R28" i="12"/>
  <c r="R13" i="12"/>
  <c r="G41" i="12"/>
  <c r="G82" i="12"/>
  <c r="Q123" i="12"/>
  <c r="R123" i="12"/>
  <c r="G17" i="12"/>
  <c r="R17" i="12"/>
  <c r="Q99" i="12"/>
  <c r="Q120" i="12"/>
  <c r="G46" i="12"/>
  <c r="G28" i="12"/>
  <c r="Q122" i="12"/>
  <c r="R12" i="12"/>
  <c r="R42" i="12"/>
  <c r="R99" i="12"/>
  <c r="H177" i="12"/>
  <c r="H200" i="12"/>
  <c r="H202" i="12"/>
  <c r="H178" i="12"/>
  <c r="J177" i="12"/>
  <c r="J200" i="12"/>
  <c r="J202" i="12"/>
  <c r="J178" i="12"/>
  <c r="K177" i="12"/>
  <c r="K200" i="12"/>
  <c r="K202" i="12"/>
  <c r="K178" i="12"/>
  <c r="H179" i="12"/>
  <c r="H180" i="12"/>
  <c r="H206" i="12"/>
  <c r="H201" i="12"/>
  <c r="J179" i="12"/>
  <c r="J180" i="12"/>
  <c r="J206" i="12"/>
  <c r="J201" i="12"/>
  <c r="K179" i="12"/>
  <c r="K180" i="12"/>
  <c r="K206" i="12"/>
  <c r="K201" i="12"/>
  <c r="H181" i="12"/>
  <c r="J181" i="12"/>
  <c r="K181" i="12"/>
  <c r="G133" i="12"/>
  <c r="G32" i="12"/>
  <c r="G131" i="12"/>
  <c r="G150" i="12"/>
  <c r="G10" i="12"/>
  <c r="G127" i="12"/>
  <c r="G115" i="12"/>
  <c r="G100" i="12"/>
  <c r="G54" i="12"/>
  <c r="G128" i="12"/>
  <c r="G52" i="12"/>
  <c r="G48" i="12"/>
  <c r="G151" i="12"/>
  <c r="G57" i="12"/>
  <c r="G116" i="12"/>
  <c r="G135" i="12"/>
  <c r="G152" i="12"/>
  <c r="G134" i="12"/>
  <c r="G108" i="12"/>
  <c r="G56" i="12"/>
  <c r="Q133" i="12"/>
  <c r="Q32" i="12"/>
  <c r="Q131" i="12"/>
  <c r="Q150" i="12"/>
  <c r="Q10" i="12"/>
  <c r="Q127" i="12"/>
  <c r="Q115" i="12"/>
  <c r="Q100" i="12"/>
  <c r="Q54" i="12"/>
  <c r="Q128" i="12"/>
  <c r="Q52" i="12"/>
  <c r="Q151" i="12"/>
  <c r="Q57" i="12"/>
  <c r="Q116" i="12"/>
  <c r="Q135" i="12"/>
  <c r="Q152" i="12"/>
  <c r="Q134" i="12"/>
  <c r="Q108" i="12"/>
  <c r="Q56" i="12"/>
  <c r="R133" i="12"/>
  <c r="R32" i="12"/>
  <c r="R131" i="12"/>
  <c r="R150" i="12"/>
  <c r="R10" i="12"/>
  <c r="R127" i="12"/>
  <c r="R115" i="12"/>
  <c r="R100" i="12"/>
  <c r="R54" i="12"/>
  <c r="R128" i="12"/>
  <c r="R52" i="12"/>
  <c r="R48" i="12"/>
  <c r="R151" i="12"/>
  <c r="R57" i="12"/>
  <c r="R116" i="12"/>
  <c r="R135" i="12"/>
  <c r="R152" i="12"/>
  <c r="R134" i="12"/>
  <c r="R108" i="12"/>
  <c r="R56" i="12"/>
  <c r="G103" i="12"/>
  <c r="G136" i="12"/>
  <c r="G146" i="12"/>
  <c r="G153" i="12"/>
  <c r="G58" i="12"/>
  <c r="G33" i="12"/>
  <c r="G89" i="12"/>
  <c r="G129" i="12"/>
  <c r="G16" i="12"/>
  <c r="G137" i="12"/>
  <c r="G59" i="12"/>
  <c r="G158" i="12"/>
  <c r="G63" i="12"/>
  <c r="G118" i="12"/>
  <c r="G117" i="12"/>
  <c r="G61" i="12"/>
  <c r="G24" i="12"/>
  <c r="G26" i="12"/>
  <c r="G62" i="12"/>
  <c r="G25" i="12"/>
  <c r="Q103" i="12"/>
  <c r="Q136" i="12"/>
  <c r="Q153" i="12"/>
  <c r="Q58" i="12"/>
  <c r="Q33" i="12"/>
  <c r="Q89" i="12"/>
  <c r="Q129" i="12"/>
  <c r="Q16" i="12"/>
  <c r="Q137" i="12"/>
  <c r="Q59" i="12"/>
  <c r="Q63" i="12"/>
  <c r="Q118" i="12"/>
  <c r="Q117" i="12"/>
  <c r="Q61" i="12"/>
  <c r="Q24" i="12"/>
  <c r="Q26" i="12"/>
  <c r="Q62" i="12"/>
  <c r="Q25" i="12"/>
  <c r="R103" i="12"/>
  <c r="R136" i="12"/>
  <c r="R146" i="12"/>
  <c r="R153" i="12"/>
  <c r="R58" i="12"/>
  <c r="R33" i="12"/>
  <c r="R89" i="12"/>
  <c r="R129" i="12"/>
  <c r="R16" i="12"/>
  <c r="R137" i="12"/>
  <c r="R59" i="12"/>
  <c r="R158" i="12"/>
  <c r="R63" i="12"/>
  <c r="R118" i="12"/>
  <c r="R117" i="12"/>
  <c r="R61" i="12"/>
  <c r="R24" i="12"/>
  <c r="R26" i="12"/>
  <c r="R62" i="12"/>
  <c r="R25" i="12"/>
  <c r="G35" i="12"/>
  <c r="G119" i="12"/>
  <c r="G39" i="12"/>
  <c r="G110" i="12"/>
  <c r="G141" i="12"/>
  <c r="G36" i="12"/>
  <c r="G67" i="12"/>
  <c r="G64" i="12"/>
  <c r="G96" i="12"/>
  <c r="G66" i="12"/>
  <c r="G140" i="12"/>
  <c r="G40" i="12"/>
  <c r="G73" i="12"/>
  <c r="G69" i="12"/>
  <c r="G74" i="12"/>
  <c r="G72" i="12"/>
  <c r="Q35" i="12"/>
  <c r="Q119" i="12"/>
  <c r="Q39" i="12"/>
  <c r="Q110" i="12"/>
  <c r="Q141" i="12"/>
  <c r="Q36" i="12"/>
  <c r="Q67" i="12"/>
  <c r="Q64" i="12"/>
  <c r="Q96" i="12"/>
  <c r="Q66" i="12"/>
  <c r="Q140" i="12"/>
  <c r="Q40" i="12"/>
  <c r="Q73" i="12"/>
  <c r="Q69" i="12"/>
  <c r="Q74" i="12"/>
  <c r="Q72" i="12"/>
  <c r="R35" i="12"/>
  <c r="R119" i="12"/>
  <c r="R39" i="12"/>
  <c r="R110" i="12"/>
  <c r="R141" i="12"/>
  <c r="R36" i="12"/>
  <c r="R67" i="12"/>
  <c r="R64" i="12"/>
  <c r="R96" i="12"/>
  <c r="R66" i="12"/>
  <c r="R140" i="12"/>
  <c r="R40" i="12"/>
  <c r="R73" i="12"/>
  <c r="R69" i="12"/>
  <c r="R74" i="12"/>
  <c r="R72" i="12"/>
  <c r="G65" i="12"/>
  <c r="G71" i="12"/>
  <c r="G70" i="12"/>
  <c r="G157" i="12"/>
  <c r="G75" i="12"/>
  <c r="G130" i="12"/>
  <c r="G105" i="12"/>
  <c r="G45" i="12"/>
  <c r="G147" i="12"/>
  <c r="G43" i="12"/>
  <c r="G44" i="12"/>
  <c r="G91" i="12"/>
  <c r="G47" i="12"/>
  <c r="G79" i="12"/>
  <c r="G76" i="12"/>
  <c r="G143" i="12"/>
  <c r="G107" i="12"/>
  <c r="Q65" i="12"/>
  <c r="Q71" i="12"/>
  <c r="Q70" i="12"/>
  <c r="Q157" i="12"/>
  <c r="Q75" i="12"/>
  <c r="Q130" i="12"/>
  <c r="Q105" i="12"/>
  <c r="Q45" i="12"/>
  <c r="Q43" i="12"/>
  <c r="Q44" i="12"/>
  <c r="Q91" i="12"/>
  <c r="Q47" i="12"/>
  <c r="Q79" i="12"/>
  <c r="Q76" i="12"/>
  <c r="Q143" i="12"/>
  <c r="Q107" i="12"/>
  <c r="R65" i="12"/>
  <c r="R71" i="12"/>
  <c r="R70" i="12"/>
  <c r="R157" i="12"/>
  <c r="R75" i="12"/>
  <c r="R130" i="12"/>
  <c r="R105" i="12"/>
  <c r="R45" i="12"/>
  <c r="R147" i="12"/>
  <c r="R43" i="12"/>
  <c r="R44" i="12"/>
  <c r="R91" i="12"/>
  <c r="R47" i="12"/>
  <c r="R79" i="12"/>
  <c r="R76" i="12"/>
  <c r="R143" i="12"/>
  <c r="R107" i="12"/>
  <c r="G80" i="12"/>
  <c r="G78" i="12"/>
  <c r="G111" i="12"/>
  <c r="G159" i="12"/>
  <c r="G106" i="12"/>
  <c r="G20" i="12"/>
  <c r="G83" i="12"/>
  <c r="G81" i="12"/>
  <c r="G102" i="12"/>
  <c r="G37" i="12"/>
  <c r="G144" i="12"/>
  <c r="G85" i="12"/>
  <c r="G87" i="12"/>
  <c r="G93" i="12"/>
  <c r="G112" i="12"/>
  <c r="G92" i="12"/>
  <c r="G160" i="12"/>
  <c r="Q80" i="12"/>
  <c r="Q78" i="12"/>
  <c r="Q111" i="12"/>
  <c r="Q106" i="12"/>
  <c r="Q20" i="12"/>
  <c r="Q83" i="12"/>
  <c r="Q81" i="12"/>
  <c r="Q102" i="12"/>
  <c r="Q37" i="12"/>
  <c r="Q144" i="12"/>
  <c r="Q85" i="12"/>
  <c r="Q87" i="12"/>
  <c r="Q93" i="12"/>
  <c r="Q112" i="12"/>
  <c r="Q92" i="12"/>
  <c r="R80" i="12"/>
  <c r="R78" i="12"/>
  <c r="R111" i="12"/>
  <c r="R159" i="12"/>
  <c r="R106" i="12"/>
  <c r="R20" i="12"/>
  <c r="R83" i="12"/>
  <c r="R81" i="12"/>
  <c r="R102" i="12"/>
  <c r="R37" i="12"/>
  <c r="R144" i="12"/>
  <c r="R85" i="12"/>
  <c r="R87" i="12"/>
  <c r="R93" i="12"/>
  <c r="R112" i="12"/>
  <c r="R92" i="12"/>
  <c r="R160" i="12"/>
  <c r="G88" i="12"/>
  <c r="Q88" i="12"/>
  <c r="R88" i="12"/>
  <c r="G53" i="12"/>
  <c r="Q53" i="12"/>
  <c r="R53" i="12"/>
  <c r="G142" i="12"/>
  <c r="Q142" i="12"/>
  <c r="R142" i="12"/>
  <c r="G109" i="12"/>
  <c r="Q109" i="12"/>
  <c r="R109" i="12"/>
  <c r="G154" i="12"/>
  <c r="Q154" i="12"/>
  <c r="R154" i="12"/>
  <c r="G104" i="12"/>
  <c r="Q104" i="12"/>
  <c r="R104" i="12"/>
  <c r="G55" i="12"/>
  <c r="Q55" i="12"/>
  <c r="R55" i="12"/>
  <c r="G132" i="12"/>
  <c r="Q132" i="12"/>
  <c r="R132" i="12"/>
  <c r="G8" i="12"/>
  <c r="Q8" i="12"/>
  <c r="R8" i="12"/>
  <c r="G86" i="12"/>
  <c r="Q86" i="12"/>
  <c r="R86" i="12"/>
  <c r="G145" i="12"/>
  <c r="Q145" i="12"/>
  <c r="R145" i="12"/>
  <c r="G124" i="12"/>
  <c r="Q124" i="12"/>
  <c r="R124" i="12"/>
  <c r="G94" i="12"/>
  <c r="Q94" i="12"/>
  <c r="R94" i="12"/>
  <c r="G30" i="12"/>
  <c r="Q30" i="12"/>
  <c r="R30" i="12"/>
  <c r="G97" i="12"/>
  <c r="Q97" i="12"/>
  <c r="R97" i="12"/>
  <c r="G22" i="12"/>
  <c r="Q22" i="12"/>
  <c r="R22" i="12"/>
  <c r="G98" i="12"/>
  <c r="Q98" i="12"/>
  <c r="R98" i="12"/>
  <c r="G139" i="12"/>
  <c r="Q139" i="12"/>
  <c r="R139" i="12"/>
  <c r="G156" i="12"/>
  <c r="Q156" i="12"/>
  <c r="R156" i="12"/>
  <c r="G155" i="12"/>
  <c r="Q155" i="12"/>
  <c r="R155" i="12"/>
  <c r="G34" i="12"/>
  <c r="Q34" i="12"/>
  <c r="R34" i="12"/>
  <c r="G121" i="12"/>
  <c r="Q121" i="12"/>
  <c r="R121" i="12"/>
  <c r="G27" i="12"/>
  <c r="Q27" i="12"/>
  <c r="R27" i="12"/>
  <c r="G95" i="12"/>
  <c r="Q95" i="12"/>
  <c r="R95" i="12"/>
  <c r="G138" i="12"/>
  <c r="Q138" i="12"/>
  <c r="R138" i="12"/>
  <c r="G90" i="12"/>
  <c r="Q90" i="12"/>
  <c r="R90" i="12"/>
  <c r="G60" i="12"/>
  <c r="Q60" i="12"/>
  <c r="R60" i="12"/>
  <c r="G23" i="12"/>
  <c r="R23" i="12"/>
  <c r="G51" i="12"/>
  <c r="Q51" i="12"/>
  <c r="R51" i="12"/>
  <c r="G114" i="12"/>
  <c r="Q114" i="12"/>
  <c r="R114" i="12"/>
  <c r="G149" i="12"/>
  <c r="Q149" i="12"/>
  <c r="R149" i="12"/>
  <c r="G113" i="12"/>
  <c r="Q113" i="12"/>
  <c r="R113" i="12"/>
  <c r="R152" i="11"/>
  <c r="R68" i="11"/>
  <c r="R69" i="11"/>
  <c r="R10" i="11"/>
  <c r="R173" i="11"/>
  <c r="R49" i="11"/>
  <c r="R9" i="11"/>
  <c r="R91" i="11"/>
  <c r="R95" i="11"/>
  <c r="G152" i="11"/>
  <c r="Q152" i="11"/>
  <c r="G68" i="11"/>
  <c r="Q68" i="11"/>
  <c r="G69" i="11"/>
  <c r="Q69" i="11"/>
  <c r="G10" i="11"/>
  <c r="Q10" i="11"/>
  <c r="G173" i="11"/>
  <c r="Q173" i="11"/>
  <c r="G49" i="11"/>
  <c r="Q49" i="11"/>
  <c r="G9" i="11"/>
  <c r="G91" i="11"/>
  <c r="Q91" i="11"/>
  <c r="G95" i="11"/>
  <c r="Q95" i="11"/>
  <c r="H250" i="11"/>
  <c r="H248" i="11"/>
  <c r="H206" i="11"/>
  <c r="H199" i="11"/>
  <c r="J206" i="11"/>
  <c r="J199" i="11"/>
  <c r="K206" i="11"/>
  <c r="K199" i="11"/>
  <c r="H205" i="11"/>
  <c r="H209" i="11"/>
  <c r="J205" i="11"/>
  <c r="J209" i="11"/>
  <c r="K205" i="11"/>
  <c r="K209" i="11"/>
  <c r="H201" i="11"/>
  <c r="H210" i="11"/>
  <c r="J201" i="11"/>
  <c r="J210" i="11"/>
  <c r="K201" i="11"/>
  <c r="K210" i="11"/>
  <c r="R90" i="11"/>
  <c r="H249" i="11"/>
  <c r="H247" i="11"/>
  <c r="H203" i="11"/>
  <c r="H204" i="11"/>
  <c r="J203" i="11"/>
  <c r="J204" i="11"/>
  <c r="K203" i="11"/>
  <c r="K204" i="11"/>
  <c r="H198" i="11"/>
  <c r="H208" i="11"/>
  <c r="J198" i="11"/>
  <c r="J208" i="11"/>
  <c r="K198" i="11"/>
  <c r="K208" i="11"/>
  <c r="H200" i="11"/>
  <c r="H202" i="11"/>
  <c r="J200" i="11"/>
  <c r="J202" i="11"/>
  <c r="K200" i="11"/>
  <c r="K202" i="11"/>
  <c r="G90" i="11"/>
  <c r="Q90" i="11"/>
  <c r="G117" i="11"/>
  <c r="Q117" i="11"/>
  <c r="R117" i="11"/>
  <c r="G70" i="11"/>
  <c r="G157" i="11"/>
  <c r="Q75" i="11"/>
  <c r="Q12" i="11"/>
  <c r="R75" i="11"/>
  <c r="R12" i="11"/>
  <c r="G162" i="11"/>
  <c r="G181" i="11"/>
  <c r="G144" i="11"/>
  <c r="G93" i="11"/>
  <c r="G92" i="11"/>
  <c r="G35" i="11"/>
  <c r="G60" i="11"/>
  <c r="Q162" i="11"/>
  <c r="Q181" i="11"/>
  <c r="Q144" i="11"/>
  <c r="Q93" i="11"/>
  <c r="Q92" i="11"/>
  <c r="Q35" i="11"/>
  <c r="Q60" i="11"/>
  <c r="R162" i="11"/>
  <c r="R181" i="11"/>
  <c r="R144" i="11"/>
  <c r="R93" i="11"/>
  <c r="R92" i="11"/>
  <c r="R35" i="11"/>
  <c r="R60" i="11"/>
  <c r="G75" i="11"/>
  <c r="G12" i="11"/>
  <c r="Q70" i="11"/>
  <c r="Q157" i="11"/>
  <c r="R70" i="11"/>
  <c r="R157" i="11"/>
  <c r="G151" i="11"/>
  <c r="G118" i="11"/>
  <c r="G89" i="11"/>
  <c r="G165" i="11"/>
  <c r="G164" i="11"/>
  <c r="G23" i="11"/>
  <c r="G94" i="11"/>
  <c r="G96" i="11"/>
  <c r="Q151" i="11"/>
  <c r="Q118" i="11"/>
  <c r="Q89" i="11"/>
  <c r="Q165" i="11"/>
  <c r="Q164" i="11"/>
  <c r="Q23" i="11"/>
  <c r="Q94" i="11"/>
  <c r="Q96" i="11"/>
  <c r="R151" i="11"/>
  <c r="R118" i="11"/>
  <c r="R89" i="11"/>
  <c r="R165" i="11"/>
  <c r="R164" i="11"/>
  <c r="R23" i="11"/>
  <c r="R94" i="11"/>
  <c r="R96" i="11"/>
  <c r="G159" i="11"/>
  <c r="G139" i="11"/>
  <c r="G140" i="11"/>
  <c r="G26" i="11"/>
  <c r="G65" i="11"/>
  <c r="G82" i="11"/>
  <c r="G116" i="11"/>
  <c r="Q159" i="11"/>
  <c r="Q139" i="11"/>
  <c r="Q140" i="11"/>
  <c r="Q26" i="11"/>
  <c r="Q65" i="11"/>
  <c r="Q82" i="11"/>
  <c r="Q116" i="11"/>
  <c r="R159" i="11"/>
  <c r="R139" i="11"/>
  <c r="R140" i="11"/>
  <c r="R26" i="11"/>
  <c r="R65" i="11"/>
  <c r="R82" i="11"/>
  <c r="R116" i="11"/>
  <c r="G84" i="11"/>
  <c r="G142" i="11"/>
  <c r="G141" i="11"/>
  <c r="G87" i="11"/>
  <c r="G56" i="11"/>
  <c r="G150" i="11"/>
  <c r="G57" i="11"/>
  <c r="Q84" i="11"/>
  <c r="Q142" i="11"/>
  <c r="Q141" i="11"/>
  <c r="Q87" i="11"/>
  <c r="Q56" i="11"/>
  <c r="Q150" i="11"/>
  <c r="Q57" i="11"/>
  <c r="R84" i="11"/>
  <c r="R142" i="11"/>
  <c r="R141" i="11"/>
  <c r="R87" i="11"/>
  <c r="R56" i="11"/>
  <c r="R150" i="11"/>
  <c r="R57" i="11"/>
  <c r="G110" i="11"/>
  <c r="G113" i="11"/>
  <c r="G59" i="11"/>
  <c r="G129" i="11"/>
  <c r="Q66" i="11"/>
  <c r="Q52" i="11"/>
  <c r="Q163" i="11"/>
  <c r="Q88" i="11"/>
  <c r="Q130" i="11"/>
  <c r="R66" i="11"/>
  <c r="R52" i="11"/>
  <c r="R163" i="11"/>
  <c r="R88" i="11"/>
  <c r="R130" i="11"/>
  <c r="G71" i="11"/>
  <c r="G174" i="11"/>
  <c r="G154" i="11"/>
  <c r="G74" i="11"/>
  <c r="G51" i="11"/>
  <c r="G175" i="11"/>
  <c r="G148" i="11"/>
  <c r="Q111" i="11"/>
  <c r="Q153" i="11"/>
  <c r="Q155" i="11"/>
  <c r="Q64" i="11"/>
  <c r="Q156" i="11"/>
  <c r="Q72" i="11"/>
  <c r="R71" i="11"/>
  <c r="R174" i="11"/>
  <c r="R154" i="11"/>
  <c r="R74" i="11"/>
  <c r="G127" i="11"/>
  <c r="G44" i="11"/>
  <c r="G45" i="11"/>
  <c r="G43" i="11"/>
  <c r="G178" i="11"/>
  <c r="G158" i="11"/>
  <c r="G180" i="11"/>
  <c r="Q127" i="11"/>
  <c r="Q44" i="11"/>
  <c r="Q45" i="11"/>
  <c r="Q43" i="11"/>
  <c r="Q178" i="11"/>
  <c r="Q158" i="11"/>
  <c r="Q180" i="11"/>
  <c r="R127" i="11"/>
  <c r="R44" i="11"/>
  <c r="R45" i="11"/>
  <c r="R43" i="11"/>
  <c r="R178" i="11"/>
  <c r="R158" i="11"/>
  <c r="R180" i="11"/>
  <c r="G160" i="11"/>
  <c r="G85" i="11"/>
  <c r="G86" i="11"/>
  <c r="G54" i="11"/>
  <c r="G55" i="11"/>
  <c r="G143" i="11"/>
  <c r="G58" i="11"/>
  <c r="Q160" i="11"/>
  <c r="Q85" i="11"/>
  <c r="Q86" i="11"/>
  <c r="Q54" i="11"/>
  <c r="Q55" i="11"/>
  <c r="Q143" i="11"/>
  <c r="Q58" i="11"/>
  <c r="R160" i="11"/>
  <c r="R85" i="11"/>
  <c r="R86" i="11"/>
  <c r="R54" i="11"/>
  <c r="R55" i="11"/>
  <c r="R143" i="11"/>
  <c r="R58" i="11"/>
  <c r="G66" i="11"/>
  <c r="G52" i="11"/>
  <c r="G163" i="11"/>
  <c r="G88" i="11"/>
  <c r="G130" i="11"/>
  <c r="Q110" i="11"/>
  <c r="Q113" i="11"/>
  <c r="Q59" i="11"/>
  <c r="Q129" i="11"/>
  <c r="R110" i="11"/>
  <c r="R113" i="11"/>
  <c r="R59" i="11"/>
  <c r="R129" i="11"/>
  <c r="G111" i="11"/>
  <c r="G153" i="11"/>
  <c r="G155" i="11"/>
  <c r="G64" i="11"/>
  <c r="G156" i="11"/>
  <c r="G72" i="11"/>
  <c r="Q71" i="11"/>
  <c r="Q174" i="11"/>
  <c r="Q154" i="11"/>
  <c r="Q74" i="11"/>
  <c r="Q51" i="11"/>
  <c r="Q175" i="11"/>
  <c r="Q148" i="11"/>
  <c r="R111" i="11"/>
  <c r="R153" i="11"/>
  <c r="R155" i="11"/>
  <c r="R64" i="11"/>
  <c r="R156" i="11"/>
  <c r="R72" i="11"/>
  <c r="G67" i="11"/>
  <c r="G125" i="11"/>
  <c r="G107" i="11"/>
  <c r="G109" i="11"/>
  <c r="G77" i="11"/>
  <c r="G177" i="11"/>
  <c r="G80" i="11"/>
  <c r="Q67" i="11"/>
  <c r="Q125" i="11"/>
  <c r="Q107" i="11"/>
  <c r="Q109" i="11"/>
  <c r="Q77" i="11"/>
  <c r="Q177" i="11"/>
  <c r="Q80" i="11"/>
  <c r="R21" i="11"/>
  <c r="R108" i="11"/>
  <c r="R176" i="11"/>
  <c r="R78" i="11"/>
  <c r="R79" i="11"/>
  <c r="R149" i="11"/>
  <c r="G15" i="11"/>
  <c r="G147" i="11"/>
  <c r="G114" i="11"/>
  <c r="Q15" i="11"/>
  <c r="Q147" i="11"/>
  <c r="Q114" i="11"/>
  <c r="R15" i="11"/>
  <c r="R147" i="11"/>
  <c r="R114" i="11"/>
  <c r="G11" i="11"/>
  <c r="G137" i="11"/>
  <c r="G13" i="11"/>
  <c r="Q11" i="11"/>
  <c r="Q137" i="11"/>
  <c r="Q13" i="11"/>
  <c r="R11" i="11"/>
  <c r="R137" i="11"/>
  <c r="R13" i="11"/>
  <c r="G81" i="11"/>
  <c r="G76" i="11"/>
  <c r="G126" i="11"/>
  <c r="Q81" i="11"/>
  <c r="Q76" i="11"/>
  <c r="Q126" i="11"/>
  <c r="R81" i="11"/>
  <c r="R76" i="11"/>
  <c r="R126" i="11"/>
  <c r="G179" i="11"/>
  <c r="G161" i="11"/>
  <c r="Q179" i="11"/>
  <c r="Q161" i="11"/>
  <c r="R179" i="11"/>
  <c r="R161" i="11"/>
  <c r="R48" i="11"/>
  <c r="R138" i="11"/>
  <c r="G115" i="11"/>
  <c r="G42" i="11"/>
  <c r="Q115" i="11"/>
  <c r="R42" i="11"/>
  <c r="G119" i="11"/>
  <c r="Q119" i="11"/>
  <c r="R83" i="11"/>
  <c r="R51" i="11"/>
  <c r="R175" i="11"/>
  <c r="R148" i="11"/>
  <c r="G21" i="11"/>
  <c r="G108" i="11"/>
  <c r="G176" i="11"/>
  <c r="G78" i="11"/>
  <c r="G79" i="11"/>
  <c r="G149" i="11"/>
  <c r="Q21" i="11"/>
  <c r="Q108" i="11"/>
  <c r="Q176" i="11"/>
  <c r="Q78" i="11"/>
  <c r="Q79" i="11"/>
  <c r="Q149" i="11"/>
  <c r="R67" i="11"/>
  <c r="R125" i="11"/>
  <c r="R107" i="11"/>
  <c r="R109" i="11"/>
  <c r="R77" i="11"/>
  <c r="R177" i="11"/>
  <c r="R80" i="11"/>
  <c r="G50" i="11"/>
  <c r="G135" i="11"/>
  <c r="G53" i="11"/>
  <c r="Q50" i="11"/>
  <c r="Q135" i="11"/>
  <c r="Q53" i="11"/>
  <c r="R50" i="11"/>
  <c r="R135" i="11"/>
  <c r="R53" i="11"/>
  <c r="G48" i="11"/>
  <c r="G25" i="11"/>
  <c r="G138" i="11"/>
  <c r="Q48" i="11"/>
  <c r="Q25" i="11"/>
  <c r="Q138" i="11"/>
  <c r="R25" i="11"/>
  <c r="Q42" i="11"/>
  <c r="R115" i="11"/>
  <c r="G83" i="11"/>
  <c r="Q83" i="11"/>
  <c r="R119" i="11"/>
  <c r="G63" i="10"/>
  <c r="G100" i="10"/>
  <c r="Q88" i="10"/>
  <c r="R119" i="10"/>
  <c r="R122" i="10"/>
  <c r="R42" i="10"/>
  <c r="G22" i="10"/>
  <c r="Q25" i="10"/>
  <c r="Q9" i="10"/>
  <c r="G55" i="10"/>
  <c r="Q71" i="10"/>
  <c r="R123" i="10"/>
  <c r="Q100" i="10"/>
  <c r="Q73" i="10"/>
  <c r="G35" i="10"/>
  <c r="G88" i="10"/>
  <c r="R63" i="10"/>
  <c r="G119" i="10"/>
  <c r="R73" i="10"/>
  <c r="R106" i="10"/>
  <c r="R35" i="10"/>
  <c r="R22" i="10"/>
  <c r="G26" i="10"/>
  <c r="G71" i="10"/>
  <c r="Q123" i="10"/>
  <c r="Q106" i="10"/>
  <c r="Q26" i="10"/>
  <c r="Q55" i="10"/>
  <c r="Q63" i="10"/>
  <c r="R100" i="10"/>
  <c r="G73" i="10"/>
  <c r="Q119" i="10"/>
  <c r="G122" i="10"/>
  <c r="Q122" i="10"/>
  <c r="G42" i="10"/>
  <c r="Q42" i="10"/>
  <c r="G25" i="10"/>
  <c r="Q22" i="10"/>
  <c r="G9" i="10"/>
  <c r="R26" i="10"/>
  <c r="G123" i="10"/>
  <c r="R55" i="10"/>
  <c r="R88" i="10"/>
  <c r="G106" i="10"/>
  <c r="Q35" i="10"/>
  <c r="R25" i="10"/>
  <c r="R9" i="10"/>
  <c r="R71" i="10"/>
  <c r="G215" i="10"/>
  <c r="G213" i="10"/>
  <c r="G212" i="10"/>
  <c r="G214" i="10"/>
  <c r="G10" i="10"/>
  <c r="G259" i="2"/>
  <c r="G261" i="2"/>
  <c r="G263" i="2"/>
  <c r="G1540" i="2"/>
  <c r="G1542" i="2"/>
  <c r="G1544" i="2"/>
  <c r="G1546" i="2"/>
  <c r="G1548" i="2"/>
  <c r="G1550" i="2"/>
  <c r="G1552" i="2"/>
  <c r="G1554" i="2"/>
  <c r="G1556" i="2"/>
  <c r="G1558" i="2"/>
  <c r="G1560" i="2"/>
  <c r="G1562" i="2"/>
  <c r="G1564" i="2"/>
  <c r="G1566" i="2"/>
  <c r="G1568" i="2"/>
  <c r="G258" i="2"/>
  <c r="G260" i="2"/>
  <c r="G262" i="2"/>
  <c r="G1539" i="2"/>
  <c r="G1541" i="2"/>
  <c r="G1543" i="2"/>
  <c r="G1545" i="2"/>
  <c r="G1547" i="2"/>
  <c r="G1549" i="2"/>
  <c r="G1551" i="2"/>
  <c r="G1553" i="2"/>
  <c r="G1555" i="2"/>
  <c r="G1557" i="2"/>
  <c r="G1559" i="2"/>
  <c r="G1561" i="2"/>
  <c r="G1563" i="2"/>
  <c r="G1565" i="2"/>
  <c r="G1567" i="2"/>
  <c r="G1421" i="2"/>
  <c r="G1423" i="2"/>
  <c r="G1425" i="2"/>
  <c r="G1427" i="2"/>
  <c r="G1429" i="2"/>
  <c r="G1431" i="2"/>
  <c r="G1433" i="2"/>
  <c r="G1435" i="2"/>
  <c r="G1437" i="2"/>
  <c r="G1439" i="2"/>
  <c r="G1441" i="2"/>
  <c r="G1443" i="2"/>
  <c r="G1445" i="2"/>
  <c r="G1447" i="2"/>
  <c r="G1449" i="2"/>
  <c r="G1451" i="2"/>
  <c r="G1453" i="2"/>
  <c r="G1455" i="2"/>
  <c r="G1457" i="2"/>
  <c r="G1459" i="2"/>
  <c r="G1461" i="2"/>
  <c r="G1463" i="2"/>
  <c r="G1465" i="2"/>
  <c r="G1467" i="2"/>
  <c r="G1469" i="2"/>
  <c r="G1471" i="2"/>
  <c r="G1473" i="2"/>
  <c r="G1475" i="2"/>
  <c r="G1477" i="2"/>
  <c r="G1479" i="2"/>
  <c r="G1481" i="2"/>
  <c r="G1483" i="2"/>
  <c r="G1485" i="2"/>
  <c r="G1487" i="2"/>
  <c r="G1489" i="2"/>
  <c r="G1491" i="2"/>
  <c r="G1493" i="2"/>
  <c r="G1495" i="2"/>
  <c r="G1497" i="2"/>
  <c r="G1499" i="2"/>
  <c r="G1501" i="2"/>
  <c r="G1503" i="2"/>
  <c r="G1505" i="2"/>
  <c r="G1507" i="2"/>
  <c r="G1509" i="2"/>
  <c r="G1511" i="2"/>
  <c r="G1513" i="2"/>
  <c r="G1515" i="2"/>
  <c r="G1517" i="2"/>
  <c r="G1519" i="2"/>
  <c r="G1521" i="2"/>
  <c r="G1523" i="2"/>
  <c r="G1217" i="2"/>
  <c r="G1219" i="2"/>
  <c r="G1221" i="2"/>
  <c r="G1223" i="2"/>
  <c r="G1225" i="2"/>
  <c r="G1227" i="2"/>
  <c r="G1229" i="2"/>
  <c r="G1231" i="2"/>
  <c r="G1233" i="2"/>
  <c r="G1420" i="2"/>
  <c r="G1422" i="2"/>
  <c r="G1424" i="2"/>
  <c r="G1426" i="2"/>
  <c r="G1428" i="2"/>
  <c r="G1430" i="2"/>
  <c r="G1432" i="2"/>
  <c r="G1434" i="2"/>
  <c r="G1436" i="2"/>
  <c r="G1438" i="2"/>
  <c r="G1440" i="2"/>
  <c r="G1442" i="2"/>
  <c r="G1444" i="2"/>
  <c r="G1446" i="2"/>
  <c r="G1448" i="2"/>
  <c r="G1450" i="2"/>
  <c r="G1452" i="2"/>
  <c r="G1454" i="2"/>
  <c r="G1456" i="2"/>
  <c r="G1458" i="2"/>
  <c r="G1460" i="2"/>
  <c r="G1462" i="2"/>
  <c r="G1464" i="2"/>
  <c r="G1466" i="2"/>
  <c r="G1468" i="2"/>
  <c r="G1470" i="2"/>
  <c r="G1472" i="2"/>
  <c r="G1474" i="2"/>
  <c r="G1476" i="2"/>
  <c r="G1478" i="2"/>
  <c r="G1480" i="2"/>
  <c r="G1482" i="2"/>
  <c r="G1484" i="2"/>
  <c r="G1486" i="2"/>
  <c r="G1488" i="2"/>
  <c r="G1490" i="2"/>
  <c r="G1492" i="2"/>
  <c r="G1494" i="2"/>
  <c r="G1496" i="2"/>
  <c r="G1498" i="2"/>
  <c r="G1500" i="2"/>
  <c r="G1502" i="2"/>
  <c r="G1504" i="2"/>
  <c r="G1506" i="2"/>
  <c r="G1508" i="2"/>
  <c r="G1510" i="2"/>
  <c r="G1512" i="2"/>
  <c r="G1514" i="2"/>
  <c r="G1516" i="2"/>
  <c r="G1518" i="2"/>
  <c r="G1520" i="2"/>
  <c r="G1522" i="2"/>
  <c r="G1218" i="2"/>
  <c r="G1222" i="2"/>
  <c r="G1226" i="2"/>
  <c r="G1230" i="2"/>
  <c r="G1234" i="2"/>
  <c r="G1236" i="2"/>
  <c r="G1238" i="2"/>
  <c r="G1240" i="2"/>
  <c r="G1242" i="2"/>
  <c r="G1244" i="2"/>
  <c r="G1246" i="2"/>
  <c r="G1248" i="2"/>
  <c r="G1250" i="2"/>
  <c r="G1252" i="2"/>
  <c r="G1254" i="2"/>
  <c r="G1256" i="2"/>
  <c r="G1258" i="2"/>
  <c r="G1260" i="2"/>
  <c r="G1262" i="2"/>
  <c r="G1264" i="2"/>
  <c r="G1266" i="2"/>
  <c r="G1268" i="2"/>
  <c r="G1270" i="2"/>
  <c r="G1272" i="2"/>
  <c r="G1274" i="2"/>
  <c r="G1276" i="2"/>
  <c r="G1278" i="2"/>
  <c r="G1280" i="2"/>
  <c r="G1282" i="2"/>
  <c r="G1284" i="2"/>
  <c r="G1286" i="2"/>
  <c r="G1288" i="2"/>
  <c r="G1290" i="2"/>
  <c r="G1292" i="2"/>
  <c r="G1294" i="2"/>
  <c r="G1296" i="2"/>
  <c r="G1298" i="2"/>
  <c r="G1300" i="2"/>
  <c r="G1302" i="2"/>
  <c r="G1304" i="2"/>
  <c r="G1306" i="2"/>
  <c r="G1308" i="2"/>
  <c r="G1310" i="2"/>
  <c r="G1312" i="2"/>
  <c r="G1314" i="2"/>
  <c r="G1316" i="2"/>
  <c r="G1318" i="2"/>
  <c r="G1320" i="2"/>
  <c r="G1322" i="2"/>
  <c r="G1324" i="2"/>
  <c r="G1326" i="2"/>
  <c r="G1328" i="2"/>
  <c r="G1330" i="2"/>
  <c r="G1332" i="2"/>
  <c r="G1334" i="2"/>
  <c r="G1336" i="2"/>
  <c r="G1338" i="2"/>
  <c r="G1340" i="2"/>
  <c r="G1342" i="2"/>
  <c r="G1344" i="2"/>
  <c r="G1346" i="2"/>
  <c r="G1348" i="2"/>
  <c r="G1350" i="2"/>
  <c r="G1352" i="2"/>
  <c r="G1354" i="2"/>
  <c r="G1356" i="2"/>
  <c r="G1358" i="2"/>
  <c r="G1360" i="2"/>
  <c r="G1362" i="2"/>
  <c r="G1364" i="2"/>
  <c r="G1366" i="2"/>
  <c r="G1368" i="2"/>
  <c r="G1370" i="2"/>
  <c r="G1372" i="2"/>
  <c r="G1374" i="2"/>
  <c r="G1376" i="2"/>
  <c r="G1378" i="2"/>
  <c r="G1380" i="2"/>
  <c r="G1382" i="2"/>
  <c r="G1384" i="2"/>
  <c r="G1386" i="2"/>
  <c r="G1388" i="2"/>
  <c r="G1390" i="2"/>
  <c r="G1392" i="2"/>
  <c r="G1394" i="2"/>
  <c r="G1396" i="2"/>
  <c r="G1398" i="2"/>
  <c r="G1400" i="2"/>
  <c r="G1402" i="2"/>
  <c r="G1404" i="2"/>
  <c r="G1406" i="2"/>
  <c r="G1408" i="2"/>
  <c r="G1410" i="2"/>
  <c r="G264" i="2"/>
  <c r="G266" i="2"/>
  <c r="G268" i="2"/>
  <c r="G270" i="2"/>
  <c r="G272" i="2"/>
  <c r="G274" i="2"/>
  <c r="G276" i="2"/>
  <c r="G278" i="2"/>
  <c r="G280" i="2"/>
  <c r="G282" i="2"/>
  <c r="G284" i="2"/>
  <c r="G286" i="2"/>
  <c r="G288" i="2"/>
  <c r="G290" i="2"/>
  <c r="G292" i="2"/>
  <c r="G294" i="2"/>
  <c r="G296" i="2"/>
  <c r="G298" i="2"/>
  <c r="G300" i="2"/>
  <c r="G302" i="2"/>
  <c r="G304" i="2"/>
  <c r="G306" i="2"/>
  <c r="G308" i="2"/>
  <c r="G310" i="2"/>
  <c r="G312" i="2"/>
  <c r="G314" i="2"/>
  <c r="G316" i="2"/>
  <c r="G318" i="2"/>
  <c r="G320" i="2"/>
  <c r="G322" i="2"/>
  <c r="G324" i="2"/>
  <c r="G326" i="2"/>
  <c r="G328" i="2"/>
  <c r="G330" i="2"/>
  <c r="G332" i="2"/>
  <c r="G334" i="2"/>
  <c r="G336" i="2"/>
  <c r="G338" i="2"/>
  <c r="G340" i="2"/>
  <c r="G342" i="2"/>
  <c r="G344" i="2"/>
  <c r="G346" i="2"/>
  <c r="G348" i="2"/>
  <c r="G350" i="2"/>
  <c r="G352" i="2"/>
  <c r="G354" i="2"/>
  <c r="G356" i="2"/>
  <c r="G358" i="2"/>
  <c r="G360" i="2"/>
  <c r="G362" i="2"/>
  <c r="G364" i="2"/>
  <c r="G366" i="2"/>
  <c r="G368" i="2"/>
  <c r="G370" i="2"/>
  <c r="G372" i="2"/>
  <c r="G374" i="2"/>
  <c r="G376" i="2"/>
  <c r="G378" i="2"/>
  <c r="G380" i="2"/>
  <c r="G382" i="2"/>
  <c r="G384" i="2"/>
  <c r="G386" i="2"/>
  <c r="G388" i="2"/>
  <c r="G390" i="2"/>
  <c r="G392" i="2"/>
  <c r="G394" i="2"/>
  <c r="G396" i="2"/>
  <c r="G398" i="2"/>
  <c r="G991" i="2"/>
  <c r="G1216" i="2"/>
  <c r="G1220" i="2"/>
  <c r="G1224" i="2"/>
  <c r="G1228" i="2"/>
  <c r="G1232" i="2"/>
  <c r="G1235" i="2"/>
  <c r="G1237" i="2"/>
  <c r="G1239" i="2"/>
  <c r="G1241" i="2"/>
  <c r="G1243" i="2"/>
  <c r="G1245" i="2"/>
  <c r="G1247" i="2"/>
  <c r="G1249" i="2"/>
  <c r="G1251" i="2"/>
  <c r="G1253" i="2"/>
  <c r="G1255" i="2"/>
  <c r="G1257" i="2"/>
  <c r="G1259" i="2"/>
  <c r="G1261" i="2"/>
  <c r="G1263" i="2"/>
  <c r="G1265" i="2"/>
  <c r="G1267" i="2"/>
  <c r="G1269" i="2"/>
  <c r="G1271" i="2"/>
  <c r="G1273" i="2"/>
  <c r="G1275" i="2"/>
  <c r="G1277" i="2"/>
  <c r="G1279" i="2"/>
  <c r="G1281" i="2"/>
  <c r="G1283" i="2"/>
  <c r="G1285" i="2"/>
  <c r="G1287" i="2"/>
  <c r="G1289" i="2"/>
  <c r="G1291" i="2"/>
  <c r="G1293" i="2"/>
  <c r="G1295" i="2"/>
  <c r="G1297" i="2"/>
  <c r="G1299" i="2"/>
  <c r="G1301" i="2"/>
  <c r="G1303" i="2"/>
  <c r="G1305" i="2"/>
  <c r="G1307" i="2"/>
  <c r="G1309" i="2"/>
  <c r="G1311" i="2"/>
  <c r="G1313" i="2"/>
  <c r="G1315" i="2"/>
  <c r="G1317" i="2"/>
  <c r="G1319" i="2"/>
  <c r="G1321" i="2"/>
  <c r="G1323" i="2"/>
  <c r="G1325" i="2"/>
  <c r="G1327" i="2"/>
  <c r="G1329" i="2"/>
  <c r="G1331" i="2"/>
  <c r="G1333" i="2"/>
  <c r="G1335" i="2"/>
  <c r="G1337" i="2"/>
  <c r="G1339" i="2"/>
  <c r="G1341" i="2"/>
  <c r="G1343" i="2"/>
  <c r="G1345" i="2"/>
  <c r="G1347" i="2"/>
  <c r="G1349" i="2"/>
  <c r="G1351" i="2"/>
  <c r="G1353" i="2"/>
  <c r="G1355" i="2"/>
  <c r="G1357" i="2"/>
  <c r="G1359" i="2"/>
  <c r="G1361" i="2"/>
  <c r="G1363" i="2"/>
  <c r="G1365" i="2"/>
  <c r="G1367" i="2"/>
  <c r="G1369" i="2"/>
  <c r="G1371" i="2"/>
  <c r="G1373" i="2"/>
  <c r="G1375" i="2"/>
  <c r="G1377" i="2"/>
  <c r="G1379" i="2"/>
  <c r="G1381" i="2"/>
  <c r="G1383" i="2"/>
  <c r="G1385" i="2"/>
  <c r="G1387" i="2"/>
  <c r="G1389" i="2"/>
  <c r="G1391" i="2"/>
  <c r="G1393" i="2"/>
  <c r="G1395" i="2"/>
  <c r="G1397" i="2"/>
  <c r="G1399" i="2"/>
  <c r="G1401" i="2"/>
  <c r="G1403" i="2"/>
  <c r="G1405" i="2"/>
  <c r="G1407" i="2"/>
  <c r="G1409" i="2"/>
  <c r="G1411" i="2"/>
  <c r="G265" i="2"/>
  <c r="G267" i="2"/>
  <c r="G269" i="2"/>
  <c r="G271" i="2"/>
  <c r="G273" i="2"/>
  <c r="G275" i="2"/>
  <c r="G277" i="2"/>
  <c r="G279" i="2"/>
  <c r="G281" i="2"/>
  <c r="G283" i="2"/>
  <c r="G285" i="2"/>
  <c r="G287" i="2"/>
  <c r="G289" i="2"/>
  <c r="G291" i="2"/>
  <c r="G293" i="2"/>
  <c r="G295" i="2"/>
  <c r="G297" i="2"/>
  <c r="G299" i="2"/>
  <c r="G301" i="2"/>
  <c r="G303" i="2"/>
  <c r="G305" i="2"/>
  <c r="G307" i="2"/>
  <c r="G309" i="2"/>
  <c r="G311" i="2"/>
  <c r="G313" i="2"/>
  <c r="G315" i="2"/>
  <c r="G317" i="2"/>
  <c r="G319" i="2"/>
  <c r="G321" i="2"/>
  <c r="G323" i="2"/>
  <c r="G325" i="2"/>
  <c r="G327" i="2"/>
  <c r="G329" i="2"/>
  <c r="G331" i="2"/>
  <c r="G333" i="2"/>
  <c r="G335" i="2"/>
  <c r="G337" i="2"/>
  <c r="G339" i="2"/>
  <c r="G341" i="2"/>
  <c r="G343" i="2"/>
  <c r="G345" i="2"/>
  <c r="G347" i="2"/>
  <c r="G349" i="2"/>
  <c r="G351" i="2"/>
  <c r="G353" i="2"/>
  <c r="G355" i="2"/>
  <c r="G357" i="2"/>
  <c r="G359" i="2"/>
  <c r="G361" i="2"/>
  <c r="G363" i="2"/>
  <c r="G365" i="2"/>
  <c r="G367" i="2"/>
  <c r="G369" i="2"/>
  <c r="G371" i="2"/>
  <c r="G373" i="2"/>
  <c r="G375" i="2"/>
  <c r="G377" i="2"/>
  <c r="G379" i="2"/>
  <c r="G381" i="2"/>
  <c r="G383" i="2"/>
  <c r="G385" i="2"/>
  <c r="G387" i="2"/>
  <c r="G389" i="2"/>
  <c r="G391" i="2"/>
  <c r="G393" i="2"/>
  <c r="G395" i="2"/>
  <c r="G397" i="2"/>
  <c r="G399" i="2"/>
  <c r="G992" i="2"/>
  <c r="G994" i="2"/>
  <c r="G996" i="2"/>
  <c r="G998" i="2"/>
  <c r="G1000" i="2"/>
  <c r="G1002" i="2"/>
  <c r="G1004" i="2"/>
  <c r="G1006" i="2"/>
  <c r="G995" i="2"/>
  <c r="G999" i="2"/>
  <c r="G1003" i="2"/>
  <c r="G1007" i="2"/>
  <c r="G1009" i="2"/>
  <c r="G1011" i="2"/>
  <c r="G1013" i="2"/>
  <c r="G1015" i="2"/>
  <c r="G1017" i="2"/>
  <c r="G1019" i="2"/>
  <c r="G1021" i="2"/>
  <c r="G1023" i="2"/>
  <c r="G1025" i="2"/>
  <c r="G1027" i="2"/>
  <c r="G1029" i="2"/>
  <c r="G1031" i="2"/>
  <c r="G1033" i="2"/>
  <c r="G1035" i="2"/>
  <c r="G1037" i="2"/>
  <c r="G1039" i="2"/>
  <c r="G1041" i="2"/>
  <c r="G1043" i="2"/>
  <c r="G1045" i="2"/>
  <c r="G1047" i="2"/>
  <c r="G1049" i="2"/>
  <c r="G1051" i="2"/>
  <c r="G1053" i="2"/>
  <c r="G1055" i="2"/>
  <c r="G1057" i="2"/>
  <c r="G1059" i="2"/>
  <c r="G1061" i="2"/>
  <c r="G1063" i="2"/>
  <c r="G1065" i="2"/>
  <c r="G1067" i="2"/>
  <c r="G1069" i="2"/>
  <c r="G1071" i="2"/>
  <c r="G1073" i="2"/>
  <c r="G1075" i="2"/>
  <c r="G1077" i="2"/>
  <c r="G1079" i="2"/>
  <c r="G1081" i="2"/>
  <c r="G1083" i="2"/>
  <c r="G1085" i="2"/>
  <c r="G1087" i="2"/>
  <c r="G1089" i="2"/>
  <c r="G1091" i="2"/>
  <c r="G1093" i="2"/>
  <c r="G1095" i="2"/>
  <c r="G1097" i="2"/>
  <c r="G1099" i="2"/>
  <c r="G1101" i="2"/>
  <c r="G1103" i="2"/>
  <c r="G1105" i="2"/>
  <c r="G1107" i="2"/>
  <c r="G1109" i="2"/>
  <c r="G1111" i="2"/>
  <c r="G1113" i="2"/>
  <c r="G1115" i="2"/>
  <c r="G1117" i="2"/>
  <c r="G1119" i="2"/>
  <c r="G1121" i="2"/>
  <c r="G1123" i="2"/>
  <c r="G1125" i="2"/>
  <c r="G1127" i="2"/>
  <c r="G1129" i="2"/>
  <c r="G1131" i="2"/>
  <c r="G1133" i="2"/>
  <c r="G1135" i="2"/>
  <c r="G1137" i="2"/>
  <c r="G1139" i="2"/>
  <c r="G1141" i="2"/>
  <c r="G1143" i="2"/>
  <c r="G1145" i="2"/>
  <c r="G1147" i="2"/>
  <c r="G1149" i="2"/>
  <c r="G1151" i="2"/>
  <c r="G1153" i="2"/>
  <c r="G1155" i="2"/>
  <c r="G1157" i="2"/>
  <c r="G1159" i="2"/>
  <c r="G1161" i="2"/>
  <c r="G1163" i="2"/>
  <c r="G1165" i="2"/>
  <c r="G1167" i="2"/>
  <c r="G1169" i="2"/>
  <c r="G1171" i="2"/>
  <c r="G1173" i="2"/>
  <c r="G1175" i="2"/>
  <c r="G1177" i="2"/>
  <c r="G1179" i="2"/>
  <c r="G1181" i="2"/>
  <c r="G1183" i="2"/>
  <c r="G1185" i="2"/>
  <c r="G1187" i="2"/>
  <c r="G1189" i="2"/>
  <c r="G1191" i="2"/>
  <c r="G1193" i="2"/>
  <c r="G1195" i="2"/>
  <c r="G1197" i="2"/>
  <c r="G1199" i="2"/>
  <c r="G1201" i="2"/>
  <c r="G1203" i="2"/>
  <c r="G1205" i="2"/>
  <c r="G1207" i="2"/>
  <c r="G1209" i="2"/>
  <c r="G1211" i="2"/>
  <c r="G1213" i="2"/>
  <c r="G550" i="2"/>
  <c r="G552" i="2"/>
  <c r="G554" i="2"/>
  <c r="G556" i="2"/>
  <c r="G558" i="2"/>
  <c r="G560" i="2"/>
  <c r="G562" i="2"/>
  <c r="G564" i="2"/>
  <c r="G566" i="2"/>
  <c r="G568" i="2"/>
  <c r="G570" i="2"/>
  <c r="G572" i="2"/>
  <c r="G574" i="2"/>
  <c r="G576" i="2"/>
  <c r="G578" i="2"/>
  <c r="G580" i="2"/>
  <c r="G582" i="2"/>
  <c r="G584" i="2"/>
  <c r="G586" i="2"/>
  <c r="G588" i="2"/>
  <c r="G590" i="2"/>
  <c r="G592" i="2"/>
  <c r="G594" i="2"/>
  <c r="G596" i="2"/>
  <c r="G598" i="2"/>
  <c r="G600" i="2"/>
  <c r="G602" i="2"/>
  <c r="G604" i="2"/>
  <c r="G606" i="2"/>
  <c r="G608" i="2"/>
  <c r="G610" i="2"/>
  <c r="G612" i="2"/>
  <c r="G614" i="2"/>
  <c r="G616" i="2"/>
  <c r="G618" i="2"/>
  <c r="G620" i="2"/>
  <c r="G622" i="2"/>
  <c r="G624" i="2"/>
  <c r="G626" i="2"/>
  <c r="G628" i="2"/>
  <c r="G630" i="2"/>
  <c r="G632" i="2"/>
  <c r="G634" i="2"/>
  <c r="G636" i="2"/>
  <c r="G638" i="2"/>
  <c r="G640" i="2"/>
  <c r="G642" i="2"/>
  <c r="G644" i="2"/>
  <c r="G646" i="2"/>
  <c r="G648" i="2"/>
  <c r="G650" i="2"/>
  <c r="G652" i="2"/>
  <c r="G654" i="2"/>
  <c r="G656" i="2"/>
  <c r="G658" i="2"/>
  <c r="G660" i="2"/>
  <c r="G662" i="2"/>
  <c r="G664" i="2"/>
  <c r="G666" i="2"/>
  <c r="G668" i="2"/>
  <c r="G670" i="2"/>
  <c r="G672" i="2"/>
  <c r="G674" i="2"/>
  <c r="G993" i="2"/>
  <c r="G997" i="2"/>
  <c r="G1001" i="2"/>
  <c r="G1005" i="2"/>
  <c r="G1008" i="2"/>
  <c r="G1010" i="2"/>
  <c r="G1012" i="2"/>
  <c r="G1014" i="2"/>
  <c r="G1016" i="2"/>
  <c r="G1018" i="2"/>
  <c r="G1020" i="2"/>
  <c r="G1022" i="2"/>
  <c r="G1024" i="2"/>
  <c r="G1026" i="2"/>
  <c r="G1028" i="2"/>
  <c r="G1030" i="2"/>
  <c r="G1032" i="2"/>
  <c r="G1034" i="2"/>
  <c r="G1036" i="2"/>
  <c r="G1038" i="2"/>
  <c r="G1040" i="2"/>
  <c r="G1042" i="2"/>
  <c r="G1044" i="2"/>
  <c r="G1046" i="2"/>
  <c r="G1048" i="2"/>
  <c r="G1050" i="2"/>
  <c r="G1052" i="2"/>
  <c r="G1054" i="2"/>
  <c r="G1056" i="2"/>
  <c r="G1058" i="2"/>
  <c r="G1060" i="2"/>
  <c r="G1062" i="2"/>
  <c r="G1064" i="2"/>
  <c r="G1066" i="2"/>
  <c r="G1068" i="2"/>
  <c r="G1070" i="2"/>
  <c r="G1072" i="2"/>
  <c r="G1074" i="2"/>
  <c r="G1076" i="2"/>
  <c r="G1078" i="2"/>
  <c r="G1080" i="2"/>
  <c r="G1082" i="2"/>
  <c r="G1084" i="2"/>
  <c r="G1086" i="2"/>
  <c r="G1088" i="2"/>
  <c r="G1090" i="2"/>
  <c r="G1092" i="2"/>
  <c r="G1094" i="2"/>
  <c r="G1096" i="2"/>
  <c r="G1098" i="2"/>
  <c r="G1100" i="2"/>
  <c r="G1102" i="2"/>
  <c r="G1104" i="2"/>
  <c r="G1106" i="2"/>
  <c r="G1108" i="2"/>
  <c r="G1110" i="2"/>
  <c r="G1112" i="2"/>
  <c r="G1114" i="2"/>
  <c r="G1116" i="2"/>
  <c r="G1118" i="2"/>
  <c r="G1120" i="2"/>
  <c r="G1122" i="2"/>
  <c r="G1124" i="2"/>
  <c r="G1126" i="2"/>
  <c r="G1128" i="2"/>
  <c r="G1130" i="2"/>
  <c r="G1132" i="2"/>
  <c r="G1134" i="2"/>
  <c r="G1136" i="2"/>
  <c r="G1138" i="2"/>
  <c r="G1140" i="2"/>
  <c r="G1142" i="2"/>
  <c r="G1144" i="2"/>
  <c r="G1146" i="2"/>
  <c r="G1148" i="2"/>
  <c r="G1150" i="2"/>
  <c r="G1152" i="2"/>
  <c r="G1154" i="2"/>
  <c r="G1156" i="2"/>
  <c r="G1158" i="2"/>
  <c r="G1160" i="2"/>
  <c r="G1162" i="2"/>
  <c r="G1164" i="2"/>
  <c r="G1166" i="2"/>
  <c r="G1168" i="2"/>
  <c r="G1170" i="2"/>
  <c r="G1172" i="2"/>
  <c r="G1174" i="2"/>
  <c r="G1176" i="2"/>
  <c r="G1178" i="2"/>
  <c r="G1180" i="2"/>
  <c r="G1182" i="2"/>
  <c r="G1184" i="2"/>
  <c r="G1186" i="2"/>
  <c r="G1188" i="2"/>
  <c r="G1190" i="2"/>
  <c r="G1192" i="2"/>
  <c r="G1194" i="2"/>
  <c r="G1196" i="2"/>
  <c r="G1198" i="2"/>
  <c r="G1200" i="2"/>
  <c r="G1202" i="2"/>
  <c r="G1204" i="2"/>
  <c r="G1206" i="2"/>
  <c r="G1208" i="2"/>
  <c r="G1210" i="2"/>
  <c r="G1212" i="2"/>
  <c r="G1214" i="2"/>
  <c r="G551" i="2"/>
  <c r="G553" i="2"/>
  <c r="G555" i="2"/>
  <c r="G557" i="2"/>
  <c r="G559" i="2"/>
  <c r="G561" i="2"/>
  <c r="G563" i="2"/>
  <c r="G565" i="2"/>
  <c r="G567" i="2"/>
  <c r="G569" i="2"/>
  <c r="G571" i="2"/>
  <c r="G573" i="2"/>
  <c r="G575" i="2"/>
  <c r="G577" i="2"/>
  <c r="G579" i="2"/>
  <c r="G581" i="2"/>
  <c r="G583" i="2"/>
  <c r="G585" i="2"/>
  <c r="G587" i="2"/>
  <c r="G589" i="2"/>
  <c r="G591" i="2"/>
  <c r="G593" i="2"/>
  <c r="G595" i="2"/>
  <c r="G597" i="2"/>
  <c r="G599" i="2"/>
  <c r="G601" i="2"/>
  <c r="G603" i="2"/>
  <c r="G605" i="2"/>
  <c r="G607" i="2"/>
  <c r="G609" i="2"/>
  <c r="G611" i="2"/>
  <c r="G613" i="2"/>
  <c r="G615" i="2"/>
  <c r="G617" i="2"/>
  <c r="G619" i="2"/>
  <c r="G621" i="2"/>
  <c r="G623" i="2"/>
  <c r="G625" i="2"/>
  <c r="G627" i="2"/>
  <c r="G629" i="2"/>
  <c r="G631" i="2"/>
  <c r="G633" i="2"/>
  <c r="G635" i="2"/>
  <c r="G637" i="2"/>
  <c r="G639" i="2"/>
  <c r="G641" i="2"/>
  <c r="G643" i="2"/>
  <c r="G645" i="2"/>
  <c r="G647" i="2"/>
  <c r="G649" i="2"/>
  <c r="G651" i="2"/>
  <c r="G653" i="2"/>
  <c r="G655" i="2"/>
  <c r="G657" i="2"/>
  <c r="G659" i="2"/>
  <c r="G661" i="2"/>
  <c r="G663" i="2"/>
  <c r="G665" i="2"/>
  <c r="G667" i="2"/>
  <c r="G669" i="2"/>
  <c r="G671" i="2"/>
  <c r="G673" i="2"/>
  <c r="G675" i="2"/>
  <c r="G677" i="2"/>
  <c r="G678" i="2"/>
  <c r="G680" i="2"/>
  <c r="G682" i="2"/>
  <c r="G684" i="2"/>
  <c r="G686" i="2"/>
  <c r="G688" i="2"/>
  <c r="G690" i="2"/>
  <c r="G692" i="2"/>
  <c r="G694" i="2"/>
  <c r="G696" i="2"/>
  <c r="G698" i="2"/>
  <c r="G700" i="2"/>
  <c r="G702" i="2"/>
  <c r="G704" i="2"/>
  <c r="G706" i="2"/>
  <c r="G708" i="2"/>
  <c r="G710" i="2"/>
  <c r="G712" i="2"/>
  <c r="G714" i="2"/>
  <c r="G716" i="2"/>
  <c r="G718" i="2"/>
  <c r="G720" i="2"/>
  <c r="G722" i="2"/>
  <c r="G724" i="2"/>
  <c r="G726" i="2"/>
  <c r="G728" i="2"/>
  <c r="G730" i="2"/>
  <c r="G732" i="2"/>
  <c r="G734" i="2"/>
  <c r="G736" i="2"/>
  <c r="G738" i="2"/>
  <c r="G740" i="2"/>
  <c r="G742" i="2"/>
  <c r="G744" i="2"/>
  <c r="G746" i="2"/>
  <c r="G748" i="2"/>
  <c r="G750" i="2"/>
  <c r="G752" i="2"/>
  <c r="G754" i="2"/>
  <c r="G756" i="2"/>
  <c r="G758" i="2"/>
  <c r="G760" i="2"/>
  <c r="G762" i="2"/>
  <c r="G764" i="2"/>
  <c r="G766" i="2"/>
  <c r="G768" i="2"/>
  <c r="G770" i="2"/>
  <c r="G772" i="2"/>
  <c r="G774" i="2"/>
  <c r="G776" i="2"/>
  <c r="G778" i="2"/>
  <c r="G780" i="2"/>
  <c r="G782" i="2"/>
  <c r="G784" i="2"/>
  <c r="G786" i="2"/>
  <c r="G788" i="2"/>
  <c r="G790" i="2"/>
  <c r="G792" i="2"/>
  <c r="G794" i="2"/>
  <c r="G796" i="2"/>
  <c r="G798" i="2"/>
  <c r="G800" i="2"/>
  <c r="G802" i="2"/>
  <c r="G804" i="2"/>
  <c r="G806" i="2"/>
  <c r="G808" i="2"/>
  <c r="G810" i="2"/>
  <c r="G812" i="2"/>
  <c r="G814" i="2"/>
  <c r="G816" i="2"/>
  <c r="G818" i="2"/>
  <c r="G820" i="2"/>
  <c r="G822" i="2"/>
  <c r="G824" i="2"/>
  <c r="G826" i="2"/>
  <c r="G828" i="2"/>
  <c r="G830" i="2"/>
  <c r="G832" i="2"/>
  <c r="G834" i="2"/>
  <c r="G836" i="2"/>
  <c r="G838" i="2"/>
  <c r="G840" i="2"/>
  <c r="G842" i="2"/>
  <c r="G844" i="2"/>
  <c r="G846" i="2"/>
  <c r="G848" i="2"/>
  <c r="G850" i="2"/>
  <c r="G852" i="2"/>
  <c r="G854" i="2"/>
  <c r="G856" i="2"/>
  <c r="G858" i="2"/>
  <c r="G860" i="2"/>
  <c r="G862" i="2"/>
  <c r="G864" i="2"/>
  <c r="G866" i="2"/>
  <c r="G868" i="2"/>
  <c r="G870" i="2"/>
  <c r="G872" i="2"/>
  <c r="G874" i="2"/>
  <c r="G876" i="2"/>
  <c r="G878" i="2"/>
  <c r="G880" i="2"/>
  <c r="G882" i="2"/>
  <c r="G884" i="2"/>
  <c r="G886" i="2"/>
  <c r="G888" i="2"/>
  <c r="G890" i="2"/>
  <c r="G892" i="2"/>
  <c r="G894" i="2"/>
  <c r="G896" i="2"/>
  <c r="G898" i="2"/>
  <c r="G900" i="2"/>
  <c r="G902" i="2"/>
  <c r="G904" i="2"/>
  <c r="G906" i="2"/>
  <c r="G908" i="2"/>
  <c r="G910" i="2"/>
  <c r="G912" i="2"/>
  <c r="G914" i="2"/>
  <c r="G916" i="2"/>
  <c r="G918" i="2"/>
  <c r="G920" i="2"/>
  <c r="G922" i="2"/>
  <c r="G924" i="2"/>
  <c r="G926" i="2"/>
  <c r="G928" i="2"/>
  <c r="G930" i="2"/>
  <c r="G932" i="2"/>
  <c r="G934" i="2"/>
  <c r="G936" i="2"/>
  <c r="G938" i="2"/>
  <c r="G940" i="2"/>
  <c r="G942" i="2"/>
  <c r="G944" i="2"/>
  <c r="G946" i="2"/>
  <c r="G948" i="2"/>
  <c r="G950" i="2"/>
  <c r="G952" i="2"/>
  <c r="G954" i="2"/>
  <c r="G956" i="2"/>
  <c r="G958" i="2"/>
  <c r="G960" i="2"/>
  <c r="G962" i="2"/>
  <c r="G964" i="2"/>
  <c r="G966" i="2"/>
  <c r="G968" i="2"/>
  <c r="G970" i="2"/>
  <c r="G972" i="2"/>
  <c r="G974" i="2"/>
  <c r="G976" i="2"/>
  <c r="G978" i="2"/>
  <c r="G980" i="2"/>
  <c r="G982" i="2"/>
  <c r="G984" i="2"/>
  <c r="G986" i="2"/>
  <c r="G988" i="2"/>
  <c r="G990" i="2"/>
  <c r="G1412" i="2"/>
  <c r="G1414" i="2"/>
  <c r="G1416" i="2"/>
  <c r="G1418" i="2"/>
  <c r="G1524" i="2"/>
  <c r="G1526" i="2"/>
  <c r="G1528" i="2"/>
  <c r="G1576" i="2"/>
  <c r="G1578" i="2"/>
  <c r="G1580" i="2"/>
  <c r="G401" i="2"/>
  <c r="G403" i="2"/>
  <c r="G405" i="2"/>
  <c r="G407" i="2"/>
  <c r="G409" i="2"/>
  <c r="G411" i="2"/>
  <c r="G413" i="2"/>
  <c r="G415" i="2"/>
  <c r="G417" i="2"/>
  <c r="G419" i="2"/>
  <c r="G421" i="2"/>
  <c r="G423" i="2"/>
  <c r="G425" i="2"/>
  <c r="G427" i="2"/>
  <c r="G429" i="2"/>
  <c r="G431" i="2"/>
  <c r="G433" i="2"/>
  <c r="G435" i="2"/>
  <c r="G437" i="2"/>
  <c r="G439" i="2"/>
  <c r="G441" i="2"/>
  <c r="G443" i="2"/>
  <c r="G445" i="2"/>
  <c r="G447" i="2"/>
  <c r="G449" i="2"/>
  <c r="G451" i="2"/>
  <c r="G453" i="2"/>
  <c r="G455" i="2"/>
  <c r="G457" i="2"/>
  <c r="G459" i="2"/>
  <c r="G461" i="2"/>
  <c r="G463" i="2"/>
  <c r="G465" i="2"/>
  <c r="G467" i="2"/>
  <c r="G469" i="2"/>
  <c r="G471" i="2"/>
  <c r="G473" i="2"/>
  <c r="G475" i="2"/>
  <c r="G477" i="2"/>
  <c r="G479" i="2"/>
  <c r="G481" i="2"/>
  <c r="G483" i="2"/>
  <c r="G485" i="2"/>
  <c r="G487" i="2"/>
  <c r="G489" i="2"/>
  <c r="G491" i="2"/>
  <c r="G493" i="2"/>
  <c r="G495" i="2"/>
  <c r="G497" i="2"/>
  <c r="G499" i="2"/>
  <c r="G501" i="2"/>
  <c r="G503" i="2"/>
  <c r="G505" i="2"/>
  <c r="G507" i="2"/>
  <c r="G509" i="2"/>
  <c r="G511" i="2"/>
  <c r="G513" i="2"/>
  <c r="G515" i="2"/>
  <c r="G517" i="2"/>
  <c r="G519" i="2"/>
  <c r="G521" i="2"/>
  <c r="G523" i="2"/>
  <c r="G525" i="2"/>
  <c r="G527" i="2"/>
  <c r="G529" i="2"/>
  <c r="G531" i="2"/>
  <c r="G533" i="2"/>
  <c r="G535" i="2"/>
  <c r="G537" i="2"/>
  <c r="G539" i="2"/>
  <c r="G541" i="2"/>
  <c r="G543" i="2"/>
  <c r="G545" i="2"/>
  <c r="G547" i="2"/>
  <c r="G1530" i="2"/>
  <c r="G1532" i="2"/>
  <c r="G1534" i="2"/>
  <c r="G1536" i="2"/>
  <c r="G1538" i="2"/>
  <c r="G1569" i="2"/>
  <c r="G1571" i="2"/>
  <c r="G1573" i="2"/>
  <c r="G1575" i="2"/>
  <c r="G235" i="2"/>
  <c r="G237" i="2"/>
  <c r="G239" i="2"/>
  <c r="G241" i="2"/>
  <c r="G243" i="2"/>
  <c r="G245" i="2"/>
  <c r="G225" i="2"/>
  <c r="G227" i="2"/>
  <c r="G229" i="2"/>
  <c r="G231" i="2"/>
  <c r="G233" i="2"/>
  <c r="G204" i="2"/>
  <c r="G206" i="2"/>
  <c r="G208" i="2"/>
  <c r="G211" i="2"/>
  <c r="G213" i="2"/>
  <c r="G215" i="2"/>
  <c r="G218" i="2"/>
  <c r="G220" i="2"/>
  <c r="G222" i="2"/>
  <c r="G247" i="2"/>
  <c r="G249" i="2"/>
  <c r="G252" i="2"/>
  <c r="G676" i="2"/>
  <c r="G679" i="2"/>
  <c r="G681" i="2"/>
  <c r="G683" i="2"/>
  <c r="G685" i="2"/>
  <c r="G687" i="2"/>
  <c r="G689" i="2"/>
  <c r="G691" i="2"/>
  <c r="G693" i="2"/>
  <c r="G695" i="2"/>
  <c r="G697" i="2"/>
  <c r="G699" i="2"/>
  <c r="G701" i="2"/>
  <c r="G703" i="2"/>
  <c r="G705" i="2"/>
  <c r="G707" i="2"/>
  <c r="G709" i="2"/>
  <c r="G711" i="2"/>
  <c r="G713" i="2"/>
  <c r="G715" i="2"/>
  <c r="G717" i="2"/>
  <c r="G719" i="2"/>
  <c r="G721" i="2"/>
  <c r="G723" i="2"/>
  <c r="G725" i="2"/>
  <c r="G727" i="2"/>
  <c r="G729" i="2"/>
  <c r="G731" i="2"/>
  <c r="G733" i="2"/>
  <c r="G735" i="2"/>
  <c r="G737" i="2"/>
  <c r="G739" i="2"/>
  <c r="G741" i="2"/>
  <c r="G743" i="2"/>
  <c r="G745" i="2"/>
  <c r="G747" i="2"/>
  <c r="G749" i="2"/>
  <c r="G751" i="2"/>
  <c r="G753" i="2"/>
  <c r="G755" i="2"/>
  <c r="G757" i="2"/>
  <c r="G759" i="2"/>
  <c r="G761" i="2"/>
  <c r="G763" i="2"/>
  <c r="G765" i="2"/>
  <c r="G767" i="2"/>
  <c r="G769" i="2"/>
  <c r="G771" i="2"/>
  <c r="G773" i="2"/>
  <c r="G775" i="2"/>
  <c r="G777" i="2"/>
  <c r="G779" i="2"/>
  <c r="G781" i="2"/>
  <c r="G783" i="2"/>
  <c r="G785" i="2"/>
  <c r="G787" i="2"/>
  <c r="G789" i="2"/>
  <c r="G791" i="2"/>
  <c r="G793" i="2"/>
  <c r="G795" i="2"/>
  <c r="G797" i="2"/>
  <c r="G799" i="2"/>
  <c r="G801" i="2"/>
  <c r="G803" i="2"/>
  <c r="G805" i="2"/>
  <c r="G807" i="2"/>
  <c r="G809" i="2"/>
  <c r="G811" i="2"/>
  <c r="G813" i="2"/>
  <c r="G815" i="2"/>
  <c r="G817" i="2"/>
  <c r="G819" i="2"/>
  <c r="G821" i="2"/>
  <c r="G823" i="2"/>
  <c r="G825" i="2"/>
  <c r="G827" i="2"/>
  <c r="G829" i="2"/>
  <c r="G831" i="2"/>
  <c r="G833" i="2"/>
  <c r="G835" i="2"/>
  <c r="G837" i="2"/>
  <c r="G839" i="2"/>
  <c r="G841" i="2"/>
  <c r="G843" i="2"/>
  <c r="G845" i="2"/>
  <c r="G847" i="2"/>
  <c r="G849" i="2"/>
  <c r="G851" i="2"/>
  <c r="G853" i="2"/>
  <c r="G855" i="2"/>
  <c r="G857" i="2"/>
  <c r="G859" i="2"/>
  <c r="G861" i="2"/>
  <c r="G863" i="2"/>
  <c r="G865" i="2"/>
  <c r="G867" i="2"/>
  <c r="G869" i="2"/>
  <c r="G871" i="2"/>
  <c r="G873" i="2"/>
  <c r="G875" i="2"/>
  <c r="G877" i="2"/>
  <c r="G879" i="2"/>
  <c r="G881" i="2"/>
  <c r="G883" i="2"/>
  <c r="G885" i="2"/>
  <c r="G887" i="2"/>
  <c r="G889" i="2"/>
  <c r="G891" i="2"/>
  <c r="G893" i="2"/>
  <c r="G895" i="2"/>
  <c r="G897" i="2"/>
  <c r="G899" i="2"/>
  <c r="G901" i="2"/>
  <c r="G903" i="2"/>
  <c r="G905" i="2"/>
  <c r="G907" i="2"/>
  <c r="G909" i="2"/>
  <c r="G911" i="2"/>
  <c r="G913" i="2"/>
  <c r="G915" i="2"/>
  <c r="G917" i="2"/>
  <c r="G919" i="2"/>
  <c r="G921" i="2"/>
  <c r="G923" i="2"/>
  <c r="G925" i="2"/>
  <c r="G927" i="2"/>
  <c r="G929" i="2"/>
  <c r="G931" i="2"/>
  <c r="G933" i="2"/>
  <c r="G935" i="2"/>
  <c r="G937" i="2"/>
  <c r="G939" i="2"/>
  <c r="G941" i="2"/>
  <c r="G943" i="2"/>
  <c r="G945" i="2"/>
  <c r="G947" i="2"/>
  <c r="G949" i="2"/>
  <c r="G951" i="2"/>
  <c r="G953" i="2"/>
  <c r="G955" i="2"/>
  <c r="G957" i="2"/>
  <c r="G959" i="2"/>
  <c r="G961" i="2"/>
  <c r="G963" i="2"/>
  <c r="G965" i="2"/>
  <c r="G967" i="2"/>
  <c r="G969" i="2"/>
  <c r="G971" i="2"/>
  <c r="G973" i="2"/>
  <c r="G975" i="2"/>
  <c r="G977" i="2"/>
  <c r="G979" i="2"/>
  <c r="G981" i="2"/>
  <c r="G983" i="2"/>
  <c r="G985" i="2"/>
  <c r="G987" i="2"/>
  <c r="G989" i="2"/>
  <c r="G1215" i="2"/>
  <c r="G1413" i="2"/>
  <c r="G1415" i="2"/>
  <c r="G1417" i="2"/>
  <c r="G1419" i="2"/>
  <c r="G1525" i="2"/>
  <c r="G1527" i="2"/>
  <c r="G1529" i="2"/>
  <c r="G1577" i="2"/>
  <c r="G1579" i="2"/>
  <c r="G400" i="2"/>
  <c r="G402" i="2"/>
  <c r="G404" i="2"/>
  <c r="G406" i="2"/>
  <c r="G408" i="2"/>
  <c r="G410" i="2"/>
  <c r="G412" i="2"/>
  <c r="G414" i="2"/>
  <c r="G416" i="2"/>
  <c r="G418" i="2"/>
  <c r="G420" i="2"/>
  <c r="G422" i="2"/>
  <c r="G424" i="2"/>
  <c r="G426" i="2"/>
  <c r="G428" i="2"/>
  <c r="G430" i="2"/>
  <c r="G432" i="2"/>
  <c r="G434" i="2"/>
  <c r="G436" i="2"/>
  <c r="G438" i="2"/>
  <c r="G440" i="2"/>
  <c r="G442" i="2"/>
  <c r="G444" i="2"/>
  <c r="G446" i="2"/>
  <c r="G448" i="2"/>
  <c r="G450" i="2"/>
  <c r="G452" i="2"/>
  <c r="G454" i="2"/>
  <c r="G456" i="2"/>
  <c r="G458" i="2"/>
  <c r="G460" i="2"/>
  <c r="G462" i="2"/>
  <c r="G464" i="2"/>
  <c r="G466" i="2"/>
  <c r="G468" i="2"/>
  <c r="G470" i="2"/>
  <c r="G472" i="2"/>
  <c r="G474" i="2"/>
  <c r="G476" i="2"/>
  <c r="G478" i="2"/>
  <c r="G480" i="2"/>
  <c r="G482" i="2"/>
  <c r="G484" i="2"/>
  <c r="G486" i="2"/>
  <c r="G488" i="2"/>
  <c r="G490" i="2"/>
  <c r="G492" i="2"/>
  <c r="G494" i="2"/>
  <c r="G496" i="2"/>
  <c r="G498" i="2"/>
  <c r="G500" i="2"/>
  <c r="G502" i="2"/>
  <c r="G504" i="2"/>
  <c r="G506" i="2"/>
  <c r="G508" i="2"/>
  <c r="G510" i="2"/>
  <c r="G512" i="2"/>
  <c r="G514" i="2"/>
  <c r="G516" i="2"/>
  <c r="G518" i="2"/>
  <c r="G520" i="2"/>
  <c r="G522" i="2"/>
  <c r="G524" i="2"/>
  <c r="G526" i="2"/>
  <c r="G528" i="2"/>
  <c r="G530" i="2"/>
  <c r="G532" i="2"/>
  <c r="G534" i="2"/>
  <c r="G536" i="2"/>
  <c r="G538" i="2"/>
  <c r="G540" i="2"/>
  <c r="G542" i="2"/>
  <c r="G544" i="2"/>
  <c r="G546" i="2"/>
  <c r="G549" i="2"/>
  <c r="G1531" i="2"/>
  <c r="G1533" i="2"/>
  <c r="G1535" i="2"/>
  <c r="G1537" i="2"/>
  <c r="G1570" i="2"/>
  <c r="G1572" i="2"/>
  <c r="G1574" i="2"/>
  <c r="G236" i="2"/>
  <c r="G238" i="2"/>
  <c r="G240" i="2"/>
  <c r="G242" i="2"/>
  <c r="G244" i="2"/>
  <c r="G226" i="2"/>
  <c r="G228" i="2"/>
  <c r="G230" i="2"/>
  <c r="G232" i="2"/>
  <c r="G234" i="2"/>
  <c r="G203" i="2"/>
  <c r="G205" i="2"/>
  <c r="G207" i="2"/>
  <c r="G209" i="2"/>
  <c r="G210" i="2"/>
  <c r="G212" i="2"/>
  <c r="G214" i="2"/>
  <c r="G216" i="2"/>
  <c r="G217" i="2"/>
  <c r="G219" i="2"/>
  <c r="G221" i="2"/>
  <c r="G223" i="2"/>
  <c r="G224" i="2"/>
  <c r="G246" i="2"/>
  <c r="G248" i="2"/>
  <c r="G250" i="2"/>
  <c r="G251" i="2"/>
  <c r="H169" i="10"/>
  <c r="J169" i="10"/>
  <c r="K169" i="10"/>
  <c r="H171" i="10"/>
  <c r="J171" i="10"/>
  <c r="K171" i="10"/>
  <c r="H160" i="10"/>
  <c r="H162" i="10"/>
  <c r="H175" i="10"/>
  <c r="H163" i="10"/>
  <c r="J161" i="10"/>
  <c r="K160" i="10"/>
  <c r="K162" i="10"/>
  <c r="J175" i="10"/>
  <c r="K174" i="10"/>
  <c r="K157" i="10"/>
  <c r="K163" i="10"/>
  <c r="G33" i="10"/>
  <c r="G105" i="10"/>
  <c r="Q33" i="10"/>
  <c r="Q105" i="10"/>
  <c r="R33" i="10"/>
  <c r="R105" i="10"/>
  <c r="G102" i="10"/>
  <c r="Q126" i="10"/>
  <c r="R126" i="10"/>
  <c r="G94" i="10"/>
  <c r="Q94" i="10"/>
  <c r="R94" i="10"/>
  <c r="G79" i="10"/>
  <c r="Q79" i="10"/>
  <c r="R79" i="10"/>
  <c r="H168" i="10"/>
  <c r="J168" i="10"/>
  <c r="K168" i="10"/>
  <c r="H179" i="10"/>
  <c r="K179" i="10"/>
  <c r="G30" i="10"/>
  <c r="Q30" i="10"/>
  <c r="R30" i="10"/>
  <c r="H161" i="10"/>
  <c r="H174" i="10"/>
  <c r="H157" i="10"/>
  <c r="J160" i="10"/>
  <c r="J162" i="10"/>
  <c r="K161" i="10"/>
  <c r="J174" i="10"/>
  <c r="J157" i="10"/>
  <c r="K175" i="10"/>
  <c r="J163" i="10"/>
  <c r="G134" i="10"/>
  <c r="G15" i="10"/>
  <c r="Q134" i="10"/>
  <c r="Q15" i="10"/>
  <c r="R134" i="10"/>
  <c r="R15" i="10"/>
  <c r="G126" i="10"/>
  <c r="Q102" i="10"/>
  <c r="R102" i="10"/>
  <c r="G87" i="10"/>
  <c r="Q87" i="10"/>
  <c r="R87" i="10"/>
  <c r="G110" i="10"/>
  <c r="Q110" i="10"/>
  <c r="R110" i="10"/>
  <c r="H178" i="10"/>
  <c r="J178" i="10"/>
  <c r="K178" i="10"/>
  <c r="J179" i="10"/>
  <c r="G29" i="10"/>
  <c r="Q29" i="10"/>
  <c r="R29" i="10"/>
  <c r="R20" i="10"/>
  <c r="R23" i="10"/>
  <c r="R24" i="10"/>
  <c r="Q72" i="10"/>
  <c r="G66" i="10"/>
  <c r="Q66" i="10"/>
  <c r="G58" i="10"/>
  <c r="Q58" i="10"/>
  <c r="G56" i="10"/>
  <c r="Q56" i="10"/>
  <c r="G27" i="10"/>
  <c r="Q27" i="10"/>
  <c r="G19" i="10"/>
  <c r="Q19" i="10"/>
  <c r="G21" i="10"/>
  <c r="Q21" i="10"/>
  <c r="G28" i="10"/>
  <c r="Q28" i="10"/>
  <c r="G14" i="10"/>
  <c r="Q14" i="10"/>
  <c r="G13" i="10"/>
  <c r="Q13" i="10"/>
  <c r="G121" i="10"/>
  <c r="Q121" i="10"/>
  <c r="G34" i="10"/>
  <c r="Q34" i="10"/>
  <c r="G75" i="10"/>
  <c r="Q75" i="10"/>
  <c r="G50" i="10"/>
  <c r="Q50" i="10"/>
  <c r="G120" i="10"/>
  <c r="Q120" i="10"/>
  <c r="G76" i="10"/>
  <c r="R76" i="10"/>
  <c r="R49" i="10"/>
  <c r="R130" i="10"/>
  <c r="R74" i="10"/>
  <c r="R41" i="10"/>
  <c r="R48" i="10"/>
  <c r="R18" i="10"/>
  <c r="R54" i="10"/>
  <c r="R95" i="10"/>
  <c r="Q81" i="10"/>
  <c r="G82" i="10"/>
  <c r="Q82" i="10"/>
  <c r="G36" i="10"/>
  <c r="Q36" i="10"/>
  <c r="G70" i="10"/>
  <c r="Q70" i="10"/>
  <c r="G109" i="10"/>
  <c r="Q109" i="10"/>
  <c r="G118" i="10"/>
  <c r="Q118" i="10"/>
  <c r="G44" i="10"/>
  <c r="Q44" i="10"/>
  <c r="G45" i="10"/>
  <c r="Q45" i="10"/>
  <c r="G86" i="10"/>
  <c r="Q86" i="10"/>
  <c r="G117" i="10"/>
  <c r="Q117" i="10"/>
  <c r="G129" i="10"/>
  <c r="Q129" i="10"/>
  <c r="G17" i="10"/>
  <c r="Q17" i="10"/>
  <c r="G40" i="10"/>
  <c r="Q40" i="10"/>
  <c r="G47" i="10"/>
  <c r="Q47" i="10"/>
  <c r="G85" i="10"/>
  <c r="Q85" i="10"/>
  <c r="G107" i="10"/>
  <c r="Q107" i="10"/>
  <c r="G8" i="10"/>
  <c r="Q8" i="10"/>
  <c r="G69" i="10"/>
  <c r="Q69" i="10"/>
  <c r="G104" i="10"/>
  <c r="Q104" i="10"/>
  <c r="G80" i="10"/>
  <c r="G20" i="10"/>
  <c r="Q20" i="10"/>
  <c r="G23" i="10"/>
  <c r="Q23" i="10"/>
  <c r="G24" i="10"/>
  <c r="Q24" i="10"/>
  <c r="G72" i="10"/>
  <c r="R72" i="10"/>
  <c r="R66" i="10"/>
  <c r="R58" i="10"/>
  <c r="R56" i="10"/>
  <c r="R27" i="10"/>
  <c r="R19" i="10"/>
  <c r="R21" i="10"/>
  <c r="R28" i="10"/>
  <c r="R14" i="10"/>
  <c r="R13" i="10"/>
  <c r="R121" i="10"/>
  <c r="R34" i="10"/>
  <c r="R75" i="10"/>
  <c r="R50" i="10"/>
  <c r="R120" i="10"/>
  <c r="Q76" i="10"/>
  <c r="G49" i="10"/>
  <c r="Q49" i="10"/>
  <c r="G130" i="10"/>
  <c r="Q130" i="10"/>
  <c r="G74" i="10"/>
  <c r="Q74" i="10"/>
  <c r="G41" i="10"/>
  <c r="Q41" i="10"/>
  <c r="G48" i="10"/>
  <c r="Q48" i="10"/>
  <c r="G18" i="10"/>
  <c r="Q18" i="10"/>
  <c r="G54" i="10"/>
  <c r="Q54" i="10"/>
  <c r="G95" i="10"/>
  <c r="Q95" i="10"/>
  <c r="G81" i="10"/>
  <c r="R81" i="10"/>
  <c r="R82" i="10"/>
  <c r="R36" i="10"/>
  <c r="R70" i="10"/>
  <c r="R109" i="10"/>
  <c r="R118" i="10"/>
  <c r="R44" i="10"/>
  <c r="R45" i="10"/>
  <c r="R86" i="10"/>
  <c r="R117" i="10"/>
  <c r="R129" i="10"/>
  <c r="R17" i="10"/>
  <c r="R40" i="10"/>
  <c r="R47" i="10"/>
  <c r="R85" i="10"/>
  <c r="R107" i="10"/>
  <c r="R8" i="10"/>
  <c r="R69" i="10"/>
  <c r="R104" i="10"/>
  <c r="R80" i="10"/>
  <c r="R46" i="10"/>
  <c r="R53" i="10"/>
  <c r="Q80" i="10"/>
  <c r="G53" i="10"/>
  <c r="Q53" i="10"/>
  <c r="R68" i="10"/>
  <c r="R38" i="10"/>
  <c r="R37" i="10"/>
  <c r="R78" i="10"/>
  <c r="R83" i="10"/>
  <c r="R84" i="10"/>
  <c r="R93" i="10"/>
  <c r="R67" i="10"/>
  <c r="R77" i="10"/>
  <c r="R103" i="10"/>
  <c r="R64" i="10"/>
  <c r="R101" i="10"/>
  <c r="R65" i="10"/>
  <c r="R62" i="10"/>
  <c r="R108" i="10"/>
  <c r="R89" i="10"/>
  <c r="R61" i="10"/>
  <c r="R127" i="10"/>
  <c r="R116" i="10"/>
  <c r="R16" i="10"/>
  <c r="R128" i="10"/>
  <c r="R96" i="10"/>
  <c r="R52" i="10"/>
  <c r="R57" i="10"/>
  <c r="R59" i="10"/>
  <c r="R60" i="10"/>
  <c r="R31" i="10"/>
  <c r="R32" i="10"/>
  <c r="R92" i="10"/>
  <c r="R125" i="10"/>
  <c r="R43" i="10"/>
  <c r="R12" i="10"/>
  <c r="R39" i="10"/>
  <c r="R99" i="10"/>
  <c r="R115" i="10"/>
  <c r="R133" i="10"/>
  <c r="R114" i="10"/>
  <c r="R91" i="10"/>
  <c r="R113" i="10"/>
  <c r="R90" i="10"/>
  <c r="R131" i="10"/>
  <c r="R132" i="10"/>
  <c r="G46" i="10"/>
  <c r="Q46" i="10"/>
  <c r="G68" i="10"/>
  <c r="Q68" i="10"/>
  <c r="G38" i="10"/>
  <c r="Q38" i="10"/>
  <c r="G37" i="10"/>
  <c r="Q37" i="10"/>
  <c r="G78" i="10"/>
  <c r="Q78" i="10"/>
  <c r="G83" i="10"/>
  <c r="Q83" i="10"/>
  <c r="G84" i="10"/>
  <c r="Q84" i="10"/>
  <c r="G93" i="10"/>
  <c r="Q93" i="10"/>
  <c r="G67" i="10"/>
  <c r="Q67" i="10"/>
  <c r="G77" i="10"/>
  <c r="Q77" i="10"/>
  <c r="G103" i="10"/>
  <c r="Q103" i="10"/>
  <c r="G64" i="10"/>
  <c r="Q64" i="10"/>
  <c r="G101" i="10"/>
  <c r="Q101" i="10"/>
  <c r="G65" i="10"/>
  <c r="Q65" i="10"/>
  <c r="G62" i="10"/>
  <c r="Q62" i="10"/>
  <c r="G108" i="10"/>
  <c r="Q108" i="10"/>
  <c r="G89" i="10"/>
  <c r="Q89" i="10"/>
  <c r="G61" i="10"/>
  <c r="Q61" i="10"/>
  <c r="G127" i="10"/>
  <c r="Q127" i="10"/>
  <c r="G116" i="10"/>
  <c r="Q116" i="10"/>
  <c r="G16" i="10"/>
  <c r="Q16" i="10"/>
  <c r="G128" i="10"/>
  <c r="Q128" i="10"/>
  <c r="G96" i="10"/>
  <c r="Q96" i="10"/>
  <c r="G52" i="10"/>
  <c r="Q52" i="10"/>
  <c r="G57" i="10"/>
  <c r="Q57" i="10"/>
  <c r="G59" i="10"/>
  <c r="Q59" i="10"/>
  <c r="G60" i="10"/>
  <c r="Q60" i="10"/>
  <c r="G31" i="10"/>
  <c r="Q31" i="10"/>
  <c r="G32" i="10"/>
  <c r="Q32" i="10"/>
  <c r="G92" i="10"/>
  <c r="Q92" i="10"/>
  <c r="G125" i="10"/>
  <c r="Q125" i="10"/>
  <c r="G43" i="10"/>
  <c r="Q43" i="10"/>
  <c r="G12" i="10"/>
  <c r="Q12" i="10"/>
  <c r="G39" i="10"/>
  <c r="Q39" i="10"/>
  <c r="G99" i="10"/>
  <c r="Q99" i="10"/>
  <c r="G115" i="10"/>
  <c r="Q115" i="10"/>
  <c r="G133" i="10"/>
  <c r="Q133" i="10"/>
  <c r="G114" i="10"/>
  <c r="Q114" i="10"/>
  <c r="G91" i="10"/>
  <c r="Q91" i="10"/>
  <c r="G113" i="10"/>
  <c r="Q113" i="10"/>
  <c r="G90" i="10"/>
  <c r="Q90" i="10"/>
  <c r="G131" i="10"/>
  <c r="Q131" i="10"/>
  <c r="G132" i="10"/>
  <c r="Q132" i="10"/>
  <c r="H186" i="2"/>
  <c r="J180" i="2"/>
  <c r="K181" i="2"/>
  <c r="J175" i="2"/>
  <c r="K176" i="2"/>
  <c r="H189" i="2"/>
  <c r="K187" i="2"/>
  <c r="H185" i="2"/>
  <c r="J170" i="2"/>
  <c r="H171" i="2"/>
  <c r="J172" i="2"/>
  <c r="K190" i="2"/>
  <c r="J191" i="2"/>
  <c r="H180" i="2"/>
  <c r="J181" i="2"/>
  <c r="H175" i="2"/>
  <c r="J176" i="2"/>
  <c r="K183" i="2"/>
  <c r="J187" i="2"/>
  <c r="K188" i="2"/>
  <c r="H170" i="2"/>
  <c r="K174" i="2"/>
  <c r="H172" i="2"/>
  <c r="J190" i="2"/>
  <c r="H191" i="2"/>
  <c r="H181" i="2"/>
  <c r="H176" i="2"/>
  <c r="H187" i="2"/>
  <c r="K189" i="2"/>
  <c r="K185" i="2"/>
  <c r="K171" i="2"/>
  <c r="J186" i="2"/>
  <c r="H183" i="2"/>
  <c r="H188" i="2"/>
  <c r="H174" i="2"/>
  <c r="K170" i="2"/>
  <c r="K172" i="2"/>
  <c r="K191" i="2"/>
  <c r="K186" i="2"/>
  <c r="J188" i="2"/>
  <c r="H190" i="2"/>
  <c r="K180" i="2"/>
  <c r="J189" i="2"/>
  <c r="J171" i="2"/>
  <c r="J183" i="2"/>
  <c r="K175" i="2"/>
  <c r="J174" i="2"/>
  <c r="J185" i="2"/>
  <c r="G35" i="20" l="1"/>
  <c r="P35" i="20"/>
  <c r="Q35" i="20"/>
  <c r="R35" i="20"/>
  <c r="G30" i="20"/>
  <c r="P30" i="20"/>
  <c r="Q30" i="20"/>
  <c r="R30" i="20"/>
  <c r="G36" i="20"/>
  <c r="P36" i="20"/>
  <c r="Q36" i="20"/>
  <c r="R36" i="20"/>
  <c r="G109" i="20"/>
  <c r="P109" i="20"/>
  <c r="Q109" i="20"/>
  <c r="R109" i="20"/>
  <c r="G56" i="20"/>
  <c r="P56" i="20"/>
  <c r="R56" i="20"/>
  <c r="G92" i="20"/>
  <c r="P92" i="20"/>
  <c r="Q92" i="20"/>
  <c r="R92" i="20"/>
  <c r="G99" i="20"/>
  <c r="P99" i="20"/>
  <c r="Q99" i="20"/>
  <c r="R99" i="20"/>
  <c r="G25" i="20"/>
  <c r="Q25" i="20"/>
  <c r="R25" i="20"/>
  <c r="G85" i="20"/>
  <c r="P85" i="20"/>
  <c r="Q85" i="20"/>
  <c r="R85" i="20"/>
  <c r="G108" i="20"/>
  <c r="P108" i="20"/>
  <c r="Q108" i="20"/>
  <c r="R108" i="20"/>
  <c r="H194" i="20" l="1"/>
  <c r="H213" i="20"/>
  <c r="H214" i="20"/>
  <c r="H215" i="20"/>
  <c r="H208" i="20"/>
  <c r="J194" i="20"/>
  <c r="J213" i="20"/>
  <c r="J214" i="20"/>
  <c r="J215" i="20"/>
  <c r="J208" i="20"/>
  <c r="K194" i="20"/>
  <c r="K213" i="20"/>
  <c r="K214" i="20"/>
  <c r="K215" i="20"/>
  <c r="K208" i="20"/>
  <c r="H223" i="20"/>
  <c r="H209" i="20"/>
  <c r="J223" i="20"/>
  <c r="J209" i="20"/>
  <c r="K223" i="20"/>
  <c r="K209" i="20"/>
  <c r="H217" i="20"/>
  <c r="J217" i="20"/>
  <c r="K217" i="20"/>
  <c r="G93" i="20"/>
  <c r="P93" i="20"/>
  <c r="Q93" i="20"/>
  <c r="R93" i="20"/>
  <c r="G86" i="20"/>
  <c r="P86" i="20"/>
  <c r="Q86" i="20"/>
  <c r="R86" i="20"/>
  <c r="G146" i="20"/>
  <c r="P146" i="20"/>
  <c r="Q146" i="20"/>
  <c r="R146" i="20"/>
  <c r="G131" i="20"/>
  <c r="P131" i="20"/>
  <c r="Q131" i="20"/>
  <c r="R131" i="20"/>
  <c r="G47" i="20"/>
  <c r="G67" i="20"/>
  <c r="G132" i="20"/>
  <c r="P132" i="20"/>
  <c r="Q132" i="20"/>
  <c r="R132" i="20"/>
  <c r="G123" i="20"/>
  <c r="P123" i="20"/>
  <c r="Q123" i="20"/>
  <c r="R123" i="20"/>
  <c r="G117" i="20"/>
  <c r="P117" i="20"/>
  <c r="Q117" i="20"/>
  <c r="R117" i="20"/>
  <c r="G26" i="20"/>
  <c r="P26" i="20"/>
  <c r="Q26" i="20"/>
  <c r="R26" i="20"/>
  <c r="G31" i="20"/>
  <c r="P31" i="20"/>
  <c r="R31" i="20"/>
  <c r="G13" i="20"/>
  <c r="P13" i="20"/>
  <c r="Q13" i="20"/>
  <c r="R13" i="20"/>
  <c r="G103" i="20"/>
  <c r="P103" i="20"/>
  <c r="Q103" i="20"/>
  <c r="R103" i="20"/>
  <c r="G42" i="20"/>
  <c r="P42" i="20"/>
  <c r="Q42" i="20"/>
  <c r="R42" i="20"/>
  <c r="G70" i="20"/>
  <c r="P70" i="20"/>
  <c r="Q70" i="20"/>
  <c r="R70" i="20"/>
  <c r="G69" i="20"/>
  <c r="P69" i="20"/>
  <c r="Q69" i="20"/>
  <c r="R69" i="20"/>
  <c r="G164" i="20"/>
  <c r="P164" i="20"/>
  <c r="Q164" i="20"/>
  <c r="R164" i="20"/>
  <c r="G163" i="20"/>
  <c r="P163" i="20"/>
  <c r="Q163" i="20"/>
  <c r="R163" i="20"/>
  <c r="G165" i="20"/>
  <c r="P165" i="20"/>
  <c r="Q165" i="20"/>
  <c r="R165" i="20"/>
  <c r="G159" i="20"/>
  <c r="P159" i="20"/>
  <c r="Q159" i="20"/>
  <c r="R159" i="20"/>
  <c r="G161" i="20"/>
  <c r="P161" i="20"/>
  <c r="Q161" i="20"/>
  <c r="R161" i="20"/>
  <c r="G166" i="20"/>
  <c r="P166" i="20"/>
  <c r="Q166" i="20"/>
  <c r="R166" i="20"/>
  <c r="G151" i="20"/>
  <c r="P151" i="20"/>
  <c r="Q151" i="20"/>
  <c r="R151" i="20"/>
  <c r="G152" i="20"/>
  <c r="P152" i="20"/>
  <c r="Q152" i="20"/>
  <c r="R152" i="20"/>
  <c r="G148" i="20"/>
  <c r="P148" i="20"/>
  <c r="Q148" i="20"/>
  <c r="R148" i="20"/>
  <c r="G149" i="20"/>
  <c r="P149" i="20"/>
  <c r="Q149" i="20"/>
  <c r="R149" i="20"/>
  <c r="G162" i="20"/>
  <c r="P162" i="20"/>
  <c r="Q162" i="20"/>
  <c r="R162" i="20"/>
  <c r="G150" i="20"/>
  <c r="P150" i="20"/>
  <c r="Q150" i="20"/>
  <c r="R150" i="20"/>
  <c r="G156" i="20"/>
  <c r="P156" i="20"/>
  <c r="Q156" i="20"/>
  <c r="R156" i="20"/>
  <c r="G102" i="20"/>
  <c r="G107" i="20"/>
  <c r="G104" i="20"/>
  <c r="G118" i="20"/>
  <c r="G124" i="20"/>
  <c r="G120" i="20"/>
  <c r="G115" i="20"/>
  <c r="G116" i="20"/>
  <c r="G119" i="20"/>
  <c r="G127" i="20"/>
  <c r="G111" i="20"/>
  <c r="G114" i="20"/>
  <c r="G136" i="20"/>
  <c r="G125" i="20"/>
  <c r="G121" i="20"/>
  <c r="G129" i="20"/>
  <c r="G128" i="20"/>
  <c r="G133" i="20"/>
  <c r="G142" i="20"/>
  <c r="G137" i="20"/>
  <c r="G130" i="20"/>
  <c r="G145" i="20"/>
  <c r="G140" i="20"/>
  <c r="G139" i="20"/>
  <c r="G147" i="20"/>
  <c r="P107" i="20"/>
  <c r="P104" i="20"/>
  <c r="P118" i="20"/>
  <c r="P124" i="20"/>
  <c r="P120" i="20"/>
  <c r="P115" i="20"/>
  <c r="P116" i="20"/>
  <c r="P119" i="20"/>
  <c r="P127" i="20"/>
  <c r="P111" i="20"/>
  <c r="P114" i="20"/>
  <c r="P136" i="20"/>
  <c r="P125" i="20"/>
  <c r="P121" i="20"/>
  <c r="P129" i="20"/>
  <c r="P128" i="20"/>
  <c r="P133" i="20"/>
  <c r="P142" i="20"/>
  <c r="P137" i="20"/>
  <c r="P130" i="20"/>
  <c r="P145" i="20"/>
  <c r="P139" i="20"/>
  <c r="P147" i="20"/>
  <c r="P102" i="20"/>
  <c r="P140" i="20"/>
  <c r="Q102" i="20"/>
  <c r="Q107" i="20"/>
  <c r="Q104" i="20"/>
  <c r="Q124" i="20"/>
  <c r="Q120" i="20"/>
  <c r="Q115" i="20"/>
  <c r="Q116" i="20"/>
  <c r="Q119" i="20"/>
  <c r="Q127" i="20"/>
  <c r="Q114" i="20"/>
  <c r="Q136" i="20"/>
  <c r="Q125" i="20"/>
  <c r="Q128" i="20"/>
  <c r="Q133" i="20"/>
  <c r="Q142" i="20"/>
  <c r="Q137" i="20"/>
  <c r="Q130" i="20"/>
  <c r="Q145" i="20"/>
  <c r="Q140" i="20"/>
  <c r="Q139" i="20"/>
  <c r="Q147" i="20"/>
  <c r="R102" i="20"/>
  <c r="R107" i="20"/>
  <c r="R104" i="20"/>
  <c r="R118" i="20"/>
  <c r="R124" i="20"/>
  <c r="R120" i="20"/>
  <c r="R115" i="20"/>
  <c r="R116" i="20"/>
  <c r="R119" i="20"/>
  <c r="R127" i="20"/>
  <c r="R111" i="20"/>
  <c r="R114" i="20"/>
  <c r="R136" i="20"/>
  <c r="R125" i="20"/>
  <c r="R121" i="20"/>
  <c r="R129" i="20"/>
  <c r="R128" i="20"/>
  <c r="R133" i="20"/>
  <c r="R142" i="20"/>
  <c r="R137" i="20"/>
  <c r="R130" i="20"/>
  <c r="R145" i="20"/>
  <c r="R140" i="20"/>
  <c r="R139" i="20"/>
  <c r="R147" i="20"/>
  <c r="G106" i="20"/>
  <c r="P106" i="20"/>
  <c r="Q106" i="20"/>
  <c r="R106" i="20"/>
  <c r="G105" i="20"/>
  <c r="P105" i="20"/>
  <c r="Q105" i="20"/>
  <c r="R105" i="20"/>
  <c r="G98" i="20"/>
  <c r="P98" i="20"/>
  <c r="Q98" i="20"/>
  <c r="R98" i="20"/>
  <c r="G100" i="20"/>
  <c r="P100" i="20"/>
  <c r="Q100" i="20"/>
  <c r="R100" i="20"/>
  <c r="G97" i="20"/>
  <c r="P97" i="20"/>
  <c r="Q97" i="20"/>
  <c r="R97" i="20"/>
  <c r="G101" i="20"/>
  <c r="P101" i="20"/>
  <c r="R101" i="20"/>
  <c r="G84" i="20"/>
  <c r="P84" i="20"/>
  <c r="Q84" i="20"/>
  <c r="R84" i="20"/>
  <c r="G91" i="20"/>
  <c r="P91" i="20"/>
  <c r="Q91" i="20"/>
  <c r="R91" i="20"/>
  <c r="G89" i="20"/>
  <c r="P89" i="20"/>
  <c r="Q89" i="20"/>
  <c r="R89" i="20"/>
  <c r="G88" i="20"/>
  <c r="P88" i="20"/>
  <c r="Q88" i="20"/>
  <c r="R88" i="20"/>
  <c r="G87" i="20"/>
  <c r="P87" i="20"/>
  <c r="Q87" i="20"/>
  <c r="R87" i="20"/>
  <c r="G94" i="20"/>
  <c r="P94" i="20"/>
  <c r="Q94" i="20"/>
  <c r="R94" i="20"/>
  <c r="G80" i="20"/>
  <c r="P80" i="20"/>
  <c r="Q80" i="20"/>
  <c r="R80" i="20"/>
  <c r="G76" i="20"/>
  <c r="P76" i="20"/>
  <c r="R76" i="20"/>
  <c r="G79" i="20"/>
  <c r="P79" i="20"/>
  <c r="Q79" i="20"/>
  <c r="R79" i="20"/>
  <c r="G81" i="20"/>
  <c r="P81" i="20"/>
  <c r="Q81" i="20"/>
  <c r="R81" i="20"/>
  <c r="G82" i="20"/>
  <c r="P82" i="20"/>
  <c r="Q82" i="20"/>
  <c r="R82" i="20"/>
  <c r="G66" i="20"/>
  <c r="P66" i="20"/>
  <c r="Q66" i="20"/>
  <c r="R66" i="20"/>
  <c r="G73" i="20"/>
  <c r="P73" i="20"/>
  <c r="Q73" i="20"/>
  <c r="R73" i="20"/>
  <c r="G74" i="20"/>
  <c r="P74" i="20"/>
  <c r="Q74" i="20"/>
  <c r="R74" i="20"/>
  <c r="G78" i="20"/>
  <c r="P78" i="20"/>
  <c r="Q78" i="20"/>
  <c r="R78" i="20"/>
  <c r="G72" i="20"/>
  <c r="P72" i="20"/>
  <c r="Q72" i="20"/>
  <c r="R72" i="20"/>
  <c r="G77" i="20"/>
  <c r="P77" i="20"/>
  <c r="Q77" i="20"/>
  <c r="R77" i="20"/>
  <c r="G65" i="20"/>
  <c r="P65" i="20"/>
  <c r="Q65" i="20"/>
  <c r="R65" i="20"/>
  <c r="G27" i="20"/>
  <c r="G22" i="20"/>
  <c r="G28" i="20"/>
  <c r="G38" i="20"/>
  <c r="G33" i="20"/>
  <c r="G40" i="20"/>
  <c r="G43" i="20"/>
  <c r="G41" i="20"/>
  <c r="G32" i="20"/>
  <c r="G39" i="20"/>
  <c r="G49" i="20"/>
  <c r="G51" i="20"/>
  <c r="G46" i="20"/>
  <c r="G48" i="20"/>
  <c r="G44" i="20"/>
  <c r="G53" i="20"/>
  <c r="G52" i="20"/>
  <c r="G54" i="20"/>
  <c r="G45" i="20"/>
  <c r="G55" i="20"/>
  <c r="G63" i="20"/>
  <c r="G62" i="20"/>
  <c r="G60" i="20"/>
  <c r="G58" i="20"/>
  <c r="G59" i="20"/>
  <c r="G61" i="20"/>
  <c r="G57" i="20"/>
  <c r="G75" i="20"/>
  <c r="P27" i="20"/>
  <c r="P22" i="20"/>
  <c r="P28" i="20"/>
  <c r="P38" i="20"/>
  <c r="P33" i="20"/>
  <c r="P40" i="20"/>
  <c r="P43" i="20"/>
  <c r="P41" i="20"/>
  <c r="P39" i="20"/>
  <c r="P49" i="20"/>
  <c r="P51" i="20"/>
  <c r="P46" i="20"/>
  <c r="P48" i="20"/>
  <c r="P44" i="20"/>
  <c r="P52" i="20"/>
  <c r="P54" i="20"/>
  <c r="P45" i="20"/>
  <c r="P55" i="20"/>
  <c r="P63" i="20"/>
  <c r="P62" i="20"/>
  <c r="P60" i="20"/>
  <c r="P58" i="20"/>
  <c r="P47" i="20"/>
  <c r="P67" i="20"/>
  <c r="P59" i="20"/>
  <c r="P61" i="20"/>
  <c r="P57" i="20"/>
  <c r="P75" i="20"/>
  <c r="P32" i="20"/>
  <c r="P53" i="20"/>
  <c r="Q27" i="20"/>
  <c r="Q22" i="20"/>
  <c r="Q28" i="20"/>
  <c r="Q38" i="20"/>
  <c r="Q33" i="20"/>
  <c r="Q40" i="20"/>
  <c r="Q43" i="20"/>
  <c r="Q41" i="20"/>
  <c r="Q32" i="20"/>
  <c r="Q39" i="20"/>
  <c r="Q49" i="20"/>
  <c r="Q51" i="20"/>
  <c r="Q46" i="20"/>
  <c r="Q48" i="20"/>
  <c r="Q44" i="20"/>
  <c r="Q53" i="20"/>
  <c r="Q52" i="20"/>
  <c r="Q54" i="20"/>
  <c r="Q45" i="20"/>
  <c r="Q55" i="20"/>
  <c r="Q63" i="20"/>
  <c r="Q62" i="20"/>
  <c r="Q60" i="20"/>
  <c r="Q58" i="20"/>
  <c r="Q47" i="20"/>
  <c r="Q67" i="20"/>
  <c r="Q59" i="20"/>
  <c r="Q61" i="20"/>
  <c r="Q57" i="20"/>
  <c r="Q75" i="20"/>
  <c r="R27" i="20"/>
  <c r="R22" i="20"/>
  <c r="R28" i="20"/>
  <c r="R38" i="20"/>
  <c r="R33" i="20"/>
  <c r="R40" i="20"/>
  <c r="R43" i="20"/>
  <c r="R41" i="20"/>
  <c r="R32" i="20"/>
  <c r="R39" i="20"/>
  <c r="R49" i="20"/>
  <c r="R51" i="20"/>
  <c r="R46" i="20"/>
  <c r="R48" i="20"/>
  <c r="R44" i="20"/>
  <c r="R53" i="20"/>
  <c r="R52" i="20"/>
  <c r="R54" i="20"/>
  <c r="R45" i="20"/>
  <c r="R55" i="20"/>
  <c r="R63" i="20"/>
  <c r="R62" i="20"/>
  <c r="R60" i="20"/>
  <c r="R58" i="20"/>
  <c r="R47" i="20"/>
  <c r="R67" i="20"/>
  <c r="R59" i="20"/>
  <c r="R61" i="20"/>
  <c r="R57" i="20"/>
  <c r="R75" i="20"/>
  <c r="G29" i="20"/>
  <c r="P29" i="20"/>
  <c r="Q29" i="20"/>
  <c r="R29" i="20"/>
  <c r="G34" i="20"/>
  <c r="P34" i="20"/>
  <c r="Q34" i="20"/>
  <c r="R34" i="20"/>
  <c r="G24" i="20"/>
  <c r="P24" i="20"/>
  <c r="Q24" i="20"/>
  <c r="R24" i="20"/>
  <c r="G37" i="20"/>
  <c r="P37" i="20"/>
  <c r="Q37" i="20"/>
  <c r="R37" i="20"/>
  <c r="G23" i="20" l="1"/>
  <c r="P23" i="20"/>
  <c r="Q23" i="20"/>
  <c r="R23" i="20"/>
  <c r="G11" i="20"/>
  <c r="P11" i="20"/>
  <c r="Q11" i="20"/>
  <c r="R11" i="20"/>
  <c r="G12" i="20"/>
  <c r="P12" i="20"/>
  <c r="Q12" i="20"/>
  <c r="R12" i="20"/>
  <c r="G18" i="20"/>
  <c r="P18" i="20"/>
  <c r="Q18" i="20"/>
  <c r="R18" i="20"/>
  <c r="G14" i="20"/>
  <c r="P14" i="20"/>
  <c r="Q14" i="20"/>
  <c r="R14" i="20"/>
  <c r="G10" i="20"/>
  <c r="P10" i="20"/>
  <c r="Q10" i="20"/>
  <c r="R10" i="20"/>
  <c r="G19" i="20"/>
  <c r="P19" i="20"/>
  <c r="Q19" i="20"/>
  <c r="R19" i="20"/>
  <c r="G15" i="20"/>
  <c r="P15" i="20"/>
  <c r="Q15" i="20"/>
  <c r="R15" i="20"/>
  <c r="H220" i="20"/>
  <c r="J220" i="20"/>
  <c r="K220" i="20"/>
  <c r="H207" i="20"/>
  <c r="J207" i="20"/>
  <c r="K207" i="20"/>
  <c r="G144" i="20"/>
  <c r="P144" i="20"/>
  <c r="Q144" i="20"/>
  <c r="R144" i="20"/>
  <c r="G143" i="20"/>
  <c r="P143" i="20"/>
  <c r="Q143" i="20"/>
  <c r="R143" i="20"/>
  <c r="G160" i="20"/>
  <c r="P160" i="20"/>
  <c r="Q160" i="20"/>
  <c r="R160" i="20"/>
  <c r="G16" i="20"/>
  <c r="I16" i="20"/>
  <c r="I171" i="20" s="1"/>
  <c r="Q16" i="20"/>
  <c r="R16" i="20"/>
  <c r="P16" i="20" l="1"/>
  <c r="G1" i="10"/>
  <c r="H200" i="18" l="1"/>
  <c r="J200" i="18"/>
  <c r="K200" i="18"/>
  <c r="M183" i="14" l="1"/>
  <c r="M185" i="14"/>
  <c r="M187" i="14"/>
  <c r="M188" i="14"/>
  <c r="M190" i="14"/>
  <c r="H192" i="14"/>
  <c r="G78" i="14" l="1"/>
  <c r="I78" i="14"/>
  <c r="I176" i="14" s="1"/>
  <c r="Q78" i="14"/>
  <c r="R78" i="14"/>
  <c r="G74" i="14"/>
  <c r="P74" i="14"/>
  <c r="Q74" i="14"/>
  <c r="R74" i="14"/>
  <c r="G162" i="14"/>
  <c r="P162" i="14"/>
  <c r="Q162" i="14"/>
  <c r="R162" i="14"/>
  <c r="G174" i="14"/>
  <c r="P174" i="14"/>
  <c r="Q174" i="14"/>
  <c r="R174" i="14"/>
  <c r="G108" i="14"/>
  <c r="P108" i="14"/>
  <c r="Q108" i="14"/>
  <c r="R108" i="14"/>
  <c r="G119" i="14"/>
  <c r="P119" i="14"/>
  <c r="Q119" i="14"/>
  <c r="R119" i="14"/>
  <c r="G11" i="19"/>
  <c r="P11" i="19"/>
  <c r="Q11" i="19"/>
  <c r="R11" i="19"/>
  <c r="H211" i="14"/>
  <c r="H218" i="14"/>
  <c r="H205" i="14"/>
  <c r="H202" i="14"/>
  <c r="H208" i="14"/>
  <c r="H213" i="14"/>
  <c r="H220" i="14"/>
  <c r="J211" i="14"/>
  <c r="J218" i="14"/>
  <c r="K211" i="14"/>
  <c r="K218" i="14"/>
  <c r="J205" i="14"/>
  <c r="J202" i="14"/>
  <c r="J208" i="14"/>
  <c r="K205" i="14"/>
  <c r="K202" i="14"/>
  <c r="K208" i="14"/>
  <c r="J213" i="14"/>
  <c r="J220" i="14"/>
  <c r="K213" i="14"/>
  <c r="K220" i="14"/>
  <c r="H198" i="14"/>
  <c r="J198" i="14"/>
  <c r="K198" i="14"/>
  <c r="H199" i="14"/>
  <c r="J199" i="14"/>
  <c r="K199" i="14"/>
  <c r="G95" i="14"/>
  <c r="P95" i="14"/>
  <c r="Q95" i="14"/>
  <c r="R95" i="14"/>
  <c r="G25" i="14"/>
  <c r="P25" i="14"/>
  <c r="Q25" i="14"/>
  <c r="R25" i="14"/>
  <c r="G42" i="14"/>
  <c r="P42" i="14"/>
  <c r="Q42" i="14"/>
  <c r="R42" i="14"/>
  <c r="G150" i="14"/>
  <c r="P150" i="14"/>
  <c r="Q150" i="14"/>
  <c r="R150" i="14"/>
  <c r="G34" i="14"/>
  <c r="P34" i="14"/>
  <c r="Q34" i="14"/>
  <c r="R34" i="14"/>
  <c r="G29" i="14"/>
  <c r="P29" i="14"/>
  <c r="Q29" i="14"/>
  <c r="R29" i="14"/>
  <c r="G59" i="14"/>
  <c r="P59" i="14"/>
  <c r="Q59" i="14"/>
  <c r="R59" i="14"/>
  <c r="G143" i="14"/>
  <c r="P143" i="14"/>
  <c r="Q143" i="14"/>
  <c r="R143" i="14"/>
  <c r="G127" i="14"/>
  <c r="P127" i="14"/>
  <c r="Q127" i="14"/>
  <c r="R127" i="14"/>
  <c r="P78" i="14" l="1"/>
  <c r="G131" i="14"/>
  <c r="P131" i="14"/>
  <c r="Q131" i="14"/>
  <c r="R131" i="14"/>
  <c r="G116" i="14"/>
  <c r="P116" i="14"/>
  <c r="Q116" i="14"/>
  <c r="R116" i="14"/>
  <c r="G151" i="14"/>
  <c r="P151" i="14"/>
  <c r="Q151" i="14"/>
  <c r="R151" i="14"/>
  <c r="G107" i="14"/>
  <c r="P107" i="14"/>
  <c r="Q107" i="14"/>
  <c r="R107" i="14"/>
  <c r="G71" i="14"/>
  <c r="P71" i="14"/>
  <c r="Q71" i="14"/>
  <c r="R71" i="14"/>
  <c r="G167" i="14"/>
  <c r="P167" i="14"/>
  <c r="Q167" i="14"/>
  <c r="R167" i="14"/>
  <c r="G154" i="14"/>
  <c r="P154" i="14"/>
  <c r="Q154" i="14"/>
  <c r="R154" i="14"/>
  <c r="G77" i="14"/>
  <c r="P77" i="14"/>
  <c r="R77" i="14"/>
  <c r="G90" i="14"/>
  <c r="P90" i="14"/>
  <c r="Q90" i="14"/>
  <c r="R90" i="14"/>
  <c r="G153" i="14"/>
  <c r="P153" i="14"/>
  <c r="Q153" i="14"/>
  <c r="R153" i="14"/>
  <c r="G152" i="14"/>
  <c r="P152" i="14"/>
  <c r="Q152" i="14"/>
  <c r="R152" i="14"/>
  <c r="G66" i="14"/>
  <c r="P66" i="14"/>
  <c r="Q66" i="14"/>
  <c r="R66" i="14"/>
  <c r="G14" i="14"/>
  <c r="P14" i="14"/>
  <c r="Q14" i="14"/>
  <c r="R14" i="14"/>
  <c r="G105" i="14"/>
  <c r="P105" i="14"/>
  <c r="Q105" i="14"/>
  <c r="R105" i="14"/>
  <c r="G130" i="14"/>
  <c r="P130" i="14"/>
  <c r="Q130" i="14"/>
  <c r="R130" i="14"/>
  <c r="G13" i="14"/>
  <c r="P13" i="14"/>
  <c r="Q13" i="14"/>
  <c r="R13" i="14"/>
  <c r="G39" i="14"/>
  <c r="P39" i="14"/>
  <c r="Q39" i="14"/>
  <c r="R39" i="14"/>
  <c r="G40" i="14"/>
  <c r="P40" i="14"/>
  <c r="Q40" i="14"/>
  <c r="R40" i="14"/>
  <c r="G139" i="14"/>
  <c r="P139" i="14"/>
  <c r="Q139" i="14"/>
  <c r="R139" i="14"/>
  <c r="G93" i="14"/>
  <c r="P93" i="14"/>
  <c r="Q93" i="14"/>
  <c r="R93" i="14"/>
  <c r="G118" i="14"/>
  <c r="P118" i="14"/>
  <c r="Q118" i="14"/>
  <c r="R118" i="14"/>
  <c r="G147" i="14"/>
  <c r="P147" i="14"/>
  <c r="Q147" i="14"/>
  <c r="R147" i="14"/>
  <c r="G75" i="14"/>
  <c r="P75" i="14"/>
  <c r="Q75" i="14"/>
  <c r="R75" i="14"/>
  <c r="G155" i="14"/>
  <c r="P155" i="14"/>
  <c r="Q155" i="14"/>
  <c r="R155" i="14"/>
  <c r="G112" i="14"/>
  <c r="P112" i="14"/>
  <c r="Q112" i="14"/>
  <c r="R112" i="14"/>
  <c r="G102" i="14"/>
  <c r="P102" i="14"/>
  <c r="Q102" i="14"/>
  <c r="R102" i="14"/>
  <c r="G98" i="14"/>
  <c r="P98" i="14"/>
  <c r="Q98" i="14"/>
  <c r="R98" i="14"/>
  <c r="G128" i="14"/>
  <c r="P128" i="14"/>
  <c r="Q128" i="14"/>
  <c r="R128" i="14"/>
  <c r="G26" i="14"/>
  <c r="P26" i="14"/>
  <c r="Q26" i="14"/>
  <c r="R26" i="14"/>
  <c r="G157" i="14"/>
  <c r="P157" i="14"/>
  <c r="Q157" i="14"/>
  <c r="R157" i="14"/>
  <c r="G69" i="14"/>
  <c r="P69" i="14"/>
  <c r="Q69" i="14"/>
  <c r="R69" i="14"/>
  <c r="G141" i="14"/>
  <c r="P141" i="14"/>
  <c r="Q141" i="14"/>
  <c r="R141" i="14"/>
  <c r="G89" i="14"/>
  <c r="P89" i="14"/>
  <c r="Q89" i="14"/>
  <c r="R89" i="14"/>
  <c r="G115" i="14"/>
  <c r="P115" i="14"/>
  <c r="Q115" i="14"/>
  <c r="R115" i="14"/>
  <c r="G70" i="14"/>
  <c r="P70" i="14"/>
  <c r="R70" i="14"/>
  <c r="G106" i="14"/>
  <c r="P106" i="14"/>
  <c r="Q106" i="14"/>
  <c r="R106" i="14"/>
  <c r="G68" i="14"/>
  <c r="P68" i="14"/>
  <c r="Q68" i="14"/>
  <c r="R68" i="14"/>
  <c r="G56" i="14"/>
  <c r="P56" i="14"/>
  <c r="Q56" i="14"/>
  <c r="R56" i="14"/>
  <c r="G19" i="14"/>
  <c r="P19" i="14"/>
  <c r="Q19" i="14"/>
  <c r="R19" i="14"/>
  <c r="G91" i="14"/>
  <c r="P91" i="14"/>
  <c r="Q91" i="14"/>
  <c r="R91" i="14"/>
  <c r="G175" i="14"/>
  <c r="P175" i="14"/>
  <c r="Q175" i="14"/>
  <c r="R175" i="14"/>
  <c r="G140" i="14"/>
  <c r="P140" i="14"/>
  <c r="Q140" i="14"/>
  <c r="R140" i="14"/>
  <c r="G52" i="14"/>
  <c r="P52" i="14"/>
  <c r="Q52" i="14"/>
  <c r="R52" i="14"/>
  <c r="G158" i="14"/>
  <c r="P158" i="14"/>
  <c r="Q158" i="14"/>
  <c r="R158" i="14"/>
  <c r="G64" i="14"/>
  <c r="P64" i="14"/>
  <c r="Q64" i="14"/>
  <c r="R64" i="14"/>
  <c r="G94" i="14"/>
  <c r="P94" i="14"/>
  <c r="Q94" i="14"/>
  <c r="R94" i="14"/>
  <c r="G82" i="14"/>
  <c r="P82" i="14"/>
  <c r="Q82" i="14"/>
  <c r="R82" i="14"/>
  <c r="G57" i="14"/>
  <c r="P57" i="14"/>
  <c r="Q57" i="14"/>
  <c r="R57" i="14"/>
  <c r="G17" i="14"/>
  <c r="P17" i="14"/>
  <c r="Q17" i="14"/>
  <c r="R17" i="14"/>
  <c r="G30" i="14"/>
  <c r="P30" i="14"/>
  <c r="R30" i="14"/>
  <c r="G168" i="14"/>
  <c r="P168" i="14"/>
  <c r="Q168" i="14"/>
  <c r="R168" i="14"/>
  <c r="G104" i="14"/>
  <c r="P104" i="14"/>
  <c r="Q104" i="14"/>
  <c r="R104" i="14"/>
  <c r="G45" i="14"/>
  <c r="P45" i="14"/>
  <c r="R45" i="14"/>
  <c r="G58" i="14"/>
  <c r="P58" i="14"/>
  <c r="Q58" i="14"/>
  <c r="R58" i="14"/>
  <c r="G146" i="14"/>
  <c r="P146" i="14"/>
  <c r="Q146" i="14"/>
  <c r="R146" i="14"/>
  <c r="G171" i="14"/>
  <c r="P171" i="14"/>
  <c r="Q171" i="14"/>
  <c r="R171" i="14"/>
  <c r="G20" i="14"/>
  <c r="P20" i="14"/>
  <c r="Q20" i="14"/>
  <c r="R20" i="14"/>
  <c r="G111" i="14"/>
  <c r="P111" i="14"/>
  <c r="Q111" i="14"/>
  <c r="R111" i="14"/>
  <c r="G76" i="14"/>
  <c r="P76" i="14"/>
  <c r="R76" i="14"/>
  <c r="G11" i="14"/>
  <c r="P11" i="14"/>
  <c r="Q11" i="14"/>
  <c r="R11" i="14"/>
  <c r="G136" i="14"/>
  <c r="P136" i="14"/>
  <c r="Q136" i="14"/>
  <c r="R136" i="14"/>
  <c r="G125" i="14"/>
  <c r="P125" i="14"/>
  <c r="Q125" i="14"/>
  <c r="R125" i="14"/>
  <c r="G50" i="14"/>
  <c r="P50" i="14"/>
  <c r="Q50" i="14"/>
  <c r="R50" i="14"/>
  <c r="G87" i="14"/>
  <c r="P87" i="14"/>
  <c r="Q87" i="14"/>
  <c r="R87" i="14"/>
  <c r="G49" i="14"/>
  <c r="P49" i="14"/>
  <c r="Q49" i="14"/>
  <c r="R49" i="14"/>
  <c r="G161" i="14"/>
  <c r="P161" i="14"/>
  <c r="Q161" i="14"/>
  <c r="R161" i="14"/>
  <c r="G55" i="14"/>
  <c r="P55" i="14"/>
  <c r="Q55" i="14"/>
  <c r="R55" i="14"/>
  <c r="G24" i="14"/>
  <c r="P24" i="14"/>
  <c r="Q24" i="14"/>
  <c r="R24" i="14"/>
  <c r="G123" i="14"/>
  <c r="P123" i="14"/>
  <c r="Q123" i="14"/>
  <c r="R123" i="14"/>
  <c r="G22" i="14"/>
  <c r="P22" i="14"/>
  <c r="Q22" i="14"/>
  <c r="R22" i="14"/>
  <c r="G169" i="14"/>
  <c r="P169" i="14"/>
  <c r="Q169" i="14"/>
  <c r="R169" i="14"/>
  <c r="G51" i="14"/>
  <c r="P51" i="14"/>
  <c r="Q51" i="14"/>
  <c r="R51" i="14"/>
  <c r="G84" i="14"/>
  <c r="P84" i="14"/>
  <c r="Q84" i="14"/>
  <c r="R84" i="14"/>
  <c r="G88" i="14"/>
  <c r="P88" i="14"/>
  <c r="Q88" i="14"/>
  <c r="R88" i="14"/>
  <c r="G122" i="14"/>
  <c r="P122" i="14"/>
  <c r="Q122" i="14"/>
  <c r="R122" i="14"/>
  <c r="G113" i="14"/>
  <c r="P113" i="14"/>
  <c r="Q113" i="14"/>
  <c r="R113" i="14"/>
  <c r="G100" i="14"/>
  <c r="P100" i="14"/>
  <c r="Q100" i="14"/>
  <c r="R100" i="14"/>
  <c r="G41" i="14"/>
  <c r="P41" i="14"/>
  <c r="Q41" i="14"/>
  <c r="R41" i="14"/>
  <c r="G96" i="14"/>
  <c r="P96" i="14"/>
  <c r="Q96" i="14"/>
  <c r="R96" i="14"/>
  <c r="G43" i="14"/>
  <c r="P43" i="14"/>
  <c r="Q43" i="14"/>
  <c r="R43" i="14"/>
  <c r="G72" i="14"/>
  <c r="P72" i="14"/>
  <c r="Q72" i="14"/>
  <c r="R72" i="14"/>
  <c r="G133" i="14"/>
  <c r="P133" i="14"/>
  <c r="Q133" i="14"/>
  <c r="R133" i="14"/>
  <c r="G46" i="14"/>
  <c r="P46" i="14"/>
  <c r="Q46" i="14"/>
  <c r="R46" i="14"/>
  <c r="G144" i="14"/>
  <c r="P144" i="14"/>
  <c r="Q144" i="14"/>
  <c r="R144" i="14"/>
  <c r="G134" i="14"/>
  <c r="P134" i="14"/>
  <c r="Q134" i="14"/>
  <c r="R134" i="14"/>
  <c r="G132" i="14"/>
  <c r="P132" i="14"/>
  <c r="Q132" i="14"/>
  <c r="R132" i="14"/>
  <c r="G35" i="14"/>
  <c r="P35" i="14"/>
  <c r="Q35" i="14"/>
  <c r="R35" i="14"/>
  <c r="G114" i="14"/>
  <c r="P114" i="14"/>
  <c r="Q114" i="14"/>
  <c r="R114" i="14"/>
  <c r="G9" i="14"/>
  <c r="P9" i="14"/>
  <c r="Q9" i="14"/>
  <c r="R9" i="14"/>
  <c r="G33" i="14"/>
  <c r="P33" i="14"/>
  <c r="Q33" i="14"/>
  <c r="R33" i="14"/>
  <c r="G170" i="14"/>
  <c r="P170" i="14"/>
  <c r="Q170" i="14"/>
  <c r="R170" i="14"/>
  <c r="G54" i="14"/>
  <c r="P54" i="14"/>
  <c r="Q54" i="14"/>
  <c r="R54" i="14"/>
  <c r="G138" i="14"/>
  <c r="P138" i="14"/>
  <c r="Q138" i="14"/>
  <c r="R138" i="14"/>
  <c r="G159" i="14"/>
  <c r="P159" i="14"/>
  <c r="Q159" i="14"/>
  <c r="R159" i="14"/>
  <c r="G160" i="14"/>
  <c r="P160" i="14"/>
  <c r="Q160" i="14"/>
  <c r="R160" i="14"/>
  <c r="G92" i="14"/>
  <c r="P92" i="14"/>
  <c r="Q92" i="14"/>
  <c r="R92" i="14"/>
  <c r="G15" i="14"/>
  <c r="P15" i="14"/>
  <c r="Q15" i="14"/>
  <c r="R15" i="14"/>
  <c r="G97" i="14"/>
  <c r="P97" i="14"/>
  <c r="Q97" i="14"/>
  <c r="R97" i="14"/>
  <c r="G99" i="14"/>
  <c r="P99" i="14"/>
  <c r="Q99" i="14"/>
  <c r="R99" i="14"/>
  <c r="G117" i="14"/>
  <c r="P117" i="14"/>
  <c r="Q117" i="14"/>
  <c r="R117" i="14"/>
  <c r="G109" i="14"/>
  <c r="P109" i="14"/>
  <c r="Q109" i="14"/>
  <c r="R109" i="14"/>
  <c r="G47" i="14"/>
  <c r="P47" i="14"/>
  <c r="Q47" i="14"/>
  <c r="R47" i="14"/>
  <c r="G27" i="14"/>
  <c r="P27" i="14"/>
  <c r="Q27" i="14"/>
  <c r="R27" i="14"/>
  <c r="G126" i="14"/>
  <c r="P126" i="14"/>
  <c r="Q126" i="14"/>
  <c r="R126" i="14"/>
  <c r="G145" i="14"/>
  <c r="P145" i="14"/>
  <c r="Q145" i="14"/>
  <c r="R145" i="14"/>
  <c r="G86" i="14"/>
  <c r="P86" i="14"/>
  <c r="Q86" i="14"/>
  <c r="R86" i="14"/>
  <c r="G142" i="14"/>
  <c r="P142" i="14"/>
  <c r="Q142" i="14"/>
  <c r="R142" i="14"/>
  <c r="G48" i="14"/>
  <c r="P48" i="14"/>
  <c r="Q48" i="14"/>
  <c r="R48" i="14"/>
  <c r="G110" i="14"/>
  <c r="P110" i="14"/>
  <c r="Q110" i="14"/>
  <c r="R110" i="14"/>
  <c r="G67" i="14"/>
  <c r="P67" i="14"/>
  <c r="Q67" i="14"/>
  <c r="R67" i="14"/>
  <c r="G37" i="14"/>
  <c r="P37" i="14"/>
  <c r="Q37" i="14"/>
  <c r="R37" i="14"/>
  <c r="G156" i="14"/>
  <c r="P156" i="14"/>
  <c r="Q156" i="14"/>
  <c r="R156" i="14"/>
  <c r="G16" i="14"/>
  <c r="P16" i="14"/>
  <c r="Q16" i="14"/>
  <c r="R16" i="14"/>
  <c r="G23" i="14"/>
  <c r="P23" i="14"/>
  <c r="Q23" i="14"/>
  <c r="R23" i="14"/>
  <c r="G44" i="14"/>
  <c r="P44" i="14"/>
  <c r="Q44" i="14"/>
  <c r="R44" i="14"/>
  <c r="G173" i="14"/>
  <c r="P173" i="14"/>
  <c r="Q173" i="14"/>
  <c r="R173" i="14"/>
  <c r="G165" i="14"/>
  <c r="P165" i="14"/>
  <c r="Q165" i="14"/>
  <c r="R165" i="14"/>
  <c r="G164" i="14"/>
  <c r="P164" i="14"/>
  <c r="Q164" i="14"/>
  <c r="R164" i="14"/>
  <c r="G60" i="14"/>
  <c r="P60" i="14"/>
  <c r="Q60" i="14"/>
  <c r="R60" i="14"/>
  <c r="G62" i="14"/>
  <c r="P62" i="14"/>
  <c r="R62" i="14"/>
  <c r="G21" i="14"/>
  <c r="P21" i="14"/>
  <c r="Q21" i="14"/>
  <c r="R21" i="14"/>
  <c r="G18" i="14"/>
  <c r="P18" i="14"/>
  <c r="Q18" i="14"/>
  <c r="R18" i="14"/>
  <c r="G79" i="14"/>
  <c r="P79" i="14"/>
  <c r="Q79" i="14"/>
  <c r="R79" i="14"/>
  <c r="G148" i="14"/>
  <c r="P148" i="14"/>
  <c r="Q148" i="14"/>
  <c r="R148" i="14"/>
  <c r="G28" i="14"/>
  <c r="P28" i="14"/>
  <c r="R28" i="14"/>
  <c r="G85" i="14"/>
  <c r="P85" i="14"/>
  <c r="Q85" i="14"/>
  <c r="R85" i="14"/>
  <c r="G61" i="14"/>
  <c r="P61" i="14"/>
  <c r="Q61" i="14"/>
  <c r="R61" i="14"/>
  <c r="G31" i="14"/>
  <c r="P31" i="14"/>
  <c r="Q31" i="14"/>
  <c r="R31" i="14"/>
  <c r="G12" i="14"/>
  <c r="P12" i="14"/>
  <c r="Q12" i="14"/>
  <c r="R12" i="14"/>
  <c r="G120" i="14"/>
  <c r="P120" i="14"/>
  <c r="Q120" i="14"/>
  <c r="R120" i="14"/>
  <c r="G121" i="14"/>
  <c r="P121" i="14"/>
  <c r="Q121" i="14"/>
  <c r="R121" i="14"/>
  <c r="G124" i="14"/>
  <c r="P124" i="14"/>
  <c r="Q124" i="14"/>
  <c r="R124" i="14"/>
  <c r="G172" i="14"/>
  <c r="P172" i="14"/>
  <c r="Q172" i="14"/>
  <c r="R172" i="14"/>
  <c r="G81" i="14"/>
  <c r="P81" i="14"/>
  <c r="Q81" i="14"/>
  <c r="R81" i="14"/>
  <c r="G103" i="14"/>
  <c r="P103" i="14"/>
  <c r="Q103" i="14"/>
  <c r="R103" i="14"/>
  <c r="G63" i="14"/>
  <c r="P63" i="14"/>
  <c r="Q63" i="14"/>
  <c r="R63" i="14"/>
  <c r="G163" i="14"/>
  <c r="P163" i="14"/>
  <c r="Q163" i="14"/>
  <c r="R163" i="14"/>
  <c r="G36" i="14"/>
  <c r="P36" i="14"/>
  <c r="Q36" i="14"/>
  <c r="R36" i="14"/>
  <c r="G80" i="14"/>
  <c r="P80" i="14"/>
  <c r="Q80" i="14"/>
  <c r="R80" i="14"/>
  <c r="G101" i="14"/>
  <c r="P101" i="14"/>
  <c r="Q101" i="14"/>
  <c r="R101" i="14"/>
  <c r="G129" i="14"/>
  <c r="P129" i="14"/>
  <c r="Q129" i="14"/>
  <c r="R129" i="14"/>
  <c r="G32" i="14"/>
  <c r="P32" i="14"/>
  <c r="Q32" i="14"/>
  <c r="R32" i="14"/>
  <c r="G53" i="14"/>
  <c r="P53" i="14"/>
  <c r="Q53" i="14"/>
  <c r="R53" i="14"/>
  <c r="G135" i="14"/>
  <c r="P135" i="14"/>
  <c r="Q135" i="14"/>
  <c r="R135" i="14"/>
  <c r="G38" i="14"/>
  <c r="P38" i="14"/>
  <c r="Q38" i="14"/>
  <c r="R38" i="14"/>
  <c r="G203" i="10"/>
  <c r="G204" i="10"/>
  <c r="G205" i="10"/>
  <c r="G206" i="10"/>
  <c r="G207" i="10"/>
  <c r="G244" i="20" l="1"/>
  <c r="G245" i="20"/>
  <c r="G246" i="20"/>
  <c r="G247" i="20"/>
  <c r="G248" i="20"/>
  <c r="G284" i="14"/>
  <c r="G285" i="14"/>
  <c r="G286" i="14"/>
  <c r="G287" i="14"/>
  <c r="G288" i="14"/>
  <c r="G261" i="19"/>
  <c r="G262" i="19"/>
  <c r="G263" i="19"/>
  <c r="G264" i="19"/>
  <c r="G265" i="19"/>
  <c r="G235" i="18"/>
  <c r="G236" i="18"/>
  <c r="G237" i="18"/>
  <c r="G238" i="18"/>
  <c r="G2764" i="13"/>
  <c r="G2765" i="13"/>
  <c r="G2766" i="13"/>
  <c r="G2767" i="13"/>
  <c r="G281" i="16"/>
  <c r="G282" i="16"/>
  <c r="G283" i="16"/>
  <c r="G284" i="16"/>
  <c r="G285" i="16"/>
  <c r="G248" i="12"/>
  <c r="G249" i="12"/>
  <c r="G250" i="12"/>
  <c r="G251" i="12"/>
  <c r="G252" i="12"/>
  <c r="G239" i="11"/>
  <c r="G240" i="11"/>
  <c r="G241" i="11"/>
  <c r="G242" i="11"/>
  <c r="G238" i="11"/>
  <c r="G1592" i="2"/>
  <c r="G1593" i="2"/>
  <c r="G1594" i="2"/>
  <c r="G1595" i="2"/>
  <c r="G1591" i="2"/>
  <c r="G197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229" i="20" s="1"/>
  <c r="N1" i="14"/>
  <c r="K230" i="14" s="1"/>
  <c r="N1" i="19"/>
  <c r="K227" i="19" s="1"/>
  <c r="N1" i="18"/>
  <c r="K216" i="18" s="1"/>
  <c r="N1" i="13"/>
  <c r="K218" i="13" s="1"/>
  <c r="N1" i="16"/>
  <c r="K251" i="16" s="1"/>
  <c r="N1" i="12"/>
  <c r="K218" i="12" s="1"/>
  <c r="N1" i="11"/>
  <c r="K215" i="11" s="1"/>
  <c r="G1" i="14"/>
  <c r="G1" i="19"/>
  <c r="G1" i="18"/>
  <c r="G1" i="13"/>
  <c r="G1" i="16"/>
  <c r="G1" i="12"/>
  <c r="G1" i="11"/>
  <c r="M240" i="20"/>
  <c r="K240" i="20"/>
  <c r="I240" i="20"/>
  <c r="H240" i="20"/>
  <c r="M234" i="20"/>
  <c r="K234" i="20"/>
  <c r="J234" i="20"/>
  <c r="H234" i="20"/>
  <c r="I233" i="20"/>
  <c r="G233" i="20"/>
  <c r="I224" i="20"/>
  <c r="K195" i="20"/>
  <c r="J195" i="20"/>
  <c r="H195" i="20"/>
  <c r="L188" i="20"/>
  <c r="K188" i="20"/>
  <c r="J188" i="20"/>
  <c r="I188" i="20"/>
  <c r="H188" i="20"/>
  <c r="G188" i="20"/>
  <c r="R113" i="20"/>
  <c r="P113" i="20"/>
  <c r="G113" i="20"/>
  <c r="R135" i="20"/>
  <c r="Q135" i="20"/>
  <c r="P135" i="20"/>
  <c r="G135" i="20"/>
  <c r="R134" i="20"/>
  <c r="Q134" i="20"/>
  <c r="G134" i="20"/>
  <c r="M251" i="19"/>
  <c r="K251" i="19"/>
  <c r="J251" i="19"/>
  <c r="I251" i="19"/>
  <c r="H251" i="19"/>
  <c r="L250" i="19"/>
  <c r="L249" i="19"/>
  <c r="L248" i="19"/>
  <c r="L247" i="19"/>
  <c r="L246" i="19"/>
  <c r="L245" i="19"/>
  <c r="G245" i="19"/>
  <c r="M240" i="19"/>
  <c r="K240" i="19"/>
  <c r="J240" i="19"/>
  <c r="H240" i="19"/>
  <c r="I239" i="19"/>
  <c r="L239" i="19" s="1"/>
  <c r="G239" i="19"/>
  <c r="I238" i="19"/>
  <c r="L238" i="19" s="1"/>
  <c r="G238" i="19"/>
  <c r="I237" i="19"/>
  <c r="L237" i="19" s="1"/>
  <c r="G237" i="19"/>
  <c r="I236" i="19"/>
  <c r="L236" i="19" s="1"/>
  <c r="G236" i="19"/>
  <c r="I235" i="19"/>
  <c r="L235" i="19" s="1"/>
  <c r="G235" i="19"/>
  <c r="I234" i="19"/>
  <c r="L234" i="19" s="1"/>
  <c r="G234" i="19"/>
  <c r="I233" i="19"/>
  <c r="L233" i="19" s="1"/>
  <c r="G233" i="19"/>
  <c r="I232" i="19"/>
  <c r="L232" i="19" s="1"/>
  <c r="G232" i="19"/>
  <c r="I231" i="19"/>
  <c r="G231" i="19"/>
  <c r="I221" i="19"/>
  <c r="K212" i="19"/>
  <c r="J212" i="19"/>
  <c r="H212" i="19"/>
  <c r="K218" i="19"/>
  <c r="J218" i="19"/>
  <c r="H218" i="19"/>
  <c r="K195" i="19"/>
  <c r="J195" i="19"/>
  <c r="H195" i="19"/>
  <c r="K197" i="19"/>
  <c r="J197" i="19"/>
  <c r="H197" i="19"/>
  <c r="L187" i="19"/>
  <c r="K187" i="19"/>
  <c r="J187" i="19"/>
  <c r="I187" i="19"/>
  <c r="H187" i="19"/>
  <c r="G187" i="19"/>
  <c r="R164" i="19"/>
  <c r="Q164" i="19"/>
  <c r="P164" i="19"/>
  <c r="G164" i="19"/>
  <c r="R73" i="19"/>
  <c r="P73" i="19"/>
  <c r="G73" i="19"/>
  <c r="R93" i="19"/>
  <c r="Q93" i="19"/>
  <c r="P93" i="19"/>
  <c r="G93" i="19"/>
  <c r="R127" i="19"/>
  <c r="Q127" i="19"/>
  <c r="P127" i="19"/>
  <c r="G127" i="19"/>
  <c r="R105" i="19"/>
  <c r="Q105" i="19"/>
  <c r="P105" i="19"/>
  <c r="G105" i="19"/>
  <c r="R9" i="19"/>
  <c r="Q9" i="19"/>
  <c r="P9" i="19"/>
  <c r="G9" i="19"/>
  <c r="M231" i="18"/>
  <c r="K231" i="18"/>
  <c r="J231" i="18"/>
  <c r="I231" i="18"/>
  <c r="H231" i="18"/>
  <c r="M222" i="18"/>
  <c r="K222" i="18"/>
  <c r="J222" i="18"/>
  <c r="H222" i="18"/>
  <c r="I221" i="18"/>
  <c r="L221" i="18" s="1"/>
  <c r="G221" i="18"/>
  <c r="G220" i="18"/>
  <c r="L178" i="18"/>
  <c r="K178" i="18"/>
  <c r="J178" i="18"/>
  <c r="I178" i="18"/>
  <c r="H178" i="18"/>
  <c r="G178" i="18"/>
  <c r="R37" i="18"/>
  <c r="Q37" i="18"/>
  <c r="P37" i="18"/>
  <c r="P162" i="18" s="1"/>
  <c r="G37" i="18"/>
  <c r="M271" i="16"/>
  <c r="K271" i="16"/>
  <c r="J271" i="16"/>
  <c r="I271" i="16"/>
  <c r="H271" i="16"/>
  <c r="L270" i="16"/>
  <c r="L269" i="16"/>
  <c r="L268" i="16"/>
  <c r="L267" i="16"/>
  <c r="L266" i="16"/>
  <c r="L265" i="16"/>
  <c r="G265" i="16"/>
  <c r="M260" i="16"/>
  <c r="K260" i="16"/>
  <c r="J260" i="16"/>
  <c r="H260" i="16"/>
  <c r="L259" i="16"/>
  <c r="G259" i="16"/>
  <c r="L258" i="16"/>
  <c r="G258" i="16"/>
  <c r="L257" i="16"/>
  <c r="G257" i="16"/>
  <c r="L256" i="16"/>
  <c r="G256" i="16"/>
  <c r="G255" i="16"/>
  <c r="K225" i="16"/>
  <c r="H225" i="16"/>
  <c r="K230" i="16"/>
  <c r="J230" i="16"/>
  <c r="H230" i="16"/>
  <c r="K229" i="16"/>
  <c r="J229" i="16"/>
  <c r="H229" i="16"/>
  <c r="K226" i="16"/>
  <c r="J226" i="16"/>
  <c r="H226" i="16"/>
  <c r="L220" i="16"/>
  <c r="K220" i="16"/>
  <c r="J220" i="16"/>
  <c r="I220" i="16"/>
  <c r="H220" i="16"/>
  <c r="G220" i="16"/>
  <c r="R9" i="16"/>
  <c r="Q9" i="16"/>
  <c r="P9" i="16"/>
  <c r="G9" i="16"/>
  <c r="R57" i="16"/>
  <c r="Q57" i="16"/>
  <c r="G57" i="16"/>
  <c r="M281" i="14"/>
  <c r="K281" i="14"/>
  <c r="J281" i="14"/>
  <c r="I281" i="14"/>
  <c r="H281" i="14"/>
  <c r="G248" i="14"/>
  <c r="M243" i="14"/>
  <c r="K243" i="14"/>
  <c r="J243" i="14"/>
  <c r="H243" i="14"/>
  <c r="I242" i="14"/>
  <c r="L242" i="14" s="1"/>
  <c r="G242" i="14"/>
  <c r="I241" i="14"/>
  <c r="L241" i="14" s="1"/>
  <c r="G241" i="14"/>
  <c r="I240" i="14"/>
  <c r="L240" i="14" s="1"/>
  <c r="G240" i="14"/>
  <c r="I239" i="14"/>
  <c r="L239" i="14" s="1"/>
  <c r="G239" i="14"/>
  <c r="I238" i="14"/>
  <c r="L238" i="14" s="1"/>
  <c r="G238" i="14"/>
  <c r="I237" i="14"/>
  <c r="L237" i="14" s="1"/>
  <c r="G237" i="14"/>
  <c r="I236" i="14"/>
  <c r="L236" i="14" s="1"/>
  <c r="G236" i="14"/>
  <c r="I235" i="14"/>
  <c r="L235" i="14" s="1"/>
  <c r="G235" i="14"/>
  <c r="I234" i="14"/>
  <c r="G234" i="14"/>
  <c r="I224" i="14"/>
  <c r="L192" i="14"/>
  <c r="K192" i="14"/>
  <c r="J192" i="14"/>
  <c r="I192" i="14"/>
  <c r="G4" i="14" s="1"/>
  <c r="G192" i="14"/>
  <c r="R10" i="14"/>
  <c r="Q10" i="14"/>
  <c r="P10" i="14"/>
  <c r="G10" i="14"/>
  <c r="R166" i="14"/>
  <c r="Q166" i="14"/>
  <c r="P166" i="14"/>
  <c r="G166" i="14"/>
  <c r="R65" i="14"/>
  <c r="Q65" i="14"/>
  <c r="P65" i="14"/>
  <c r="G65" i="14"/>
  <c r="R149" i="14"/>
  <c r="Q149" i="14"/>
  <c r="P149" i="14"/>
  <c r="G149" i="14"/>
  <c r="R137" i="14"/>
  <c r="Q137" i="14"/>
  <c r="P137" i="14"/>
  <c r="G137" i="14"/>
  <c r="R73" i="14"/>
  <c r="Q73" i="14"/>
  <c r="P73" i="14"/>
  <c r="G73" i="14"/>
  <c r="R83" i="14"/>
  <c r="Q83" i="14"/>
  <c r="P83" i="14"/>
  <c r="G83" i="14"/>
  <c r="M380" i="13"/>
  <c r="K380" i="13"/>
  <c r="J380" i="13"/>
  <c r="I380" i="13"/>
  <c r="H380" i="13"/>
  <c r="L379" i="13"/>
  <c r="L378" i="13"/>
  <c r="L377" i="13"/>
  <c r="L376" i="13"/>
  <c r="L375" i="13"/>
  <c r="L374" i="13"/>
  <c r="M369" i="13"/>
  <c r="K369" i="13"/>
  <c r="J369" i="13"/>
  <c r="H369" i="13"/>
  <c r="I368" i="13"/>
  <c r="L368" i="13" s="1"/>
  <c r="G368" i="13"/>
  <c r="I367" i="13"/>
  <c r="L367" i="13" s="1"/>
  <c r="G367" i="13"/>
  <c r="I366" i="13"/>
  <c r="L366" i="13" s="1"/>
  <c r="G366" i="13"/>
  <c r="I365" i="13"/>
  <c r="L365" i="13" s="1"/>
  <c r="G365" i="13"/>
  <c r="I224" i="13"/>
  <c r="L224" i="13" s="1"/>
  <c r="G224" i="13"/>
  <c r="I223" i="13"/>
  <c r="L223" i="13" s="1"/>
  <c r="G223" i="13"/>
  <c r="I222" i="13"/>
  <c r="L222" i="13" s="1"/>
  <c r="G222" i="13"/>
  <c r="L180" i="13"/>
  <c r="K180" i="13"/>
  <c r="J180" i="13"/>
  <c r="I180" i="13"/>
  <c r="H180" i="13"/>
  <c r="G180" i="13"/>
  <c r="R96" i="13"/>
  <c r="Q96" i="13"/>
  <c r="P96" i="13"/>
  <c r="G96" i="13"/>
  <c r="R129" i="13"/>
  <c r="Q129" i="13"/>
  <c r="P129" i="13"/>
  <c r="G129" i="13"/>
  <c r="R87" i="13"/>
  <c r="Q87" i="13"/>
  <c r="P87" i="13"/>
  <c r="G87" i="13"/>
  <c r="R155" i="13"/>
  <c r="Q155" i="13"/>
  <c r="P155" i="13"/>
  <c r="G155" i="13"/>
  <c r="R93" i="13"/>
  <c r="Q93" i="13"/>
  <c r="P93" i="13"/>
  <c r="G93" i="13"/>
  <c r="R100" i="13"/>
  <c r="Q100" i="13"/>
  <c r="P100" i="13"/>
  <c r="G100" i="13"/>
  <c r="R42" i="13"/>
  <c r="Q42" i="13"/>
  <c r="P42" i="13"/>
  <c r="G42" i="13"/>
  <c r="M238" i="12"/>
  <c r="K238" i="12"/>
  <c r="J238" i="12"/>
  <c r="I238" i="12"/>
  <c r="H238" i="12"/>
  <c r="L237" i="12"/>
  <c r="L236" i="12"/>
  <c r="L235" i="12"/>
  <c r="L234" i="12"/>
  <c r="L233" i="12"/>
  <c r="L232" i="12"/>
  <c r="G232" i="12"/>
  <c r="M227" i="12"/>
  <c r="K227" i="12"/>
  <c r="J227" i="12"/>
  <c r="H227" i="12"/>
  <c r="L226" i="12"/>
  <c r="G226" i="12"/>
  <c r="L225" i="12"/>
  <c r="G225" i="12"/>
  <c r="L224" i="12"/>
  <c r="G224" i="12"/>
  <c r="L223" i="12"/>
  <c r="G223" i="12"/>
  <c r="G222" i="12"/>
  <c r="I212" i="12"/>
  <c r="L171" i="12"/>
  <c r="K171" i="12"/>
  <c r="J171" i="12"/>
  <c r="O161" i="12"/>
  <c r="N161" i="12"/>
  <c r="M161" i="12"/>
  <c r="L161" i="12"/>
  <c r="H161" i="12"/>
  <c r="R50" i="12"/>
  <c r="Q50" i="12"/>
  <c r="P50" i="12"/>
  <c r="G50" i="12"/>
  <c r="R148" i="12"/>
  <c r="Q148" i="12"/>
  <c r="P148" i="12"/>
  <c r="G148" i="12"/>
  <c r="R9" i="12"/>
  <c r="Q9" i="12"/>
  <c r="P9" i="12"/>
  <c r="G9" i="12"/>
  <c r="R126" i="12"/>
  <c r="Q126" i="12"/>
  <c r="P126" i="12"/>
  <c r="G126" i="12"/>
  <c r="R14" i="12"/>
  <c r="Q14" i="12"/>
  <c r="G14" i="12"/>
  <c r="R31" i="12"/>
  <c r="Q31" i="12"/>
  <c r="P31" i="12"/>
  <c r="G31" i="12"/>
  <c r="R49" i="12"/>
  <c r="Q49" i="12"/>
  <c r="P49" i="12"/>
  <c r="G49" i="12"/>
  <c r="R125" i="12"/>
  <c r="Q125" i="12"/>
  <c r="P125" i="12"/>
  <c r="G125" i="12"/>
  <c r="M228" i="11"/>
  <c r="K228" i="11"/>
  <c r="J228" i="11"/>
  <c r="I228" i="11"/>
  <c r="H228" i="11"/>
  <c r="L227" i="11"/>
  <c r="L226" i="11"/>
  <c r="G226" i="11"/>
  <c r="M221" i="11"/>
  <c r="K221" i="11"/>
  <c r="J221" i="11"/>
  <c r="H221" i="11"/>
  <c r="I220" i="11"/>
  <c r="L220" i="11" s="1"/>
  <c r="G220" i="11"/>
  <c r="I219" i="11"/>
  <c r="G219" i="11"/>
  <c r="I212" i="11"/>
  <c r="K207" i="11"/>
  <c r="J207" i="11"/>
  <c r="H207" i="11"/>
  <c r="K211" i="11"/>
  <c r="J211" i="11"/>
  <c r="H211" i="11"/>
  <c r="L194" i="11"/>
  <c r="K194" i="11"/>
  <c r="J194" i="11"/>
  <c r="I194" i="11"/>
  <c r="H194" i="11"/>
  <c r="G194" i="11"/>
  <c r="O182" i="11"/>
  <c r="N182" i="11"/>
  <c r="M182" i="11"/>
  <c r="L182" i="11"/>
  <c r="K182" i="11"/>
  <c r="J182" i="11"/>
  <c r="H182" i="11"/>
  <c r="R136" i="11"/>
  <c r="Q136" i="11"/>
  <c r="P136" i="11"/>
  <c r="G136" i="11"/>
  <c r="R128" i="11"/>
  <c r="Q128" i="11"/>
  <c r="P128" i="11"/>
  <c r="G128" i="11"/>
  <c r="R134" i="11"/>
  <c r="Q134" i="11"/>
  <c r="P134" i="11"/>
  <c r="G134" i="11"/>
  <c r="R172" i="11"/>
  <c r="Q172" i="11"/>
  <c r="P172" i="11"/>
  <c r="G172" i="11"/>
  <c r="N1" i="10"/>
  <c r="K186" i="10" s="1"/>
  <c r="M198" i="10"/>
  <c r="J198" i="10"/>
  <c r="I198" i="10"/>
  <c r="G196" i="10"/>
  <c r="M191" i="10"/>
  <c r="K191" i="10"/>
  <c r="J191" i="10"/>
  <c r="H191" i="10"/>
  <c r="I190" i="10"/>
  <c r="G190" i="10"/>
  <c r="I180" i="10"/>
  <c r="K165" i="10"/>
  <c r="J165" i="10"/>
  <c r="H165" i="10"/>
  <c r="K156" i="10"/>
  <c r="J156" i="10"/>
  <c r="H156" i="10"/>
  <c r="K164" i="10"/>
  <c r="J164" i="10"/>
  <c r="H164" i="10"/>
  <c r="L150" i="10"/>
  <c r="K150" i="10"/>
  <c r="J150" i="10"/>
  <c r="I150" i="10"/>
  <c r="H150" i="10"/>
  <c r="O135" i="10"/>
  <c r="N135" i="10"/>
  <c r="M135" i="10"/>
  <c r="L135" i="10"/>
  <c r="K135" i="10"/>
  <c r="J135" i="10"/>
  <c r="H135" i="10"/>
  <c r="R124" i="10"/>
  <c r="Q124" i="10"/>
  <c r="P124" i="10"/>
  <c r="G124" i="10"/>
  <c r="R97" i="10"/>
  <c r="Q97" i="10"/>
  <c r="P97" i="10"/>
  <c r="G97" i="10"/>
  <c r="R98" i="10"/>
  <c r="Q98" i="10"/>
  <c r="P98" i="10"/>
  <c r="G98" i="10"/>
  <c r="R51" i="10"/>
  <c r="Q51" i="10"/>
  <c r="P51" i="10"/>
  <c r="G51" i="10"/>
  <c r="R11" i="10"/>
  <c r="Q11" i="10"/>
  <c r="P11" i="10"/>
  <c r="G11" i="10"/>
  <c r="R111" i="10"/>
  <c r="Q111" i="10"/>
  <c r="P111" i="10"/>
  <c r="G111" i="10"/>
  <c r="R112" i="10"/>
  <c r="Q112" i="10"/>
  <c r="P112" i="10"/>
  <c r="G112" i="10"/>
  <c r="R10" i="10"/>
  <c r="Q10" i="10"/>
  <c r="I201" i="2"/>
  <c r="L201" i="2" s="1"/>
  <c r="I202" i="2"/>
  <c r="L202" i="2" s="1"/>
  <c r="G202" i="2"/>
  <c r="G548" i="2"/>
  <c r="I192" i="2"/>
  <c r="K162" i="2"/>
  <c r="J162" i="2"/>
  <c r="I162" i="2"/>
  <c r="H162" i="2"/>
  <c r="G162" i="2"/>
  <c r="L162" i="2"/>
  <c r="K1581" i="2"/>
  <c r="J1581" i="2"/>
  <c r="I1581" i="2"/>
  <c r="H1581" i="2"/>
  <c r="M1581" i="2"/>
  <c r="K197" i="2"/>
  <c r="K253" i="2"/>
  <c r="J253" i="2"/>
  <c r="H253" i="2"/>
  <c r="M253" i="2"/>
  <c r="G201" i="2"/>
  <c r="K167" i="2"/>
  <c r="J167" i="2"/>
  <c r="H167" i="2"/>
  <c r="O147" i="2"/>
  <c r="N147" i="2"/>
  <c r="M147" i="2"/>
  <c r="L147" i="2"/>
  <c r="H147" i="2"/>
  <c r="P176" i="14" l="1"/>
  <c r="P171" i="19"/>
  <c r="P168" i="13"/>
  <c r="G4" i="16"/>
  <c r="B4" i="11"/>
  <c r="P14" i="12"/>
  <c r="P161" i="12" s="1"/>
  <c r="I161" i="12"/>
  <c r="G4" i="12" s="1"/>
  <c r="J4" i="12"/>
  <c r="J4" i="16"/>
  <c r="B4" i="18"/>
  <c r="B4" i="13"/>
  <c r="J4" i="13"/>
  <c r="I222" i="18"/>
  <c r="M4" i="18" s="1"/>
  <c r="I240" i="19"/>
  <c r="M4" i="19" s="1"/>
  <c r="P10" i="10"/>
  <c r="P135" i="10" s="1"/>
  <c r="I135" i="10"/>
  <c r="G4" i="10" s="1"/>
  <c r="B4" i="10"/>
  <c r="I369" i="13"/>
  <c r="M4" i="13" s="1"/>
  <c r="J4" i="20"/>
  <c r="P134" i="20"/>
  <c r="P171" i="20" s="1"/>
  <c r="I227" i="12"/>
  <c r="M4" i="12" s="1"/>
  <c r="L228" i="11"/>
  <c r="I234" i="20"/>
  <c r="M4" i="20" s="1"/>
  <c r="J4" i="11"/>
  <c r="B4" i="12"/>
  <c r="B4" i="20"/>
  <c r="B4" i="16"/>
  <c r="I260" i="16"/>
  <c r="M4" i="16" s="1"/>
  <c r="L271" i="16"/>
  <c r="J4" i="18"/>
  <c r="J4" i="19"/>
  <c r="I191" i="10"/>
  <c r="M4" i="10" s="1"/>
  <c r="J4" i="10"/>
  <c r="I243" i="14"/>
  <c r="M4" i="14" s="1"/>
  <c r="B4" i="19"/>
  <c r="B4" i="14"/>
  <c r="J4" i="14"/>
  <c r="I221" i="11"/>
  <c r="M4" i="11" s="1"/>
  <c r="L238" i="12"/>
  <c r="L281" i="14"/>
  <c r="P57" i="16"/>
  <c r="P207" i="16" s="1"/>
  <c r="L231" i="18"/>
  <c r="G4" i="19"/>
  <c r="L231" i="19"/>
  <c r="L240" i="19" s="1"/>
  <c r="L251" i="19"/>
  <c r="G4" i="4"/>
  <c r="B11" i="4"/>
  <c r="L11" i="4"/>
  <c r="G18" i="4"/>
  <c r="B25" i="4"/>
  <c r="L25" i="4"/>
  <c r="L4" i="4"/>
  <c r="G11" i="4"/>
  <c r="B18" i="4"/>
  <c r="L18" i="4"/>
  <c r="L380" i="13"/>
  <c r="L240" i="20"/>
  <c r="L198" i="10"/>
  <c r="L233" i="20"/>
  <c r="L234" i="20" s="1"/>
  <c r="L220" i="18"/>
  <c r="G4" i="18"/>
  <c r="L255" i="16"/>
  <c r="L260" i="16" s="1"/>
  <c r="L234" i="14"/>
  <c r="L243" i="14" s="1"/>
  <c r="L369" i="13"/>
  <c r="G4" i="13"/>
  <c r="L222" i="12"/>
  <c r="L227" i="12" s="1"/>
  <c r="P182" i="11"/>
  <c r="L219" i="11"/>
  <c r="L221" i="11" s="1"/>
  <c r="L190" i="10"/>
  <c r="L191" i="10" s="1"/>
  <c r="I253" i="2"/>
  <c r="M4" i="2" s="1"/>
  <c r="G4" i="2"/>
  <c r="B4" i="2"/>
  <c r="J4" i="2"/>
  <c r="L1581" i="2"/>
  <c r="L253" i="2"/>
  <c r="P147" i="2"/>
  <c r="L222" i="18" l="1"/>
  <c r="T8" i="16"/>
  <c r="P4" i="19"/>
  <c r="P4" i="18"/>
  <c r="G4" i="11"/>
  <c r="P4" i="11" s="1"/>
  <c r="P4" i="13"/>
  <c r="P4" i="16"/>
  <c r="P4" i="12"/>
  <c r="P4" i="20"/>
  <c r="P4" i="10"/>
  <c r="P4" i="14"/>
  <c r="P4" i="2"/>
</calcChain>
</file>

<file path=xl/sharedStrings.xml><?xml version="1.0" encoding="utf-8"?>
<sst xmlns="http://schemas.openxmlformats.org/spreadsheetml/2006/main" count="9404" uniqueCount="2711">
  <si>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</si>
  <si>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</si>
  <si>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</si>
  <si>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</si>
  <si>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</si>
  <si>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</si>
  <si>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</si>
  <si>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</si>
  <si>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</si>
  <si>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</si>
  <si>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</si>
  <si>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</si>
  <si>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</si>
  <si>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</si>
  <si>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</si>
  <si>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</si>
  <si>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</si>
  <si>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</si>
  <si>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</si>
  <si>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</si>
  <si>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</si>
  <si>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</si>
  <si>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</si>
  <si>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</si>
  <si>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</si>
  <si>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</si>
  <si>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</si>
  <si>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</si>
  <si>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</si>
  <si>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</si>
  <si>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</si>
  <si>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</si>
  <si>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</si>
  <si>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</si>
  <si>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</si>
  <si>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</si>
  <si>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</si>
  <si>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</si>
  <si>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</si>
  <si>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</si>
  <si>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</si>
  <si>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</si>
  <si>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</si>
  <si>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</si>
  <si>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</si>
  <si>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</si>
  <si>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</si>
  <si>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</si>
  <si>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</si>
  <si>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</si>
  <si>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</si>
  <si>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</si>
  <si>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</si>
  <si>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</si>
  <si>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</si>
  <si>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</si>
  <si>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</si>
  <si>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</si>
  <si>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</si>
  <si>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</si>
  <si>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</si>
  <si>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</si>
  <si>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</si>
  <si>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</si>
  <si>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</si>
  <si>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</si>
  <si>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</si>
  <si>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</si>
  <si>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</si>
  <si>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</si>
  <si>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</si>
  <si>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</si>
  <si>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</si>
  <si>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</si>
  <si>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</si>
  <si>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</si>
  <si>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</si>
  <si>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</si>
  <si>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</si>
  <si>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</si>
  <si>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</si>
  <si>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</si>
  <si>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</si>
  <si>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</si>
  <si>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</si>
  <si>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</si>
  <si>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</si>
  <si>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</si>
  <si>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</si>
  <si>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</si>
  <si>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</si>
  <si>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</si>
  <si>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</si>
  <si>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</si>
  <si>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</si>
  <si>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</si>
  <si>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</si>
  <si>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</si>
  <si>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</si>
  <si>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</si>
  <si>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</si>
  <si>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</si>
  <si>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</si>
  <si>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</si>
  <si>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</si>
  <si>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</si>
  <si>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</si>
  <si>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</si>
  <si>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</si>
  <si>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</si>
  <si>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</si>
  <si>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</si>
  <si>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</si>
  <si>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</si>
  <si>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</si>
  <si>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</si>
  <si>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GALICIA - EXTRACTO</t>
  </si>
  <si>
    <t>SERVICIOS</t>
  </si>
  <si>
    <t>SERAFINO ROSA LILIANA</t>
  </si>
  <si>
    <t>EUROARGENTINA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</si>
  <si>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</si>
  <si>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</si>
  <si>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</si>
  <si>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</si>
  <si>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</si>
  <si>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</si>
  <si>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</si>
  <si>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</si>
  <si>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</si>
  <si>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</si>
  <si>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</si>
  <si>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</si>
  <si>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</si>
  <si>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</si>
  <si>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</si>
  <si>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</si>
  <si>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</si>
  <si>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</si>
  <si>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</si>
  <si>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</si>
  <si>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</si>
  <si>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</si>
  <si>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</si>
  <si>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</si>
  <si>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</si>
  <si>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</si>
  <si>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</si>
  <si>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</si>
  <si>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</si>
  <si>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</si>
  <si>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</si>
  <si>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</si>
  <si>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</si>
  <si>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</si>
  <si>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</si>
  <si>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</si>
  <si>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</si>
  <si>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</si>
  <si>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</si>
  <si>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</si>
  <si>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</si>
  <si>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</si>
  <si>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</si>
  <si>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</si>
  <si>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</si>
  <si>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</si>
  <si>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</si>
  <si>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</si>
  <si>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</si>
  <si>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</si>
  <si>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</si>
  <si>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</si>
  <si>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</si>
  <si>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</si>
  <si>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</si>
  <si>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</si>
  <si>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</si>
  <si>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</si>
  <si>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</si>
  <si>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</si>
  <si>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</si>
  <si>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</si>
  <si>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</si>
  <si>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</si>
  <si>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</si>
  <si>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</si>
  <si>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</si>
  <si>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</si>
  <si>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</si>
  <si>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</si>
  <si>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</si>
  <si>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</si>
  <si>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</si>
  <si>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</si>
  <si>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</si>
  <si>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</si>
  <si>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</si>
  <si>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</si>
  <si>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</si>
  <si>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</si>
  <si>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</si>
  <si>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</si>
  <si>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</si>
  <si>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</si>
  <si>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</si>
  <si>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</si>
  <si>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</si>
  <si>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</si>
  <si>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</si>
  <si>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</si>
  <si>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</si>
  <si>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</si>
  <si>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</si>
  <si>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</si>
  <si>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</si>
  <si>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</si>
  <si>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</si>
  <si>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</si>
  <si>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</si>
  <si>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</si>
  <si>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</si>
  <si>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</si>
  <si>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</si>
  <si>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</si>
  <si>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</si>
  <si>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</si>
  <si>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</si>
  <si>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</si>
  <si>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</si>
  <si>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</si>
  <si>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</si>
  <si>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</si>
  <si>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</si>
  <si>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</si>
  <si>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</si>
  <si>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</si>
  <si>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</si>
  <si>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</si>
  <si>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</si>
  <si>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</si>
  <si>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</si>
  <si>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</si>
  <si>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</si>
  <si>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</si>
  <si>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</si>
  <si>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</si>
  <si>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</si>
  <si>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</si>
  <si>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</si>
  <si>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</si>
  <si>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</si>
  <si>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</si>
  <si>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</si>
  <si>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</si>
  <si>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</si>
  <si>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</si>
  <si>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</si>
  <si>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</si>
  <si>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</si>
  <si>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</si>
  <si>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</si>
  <si>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</si>
  <si>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</si>
  <si>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</si>
  <si>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</si>
  <si>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</si>
  <si>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</si>
  <si>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</si>
  <si>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</si>
  <si>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</si>
  <si>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</si>
  <si>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</si>
  <si>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</si>
  <si>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</si>
  <si>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</si>
  <si>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</si>
  <si>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</si>
  <si>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</si>
  <si>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</si>
  <si>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</si>
  <si>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</si>
  <si>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</si>
  <si>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</si>
  <si>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</si>
  <si>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</si>
  <si>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</si>
  <si>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</si>
  <si>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</si>
  <si>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</si>
  <si>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</si>
  <si>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</si>
  <si>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</si>
  <si>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</si>
  <si>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</si>
  <si>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</si>
  <si>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</si>
  <si>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</si>
  <si>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</si>
  <si>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</si>
  <si>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</si>
  <si>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</si>
  <si>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</si>
  <si>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</si>
  <si>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</si>
  <si>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</si>
  <si>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</si>
  <si>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</si>
  <si>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</si>
  <si>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</si>
  <si>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</si>
  <si>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</si>
  <si>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</si>
  <si>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</si>
  <si>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</si>
  <si>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</si>
  <si>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</si>
  <si>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</si>
  <si>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</si>
  <si>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</si>
  <si>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</si>
  <si>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</si>
  <si>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</si>
  <si>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</si>
  <si>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</si>
  <si>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</si>
  <si>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</si>
  <si>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</si>
  <si>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</si>
  <si>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</si>
  <si>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</si>
  <si>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</si>
  <si>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</si>
  <si>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</si>
  <si>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</si>
  <si>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</si>
  <si>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</si>
  <si>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</si>
  <si>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</si>
  <si>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</si>
  <si>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</si>
  <si>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</si>
  <si>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</si>
  <si>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</si>
  <si>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</si>
  <si>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</si>
  <si>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</si>
  <si>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</si>
  <si>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</si>
  <si>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</si>
  <si>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</si>
  <si>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</si>
  <si>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</si>
  <si>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</si>
  <si>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</si>
  <si>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</si>
  <si>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</si>
  <si>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</si>
  <si>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</si>
  <si>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</si>
  <si>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</si>
  <si>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</si>
  <si>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</si>
  <si>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</si>
  <si>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</si>
  <si>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</si>
  <si>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</si>
  <si>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</si>
  <si>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</si>
  <si>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</si>
  <si>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</si>
  <si>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</si>
  <si>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</si>
  <si>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</si>
  <si>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</si>
  <si>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</si>
  <si>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</si>
  <si>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</si>
  <si>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</si>
  <si>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</si>
  <si>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</si>
  <si>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</si>
  <si>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</si>
  <si>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</si>
  <si>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</si>
  <si>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</si>
  <si>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</si>
  <si>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</si>
  <si>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</si>
  <si>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</si>
  <si>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</si>
  <si>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</si>
  <si>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</si>
  <si>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</si>
  <si>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</si>
  <si>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</si>
  <si>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</si>
  <si>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</si>
  <si>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</si>
  <si>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</si>
  <si>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</si>
  <si>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</si>
  <si>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</si>
  <si>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</si>
  <si>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</si>
  <si>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</si>
  <si>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</si>
  <si>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</si>
  <si>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</si>
  <si>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</si>
  <si>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</si>
  <si>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</si>
  <si>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</si>
  <si>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</si>
  <si>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</si>
  <si>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</si>
  <si>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</si>
  <si>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</si>
  <si>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</si>
  <si>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</si>
  <si>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</si>
  <si>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</si>
  <si>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</si>
  <si>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</si>
  <si>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</si>
  <si>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</si>
  <si>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</si>
  <si>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</si>
  <si>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</si>
  <si>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</si>
  <si>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</si>
  <si>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</si>
  <si>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</si>
  <si>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</si>
  <si>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</si>
  <si>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</si>
  <si>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</si>
  <si>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</si>
  <si>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</si>
  <si>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</si>
  <si>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</si>
  <si>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</si>
  <si>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</si>
  <si>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</si>
  <si>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</si>
  <si>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</si>
  <si>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</si>
  <si>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</si>
  <si>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</si>
  <si>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</si>
  <si>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</si>
  <si>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</si>
  <si>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</si>
  <si>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</si>
  <si>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</si>
  <si>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</si>
  <si>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</si>
  <si>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</si>
  <si>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</si>
  <si>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</si>
  <si>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</si>
  <si>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</si>
  <si>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</si>
  <si>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</si>
  <si>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</si>
  <si>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</si>
  <si>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</si>
  <si>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</si>
  <si>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</si>
  <si>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</si>
  <si>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</si>
  <si>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</si>
  <si>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</si>
  <si>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</si>
  <si>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</si>
  <si>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</si>
  <si>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</si>
  <si>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</si>
  <si>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</si>
  <si>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</si>
  <si>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</si>
  <si>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</si>
  <si>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</si>
  <si>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</si>
  <si>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</si>
  <si>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</si>
  <si>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</si>
  <si>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</si>
  <si>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</si>
  <si>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</si>
  <si>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</si>
  <si>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</si>
  <si>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</si>
  <si>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</si>
  <si>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</si>
  <si>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</si>
  <si>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</si>
  <si>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</si>
  <si>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</si>
  <si>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</si>
  <si>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</si>
  <si>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</si>
  <si>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</si>
  <si>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</si>
  <si>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</si>
  <si>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</si>
  <si>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</si>
  <si>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</si>
  <si>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</si>
  <si>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</si>
  <si>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</si>
  <si>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</si>
  <si>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</si>
  <si>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</si>
  <si>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</si>
  <si>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</si>
  <si>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</si>
  <si>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</si>
  <si>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</si>
  <si>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</si>
  <si>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</si>
  <si>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</si>
  <si>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</si>
  <si>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</si>
  <si>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</si>
  <si>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</si>
  <si>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</si>
  <si>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</si>
  <si>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</si>
  <si>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</si>
  <si>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</si>
  <si>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</si>
  <si>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</si>
  <si>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</si>
  <si>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</si>
  <si>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</si>
  <si>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</si>
  <si>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</si>
  <si>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</si>
  <si>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</si>
  <si>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</si>
  <si>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</si>
  <si>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</si>
  <si>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</si>
  <si>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</si>
  <si>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</si>
  <si>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</si>
  <si>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</si>
  <si>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</si>
  <si>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</si>
  <si>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</si>
  <si>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</si>
  <si>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</si>
  <si>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</si>
  <si>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</si>
  <si>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</si>
  <si>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</si>
  <si>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</si>
  <si>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</si>
  <si>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</si>
  <si>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</si>
  <si>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</si>
  <si>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</si>
  <si>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</si>
  <si>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</si>
  <si>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</si>
  <si>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</si>
  <si>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</si>
  <si>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</si>
  <si>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</si>
  <si>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</si>
  <si>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</si>
  <si>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</si>
  <si>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</si>
  <si>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</si>
  <si>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</si>
  <si>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</si>
  <si>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</si>
  <si>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</si>
  <si>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</si>
  <si>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</si>
  <si>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</si>
  <si>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</si>
  <si>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</si>
  <si>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</si>
  <si>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</si>
  <si>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</si>
  <si>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</si>
  <si>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</si>
  <si>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</si>
  <si>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</si>
  <si>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</si>
  <si>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</si>
  <si>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</si>
  <si>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</si>
  <si>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</si>
  <si>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</si>
  <si>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</si>
  <si>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</si>
  <si>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</si>
  <si>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</si>
  <si>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</si>
  <si>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</si>
  <si>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</si>
  <si>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</si>
  <si>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</si>
  <si>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</si>
  <si>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</si>
  <si>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</si>
  <si>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</si>
  <si>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</si>
  <si>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</si>
  <si>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</si>
  <si>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</si>
  <si>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</si>
  <si>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</si>
  <si>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</si>
  <si>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</si>
  <si>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</si>
  <si>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</si>
  <si>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</si>
  <si>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</si>
  <si>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</si>
  <si>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</si>
  <si>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</si>
  <si>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</si>
  <si>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</si>
  <si>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</si>
  <si>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</si>
  <si>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</si>
  <si>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</si>
  <si>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</si>
  <si>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</si>
  <si>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</si>
  <si>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</si>
  <si>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</si>
  <si>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</si>
  <si>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</si>
  <si>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</si>
  <si>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</si>
  <si>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</si>
  <si>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</si>
  <si>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</si>
  <si>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</si>
  <si>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</si>
  <si>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</si>
  <si>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</si>
  <si>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</si>
  <si>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</si>
  <si>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</si>
  <si>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</si>
  <si>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</si>
  <si>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</si>
  <si>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</si>
  <si>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</si>
  <si>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</si>
  <si>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</si>
  <si>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</si>
  <si>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</si>
  <si>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</si>
  <si>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</si>
  <si>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</si>
  <si>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</si>
  <si>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</si>
  <si>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</si>
  <si>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</si>
  <si>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</si>
  <si>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</si>
  <si>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</si>
  <si>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</si>
  <si>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</si>
  <si>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</si>
  <si>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</si>
  <si>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</si>
  <si>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</si>
  <si>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</si>
  <si>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</si>
  <si>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</si>
  <si>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</si>
  <si>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</si>
  <si>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</si>
  <si>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</si>
  <si>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</si>
  <si>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</si>
  <si>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</si>
  <si>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</si>
  <si>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</si>
  <si>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</si>
  <si>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</si>
  <si>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</si>
  <si>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</si>
  <si>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</si>
  <si>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</si>
  <si>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</si>
  <si>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</si>
  <si>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</si>
  <si>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</si>
  <si>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</si>
  <si>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</si>
  <si>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</si>
  <si>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</si>
  <si>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</si>
  <si>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</si>
  <si>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</si>
  <si>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</si>
  <si>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</si>
  <si>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</si>
  <si>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</si>
  <si>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</si>
  <si>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</si>
  <si>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</si>
  <si>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</si>
  <si>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</si>
  <si>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</si>
  <si>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</si>
  <si>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</si>
  <si>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</si>
  <si>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</si>
  <si>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</si>
  <si>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</si>
  <si>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</si>
  <si>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</si>
  <si>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</si>
  <si>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</si>
  <si>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</si>
  <si>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</si>
  <si>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</si>
  <si>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</si>
  <si>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</si>
  <si>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</si>
  <si>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</si>
  <si>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</si>
  <si>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</si>
  <si>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</si>
  <si>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</si>
  <si>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</si>
  <si>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</si>
  <si>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</si>
  <si>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</si>
  <si>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</si>
  <si>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</si>
  <si>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</si>
  <si>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</si>
  <si>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MUEBLES Y UTILES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</si>
  <si>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</si>
  <si>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</si>
  <si>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</si>
  <si>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</si>
  <si>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</si>
  <si>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</si>
  <si>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</si>
  <si>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</si>
  <si>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</si>
  <si>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</si>
  <si>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</si>
  <si>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</si>
  <si>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</si>
  <si>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</si>
  <si>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</si>
  <si>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</si>
  <si>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</si>
  <si>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</si>
  <si>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</si>
  <si>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</si>
  <si>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</si>
  <si>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</si>
  <si>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</si>
  <si>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</si>
  <si>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</si>
  <si>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</si>
  <si>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</si>
  <si>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</si>
  <si>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</si>
  <si>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</si>
  <si>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</si>
  <si>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</si>
  <si>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</si>
  <si>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</si>
  <si>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</si>
  <si>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</si>
  <si>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</si>
  <si>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</si>
  <si>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</si>
  <si>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</si>
  <si>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</si>
  <si>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</si>
  <si>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</si>
  <si>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</si>
  <si>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</si>
  <si>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</si>
  <si>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</si>
  <si>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</si>
  <si>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</si>
  <si>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</si>
  <si>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</si>
  <si>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</si>
  <si>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</si>
  <si>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</si>
  <si>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</si>
  <si>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</si>
  <si>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</si>
  <si>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</si>
  <si>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</si>
  <si>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</si>
  <si>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</si>
  <si>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</si>
  <si>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</si>
  <si>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</si>
  <si>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</si>
  <si>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</si>
  <si>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</si>
  <si>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</si>
  <si>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</si>
  <si>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</si>
  <si>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</si>
  <si>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</si>
  <si>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</si>
  <si>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</si>
  <si>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</si>
  <si>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</si>
  <si>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</si>
  <si>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</si>
  <si>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</si>
  <si>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</si>
  <si>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</si>
  <si>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</si>
  <si>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</si>
  <si>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</si>
  <si>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</si>
  <si>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</si>
  <si>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</si>
  <si>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</si>
  <si>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</si>
  <si>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</si>
  <si>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</si>
  <si>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</si>
  <si>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</si>
  <si>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</si>
  <si>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</si>
  <si>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</si>
  <si>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</si>
  <si>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</si>
  <si>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</si>
  <si>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</si>
  <si>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</si>
  <si>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</si>
  <si>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</si>
  <si>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</si>
  <si>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</si>
  <si>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</si>
  <si>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</si>
  <si>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</si>
  <si>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</si>
  <si>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</si>
  <si>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</si>
  <si>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</si>
  <si>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</si>
  <si>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</si>
  <si>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</si>
  <si>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</si>
  <si>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</si>
  <si>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</si>
  <si>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</si>
  <si>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</si>
  <si>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</si>
  <si>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</si>
  <si>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</si>
  <si>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</si>
  <si>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</si>
  <si>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</si>
  <si>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</si>
  <si>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</si>
  <si>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</si>
  <si>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</si>
  <si>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</si>
  <si>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</si>
  <si>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</si>
  <si>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</si>
  <si>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</si>
  <si>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</si>
  <si>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</si>
  <si>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</si>
  <si>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</si>
  <si>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</si>
  <si>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</si>
  <si>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</si>
  <si>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</si>
  <si>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</si>
  <si>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</si>
  <si>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</si>
  <si>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</si>
  <si>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</si>
  <si>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</si>
  <si>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</si>
  <si>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</si>
  <si>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</si>
  <si>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</si>
  <si>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</si>
  <si>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</si>
  <si>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</si>
  <si>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</si>
  <si>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</si>
  <si>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</si>
  <si>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</si>
  <si>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</si>
  <si>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</si>
  <si>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</si>
  <si>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</si>
  <si>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</si>
  <si>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</si>
  <si>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</si>
  <si>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</si>
  <si>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</si>
  <si>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</si>
  <si>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</si>
  <si>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</si>
  <si>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</si>
  <si>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</si>
  <si>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</si>
  <si>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</si>
  <si>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</si>
  <si>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</si>
  <si>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</si>
  <si>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</si>
  <si>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</si>
  <si>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</si>
  <si>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</si>
  <si>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</si>
  <si>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</si>
  <si>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</si>
  <si>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</si>
  <si>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</si>
  <si>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</si>
  <si>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</si>
  <si>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</si>
  <si>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</si>
  <si>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</si>
  <si>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</si>
  <si>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</si>
  <si>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</si>
  <si>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</si>
  <si>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</si>
  <si>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</si>
  <si>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</si>
  <si>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</si>
  <si>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</si>
  <si>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</si>
  <si>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</si>
  <si>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</si>
  <si>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</si>
  <si>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</si>
  <si>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</si>
  <si>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</si>
  <si>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</si>
  <si>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</si>
  <si>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</si>
  <si>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</si>
  <si>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</si>
  <si>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</si>
  <si>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</si>
  <si>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</si>
  <si>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</si>
  <si>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</si>
  <si>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</si>
  <si>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</si>
  <si>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</si>
  <si>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</si>
  <si>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</si>
  <si>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</si>
  <si>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</si>
  <si>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</si>
  <si>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</si>
  <si>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</si>
  <si>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</si>
  <si>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</si>
  <si>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</si>
  <si>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</si>
  <si>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</si>
  <si>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</si>
  <si>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</si>
  <si>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</si>
  <si>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</si>
  <si>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</si>
  <si>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</si>
  <si>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</si>
  <si>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</si>
  <si>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</si>
  <si>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</si>
  <si>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</si>
  <si>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</si>
  <si>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</si>
  <si>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</si>
  <si>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</si>
  <si>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</si>
  <si>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</si>
  <si>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</si>
  <si>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</si>
  <si>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</si>
  <si>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</si>
  <si>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</si>
  <si>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</si>
  <si>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</si>
  <si>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</si>
  <si>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</si>
  <si>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</si>
  <si>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</si>
  <si>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</si>
  <si>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</si>
  <si>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</si>
  <si>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</si>
  <si>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</si>
  <si>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</si>
  <si>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</si>
  <si>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</si>
  <si>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</si>
  <si>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</si>
  <si>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</si>
  <si>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</si>
  <si>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</si>
  <si>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</si>
  <si>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</si>
  <si>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</si>
  <si>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</si>
  <si>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</si>
  <si>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</si>
  <si>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</si>
  <si>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</si>
  <si>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</si>
  <si>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</si>
  <si>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</si>
  <si>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</si>
  <si>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</si>
  <si>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</si>
  <si>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</si>
  <si>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</si>
  <si>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</si>
  <si>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</si>
  <si>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</si>
  <si>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</si>
  <si>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</si>
  <si>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</si>
  <si>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</si>
  <si>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</si>
  <si>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</si>
  <si>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</si>
  <si>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</si>
  <si>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</si>
  <si>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</si>
  <si>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</si>
  <si>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</si>
  <si>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</si>
  <si>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</si>
  <si>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</si>
  <si>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</si>
  <si>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</si>
  <si>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</si>
  <si>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</si>
  <si>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</si>
  <si>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</si>
  <si>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</si>
  <si>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</si>
  <si>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</si>
  <si>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</si>
  <si>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</si>
  <si>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</si>
  <si>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</si>
  <si>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</si>
  <si>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</si>
  <si>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</si>
  <si>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</si>
  <si>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</si>
  <si>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</si>
  <si>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</si>
  <si>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</si>
  <si>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</si>
  <si>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</si>
  <si>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</si>
  <si>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</si>
  <si>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</si>
  <si>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</si>
  <si>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</si>
  <si>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</si>
  <si>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</si>
  <si>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</si>
  <si>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</si>
  <si>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</si>
  <si>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</si>
  <si>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</si>
  <si>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</si>
  <si>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</si>
  <si>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</si>
  <si>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</si>
  <si>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</si>
  <si>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</si>
  <si>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</si>
  <si>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</si>
  <si>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</si>
  <si>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</si>
  <si>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</si>
  <si>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</si>
  <si>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</si>
  <si>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</si>
  <si>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</si>
  <si>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</si>
  <si>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</si>
  <si>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</si>
  <si>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</si>
  <si>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</si>
  <si>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</si>
  <si>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</si>
  <si>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</si>
  <si>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</si>
  <si>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</si>
  <si>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</si>
  <si>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</si>
  <si>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</si>
  <si>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</si>
  <si>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</si>
  <si>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</si>
  <si>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</si>
  <si>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</si>
  <si>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</si>
  <si>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</si>
  <si>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</si>
  <si>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</si>
  <si>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</si>
  <si>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</si>
  <si>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</si>
  <si>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</si>
  <si>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</si>
  <si>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</si>
  <si>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</si>
  <si>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</si>
  <si>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</si>
  <si>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</si>
  <si>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</si>
  <si>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</si>
  <si>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</si>
  <si>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</si>
  <si>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MEGAENVASES</t>
  </si>
  <si>
    <t>PIROPLAST SRL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</si>
  <si>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</si>
  <si>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</si>
  <si>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</si>
  <si>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</si>
  <si>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</si>
  <si>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</si>
  <si>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</si>
  <si>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</si>
  <si>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</si>
  <si>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</si>
  <si>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</si>
  <si>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</si>
  <si>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BOMBAS VAPORIZADORAS </t>
  </si>
  <si>
    <t xml:space="preserve">DOMINGO MONTORRO </t>
  </si>
  <si>
    <t xml:space="preserve">PARADISO ESTEBAN DAMIAN </t>
  </si>
  <si>
    <t>INFOSOL.COM</t>
  </si>
  <si>
    <t xml:space="preserve">FIBERTEL 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</si>
  <si>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</si>
  <si>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</si>
  <si>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</si>
  <si>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</si>
  <si>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</si>
  <si>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</si>
  <si>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Segui Rodando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</si>
  <si>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</si>
  <si>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</si>
  <si>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</si>
  <si>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</si>
  <si>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</si>
  <si>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</si>
  <si>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</si>
  <si>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</si>
  <si>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</si>
  <si>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</si>
  <si>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</si>
  <si>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</si>
  <si>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</si>
  <si>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</si>
  <si>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</si>
  <si>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</si>
  <si>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</si>
  <si>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</si>
  <si>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</si>
  <si>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</si>
  <si>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</si>
  <si>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</si>
  <si>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</si>
  <si>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</si>
  <si>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</si>
  <si>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</si>
  <si>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</si>
  <si>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</si>
  <si>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</si>
  <si>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</si>
  <si>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</si>
  <si>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</si>
  <si>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</si>
  <si>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</si>
  <si>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</si>
  <si>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</si>
  <si>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</si>
  <si>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</si>
  <si>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</si>
  <si>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</si>
  <si>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</si>
  <si>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</si>
  <si>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</si>
  <si>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</si>
  <si>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</si>
  <si>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</si>
  <si>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</si>
  <si>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</si>
  <si>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</si>
  <si>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</si>
  <si>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</si>
  <si>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</si>
  <si>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</si>
  <si>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</si>
  <si>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</si>
  <si>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</si>
  <si>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</si>
  <si>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</si>
  <si>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</si>
  <si>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</si>
  <si>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</si>
  <si>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</si>
  <si>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</si>
  <si>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</si>
  <si>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</si>
  <si>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</si>
  <si>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</si>
  <si>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</si>
  <si>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</si>
  <si>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</si>
  <si>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</si>
  <si>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</si>
  <si>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</si>
  <si>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</si>
  <si>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</si>
  <si>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</si>
  <si>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</si>
  <si>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</si>
  <si>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</si>
  <si>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</si>
  <si>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</si>
  <si>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</si>
  <si>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</si>
  <si>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</si>
  <si>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</si>
  <si>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</si>
  <si>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</si>
  <si>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</si>
  <si>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</si>
  <si>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</si>
  <si>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</si>
  <si>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</si>
  <si>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</si>
  <si>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</si>
  <si>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</si>
  <si>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</si>
  <si>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</si>
  <si>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</si>
  <si>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</si>
  <si>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</si>
  <si>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</si>
  <si>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</si>
  <si>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</si>
  <si>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</si>
  <si>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</si>
  <si>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</si>
  <si>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</si>
  <si>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</si>
  <si>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</si>
  <si>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</si>
  <si>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</si>
  <si>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</si>
  <si>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</si>
  <si>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</si>
  <si>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</si>
  <si>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</si>
  <si>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</si>
  <si>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</si>
  <si>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</si>
  <si>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</si>
  <si>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</si>
  <si>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</si>
  <si>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</si>
  <si>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</si>
  <si>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</si>
  <si>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</si>
  <si>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</si>
  <si>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</si>
  <si>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</si>
  <si>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</si>
  <si>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</si>
  <si>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</si>
  <si>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</si>
  <si>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</si>
  <si>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</si>
  <si>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</si>
  <si>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</si>
  <si>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</si>
  <si>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</si>
  <si>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</si>
  <si>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</si>
  <si>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</si>
  <si>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</si>
  <si>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</si>
  <si>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</si>
  <si>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</si>
  <si>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</si>
  <si>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</si>
  <si>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</si>
  <si>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</si>
  <si>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</si>
  <si>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</si>
  <si>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</si>
  <si>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</si>
  <si>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</si>
  <si>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</si>
  <si>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</si>
  <si>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</si>
  <si>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</si>
  <si>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</si>
  <si>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</si>
  <si>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</si>
  <si>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</si>
  <si>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</si>
  <si>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</si>
  <si>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</si>
  <si>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</si>
  <si>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</si>
  <si>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</si>
  <si>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</si>
  <si>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</si>
  <si>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</si>
  <si>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</si>
  <si>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</si>
  <si>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</si>
  <si>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</si>
  <si>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</si>
  <si>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</si>
  <si>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</si>
  <si>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</si>
  <si>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</si>
  <si>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</si>
  <si>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</si>
  <si>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</si>
  <si>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</si>
  <si>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</si>
  <si>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LANDMARK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</si>
  <si>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</si>
  <si>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</si>
  <si>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</si>
  <si>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</si>
  <si>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</si>
  <si>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</si>
  <si>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</si>
  <si>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</si>
  <si>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</si>
  <si>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</si>
  <si>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DHACAM S R L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</si>
  <si>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</si>
  <si>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</si>
  <si>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</si>
  <si>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</si>
  <si>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</si>
  <si>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</si>
  <si>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</si>
  <si>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</si>
  <si>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</si>
  <si>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INFOSOL BUENOS AIRES S.R.L.</t>
  </si>
  <si>
    <t>NICOLOSI AUGUSTO ALEJANDRO</t>
  </si>
  <si>
    <t>D M H S A</t>
  </si>
  <si>
    <t>NUAGE SYSTEMS S.A.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</si>
  <si>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</si>
  <si>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</si>
  <si>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</si>
  <si>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</si>
  <si>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</si>
  <si>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</si>
  <si>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</si>
  <si>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</si>
  <si>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</si>
  <si>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</si>
  <si>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</si>
  <si>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</si>
  <si>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</si>
  <si>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</si>
  <si>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</si>
  <si>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</si>
  <si>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</si>
  <si>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</si>
  <si>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</si>
  <si>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</si>
  <si>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</si>
  <si>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</si>
  <si>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</si>
  <si>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</si>
  <si>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</si>
  <si>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</si>
  <si>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</si>
  <si>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</si>
  <si>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</si>
  <si>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</si>
  <si>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</si>
  <si>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</si>
  <si>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</si>
  <si>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</si>
  <si>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</si>
  <si>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</si>
  <si>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</si>
  <si>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</si>
  <si>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>BARCELONAMOTOS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</si>
  <si>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</si>
  <si>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</si>
  <si>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</si>
  <si>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</si>
  <si>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</si>
  <si>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</si>
  <si>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</si>
  <si>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</si>
  <si>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</si>
  <si>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</si>
  <si>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</si>
  <si>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</si>
  <si>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</si>
  <si>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</si>
  <si>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</si>
  <si>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</si>
  <si>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</si>
  <si>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</si>
  <si>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IONIC S SOCIEDAD ANONIMA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</si>
  <si>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</si>
  <si>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</si>
  <si>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</si>
  <si>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</si>
  <si>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</si>
  <si>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</si>
  <si>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</si>
  <si>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</si>
  <si>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</si>
  <si>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</si>
  <si>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</si>
  <si>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</si>
  <si>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</si>
  <si>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</si>
  <si>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</si>
  <si>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</si>
  <si>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</si>
  <si>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</si>
  <si>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</si>
  <si>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</si>
  <si>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</si>
  <si>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</si>
  <si>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</si>
  <si>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</si>
  <si>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</si>
  <si>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</si>
  <si>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</si>
  <si>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</si>
  <si>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</si>
  <si>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</si>
  <si>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</si>
  <si>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</si>
  <si>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</si>
  <si>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</si>
  <si>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</si>
  <si>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</si>
  <si>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</si>
  <si>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</si>
  <si>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</si>
  <si>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</si>
  <si>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</si>
  <si>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</si>
  <si>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</si>
  <si>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</si>
  <si>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</si>
  <si>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</si>
  <si>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</si>
  <si>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</si>
  <si>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</si>
  <si>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</si>
  <si>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</si>
  <si>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</si>
  <si>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</si>
  <si>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</si>
  <si>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</si>
  <si>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</si>
  <si>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</si>
  <si>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</si>
  <si>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</si>
  <si>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</si>
  <si>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</si>
  <si>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</si>
  <si>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</si>
  <si>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</si>
  <si>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</si>
  <si>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</si>
  <si>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</si>
  <si>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</si>
  <si>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</si>
  <si>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</si>
  <si>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</si>
  <si>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</si>
  <si>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</si>
  <si>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</si>
  <si>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CENCOSUD S.A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</si>
  <si>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</si>
  <si>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</si>
  <si>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</si>
  <si>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</si>
  <si>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</si>
  <si>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</si>
  <si>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</si>
  <si>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</si>
  <si>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</si>
  <si>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</si>
  <si>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</si>
  <si>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</si>
  <si>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</si>
  <si>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</si>
  <si>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</si>
  <si>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</si>
  <si>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</si>
  <si>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</si>
  <si>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</si>
  <si>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</si>
  <si>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</si>
  <si>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</si>
  <si>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</si>
  <si>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>ASOCIACION ARGENTINA DE COSMETOLOGIA Y ESTETICA</t>
  </si>
  <si>
    <t>CASTILLO JUAN RAMON</t>
  </si>
  <si>
    <t>DEL GESSO FRANCO JESUS</t>
  </si>
  <si>
    <t>GROOVAS SRL</t>
  </si>
  <si>
    <t>LA QUINTA ESTACION SRL</t>
  </si>
  <si>
    <t>PINTURERIAS LIBERATO SRL</t>
  </si>
  <si>
    <t>LAFECOM SA</t>
  </si>
  <si>
    <t>LOMALI SA</t>
  </si>
  <si>
    <t>DEL TRABAJO SA</t>
  </si>
  <si>
    <t>UDANOR SRL</t>
  </si>
  <si>
    <t>BUENOS AIRES COMERCIAL Y DIGITAL SRL</t>
  </si>
  <si>
    <t>ELECYTICIDAD ESCOBAR SRL</t>
  </si>
  <si>
    <t>ROMANO PASCUAL ANTONIO</t>
  </si>
  <si>
    <t>GLOBAL AESTHETICS PRODUCTS AND SERVICES SRL</t>
  </si>
  <si>
    <t>EXPRESS ATLANTICA S.R.L</t>
  </si>
  <si>
    <t>BIDCOM SRL</t>
  </si>
  <si>
    <t>OPERADORA SAN JUAN S.A.</t>
  </si>
  <si>
    <t>DTECH S.A.</t>
  </si>
  <si>
    <t>FARMATRADE S R L</t>
  </si>
  <si>
    <t>IGLESIAS ANDRADA CLAUDIA VERONICA</t>
  </si>
  <si>
    <t>LOS TRILLIZOS PERAZOLI S.R.L.</t>
  </si>
  <si>
    <t>DE LA TORRE ZARAGOZA JUAN EDMUNDO</t>
  </si>
  <si>
    <t>MAT. ESCO SA</t>
  </si>
  <si>
    <t>DAGHER S A</t>
  </si>
  <si>
    <t>UNTECO S.A.I.C. E I.</t>
  </si>
  <si>
    <t>QUANTUM QUIMICA S.R.L.</t>
  </si>
  <si>
    <t>EVER SAFE S.R.L.</t>
  </si>
  <si>
    <t>IDZONE SRL</t>
  </si>
  <si>
    <t>VTEC SRL</t>
  </si>
  <si>
    <t>VTV CABA SOCIEDAD ANONIMA</t>
  </si>
  <si>
    <t>RIFENHOLZ MARCELA ROXANA</t>
  </si>
  <si>
    <t>ESPIÑA MATIAS FEDERICO</t>
  </si>
  <si>
    <t>SUTURA S.R.L.</t>
  </si>
  <si>
    <t>POLYTECH S A</t>
  </si>
  <si>
    <t>TANG GUIYUN</t>
  </si>
  <si>
    <t>XIE HONGWU</t>
  </si>
  <si>
    <t>SOSA ALVAREZ SONIA JOSEFINA</t>
  </si>
  <si>
    <t>CHARATA SRL</t>
  </si>
  <si>
    <t>Combustible</t>
  </si>
  <si>
    <t>ORGANIZACION DELASOIE HERMANOS S A</t>
  </si>
  <si>
    <t>CAMARA DE GRABADORES DE AUTOPARTES DE VEHICULOS AUTOMOTORES Y MOTOVEHICULOS</t>
  </si>
  <si>
    <t>ALGETEC SRL</t>
  </si>
  <si>
    <t>DURCASTI SA</t>
  </si>
  <si>
    <t>GOMEZ ROBERTO MARCELO</t>
  </si>
  <si>
    <t>VIMAR SOC EN COM SIMPLE</t>
  </si>
  <si>
    <t>APPLUS SANTA MARIA DEL BUEN AYRE SA</t>
  </si>
  <si>
    <t xml:space="preserve">                   </t>
  </si>
  <si>
    <t>DA COSTA E HIJOS S A</t>
  </si>
  <si>
    <t>OCA LOG S.A.</t>
  </si>
  <si>
    <t>GRACIA SANDRO EDUARDO</t>
  </si>
  <si>
    <t>CASA ELICEIRY S A</t>
  </si>
  <si>
    <t>BORGES NELSON MAURICIO</t>
  </si>
  <si>
    <t>BBVA - VISA TJ CREDITO</t>
  </si>
  <si>
    <t>PINTURERIAS LIBERATO S R L</t>
  </si>
  <si>
    <t>XHARD S.R.L.</t>
  </si>
  <si>
    <t>POYNT P.O.P.</t>
  </si>
  <si>
    <t>CARRERO DANIELA SOLANGE</t>
  </si>
  <si>
    <t>BUSSOLA LARA</t>
  </si>
  <si>
    <t>DOM CENTRO DE REUMATOLOGIA S.A.S.</t>
  </si>
  <si>
    <t>IRSA - GALERIAS PACIFICO S.A. UT</t>
  </si>
  <si>
    <t>TRABAJO SANO S.R.L.</t>
  </si>
  <si>
    <t>BELLA PIAZZA SRL</t>
  </si>
  <si>
    <t>PERASSOLO MONICA BEATRIZ</t>
  </si>
  <si>
    <t>FERNANDEZ LORENA DEL VALLE</t>
  </si>
  <si>
    <t>FALCON MEIS RAMON</t>
  </si>
  <si>
    <t>PATIÑO OSVALDO JOSE</t>
  </si>
  <si>
    <t>RUEDAS LIBERAL S R L</t>
  </si>
  <si>
    <t>CASADIO AGOSTINA</t>
  </si>
  <si>
    <t>ARIEZ S.A.S.</t>
  </si>
  <si>
    <t>MILEO VICENTE SAMUEL</t>
  </si>
  <si>
    <t>MADERO HAIR S.R.L.</t>
  </si>
  <si>
    <t>ECHENIQUE VANINA ANABELLA</t>
  </si>
  <si>
    <t>RACING BROWN S. R. L</t>
  </si>
  <si>
    <t>BLESSA S. R. L.</t>
  </si>
  <si>
    <t>CYN BELLEZA CON ESTILO S.A.</t>
  </si>
  <si>
    <t>CENTURION MARIA ISABEL</t>
  </si>
  <si>
    <t>ILONA AYOUB S.A.S.</t>
  </si>
  <si>
    <t>KAIZEM S.R.L.</t>
  </si>
  <si>
    <t>CANADEZ SRL</t>
  </si>
  <si>
    <t>PERDOMO CASTAGNINO ANA LARISA</t>
  </si>
  <si>
    <t>GARAVELLO</t>
  </si>
  <si>
    <t>MAJDEK VERONICA CAROLINA</t>
  </si>
  <si>
    <t>TORTORELLO, GUSTAVO SERGIO  Y PASINI SANTIAGO SEBASTIAN S.H</t>
  </si>
  <si>
    <t>ENTRE AIRES S.A.</t>
  </si>
  <si>
    <t>VELASCO ALBERTO</t>
  </si>
  <si>
    <t>CORNERO SILVIA DEL VALLE</t>
  </si>
  <si>
    <t>GONZALEZ BIANCHI MARIA GABRIELA</t>
  </si>
  <si>
    <t>RODRIGUEZ YESSICA BELEN</t>
  </si>
  <si>
    <t>GALLARDO ANA LORENA</t>
  </si>
  <si>
    <t>OJEDA ELSA MARINA</t>
  </si>
  <si>
    <t>BACCI PERLA CRISTINA</t>
  </si>
  <si>
    <t>RONCORONI DANIELA VERONICA</t>
  </si>
  <si>
    <t>DIAZ NATALIA</t>
  </si>
  <si>
    <t>COPELLO VIVIANA MARIA GABRIELA</t>
  </si>
  <si>
    <t>LOAIZA LOAYZA GRACIELA ELIZABETH</t>
  </si>
  <si>
    <t>BOTTERO GRACIELA BEATRIZ</t>
  </si>
  <si>
    <t>ROBLES DOLORES DEL CARMEN</t>
  </si>
  <si>
    <t>GOBIERNO DE LA CIUDAD DE BUENOS AIRES</t>
  </si>
  <si>
    <t>QUEZADA PINEDA KAREN STEPHANY</t>
  </si>
  <si>
    <t>AVILA ADELAIDA CRISTINA</t>
  </si>
  <si>
    <t>TORRES EVANGELINA SOFIA</t>
  </si>
  <si>
    <t>CORNEJO MARGARITA ELIZABETH</t>
  </si>
  <si>
    <t>afip</t>
  </si>
  <si>
    <t>FARBER HERMAN</t>
  </si>
  <si>
    <t>GARBARSKY JAIME GERARDO</t>
  </si>
  <si>
    <t>+Q NATURAL S.A.</t>
  </si>
  <si>
    <t>BOLSAFILM S.A.</t>
  </si>
  <si>
    <t>LEADER ELECTRONIC S A</t>
  </si>
  <si>
    <t>ECOEXIST S.R.L.</t>
  </si>
  <si>
    <t>DUARTE JEAN FRANCO</t>
  </si>
  <si>
    <t>MALI Y CIA SA</t>
  </si>
  <si>
    <t>A M PESCIO SOC EN COM POR ACC</t>
  </si>
  <si>
    <t>RANKO S R L</t>
  </si>
  <si>
    <t>R A DURAN Y ASOC SRL</t>
  </si>
  <si>
    <t>DALTOSUR S.R.L.</t>
  </si>
  <si>
    <t>CENTRAL ALCORTA S.A</t>
  </si>
  <si>
    <t>MAGEL S A</t>
  </si>
  <si>
    <t>DABRA SOCIEDAD ANONIMA</t>
  </si>
  <si>
    <t>SCALZO OSVALDO NESTOR</t>
  </si>
  <si>
    <t>BRUAYAFA S.A.</t>
  </si>
  <si>
    <t>GONZALEZ ALBERTO DANIEL</t>
  </si>
  <si>
    <t>BI-ORIENT S.A.</t>
  </si>
  <si>
    <t>NAGEL DANIEL ALEJANDRO</t>
  </si>
  <si>
    <t>LOMBARDI LAURA CECILIA</t>
  </si>
  <si>
    <t>VILLARUEL OSCAR EDUARDO</t>
  </si>
  <si>
    <t>ARBIT MARIA SOL</t>
  </si>
  <si>
    <t>ASOCIACION CIVIL DE ESTETICA, PELUQUERIA Y MAQUILLAJE ACEPYM</t>
  </si>
  <si>
    <t>ORTIZ MENDEZ LUZ MARINA</t>
  </si>
  <si>
    <t>JADDE SOCIEDAD DE RESPONSABILIDAD LIMITADA</t>
  </si>
  <si>
    <t>SILVA VANINA PAOLA</t>
  </si>
  <si>
    <t>ESTETICA NORTE S.A.</t>
  </si>
  <si>
    <t>ALVAREZ LUISA SILVANA</t>
  </si>
  <si>
    <t>JABONES Y FRAGANCIAS S.A.</t>
  </si>
  <si>
    <t>EYHERAMONHO DIEGO CESAR</t>
  </si>
  <si>
    <t>TRAFUL SRL</t>
  </si>
  <si>
    <t>BOLAÑEZ MARILINA</t>
  </si>
  <si>
    <t>VAZQUEZ LORENA VERONICA</t>
  </si>
  <si>
    <t>CUSSATTI MARCIA</t>
  </si>
  <si>
    <t>FERNANDEZ MARIA CELESTE</t>
  </si>
  <si>
    <t>MELELLA ERNESTO LUIS EDUARDO</t>
  </si>
  <si>
    <t>SEMEBA-SERVICIOS DE EMERGENCIAS MEDICAS BUENOS AIRES S.R.L.</t>
  </si>
  <si>
    <t>CABRAL MICAELA GIULIANA</t>
  </si>
  <si>
    <t>LARRA|AGA SILVINA ADRIANA</t>
  </si>
  <si>
    <t>AVILA NORMA ALICIA</t>
  </si>
  <si>
    <t>PONCE LETICIA EDITH</t>
  </si>
  <si>
    <t>BRENELLI ANDREA ELIZABETH</t>
  </si>
  <si>
    <t>SOSA KARINA ERICA</t>
  </si>
  <si>
    <t>PEREYRO CLAUDIA ALEJANDRA</t>
  </si>
  <si>
    <t>ROJAS JORGE DANIEL</t>
  </si>
  <si>
    <t>PERINI MARCELA LILIANA</t>
  </si>
  <si>
    <t>SAPIA PATRICIA GLADYS</t>
  </si>
  <si>
    <t>LANUQUE MARIELA</t>
  </si>
  <si>
    <t>MARTINS PABLO ANDRES</t>
  </si>
  <si>
    <t>ROMAN BLANCA NOEMI</t>
  </si>
  <si>
    <t>FERNANDEZ GODOY SUSANA BEATRIZ</t>
  </si>
  <si>
    <t>BORDON MARILINA ELIZABETH</t>
  </si>
  <si>
    <t>ABIUSO NOELIA SUSANA</t>
  </si>
  <si>
    <t>FUKUDA SEKI ROMINA ERINA</t>
  </si>
  <si>
    <t>ROSSO MARCELA MYRIAM</t>
  </si>
  <si>
    <t>UMERES CANDELA</t>
  </si>
  <si>
    <t>TARICCO MONICA GUADALUPE</t>
  </si>
  <si>
    <t>LOPEZ MIRTHA MABEL</t>
  </si>
  <si>
    <t>GIORDANO GLADYS BEATRIZ</t>
  </si>
  <si>
    <t>MALAGUEÑO NORMA PATRICIA</t>
  </si>
  <si>
    <t>RIOS ANA LAURA</t>
  </si>
  <si>
    <t>FERNANDEZ DANIELA NATALIA</t>
  </si>
  <si>
    <t>RIVERO CRISTIAN RAFAEL</t>
  </si>
  <si>
    <t>GASTALDINI LAURA PIERINA</t>
  </si>
  <si>
    <t>GILLY LIDIA MONICA CONCEPCION</t>
  </si>
  <si>
    <t>DOBROSOLSKY PATRICIA ALEJANDRA</t>
  </si>
  <si>
    <t>GARCIA GONZALEZ MARTA BEATRIZ</t>
  </si>
  <si>
    <t>BASUALDO PRISCILIA MELANIE</t>
  </si>
  <si>
    <t>PEREZ PECHE MARIBEL LILI</t>
  </si>
  <si>
    <t>DE ESTRADA MARIA DE FATIMA</t>
  </si>
  <si>
    <t>VONDER HEIDE MARIBEL ROSANA</t>
  </si>
  <si>
    <t>TUETTO VERONICA MARCELA</t>
  </si>
  <si>
    <t>SAJAMA EVANGELINA PATRICIA</t>
  </si>
  <si>
    <t>PACTTAT ROCIO CAROLINA</t>
  </si>
  <si>
    <t>DE DURANA COMPA MARIA GUADALUPE</t>
  </si>
  <si>
    <t>SILVINA ZANON</t>
  </si>
  <si>
    <t>VENTAS "E"</t>
  </si>
  <si>
    <t>MANDOLA HERMANOS SA</t>
  </si>
  <si>
    <t>CARDARELLO BASAVILBASO FEDERICO JORGE</t>
  </si>
  <si>
    <t>CORREO ANDREANI SA</t>
  </si>
  <si>
    <t>ESTACION RUTA 1422 SRL</t>
  </si>
  <si>
    <t>JORGE ALBERTO CASO SA</t>
  </si>
  <si>
    <t>RUSCONI GERMAN ADOLFO</t>
  </si>
  <si>
    <t>COMBEC SA</t>
  </si>
  <si>
    <t>30-69610606-8</t>
  </si>
  <si>
    <t>BBVA - LIQ MASTERCARD</t>
  </si>
  <si>
    <t>TRANSPORTES LA SEVILLANITA SRL</t>
  </si>
  <si>
    <t>CELEX GROUP  SRL</t>
  </si>
  <si>
    <t>COOP DE TRABAJO PAN DE VIDA LTDA</t>
  </si>
  <si>
    <t>ALVAREZ MIGUEL ANGEL</t>
  </si>
  <si>
    <t>BROKEN MOBILE S.A.S.</t>
  </si>
  <si>
    <t>MOREIRA CORONEL NESTOR NAHUEL</t>
  </si>
  <si>
    <t>CENTRAL MAYORISTA S R L</t>
  </si>
  <si>
    <t>DIAMOND SYSTEM S.A.</t>
  </si>
  <si>
    <t>JFC HACELA  FACIL SRL</t>
  </si>
  <si>
    <t>TEXEL SRL</t>
  </si>
  <si>
    <t>CORNEALENT PANAMERICANA SA</t>
  </si>
  <si>
    <t>TODOVISION S.A</t>
  </si>
  <si>
    <t>SAN ANDRES ABERTURAS SRL</t>
  </si>
  <si>
    <t>B M WEB S.A.</t>
  </si>
  <si>
    <t>DUAITEK SRL</t>
  </si>
  <si>
    <t>CHAPAFERRO S.A.</t>
  </si>
  <si>
    <t>TABLEROS  SUDAMERICANA S.R.L.</t>
  </si>
  <si>
    <t>D WEINSTOCK S R L</t>
  </si>
  <si>
    <t>TARTARONE RUBEN OSCAR</t>
  </si>
  <si>
    <t>PARQUE AYERZA SCA</t>
  </si>
  <si>
    <t>ANGLET SRL</t>
  </si>
  <si>
    <t>D ERAMO GUSTAVO Y D ERAMO PABLO SOC DE HECHO</t>
  </si>
  <si>
    <t>GOLDIN DAIANA</t>
  </si>
  <si>
    <t>ELECTRICIDAD CABRERA SRL</t>
  </si>
  <si>
    <t>SHOPPING NET S.A.S.</t>
  </si>
  <si>
    <t>LAZZARIN LIMA MARTIN IGNACIO</t>
  </si>
  <si>
    <t>DEVENTAS S.A.</t>
  </si>
  <si>
    <t>MARZANO OSVALDO MATIAS</t>
  </si>
  <si>
    <t>SOLIS PABLO GABRIEL</t>
  </si>
  <si>
    <t>FEDERACION ARGENTINA DE COSMETOLOGOS Y ESTETICISTAS F A C E</t>
  </si>
  <si>
    <t>TIDONI SILVANA GRACIELA</t>
  </si>
  <si>
    <t>FERRARO RAFAEL AUGUSTO</t>
  </si>
  <si>
    <t>CONSTRUCCIONES JUMALO S A</t>
  </si>
  <si>
    <t>CABA</t>
  </si>
  <si>
    <t>MANTENIMIENTO</t>
  </si>
  <si>
    <t>BUENOS AIRES</t>
  </si>
  <si>
    <t>SILFA SA</t>
  </si>
  <si>
    <t xml:space="preserve">ARMONIE S A </t>
  </si>
  <si>
    <t>ASENSIO E HIJO Y PULLEY SOCIEDAD DE RESP</t>
  </si>
  <si>
    <t>FAC B</t>
  </si>
  <si>
    <t>Nordestnova S A</t>
  </si>
  <si>
    <t xml:space="preserve">COPY JET DE BIAFORE PABLO Y ANDRADE JAVIER  </t>
  </si>
  <si>
    <t>DEALER S. CAP I SECC IV</t>
  </si>
  <si>
    <t>ARG COLOR S.R.L.</t>
  </si>
  <si>
    <t>HERBAS ESPINOZA GABRIEL MATIAS</t>
  </si>
  <si>
    <t>HERNANDEZ Y COSTA SOC. LEY 19550 CAP I SECC IV</t>
  </si>
  <si>
    <t>FABRIQUIMICA S.A.U.</t>
  </si>
  <si>
    <t>IMPRESORA RAWSON S A C I F E I</t>
  </si>
  <si>
    <t>LEJTMAN FERNANDO ALBERTO</t>
  </si>
  <si>
    <t>LETTIERI CARLOS ADRIANO</t>
  </si>
  <si>
    <t>HENSCHEL ALEJANDRO Y VICCO LUCAS SOCIDADDE HECHO</t>
  </si>
  <si>
    <t>LUCIOLI JUAN PABLO</t>
  </si>
  <si>
    <t>MYL TRANSFORMADORES S.A</t>
  </si>
  <si>
    <t>MAGANAS SERGIO ESTEBAN</t>
  </si>
  <si>
    <t>LU YA HUI</t>
  </si>
  <si>
    <t>MIRANDA GUIDO LUCAS VALERIO</t>
  </si>
  <si>
    <t>ALONSO RODRIGO JAVIER</t>
  </si>
  <si>
    <t>REPETTO RAMIRO ANDRES</t>
  </si>
  <si>
    <t>CARLETTA MARTIN DANIEL</t>
  </si>
  <si>
    <t>TECNOTEAM S.A.S.</t>
  </si>
  <si>
    <t>OMAR ENRIQUE PICARDI Y PABLO BERNARDO   PICARDI S H</t>
  </si>
  <si>
    <t>CURTO HECTOR ANIBAL</t>
  </si>
  <si>
    <t>FIDEICOMISO MAMBA</t>
  </si>
  <si>
    <t>LATEULADE DORADO ADRIAN HUGO</t>
  </si>
  <si>
    <t>NAF GAS SA</t>
  </si>
  <si>
    <t>GNC ESCOBAR SA</t>
  </si>
  <si>
    <t>KINIEN SA</t>
  </si>
  <si>
    <t>CASTILLO PEDRO ISMAEL</t>
  </si>
  <si>
    <t>CANJALLI SILVIA ALEGRE</t>
  </si>
  <si>
    <t>SERVICIOS PROFESIONALES</t>
  </si>
  <si>
    <t>DISTRI AIRES S.R.L</t>
  </si>
  <si>
    <t>NINFA ESTELA CORREA</t>
  </si>
  <si>
    <t>INGACOT COMERCIAL S.A.</t>
  </si>
  <si>
    <t>CHIEN SA</t>
  </si>
  <si>
    <t>MARTIN CRISTINA BEATRIZ</t>
  </si>
  <si>
    <t>BH ONLINE SRL</t>
  </si>
  <si>
    <t>TODO GAS S A</t>
  </si>
  <si>
    <t>ROJA ALEJANDRO RAUL</t>
  </si>
  <si>
    <t>BARRERA RICARDO DARIO Y HUBY GANOZA JIMMY  SOCIEDAD DE HECHO</t>
  </si>
  <si>
    <t>KADURSPORT S.R.L.</t>
  </si>
  <si>
    <t>FONTELA VAZQUEZ PABLO HERNAN</t>
  </si>
  <si>
    <t>SERRA ANDREOLI RODRIGO EMILIO</t>
  </si>
  <si>
    <t>RODAR S R L</t>
  </si>
  <si>
    <t>SENSES PLUS S.R.L.</t>
  </si>
  <si>
    <t>EXPRESO BICENTENARIO S.R.L</t>
  </si>
  <si>
    <t>CASTELLUCCI PABLO G., CASTELLUCCI CHRISTIAN M. Y CASTELLUCCI DIEGO S. S.H.</t>
  </si>
  <si>
    <t>EMELINT S.R.L.</t>
  </si>
  <si>
    <t>PINTURERIAS DEL MAESTRO S.A.</t>
  </si>
  <si>
    <t>BH IMPORT S.R.L.</t>
  </si>
  <si>
    <t>SOLARI MARIA DE LOS ANGELES</t>
  </si>
  <si>
    <t>PUMP GEL S.R.L</t>
  </si>
  <si>
    <t>ANIMAL BROTHERS VENTA MAYORISTA Y MINORISTA DE ALIMENTOS BALANCEADOS DE SPADOTTO GABRIELA F. Y SPADO</t>
  </si>
  <si>
    <t>BAMBU SALUDABLE S.R.L.</t>
  </si>
  <si>
    <t>SCOZZAFAVA FERNANDO ANTONIO</t>
  </si>
  <si>
    <t>REAL COLOR SRL</t>
  </si>
  <si>
    <t>DVT COMERCIO</t>
  </si>
  <si>
    <t>INSUMOS INDUSTRIALES BULFERIND S.A.</t>
  </si>
  <si>
    <t>FERNANDEZ GABRIEL OMAR</t>
  </si>
  <si>
    <t>FENEX S.A.S.</t>
  </si>
  <si>
    <t>AUNE SOFIA ESMERALDA</t>
  </si>
  <si>
    <t>FONDO DE COOPERACION TECNICA Y FINANCIERA - CECBA - SL Y T - LEY 23.412</t>
  </si>
  <si>
    <t>LOPEZ MARTIN ALEJANDRO</t>
  </si>
  <si>
    <t>PILISAR SOCIEDAD ANONIMA</t>
  </si>
  <si>
    <t>HIDROAL  SA</t>
  </si>
  <si>
    <t xml:space="preserve">TOTAL </t>
  </si>
  <si>
    <t>COD 81</t>
  </si>
  <si>
    <t>BLUECAR SA</t>
  </si>
  <si>
    <t>IMARKET SRL</t>
  </si>
  <si>
    <t>MELINKA SRL</t>
  </si>
  <si>
    <t xml:space="preserve">FROS SA </t>
  </si>
  <si>
    <t>ESTACION DE SERVICIO ALCOVER SRL</t>
  </si>
  <si>
    <t>EXPOENVASE SRL</t>
  </si>
  <si>
    <t>ITAL PAVON S.A.</t>
  </si>
  <si>
    <t>PINTURERIAS EXPRESS SRL</t>
  </si>
  <si>
    <t>AUTO EQUIPE S.A.</t>
  </si>
  <si>
    <t>DUFFY ESTEFANIA</t>
  </si>
  <si>
    <t>PERALBA SOCIEDAD ANONIMA</t>
  </si>
  <si>
    <t>RODADOS ALVARO S.R.L.</t>
  </si>
  <si>
    <t>SCD DISTRIBUIDORA S.R.L.</t>
  </si>
  <si>
    <t>BELLASOMBRA DE DIEGO PARTICO Y BRUNO MUSANTE SOCIEDAD DE HECHO</t>
  </si>
  <si>
    <t>NATALI HUGO ARIEL</t>
  </si>
  <si>
    <t>REPRESENTACIONES TECNOLOGICAS SA</t>
  </si>
  <si>
    <t>AGEN S.A.</t>
  </si>
  <si>
    <t>LNB SOCIEDAD POR ACCIONES SIMPLIFICADA</t>
  </si>
  <si>
    <t>G.B.S. GLOBAL BUSINESS SUPPLY S.R.L.</t>
  </si>
  <si>
    <t>FAIL ABRAHAM</t>
  </si>
  <si>
    <t>CURTI OSVALDO JOSE</t>
  </si>
  <si>
    <t>ROCCA COMBUSTIBLES  S A</t>
  </si>
  <si>
    <t>BELCOMSUR SA</t>
  </si>
  <si>
    <t>VALLEJO ARCELUZ FERNANDO VALLEJO ARCELUZ MARTA J Y VALLEJO ARCELUZ MARIA CELINA</t>
  </si>
  <si>
    <t>FIORI SILVIA LORENA</t>
  </si>
  <si>
    <t>ALBINO ALEJANDRO</t>
  </si>
  <si>
    <t>GASTOS COMERCIALES</t>
  </si>
  <si>
    <t>ESTACION DE SERVICIO NORTEÑA SRL</t>
  </si>
  <si>
    <t>COMBUSTIBLES MORABITO HNOS SRL</t>
  </si>
  <si>
    <t>MESAJERIA</t>
  </si>
  <si>
    <t>PUENTE VANGUARDIA SOC ANONIMA</t>
  </si>
  <si>
    <t>ESTACION DE SERVICIO CUATRO BOCAS SRL</t>
  </si>
  <si>
    <t>CORRIENTES</t>
  </si>
  <si>
    <t>SUPER SEVICIOS OLIVOS SRL</t>
  </si>
  <si>
    <t>SILVESTRI SERGIO ALBERTO</t>
  </si>
  <si>
    <t>OPERADORA DE ESTAC DE SERVICIOS SA</t>
  </si>
  <si>
    <t>VENTAS "EXPORTACION"</t>
  </si>
  <si>
    <t>PAPELERA CUMBRE S.A.</t>
  </si>
  <si>
    <t>MAMANI PAULA ANALIA</t>
  </si>
  <si>
    <t>VANALEX PISCINAS S.R.L.</t>
  </si>
  <si>
    <t>MUNDO PLASTIC SRL</t>
  </si>
  <si>
    <t>PELAEZ ESTEBAN CRUZ</t>
  </si>
  <si>
    <t>ROSENBERG PEDRO ROBERTO</t>
  </si>
  <si>
    <t>WITPEL S.R.L.</t>
  </si>
  <si>
    <t>K.R. S. R. L.</t>
  </si>
  <si>
    <t>IDENTIMAX SA</t>
  </si>
  <si>
    <t>CORUSCANT  S. A.</t>
  </si>
  <si>
    <t>GONZALEZ GALENO ALBERTO JOSE</t>
  </si>
  <si>
    <t>BIANCHI CRISTIAN MAXIMILIANO</t>
  </si>
  <si>
    <t>DROVER SA</t>
  </si>
  <si>
    <t>LUGARES URBANOS S.A.</t>
  </si>
  <si>
    <t>ARIAUDO SERGIO ESTEBAN</t>
  </si>
  <si>
    <t>CARNEVALE MABEL HAYDEE</t>
  </si>
  <si>
    <t>BOTINDARI FEDERICO DANIEL</t>
  </si>
  <si>
    <t>GUMA DANIEL</t>
  </si>
  <si>
    <t>CABAL</t>
  </si>
  <si>
    <t>ABAD TEJIDOS SOCIEDAD ANONIMA COMERCIAL INDUSTRIAL FINANCIERA INMOBILIARIA</t>
  </si>
  <si>
    <t>GLOBAL OIL S.R.L</t>
  </si>
  <si>
    <t>OURGRAPH SRL</t>
  </si>
  <si>
    <t>PLASTICOS BAN PLAST SRL</t>
  </si>
  <si>
    <t>TEXTIL MANZONE S. R. L.</t>
  </si>
  <si>
    <t>BAMBU ARGENTINA S.A.</t>
  </si>
  <si>
    <t>INDIGO TRADE S.A.</t>
  </si>
  <si>
    <t>ARAYA SERGIO ALEJANDRO</t>
  </si>
  <si>
    <t>LATINLED SRL</t>
  </si>
  <si>
    <t>MOLINA AGUIRRE ERIC LEANDRO</t>
  </si>
  <si>
    <t>SEDEX ARGENTINA SA</t>
  </si>
  <si>
    <t>CERRO LINDO S. A. S.</t>
  </si>
  <si>
    <t>PROYECTAMAR S.R.L.</t>
  </si>
  <si>
    <t>CLUB HOUSE GROUP S.A.S.</t>
  </si>
  <si>
    <t>PLAMETEC S.A.</t>
  </si>
  <si>
    <t>SOLO POR MAYOR SRL</t>
  </si>
  <si>
    <t>AWARE SOLUTIONS S.R.L.</t>
  </si>
  <si>
    <t>IMAS SOCIEDAD DE RESPONSABILIDAD LIMITADA</t>
  </si>
  <si>
    <t>YAPURA ZAHIRA DE LOS ANGELES</t>
  </si>
  <si>
    <t>KAPRIELIAN SILVINA</t>
  </si>
  <si>
    <t>CATEDRAL ALTA PATAGONIA SA</t>
  </si>
  <si>
    <t>CREANDO IMAGEN S.A.</t>
  </si>
  <si>
    <t>VIPA INTERNATIONAL S.R.L.</t>
  </si>
  <si>
    <t>IMKR INSUMOS</t>
  </si>
  <si>
    <t>VILLALBA MARCELA</t>
  </si>
  <si>
    <t>BARTILOTTA ARIEL FERNANDO</t>
  </si>
  <si>
    <t>KASSAB SEBASTIAN EDUARDO</t>
  </si>
  <si>
    <t>CHEMECO SOCIEDAD ANONIMA</t>
  </si>
  <si>
    <t>BAZAR Y CIA. S.A.</t>
  </si>
  <si>
    <t>FLORDEPAPELERA S.R.L.</t>
  </si>
  <si>
    <t>CESPEDES PEÑALOZA CARMEN CAROLINA</t>
  </si>
  <si>
    <t>TINECRO S.A.</t>
  </si>
  <si>
    <t>FILET DE MERLUZA S.R.L.</t>
  </si>
  <si>
    <t>GRUPO DE REPUESTOS EL MELLIZO</t>
  </si>
  <si>
    <t>MILOSCAN SRL</t>
  </si>
  <si>
    <t>DISTRIBUIDORA DE BEBIDAS SRL</t>
  </si>
  <si>
    <t>GIANFRANCISCO XIMENA MARIEL</t>
  </si>
  <si>
    <t>MILEX S A</t>
  </si>
  <si>
    <t>SERCAP INSUMOS SRL</t>
  </si>
  <si>
    <t>BARUCCO NORBERTO MATIAS</t>
  </si>
  <si>
    <t>CASASNOVAS JUAN PABLO</t>
  </si>
  <si>
    <t>ROMITELLI JUAN IGNACIO</t>
  </si>
  <si>
    <t>TONDINI FERNANDO</t>
  </si>
  <si>
    <t>ESTACION SA</t>
  </si>
  <si>
    <t>BBVA MASTERCARD CRED</t>
  </si>
  <si>
    <t>BBVA - LIQ DEBITO</t>
  </si>
  <si>
    <t>GALICIA CREDITO</t>
  </si>
  <si>
    <t>BVL</t>
  </si>
  <si>
    <t>AIRES MODERNOS</t>
  </si>
  <si>
    <t xml:space="preserve">LIN QIN </t>
  </si>
  <si>
    <t>ANDESMAR CARGAS</t>
  </si>
  <si>
    <t>MARCELO FABIAN MANAU</t>
  </si>
  <si>
    <t xml:space="preserve">GOMERIA LUIGI de EUSEBIO MAMANI </t>
  </si>
  <si>
    <t>NIEVA EZEQUIEL ERNESTO</t>
  </si>
  <si>
    <t>JORGE PIRRI Y CUA SRL</t>
  </si>
  <si>
    <t xml:space="preserve">MANAFRATHI SRL </t>
  </si>
  <si>
    <t>ESTACIONAMIENTO</t>
  </si>
  <si>
    <t>GRUPO NORTE SRL</t>
  </si>
  <si>
    <t>CHICHIAN SA</t>
  </si>
  <si>
    <t>TRONADOR SA COMERCIAL</t>
  </si>
  <si>
    <t>HIK SECURITY</t>
  </si>
  <si>
    <t>ANILE PABLO ADOLFO</t>
  </si>
  <si>
    <t>BUDAS KINGDOM SRL</t>
  </si>
  <si>
    <t>CAPPI HECTOR FELIX</t>
  </si>
  <si>
    <t>MIL RUEDAS SRL</t>
  </si>
  <si>
    <t>FERRETERIA TANDIL SRL</t>
  </si>
  <si>
    <t>DEVOTO STATION SA</t>
  </si>
  <si>
    <t>FRIGORIFICO COSTANZO SA</t>
  </si>
  <si>
    <t>TELESMART</t>
  </si>
  <si>
    <t>AINSTEIN MARCELO</t>
  </si>
  <si>
    <t>BIANCHI HECTOR HERNAN</t>
  </si>
  <si>
    <t>SECURITY NOW SA</t>
  </si>
  <si>
    <t>LA IMPRENTA YA SA</t>
  </si>
  <si>
    <t>INSUMOS SERVICOMP SA</t>
  </si>
  <si>
    <t>ZINOVEEV SDRAVCOV MAURO MAXIMI</t>
  </si>
  <si>
    <t>BL8 SOLUCIONES</t>
  </si>
  <si>
    <t>NALE SA</t>
  </si>
  <si>
    <t>VICDA ARGENTINA SRL</t>
  </si>
  <si>
    <t>ITPROUSER S.A.</t>
  </si>
  <si>
    <t>SUPERFOTO S R L</t>
  </si>
  <si>
    <t>GRUA DIEGO PABLO</t>
  </si>
  <si>
    <t>PAREJO LUCAS ARIEL ESTEBAN</t>
  </si>
  <si>
    <t>PANIZO DIEGO SEBASTIAN</t>
  </si>
  <si>
    <t>CAVA BERNARDO</t>
  </si>
  <si>
    <t>ELECTRO SERVICE M&amp;E SRL.</t>
  </si>
  <si>
    <t>GONGZHU TECH DEVELOPMENT</t>
  </si>
  <si>
    <t>BORZACCHINI NOELIA VERONICA</t>
  </si>
  <si>
    <t>POLGRAF SOCIEDAD DE HECHO DE HOMOLA CHRISTIAN HERNAN Y HOMOLA MARCELO JULIO</t>
  </si>
  <si>
    <t>HADDAD MARIA EUGENIA</t>
  </si>
  <si>
    <t>ORTIZ SEBASTIAN GERARDO</t>
  </si>
  <si>
    <t>PASTORINO CANE FRANCISCO JAVIER</t>
  </si>
  <si>
    <t>ONETO TOMAS AUGUSTO</t>
  </si>
  <si>
    <t>GRUPO TAM  SRL</t>
  </si>
  <si>
    <t>STENDEL JULIAN RODOLFO</t>
  </si>
  <si>
    <t>MURCHISON S A ESTIBAJES Y CARGAS INDUSTRIAL Y COMERCIAL</t>
  </si>
  <si>
    <t>MAKE YOU SRL</t>
  </si>
  <si>
    <t>PARTES DE NOTEBOOKS S.A.</t>
  </si>
  <si>
    <t>GECEDATA SRL</t>
  </si>
  <si>
    <t>SPENA FERNANDO ARIEL</t>
  </si>
  <si>
    <t>IDEAS Y DISEÑOS SRL</t>
  </si>
  <si>
    <t>URRUTIA DANIEL ALBERTO</t>
  </si>
  <si>
    <t>DI BLASIO CARLOS DANIEL</t>
  </si>
  <si>
    <t>SPORTS &amp;  ADVENTURE   SA</t>
  </si>
  <si>
    <t>LA COBACHA INSUMOS S.R.L.</t>
  </si>
  <si>
    <t>AGUILAR DIANA ANGELA</t>
  </si>
  <si>
    <t>ELECTRO VOLTAJE 2021</t>
  </si>
  <si>
    <t>LA OPTICA S.A.</t>
  </si>
  <si>
    <t>CLUSTER ARGENTINA S.R.L.</t>
  </si>
  <si>
    <t>ENTELANDO IDEAS S.R.L.</t>
  </si>
  <si>
    <t>HECTOR HALABE Y OTROS</t>
  </si>
  <si>
    <t>DE LUCA HECTOR RAFAEL FRANCI</t>
  </si>
  <si>
    <t>GOMEZ JOSE MARIA</t>
  </si>
  <si>
    <t>SARMIENTO 820 FASE 3 S.A.</t>
  </si>
  <si>
    <t>AGUGAS SA</t>
  </si>
  <si>
    <t>CENTRALFER SA</t>
  </si>
  <si>
    <t>GONZALEZ PATRICIA NOEMI</t>
  </si>
  <si>
    <t>DIEZ CAROLINA BEATRIZ</t>
  </si>
  <si>
    <t>VENTAS "Z"</t>
  </si>
  <si>
    <t>RUT 77.005.326-9 TECNOESTETICA LTDA.</t>
  </si>
  <si>
    <t>NO TENIAN CUIT PARA CARGARLAS AL PI</t>
  </si>
  <si>
    <t>HERRAJES MAGLIOLA  S A</t>
  </si>
  <si>
    <t>BASUALDO JORGE RAMON</t>
  </si>
  <si>
    <t>CASTILLO SANTIAGO JESUS</t>
  </si>
  <si>
    <t>LOZA MIGUEL MATEO</t>
  </si>
  <si>
    <t>BARRI EMILIANO Y BARRI FEDERICO SH</t>
  </si>
  <si>
    <t>EL UNIVERSO DEL CONTROL REMOTO SRL</t>
  </si>
  <si>
    <t>PANELLA MARIA CAROLINA</t>
  </si>
  <si>
    <t>SOTO DELAPORTE KARINA IRENE</t>
  </si>
  <si>
    <t>GRUPO LEDUFT SA</t>
  </si>
  <si>
    <t>ELIAS AGUSTIN FARIAS DUARTE</t>
  </si>
  <si>
    <t>ASERRADERO JARDIN SRL</t>
  </si>
  <si>
    <t>BUMERAN.COM ARGENTINA SA</t>
  </si>
  <si>
    <t>PINTURERIAS MAFER SA</t>
  </si>
  <si>
    <t>FRIGORIFICO ALIMENTIC</t>
  </si>
  <si>
    <t>LIVERPOOL EXPRESS SRL</t>
  </si>
  <si>
    <t>FERREMUNDO SRL</t>
  </si>
  <si>
    <t>CRASSI SRL</t>
  </si>
  <si>
    <t>WALJUL</t>
  </si>
  <si>
    <t>EDUARDO S CAZALA SACIFel</t>
  </si>
  <si>
    <t>CRAFTERS ARG SAS</t>
  </si>
  <si>
    <t>TENDEX SA</t>
  </si>
  <si>
    <t>CARRIZO GUSTAVO ADRIAN</t>
  </si>
  <si>
    <t>UNION QUIMICA ARGENTINA SRL</t>
  </si>
  <si>
    <t>CPT INTEGRAL SA</t>
  </si>
  <si>
    <t>UMP SOLUTIONS &amp; SUPPLIES SRL</t>
  </si>
  <si>
    <t>ANTEDORO JEREMIAS FABIAN</t>
  </si>
  <si>
    <t>NOVU SRL</t>
  </si>
  <si>
    <t>ROPERIA S.A.S.</t>
  </si>
  <si>
    <t>SILVA SRL</t>
  </si>
  <si>
    <t>BOLLO OSVALDO</t>
  </si>
  <si>
    <t>SUPERMERCADOS MAYORISTAS YAGUAR SOCIEDAD ANONIMA</t>
  </si>
  <si>
    <t>CASIU S.A.</t>
  </si>
  <si>
    <t>CORREA SEBASTIAN NORBERTO</t>
  </si>
  <si>
    <t>COMO ARENA DEL MAR S.R.L.</t>
  </si>
  <si>
    <t>PIRON MARIA NATALIA ROMINA</t>
  </si>
  <si>
    <t>GROUP MOBILE S.A.</t>
  </si>
  <si>
    <t>DMAKER S.A.</t>
  </si>
  <si>
    <t>GRUPO COLORADO SA</t>
  </si>
  <si>
    <t>BURNET MICHAUT GASTON KURT</t>
  </si>
  <si>
    <t>MULTI C</t>
  </si>
  <si>
    <t>BERNSTEIN FERNANDO GABRIEL</t>
  </si>
  <si>
    <t>TRACOLOR S.A.</t>
  </si>
  <si>
    <t>VEGA GUSTAVO RAUL</t>
  </si>
  <si>
    <t>LABORATORIOS COTTON FIELDS S.A.</t>
  </si>
  <si>
    <t>ROMERA WALTER LEONARDO</t>
  </si>
  <si>
    <t>CASAS MARIA DEL CARMEN</t>
  </si>
  <si>
    <t>OSSANDON ROBERTO SAUL</t>
  </si>
  <si>
    <t>GARCIA JUAN MANUEL</t>
  </si>
  <si>
    <t>ALBARRACIN ARIEL EDUARDO</t>
  </si>
  <si>
    <t>CYGNUS ELECTRONICS S.A.</t>
  </si>
  <si>
    <t>PIFVA SA</t>
  </si>
  <si>
    <t>RUIZ LADY ARACELI</t>
  </si>
  <si>
    <t>ANGEL BLUE S.R.L.</t>
  </si>
  <si>
    <t>GUIDO TOMAS GIORDANO Y KEVIN BALCKER</t>
  </si>
  <si>
    <t>DOBARRO PAULA MARCELA</t>
  </si>
  <si>
    <t>HERMAN ALEJANDRO GUSTAVO</t>
  </si>
  <si>
    <t>JULIO FERNANDO FABIAN</t>
  </si>
  <si>
    <t>PRADO EMILIANO HERNAN</t>
  </si>
  <si>
    <t>LEZAMA ENERGIA SA</t>
  </si>
  <si>
    <t>REFINERIA BAHIA BLANCA SA</t>
  </si>
  <si>
    <t>IGT33 SA</t>
  </si>
  <si>
    <t>ACONQUIJA CLUB DE VUELO Y AVENTURA ASOCIACION CIVIL</t>
  </si>
  <si>
    <t>MULTIPOINT SA</t>
  </si>
  <si>
    <t>CORANA HERNAN SILVIO</t>
  </si>
  <si>
    <t>TODOSECO S.A.</t>
  </si>
  <si>
    <t>MARANSI S.A.</t>
  </si>
  <si>
    <t>PERFIMET COMERCIAL E INDUSTRIAL S R L</t>
  </si>
  <si>
    <t>FARFAN MARIA ELSA</t>
  </si>
  <si>
    <t>JOTAPLAY SOCIEDAD ANONIMA</t>
  </si>
  <si>
    <t>CAOBA GROUP SRL</t>
  </si>
  <si>
    <t>GRUPO TRI&amp;CO S.A.</t>
  </si>
  <si>
    <t>ESTACION DE SERVICIO SAN LUIS SRL</t>
  </si>
  <si>
    <t>TAN SONGLIN</t>
  </si>
  <si>
    <t>ONE STEP ARGENTINA SA</t>
  </si>
  <si>
    <t>MOVIL GAS S.A.</t>
  </si>
  <si>
    <t>ESTACION DE SERVICIO AXION KUKE SRL</t>
  </si>
  <si>
    <t>PASTA MIX S.A.</t>
  </si>
  <si>
    <t>TUSTANOSKI BEATRIZ NOEMI</t>
  </si>
  <si>
    <t>american expres</t>
  </si>
  <si>
    <t>FRANCES RESUMEN (31/01)</t>
  </si>
  <si>
    <t>GALICIA EXTRACTO CC(31/01)</t>
  </si>
  <si>
    <t>BBVA MASTERCARD CRED(31/01)</t>
  </si>
  <si>
    <t>BBVA - MAESTRO DEBITO</t>
  </si>
  <si>
    <t>GALICIA CREDITO (1/2)</t>
  </si>
  <si>
    <t>Liquidacion VISA  (FRANCES) 31-1</t>
  </si>
  <si>
    <t>RESUM BCO BBVA VISA 01/2 CREDITO</t>
  </si>
  <si>
    <t>PEM PRODUCTOS ELECTRICOS S.A.</t>
  </si>
  <si>
    <t>BARABAS HNOS S.R.L.</t>
  </si>
  <si>
    <t>GANUZA KARINA ANDREA</t>
  </si>
  <si>
    <t>BARABAS HNOS DE BARABAS EDUARDO,  BARABAS CARLOS Y HORACIO BARABAS SOC  DE HECHO</t>
  </si>
  <si>
    <t>CAMINOS DEL RIO URUGUAY S A DE CONSTRUCCIONES Y CONCESIONES VIALES</t>
  </si>
  <si>
    <t>LIBRERIA EL COLEGIO AVELLANEDA S.R.L.</t>
  </si>
  <si>
    <t>TUTTO CERAMICAS SRL</t>
  </si>
  <si>
    <t>CASTILLO S A C I F I A</t>
  </si>
  <si>
    <t>SELEM DAVID FERNANDO</t>
  </si>
  <si>
    <t>CEVEN SA</t>
  </si>
  <si>
    <t>GOLONOR S.A.</t>
  </si>
  <si>
    <t>FISDEL LIONEL Y FISDEL MARIO S H</t>
  </si>
  <si>
    <t>GAMA26 SRL</t>
  </si>
  <si>
    <t>OPORTO PABLO ALFREDO</t>
  </si>
  <si>
    <t>SUCESION DE FORNO OSCAR FELIX</t>
  </si>
  <si>
    <t>GOOGLE ARGENTINA S.R.L.</t>
  </si>
  <si>
    <t>PREITI MICAELA ORIANA</t>
  </si>
  <si>
    <t>FERRETERIA LA ESQUINA S.R.L.</t>
  </si>
  <si>
    <t>GNC EL TALAR SA</t>
  </si>
  <si>
    <t>UBR SOCIEDAD ANONIMA</t>
  </si>
  <si>
    <t>NUEVOS EMPRENDIMIENTOS SRL</t>
  </si>
  <si>
    <t>NOCEDA SA</t>
  </si>
  <si>
    <t>SUPERMERCADOS EL ABASTECEDOR SA</t>
  </si>
  <si>
    <t>FOLGEN SA</t>
  </si>
  <si>
    <t>BOUVET COMBUSTIBLES SAS</t>
  </si>
  <si>
    <t>GALICIA EXTRACTO CC</t>
  </si>
  <si>
    <t>FRANCES RESUMEN</t>
  </si>
  <si>
    <t>Liquidacion VISA  (FRANCES)</t>
  </si>
  <si>
    <t>RESUM BCO BBVA VISA CREDITO</t>
  </si>
  <si>
    <t>Liquidacion CABAL</t>
  </si>
  <si>
    <t>PICALI Y ASOCIADOS S.R.L.</t>
  </si>
  <si>
    <t>FIRST LABEL S.R.L.</t>
  </si>
  <si>
    <t>CHIARA STELLA MARIO ROBERTO</t>
  </si>
  <si>
    <t>CARLONI GERMAN JAVIER</t>
  </si>
  <si>
    <t>UNIPASE S.A.</t>
  </si>
  <si>
    <t>INTEGRAL PACK EXPRESS S.A.</t>
  </si>
  <si>
    <t>MASIVOS S A</t>
  </si>
  <si>
    <t>EXAHOME SRL</t>
  </si>
  <si>
    <t>DESSINS CARTELERIA S.R.L.</t>
  </si>
  <si>
    <t>BOCCOLI JOSE Y BOCCOLI LILIANA SOCIEDAD DE HECHO</t>
  </si>
  <si>
    <t>ARISPE CAMACHO ENMANUEL ALEJANDRO</t>
  </si>
  <si>
    <t>DE PAOLA JOSE</t>
  </si>
  <si>
    <t>DESCARTABLES Y EMBALAJES SAN ISIDRO S.R.L.</t>
  </si>
  <si>
    <t>PINTURERIAS MINUTO SRL</t>
  </si>
  <si>
    <t>OBRAS ACUSTICAS SRL</t>
  </si>
  <si>
    <t>IMPORTADORA FOTOGRAFICA SOCIEDAD ANONIMA</t>
  </si>
  <si>
    <t>BBVA -LIQ VISA</t>
  </si>
  <si>
    <t>GALICIA -CREDITO VISA</t>
  </si>
  <si>
    <t>DENIM BLUE SRL</t>
  </si>
  <si>
    <t>02/04/2024</t>
  </si>
  <si>
    <t>03/04/2024</t>
  </si>
  <si>
    <t>04/04/2024</t>
  </si>
  <si>
    <t>05/04/2024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</si>
  <si>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</si>
  <si>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</si>
  <si>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</si>
  <si>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</si>
  <si>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</si>
  <si>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</si>
  <si>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</si>
  <si>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</si>
  <si>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17/04/2024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</si>
  <si>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</si>
  <si>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</si>
  <si>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</si>
  <si>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</si>
  <si>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</si>
  <si>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</si>
  <si>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</si>
  <si>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16/04/2024</t>
  </si>
  <si>
    <t>18/04/2024</t>
  </si>
  <si>
    <t>FLORES CLAUDIA GRACIELA</t>
  </si>
  <si>
    <t>D'AGOSTINO PAULA</t>
  </si>
  <si>
    <t>DAMARFU SA</t>
  </si>
  <si>
    <t>01/04/2024</t>
  </si>
  <si>
    <t>06/04/2024</t>
  </si>
  <si>
    <t>14/04/2024</t>
  </si>
  <si>
    <t>19/04/2024</t>
  </si>
  <si>
    <t>20/04/2024</t>
  </si>
  <si>
    <t>22/04/2024</t>
  </si>
  <si>
    <t>A.L.G. INDUMENTARIAS S.R.L.</t>
  </si>
  <si>
    <t>RODRIGUEZ ALBERTO DANIEL</t>
  </si>
  <si>
    <t>GENTILE DARIO HORACIO</t>
  </si>
  <si>
    <t>MORENO MIGUEL ANGEL</t>
  </si>
  <si>
    <t>EXPO MADERA DE ALMENDRO JORGE MAGLIO PEDRO MAGLIO GREGORIO</t>
  </si>
  <si>
    <t>GOMERIAS NEUMEN S A</t>
  </si>
  <si>
    <t>SATURNINO CABEZON S A</t>
  </si>
  <si>
    <t>ODINROXS PROFESIONAL S.R.L.</t>
  </si>
  <si>
    <t>OMNICHANNEL S.A.</t>
  </si>
  <si>
    <t>TROTTA SALVADOR</t>
  </si>
  <si>
    <t>PINTURERIA NORTE S R L</t>
  </si>
  <si>
    <t>DURAN RAMOS LUIS ALBERTO</t>
  </si>
  <si>
    <t>DAYER ALEJANDRO GERMAN</t>
  </si>
  <si>
    <t>EBOX S.A.</t>
  </si>
  <si>
    <t>PASCUCCIO RUBEN HORACIO</t>
  </si>
  <si>
    <t>NOZIGLIA LEANDRO EZEQUIEL</t>
  </si>
  <si>
    <t>RODRIGUEZ ADRIAN ALBERTO</t>
  </si>
  <si>
    <t>COMERCIAL MGM S.R.L</t>
  </si>
  <si>
    <t>SAFDIE DAVID GABRIEL</t>
  </si>
  <si>
    <t>SERVIFER SOCIEDAD ANONIMA</t>
  </si>
  <si>
    <t>INSUMA SUR SA</t>
  </si>
  <si>
    <t>CORDOBA MOTOS S.R.L.</t>
  </si>
  <si>
    <t>FERNANDEZ RICARDO ADRIAN</t>
  </si>
  <si>
    <t>GHERTNER SEBASTIAN</t>
  </si>
  <si>
    <t>SALAZAR CORNEJO AROLDO, MOLINA ROBERTO CRISTIAN Y RUSCITTO JUAN MANUEL  S. CAP I SECC IV</t>
  </si>
  <si>
    <t>PLACAS AUDAX 3000 S.A.</t>
  </si>
  <si>
    <t>STENDY</t>
  </si>
  <si>
    <t>BUSTAMANTE PABLO RODRIGO</t>
  </si>
  <si>
    <t>AVENIDA MAIPU 4199 S C S</t>
  </si>
  <si>
    <t>CENTRO DE DISTRIBUCION SUR S R L</t>
  </si>
  <si>
    <t>MEDINA JULIO RICARDO</t>
  </si>
  <si>
    <t>DEPOSITO FISCAL BUENOS AIRES SA</t>
  </si>
  <si>
    <t>CAROSIO ROSANA BEATRIZ</t>
  </si>
  <si>
    <t>XTR SRL</t>
  </si>
  <si>
    <t>PERRONE LUCAS</t>
  </si>
  <si>
    <t>THE PREMIUM GOODS S.R.L.</t>
  </si>
  <si>
    <t>DECOR ALUM SRL</t>
  </si>
  <si>
    <t>CAMARA ARGENTINA DE COMERCIO Y SERVICIOS</t>
  </si>
  <si>
    <t>KARAM ASMAR MAIKEL GORGE</t>
  </si>
  <si>
    <t>LAHITTE MARIO ALBERTO</t>
  </si>
  <si>
    <t>CORLETTO ROMINA ALEJANDRA</t>
  </si>
  <si>
    <t>CASTILLO MARIANO JAVIER</t>
  </si>
  <si>
    <t>KALAYDJIAN JUAN JOSE</t>
  </si>
  <si>
    <t>VAZQUEZ EDUARDO HUGO</t>
  </si>
  <si>
    <t>VIGORELLI GUILLERMO DANIEL</t>
  </si>
  <si>
    <t>PINAR S R L</t>
  </si>
  <si>
    <t>NYT ARDILA S.R.L.</t>
  </si>
  <si>
    <t>CIUDAD DE JUEGOS S. R. L.</t>
  </si>
  <si>
    <t>DANLAY SRL</t>
  </si>
  <si>
    <t>BOSAN SA</t>
  </si>
  <si>
    <t>ELECTRICIDAD TRIBUNALES SA</t>
  </si>
  <si>
    <t>ANDREANI LOGISTICA SA</t>
  </si>
  <si>
    <t>COMERCIAL REPUBLICA S.R.L.</t>
  </si>
  <si>
    <t>SEGOBIA MARTIN DAMIAN</t>
  </si>
  <si>
    <t>HERRAMIENTAS DEL SUR S.A.</t>
  </si>
  <si>
    <t>HERRAJES CAME S.A.</t>
  </si>
  <si>
    <t>REIRIS HECTOR JUAN</t>
  </si>
  <si>
    <t>ADACHI NICOLAS EZEQUIEL</t>
  </si>
  <si>
    <t>MICELI DARIO FRANCISCO</t>
  </si>
  <si>
    <t>GUTIERREZ SEBASTIAN VALENTIN</t>
  </si>
  <si>
    <t>ROMANO SEBASTIAN ANTONIO</t>
  </si>
  <si>
    <t>GEMEZ SA</t>
  </si>
  <si>
    <t>ALVEZ ARIANA SOL</t>
  </si>
  <si>
    <t>SOLANS SEBASTIAN DARIO</t>
  </si>
  <si>
    <t>MORETTI PATRICIO EZEQUIEL</t>
  </si>
  <si>
    <t>ELECTRICIDAD JUJUY S A C E I</t>
  </si>
  <si>
    <t>BBVA</t>
  </si>
  <si>
    <t>GALICIA</t>
  </si>
  <si>
    <t>MASTER</t>
  </si>
  <si>
    <t>VISA BBVA</t>
  </si>
  <si>
    <t>VISA GALICIA</t>
  </si>
  <si>
    <t>MURRUNI NICODEMO</t>
  </si>
  <si>
    <t>MASTERCARD</t>
  </si>
  <si>
    <t>AMEX CREDITO</t>
  </si>
  <si>
    <t>VISA FRANCES</t>
  </si>
  <si>
    <t xml:space="preserve">BBVA 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</si>
  <si>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</si>
  <si>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</si>
  <si>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</si>
  <si>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</si>
  <si>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</si>
  <si>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</si>
  <si>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</si>
  <si>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</si>
  <si>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</si>
  <si>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</si>
  <si>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</si>
  <si>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</si>
  <si>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</si>
  <si>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</si>
  <si>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</si>
  <si>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</si>
  <si>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</si>
  <si>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</si>
  <si>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</si>
  <si>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</si>
  <si>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</si>
  <si>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</si>
  <si>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</si>
  <si>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</si>
  <si>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</si>
  <si>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</si>
  <si>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</si>
  <si>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</si>
  <si>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</si>
  <si>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</si>
  <si>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</si>
  <si>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GADARO S.A.</t>
  </si>
  <si>
    <t>31/06/2024</t>
  </si>
  <si>
    <t>BISTRO S. A.</t>
  </si>
  <si>
    <t>CONBRA S A</t>
  </si>
  <si>
    <t>NUCLEOGAMER S.R.L</t>
  </si>
  <si>
    <t>A.HARTRODT ARGENTINA S.A</t>
  </si>
  <si>
    <t>METROGAS S A</t>
  </si>
  <si>
    <t>TESORIERO EZEQUIEL MATIAS</t>
  </si>
  <si>
    <t>GARCIA HOURQUET MARIA JOSE</t>
  </si>
  <si>
    <t>HOMEBRAND S.A.S.</t>
  </si>
  <si>
    <t>CAMPOS ANTONIO ARIEL ALEJANDRO</t>
  </si>
  <si>
    <t>BOTINDARI JUAN IGNACIO</t>
  </si>
  <si>
    <t>MICROELECTRONICA COMPONENTES S.R.L.</t>
  </si>
  <si>
    <t>MAZALOSA S A</t>
  </si>
  <si>
    <t>TRIVIGNO ADRIAN</t>
  </si>
  <si>
    <t>JAZIN BEATRIZ</t>
  </si>
  <si>
    <t>LEICO S.R.L.</t>
  </si>
  <si>
    <t>KADIMA STUFF S.R.L.</t>
  </si>
  <si>
    <t>SMART IT SOLUTIONS S.R.L</t>
  </si>
  <si>
    <t>BS AS PRO AUDIO S.R.L</t>
  </si>
  <si>
    <t>CARLONE PABLO ADRIAN</t>
  </si>
  <si>
    <t>REDNET SRL</t>
  </si>
  <si>
    <t>KIRICOCHO S.R.L.</t>
  </si>
  <si>
    <t>NATURAL BOTANICS SRL</t>
  </si>
  <si>
    <t>TORONTO NATURAL S.R.L</t>
  </si>
  <si>
    <t>TELEFONIA QUILMES SA</t>
  </si>
  <si>
    <t>HIJOS DE ADOLFO KIRCHUK SRL</t>
  </si>
  <si>
    <t>MAÑA LEONARDO ISAAC</t>
  </si>
  <si>
    <t>30-50000173-5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</si>
  <si>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</si>
  <si>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</si>
  <si>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</si>
  <si>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</si>
  <si>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</si>
  <si>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</si>
  <si>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</si>
  <si>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</si>
  <si>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</si>
  <si>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</si>
  <si>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</si>
  <si>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</si>
  <si>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18/06/2024</t>
  </si>
  <si>
    <t>19/06/2024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</si>
  <si>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</si>
  <si>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</si>
  <si>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</si>
  <si>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</si>
  <si>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</si>
  <si>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</si>
  <si>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</si>
  <si>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Lauma Group LLC</t>
  </si>
  <si>
    <t>01/06/2024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</si>
  <si>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</si>
  <si>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</si>
  <si>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</si>
  <si>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</si>
  <si>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</si>
  <si>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</si>
  <si>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</si>
  <si>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</si>
  <si>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</si>
  <si>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</si>
  <si>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</si>
  <si>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</si>
  <si>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</si>
  <si>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</si>
  <si>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</si>
  <si>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</si>
  <si>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</si>
  <si>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</si>
  <si>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</si>
  <si>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</si>
  <si>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</si>
  <si>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</si>
  <si>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</si>
  <si>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</si>
  <si>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</si>
  <si>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</si>
  <si>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</si>
  <si>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</si>
  <si>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</si>
  <si>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</si>
  <si>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</si>
  <si>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A G M MOTOS S R L</t>
  </si>
  <si>
    <t>CORREA CARLOS OSVALDO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</si>
  <si>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</si>
  <si>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</si>
  <si>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</si>
  <si>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</si>
  <si>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</si>
  <si>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</si>
  <si>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</si>
  <si>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</si>
  <si>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</si>
  <si>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</si>
  <si>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</si>
  <si>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</si>
  <si>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</si>
  <si>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</si>
  <si>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</si>
  <si>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</si>
  <si>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18/08/2024</t>
  </si>
  <si>
    <t>19/08/2024</t>
  </si>
  <si>
    <t>20/08/2024</t>
  </si>
  <si>
    <t>21/08/2024</t>
  </si>
  <si>
    <t>22/08/2024</t>
  </si>
  <si>
    <t>23/08/2024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</si>
  <si>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</si>
  <si>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</si>
  <si>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</si>
  <si>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</si>
  <si>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</si>
  <si>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</si>
  <si>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</si>
  <si>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SANTANDER</t>
  </si>
  <si>
    <t> 30500001735</t>
  </si>
  <si>
    <t>PARAVANO HUGO RODOLFO</t>
  </si>
  <si>
    <t>17/08/2024</t>
  </si>
  <si>
    <t>24/08/2024</t>
  </si>
  <si>
    <t>VEGA LUCAS EMMANUEL</t>
  </si>
  <si>
    <t>ONSAY BEL SA</t>
  </si>
  <si>
    <t>02/09/24</t>
  </si>
  <si>
    <t>09/09/24</t>
  </si>
  <si>
    <t>03/09/24</t>
  </si>
  <si>
    <t>06/09/24</t>
  </si>
  <si>
    <t>04/09/24</t>
  </si>
  <si>
    <t>05/09/24</t>
  </si>
  <si>
    <t>08/09/24</t>
  </si>
  <si>
    <t>10/09/24</t>
  </si>
  <si>
    <t>11/09/24</t>
  </si>
  <si>
    <t>12/09/24</t>
  </si>
  <si>
    <t>13/09/24</t>
  </si>
  <si>
    <t>16/09/24</t>
  </si>
  <si>
    <t>18/09/24</t>
  </si>
  <si>
    <t>17/09/24</t>
  </si>
  <si>
    <t>19/09/24</t>
  </si>
  <si>
    <t>23/09/24</t>
  </si>
  <si>
    <t>20/09/24</t>
  </si>
  <si>
    <t>24/09/24</t>
  </si>
  <si>
    <t>25/09/24</t>
  </si>
  <si>
    <t>26/09/24</t>
  </si>
  <si>
    <t>27/09/24</t>
  </si>
  <si>
    <t>30/09/24</t>
  </si>
  <si>
    <t xml:space="preserve">MUIΥOS JUAN V. </t>
  </si>
  <si>
    <t>FRAIRE MARIO ANDRES</t>
  </si>
  <si>
    <t>Dadone Marco Polo</t>
  </si>
  <si>
    <t>D.J.P.</t>
  </si>
  <si>
    <t>Telecom Personal S.A.</t>
  </si>
  <si>
    <t xml:space="preserve">JARCHUM NICOLAS </t>
  </si>
  <si>
    <t>Go Ideas SRL</t>
  </si>
  <si>
    <t>DAFER S.A</t>
  </si>
  <si>
    <t>UTITES SRL</t>
  </si>
  <si>
    <t xml:space="preserve">PAPELERA PACKPEL </t>
  </si>
  <si>
    <t xml:space="preserve">BP IMPORT SRL </t>
  </si>
  <si>
    <t xml:space="preserve">LISANDRO VELASCO </t>
  </si>
  <si>
    <t>VEGA SANDRA ELIZABETH</t>
  </si>
  <si>
    <t>JM FACTIRY S.R.L.</t>
  </si>
  <si>
    <t>30/09/2024</t>
  </si>
  <si>
    <t>26/09/2024</t>
  </si>
  <si>
    <t>25/09/2024</t>
  </si>
  <si>
    <t>24/09/2024</t>
  </si>
  <si>
    <t>23/09/2024</t>
  </si>
  <si>
    <t>18/09/2024</t>
  </si>
  <si>
    <t>15/09/2024</t>
  </si>
  <si>
    <t>10/09/2024</t>
  </si>
  <si>
    <t>06/09/2024</t>
  </si>
  <si>
    <t>04/09/2024</t>
  </si>
  <si>
    <t>02/09/2024</t>
  </si>
  <si>
    <t>RAMIREZ LAURA VERONICA</t>
  </si>
  <si>
    <t>BELATTI FABIO JOEL</t>
  </si>
  <si>
    <t>05/09/2024</t>
  </si>
  <si>
    <t>19/09/2024</t>
  </si>
  <si>
    <t>27/09/2024</t>
  </si>
  <si>
    <t>11/09/2024</t>
  </si>
  <si>
    <t>13/09/2024</t>
  </si>
  <si>
    <t>16/09/2024</t>
  </si>
  <si>
    <t>14/09/2024</t>
  </si>
  <si>
    <t>21/09/2024</t>
  </si>
  <si>
    <t>22/09/2024</t>
  </si>
  <si>
    <t>03/09/2024</t>
  </si>
  <si>
    <t>20/09/2024</t>
  </si>
  <si>
    <t>17/09/2024</t>
  </si>
  <si>
    <t>07/09/2024</t>
  </si>
  <si>
    <t>08/09/2024</t>
  </si>
  <si>
    <t>01/09/2024</t>
  </si>
  <si>
    <t>29/09/2024</t>
  </si>
  <si>
    <t>12/09/2024</t>
  </si>
  <si>
    <t>09/09/2024</t>
  </si>
  <si>
    <t>VICTOR MASSON TRANSPORTES CRUZ DEL SUR S A</t>
  </si>
  <si>
    <t>MEDICINA RICARDO FLORENCIO</t>
  </si>
  <si>
    <t>CUSATI MARIA TERESA</t>
  </si>
  <si>
    <t>AGREGADA A AFIP, ESTABA EN EL EXCEL</t>
  </si>
  <si>
    <t>Iva Banco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</si>
  <si>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</si>
  <si>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</si>
  <si>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</si>
  <si>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</si>
  <si>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</si>
  <si>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</si>
  <si>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</si>
  <si>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11/10/2024</t>
  </si>
  <si>
    <t>15/10/2024</t>
  </si>
  <si>
    <t>16/10/2024</t>
  </si>
  <si>
    <t>21/10/2024</t>
  </si>
  <si>
    <t>22/10/2024</t>
  </si>
  <si>
    <t>23/10/2024</t>
  </si>
  <si>
    <t>24/10/2024</t>
  </si>
  <si>
    <t>28/10/2024</t>
  </si>
  <si>
    <t>29/10/2024</t>
  </si>
  <si>
    <t>DELETRAZ JULIAN NAHUEL</t>
  </si>
  <si>
    <t>05/10/2024</t>
  </si>
  <si>
    <t>06/10/2024</t>
  </si>
  <si>
    <t>10/10/2024</t>
  </si>
  <si>
    <t>13/10/2024</t>
  </si>
  <si>
    <t>14/10/2024</t>
  </si>
  <si>
    <t>17/10/2024</t>
  </si>
  <si>
    <t>18/10/2024</t>
  </si>
  <si>
    <t>19/10/2024</t>
  </si>
  <si>
    <t>25/10/2024</t>
  </si>
  <si>
    <t>26/10/2024</t>
  </si>
  <si>
    <t>27/10/2024</t>
  </si>
  <si>
    <t>30/10/2024</t>
  </si>
  <si>
    <t>31/10/2024</t>
  </si>
  <si>
    <t>CIEN POR CIENTO FOLLETOS SRL</t>
  </si>
  <si>
    <t>WORLD ONE TRADE</t>
  </si>
  <si>
    <t>ATAWALLPA PAPELES SA</t>
  </si>
  <si>
    <t>PEZZELATTO RICARDO OMAR</t>
  </si>
  <si>
    <t>MESAS VIEJAS S. A.</t>
  </si>
  <si>
    <t>HOTELERA NEPTUNO MDP SOCIEDAD ANONIMA</t>
  </si>
  <si>
    <t>FERNANDEZ CAMPON LUIS MARIA</t>
  </si>
  <si>
    <t>KITA S.R.L.</t>
  </si>
  <si>
    <t>HOKAMA ROMINA PAOLA</t>
  </si>
  <si>
    <t>FERRETERIA Y PINTURERIA PATRICIOS S A</t>
  </si>
  <si>
    <t>ANSELMI GABRIEL SERGIO</t>
  </si>
  <si>
    <t>BIGUA CAMPESTRE S.A.</t>
  </si>
  <si>
    <t>PUNTO TRES SRL</t>
  </si>
  <si>
    <t>SASUAR SRL</t>
  </si>
  <si>
    <t>FERRETTI HERNAN MARIO</t>
  </si>
  <si>
    <t>NORSUPPLY SRL</t>
  </si>
  <si>
    <t>ALQUILO TODO S R L</t>
  </si>
  <si>
    <t>CASA MAYO GROUP S.R.L.</t>
  </si>
  <si>
    <t>DINATECH SA</t>
  </si>
  <si>
    <t>BIONOVA SOCIEDAD POR ACCIONES SIMPLIFICADA</t>
  </si>
  <si>
    <t>ZALTSMAN AMELIA LILIANA</t>
  </si>
  <si>
    <t>SOL ESTUDIO CREATIVO S. CAP I SECC IV</t>
  </si>
  <si>
    <t>&gt; Bancos ya esta sumando</t>
  </si>
  <si>
    <t>04/11/24</t>
  </si>
  <si>
    <t>05/11/24</t>
  </si>
  <si>
    <t>07/11/24</t>
  </si>
  <si>
    <t>01/11/24</t>
  </si>
  <si>
    <t>02/11/24</t>
  </si>
  <si>
    <t>06/11/24</t>
  </si>
  <si>
    <t>08/11/24</t>
  </si>
  <si>
    <t>11/11/24</t>
  </si>
  <si>
    <t>22/11/24</t>
  </si>
  <si>
    <t>12/11/24</t>
  </si>
  <si>
    <t>13/11/24</t>
  </si>
  <si>
    <t>15/11/24</t>
  </si>
  <si>
    <t>14/11/24</t>
  </si>
  <si>
    <t>19/11/24</t>
  </si>
  <si>
    <t>21/11/24</t>
  </si>
  <si>
    <t>20/11/24</t>
  </si>
  <si>
    <t>25/11/24</t>
  </si>
  <si>
    <t>27/11/24</t>
  </si>
  <si>
    <t>26/11/24</t>
  </si>
  <si>
    <t>28/11/24</t>
  </si>
  <si>
    <t>29/11/24</t>
  </si>
  <si>
    <t>LEAL FUENTES FRANCISCO JAVIER</t>
  </si>
  <si>
    <t>CARGAS DEL SUR SRL</t>
  </si>
  <si>
    <t>D.ME.D. S.R.L</t>
  </si>
  <si>
    <t>ED GAR SOCIEDAD ANONIMA</t>
  </si>
  <si>
    <t>GRIDEL WALTER DIEGO</t>
  </si>
  <si>
    <t>GRUPO MEXX S.R.L</t>
  </si>
  <si>
    <t>THEISEN DINORA GISELLE</t>
  </si>
  <si>
    <t>HEYCO LATAM S.A.</t>
  </si>
  <si>
    <t>MONREAL GRACIELA LILIANA</t>
  </si>
  <si>
    <t>BAZAR AVENIDA SA</t>
  </si>
  <si>
    <t>DISTRIBUIDORA ACCOR DE CESAR PABLO ROCCA Y NAHUEL PABLO ROCCA SOC HECHO</t>
  </si>
  <si>
    <t>POSVENT SOLUCIONES S.R.L</t>
  </si>
  <si>
    <t>HONRE S.A</t>
  </si>
  <si>
    <t>ROMERO NELSON MARIA</t>
  </si>
  <si>
    <t>ENCENDIDO LAS CASAS S.R.L.</t>
  </si>
  <si>
    <t>MARANGONE ALBERTO</t>
  </si>
  <si>
    <t>CAEIRO ANA JULIA</t>
  </si>
  <si>
    <t>SEDAFE</t>
  </si>
  <si>
    <t>ONDA BLANCA SA</t>
  </si>
  <si>
    <t>17/11/24</t>
  </si>
  <si>
    <t>LOPEZ MARIA PIA</t>
  </si>
  <si>
    <t>06/11/2024</t>
  </si>
  <si>
    <t>07/11/2024</t>
  </si>
  <si>
    <t>09/11/2024</t>
  </si>
  <si>
    <t>12/11/2024</t>
  </si>
  <si>
    <t>15/11/2024</t>
  </si>
  <si>
    <t>17/11/2024</t>
  </si>
  <si>
    <t>19/11/2024</t>
  </si>
  <si>
    <t>21/11/2024</t>
  </si>
  <si>
    <t>25/11/2024</t>
  </si>
  <si>
    <t>26/11/2024</t>
  </si>
  <si>
    <t>27/11/2024</t>
  </si>
  <si>
    <t>29/11/2024</t>
  </si>
  <si>
    <t>MALDONADO CARMINATTI PAULA MARCELA</t>
  </si>
  <si>
    <t>05/11/2024</t>
  </si>
  <si>
    <t>14/11/2024</t>
  </si>
  <si>
    <t>28/11/2024</t>
  </si>
  <si>
    <t>04/11/2024</t>
  </si>
  <si>
    <t>30/11/2024</t>
  </si>
  <si>
    <t>22/11/2024</t>
  </si>
  <si>
    <t>23/11/2024</t>
  </si>
  <si>
    <t>18/11/2024</t>
  </si>
  <si>
    <t>08/11/2024</t>
  </si>
  <si>
    <t>20/11/2024</t>
  </si>
  <si>
    <t>01/11/2024</t>
  </si>
  <si>
    <t>02/11/2024</t>
  </si>
  <si>
    <t>03/11/2024</t>
  </si>
  <si>
    <t>24/11/2024</t>
  </si>
  <si>
    <t>13/11/2024</t>
  </si>
  <si>
    <t>10/11/2024</t>
  </si>
  <si>
    <t>16/11/2024</t>
  </si>
  <si>
    <t>SPINELLI DANTE NICOLAS PABLO</t>
  </si>
  <si>
    <t>ONE VISION S.R.L.</t>
  </si>
  <si>
    <t>SOUL DESIGN S. R. L.</t>
  </si>
  <si>
    <t>ALMARZA MAXIMILIANO ROBERTO EDGARDO</t>
  </si>
  <si>
    <t>BOCCACCI CARLOS FRANCISCO</t>
  </si>
  <si>
    <t>PRODUCTOS ELECTRONICOS SRL</t>
  </si>
  <si>
    <t>G - COMMERCE S.A.</t>
  </si>
  <si>
    <t>FERRIMAQ SRL</t>
  </si>
  <si>
    <t>ELLOS Y AFIP</t>
  </si>
  <si>
    <t>AFIP</t>
  </si>
  <si>
    <t>EXTRATCO BBVA</t>
  </si>
  <si>
    <t>TARJETA CREDITO BBVA</t>
  </si>
  <si>
    <t>02/12/2024</t>
  </si>
  <si>
    <t>03/12/2024</t>
  </si>
  <si>
    <t>05/12/2024</t>
  </si>
  <si>
    <t>06/12/2024</t>
  </si>
  <si>
    <t>07/12/2024</t>
  </si>
  <si>
    <t>10/12/2024</t>
  </si>
  <si>
    <t>13/12/2024</t>
  </si>
  <si>
    <t>17/12/2024</t>
  </si>
  <si>
    <t>19/12/2024</t>
  </si>
  <si>
    <t>20/12/2024</t>
  </si>
  <si>
    <t>22/12/2024</t>
  </si>
  <si>
    <t>23/12/2024</t>
  </si>
  <si>
    <t>26/12/2024</t>
  </si>
  <si>
    <t>30/12/2024</t>
  </si>
  <si>
    <t>CASTILLO JOSE MANUEL</t>
  </si>
  <si>
    <t>CASTILLO BERTA YOLANDA</t>
  </si>
  <si>
    <t>SALDAÑO JEREMIAS</t>
  </si>
  <si>
    <t>04/12/2024</t>
  </si>
  <si>
    <t>08/12/2024</t>
  </si>
  <si>
    <t>09/12/2024</t>
  </si>
  <si>
    <t>11/12/2024</t>
  </si>
  <si>
    <t>12/12/2024</t>
  </si>
  <si>
    <t>14/12/2024</t>
  </si>
  <si>
    <t>15/12/2024</t>
  </si>
  <si>
    <t>16/12/2024</t>
  </si>
  <si>
    <t>18/12/2024</t>
  </si>
  <si>
    <t>21/12/2024</t>
  </si>
  <si>
    <t>24/12/2024</t>
  </si>
  <si>
    <t>25/12/2024</t>
  </si>
  <si>
    <t>27/12/2024</t>
  </si>
  <si>
    <t>28/12/2024</t>
  </si>
  <si>
    <t>29/12/2024</t>
  </si>
  <si>
    <t>31/12/2024</t>
  </si>
  <si>
    <t>QUIRINO CARLOS ALBERTO</t>
  </si>
  <si>
    <t>PAREDES VIDES MARIO ISIDORO</t>
  </si>
  <si>
    <t>PORTALEZ ENRIQUE HUGO</t>
  </si>
  <si>
    <t>BIGBOX S.A.</t>
  </si>
  <si>
    <t>MATURANO MARCELO RAUL</t>
  </si>
  <si>
    <t>PASTORIZA ALEJANDRO JAVIER</t>
  </si>
  <si>
    <t>CHINCHILLAS ELDORADO SRL</t>
  </si>
  <si>
    <t>SUMINISTROS WHITE S.A.</t>
  </si>
  <si>
    <t>MCBA S.R.L.</t>
  </si>
  <si>
    <t>DEL NEGRO Y LA GORDA SRL</t>
  </si>
  <si>
    <t>AGUACA MANA S. A.</t>
  </si>
  <si>
    <t>DESALVO SARA NOEMI</t>
  </si>
  <si>
    <t>NO BAJAR LOS BRAZOS S.R.L.</t>
  </si>
  <si>
    <t>AVERZA GUSTAVO ADRIAN</t>
  </si>
  <si>
    <t>Quimica Oeste S.A.</t>
  </si>
  <si>
    <t>NO ESTABAN EN AFIP</t>
  </si>
  <si>
    <t>EXTRACTO SANTANDER</t>
  </si>
  <si>
    <t>BBVA VISA</t>
  </si>
  <si>
    <t>EXTRACTO GALICIA</t>
  </si>
  <si>
    <t>SANTANDER GETNET</t>
  </si>
  <si>
    <t>EXTRACTO BBVA</t>
  </si>
  <si>
    <t>Peajes</t>
  </si>
  <si>
    <t>Mantenimiento</t>
  </si>
  <si>
    <t>Productos Venta</t>
  </si>
  <si>
    <t>Servicios Informatica</t>
  </si>
  <si>
    <t>Gastos Cosmetica</t>
  </si>
  <si>
    <t>Gastos Movilidad</t>
  </si>
  <si>
    <t>NIEVE MARCELA SUSANA</t>
  </si>
  <si>
    <t>AEROPUERTOS ARGENTINA 2000 SA</t>
  </si>
  <si>
    <t>Gastos Publicidad</t>
  </si>
  <si>
    <t>Software Mantenimiento</t>
  </si>
  <si>
    <t>Gastos Maquinarias</t>
  </si>
  <si>
    <t>Servicios Varios</t>
  </si>
  <si>
    <t>Mensajeria</t>
  </si>
  <si>
    <t>Materia Prima</t>
  </si>
  <si>
    <t>Pintureria</t>
  </si>
  <si>
    <t>Gastos Comerciales</t>
  </si>
  <si>
    <t>FUNDACION AULA ABIERTA</t>
  </si>
  <si>
    <t>Alojamiento</t>
  </si>
  <si>
    <t>Seg e Higiene</t>
  </si>
  <si>
    <t>Gastos Oficina</t>
  </si>
  <si>
    <t>Honorarios Contables</t>
  </si>
  <si>
    <t>GAX SA</t>
  </si>
  <si>
    <t xml:space="preserve">AGIP </t>
  </si>
  <si>
    <t>PLIN METAL S A</t>
  </si>
  <si>
    <t>Material de Empaque</t>
  </si>
  <si>
    <t>Honorarios Administrativos</t>
  </si>
  <si>
    <t>Gastos Comercializacion - Feria</t>
  </si>
  <si>
    <t>Gastos Comercializacion</t>
  </si>
  <si>
    <t>Gastos Limpieza</t>
  </si>
  <si>
    <t>EL CACIQUE Gastos Limpieza SRL</t>
  </si>
  <si>
    <t>Honorarios Profesionales</t>
  </si>
  <si>
    <t>Mantenimiento Locales</t>
  </si>
  <si>
    <t>ic</t>
  </si>
  <si>
    <t>Gstos limpieza</t>
  </si>
  <si>
    <t>lo puse en seg e higiene</t>
  </si>
  <si>
    <t>cambiar nombre</t>
  </si>
  <si>
    <t xml:space="preserve">Gastos Comercializacion </t>
  </si>
  <si>
    <t>Mantenimiento Rodado</t>
  </si>
  <si>
    <t>Gastos VArios</t>
  </si>
  <si>
    <t>Gastos varios</t>
  </si>
  <si>
    <r>
      <t>GARCIA GABRIELA ANDREA</t>
    </r>
    <r>
      <rPr>
        <sz val="8"/>
        <color rgb="FFBFBFBF"/>
        <rFont val="Arial"/>
        <family val="2"/>
      </rPr>
      <t> </t>
    </r>
  </si>
  <si>
    <t>FAVAR IMPORT S.A.</t>
  </si>
  <si>
    <t xml:space="preserve">GRAVEDAD X S. R. L. </t>
  </si>
  <si>
    <t>SUN Y MOUNTAIN SAS</t>
  </si>
  <si>
    <t xml:space="preserve">TAZ A TAZ SRL </t>
  </si>
  <si>
    <t>GLOBAL BUSINESS SUPPLIERS SRL</t>
  </si>
  <si>
    <t>NOCENTE MARIA DEL SOL</t>
  </si>
  <si>
    <t>ENERGIA SOCIEDAD DE RESPONSABILIDAD LIMITADA</t>
  </si>
  <si>
    <t>MAXPRIN S.R.L..</t>
  </si>
  <si>
    <t>PACKING EXPRESS S.R.L</t>
  </si>
  <si>
    <t>Lamparas Y Foquitos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</si>
</sst>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##########"/>
    <numFmt numFmtId="181" formatCode="d/mm/yyyy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8"/>
      <color rgb="FFBFBFB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9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43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13" fillId="0" borderId="0"/>
    <xf numFmtId="0" fontId="13" fillId="0" borderId="0"/>
    <xf numFmtId="165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8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0" fontId="0" fillId="25" borderId="0" xfId="0" applyFill="1"/>
    <xf numFmtId="0" fontId="6" fillId="25" borderId="0" xfId="3" applyFont="1" applyFill="1" applyAlignment="1">
      <alignment horizontal="left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72" fontId="10" fillId="0" borderId="0" xfId="3" applyNumberFormat="1" applyFont="1" applyAlignment="1">
      <alignment horizontal="center"/>
    </xf>
    <xf numFmtId="172" fontId="6" fillId="25" borderId="0" xfId="3" applyNumberFormat="1" applyFont="1" applyFill="1" applyAlignment="1">
      <alignment horizontal="center" vertical="center"/>
    </xf>
    <xf numFmtId="173" fontId="6" fillId="0" borderId="28" xfId="3" applyNumberFormat="1" applyFont="1" applyBorder="1" applyAlignment="1">
      <alignment horizontal="center"/>
    </xf>
    <xf numFmtId="169" fontId="10" fillId="0" borderId="34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4" fontId="37" fillId="0" borderId="0" xfId="3" applyNumberFormat="1" applyFont="1" applyAlignment="1">
      <alignment horizontal="center"/>
    </xf>
    <xf numFmtId="180" fontId="37" fillId="0" borderId="0" xfId="3" applyNumberFormat="1" applyFont="1" applyAlignment="1">
      <alignment horizontal="center"/>
    </xf>
    <xf numFmtId="0" fontId="0" fillId="6" borderId="0" xfId="0" applyFill="1"/>
    <xf numFmtId="169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169" fontId="6" fillId="27" borderId="0" xfId="3" applyNumberFormat="1" applyFont="1" applyFill="1" applyAlignment="1">
      <alignment horizontal="center" vertical="center"/>
    </xf>
    <xf numFmtId="170" fontId="6" fillId="27" borderId="0" xfId="3" applyNumberFormat="1" applyFont="1" applyFill="1" applyAlignment="1">
      <alignment horizontal="center" vertical="center"/>
    </xf>
    <xf numFmtId="171" fontId="6" fillId="27" borderId="0" xfId="3" applyNumberFormat="1" applyFont="1" applyFill="1" applyAlignment="1">
      <alignment horizontal="center" vertical="center"/>
    </xf>
    <xf numFmtId="172" fontId="6" fillId="27" borderId="0" xfId="3" applyNumberFormat="1" applyFont="1" applyFill="1" applyAlignment="1">
      <alignment horizontal="center" vertical="center"/>
    </xf>
    <xf numFmtId="173" fontId="6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left" vertical="center"/>
    </xf>
    <xf numFmtId="40" fontId="7" fillId="27" borderId="0" xfId="3" applyNumberFormat="1" applyFont="1" applyFill="1" applyAlignment="1">
      <alignment horizontal="right" vertical="center"/>
    </xf>
    <xf numFmtId="40" fontId="7" fillId="27" borderId="0" xfId="3" applyNumberFormat="1" applyFont="1" applyFill="1" applyAlignment="1">
      <alignment vertical="center"/>
    </xf>
    <xf numFmtId="40" fontId="7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center" vertical="center"/>
    </xf>
    <xf numFmtId="173" fontId="6" fillId="26" borderId="0" xfId="3" applyNumberFormat="1" applyFont="1" applyFill="1" applyAlignment="1">
      <alignment horizontal="center"/>
    </xf>
    <xf numFmtId="173" fontId="0" fillId="0" borderId="1" xfId="0" applyNumberFormat="1" applyBorder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37" fillId="0" borderId="0" xfId="3" applyFont="1" applyAlignment="1">
      <alignment horizontal="center"/>
    </xf>
    <xf numFmtId="0" fontId="53" fillId="0" borderId="0" xfId="0" applyFont="1" applyAlignment="1">
      <alignment horizontal="center"/>
    </xf>
    <xf numFmtId="40" fontId="54" fillId="0" borderId="0" xfId="0" applyNumberFormat="1" applyFont="1" applyAlignment="1">
      <alignment horizontal="right"/>
    </xf>
    <xf numFmtId="40" fontId="52" fillId="0" borderId="0" xfId="0" applyNumberFormat="1" applyFont="1" applyAlignment="1">
      <alignment horizontal="right" vertical="center"/>
    </xf>
    <xf numFmtId="0" fontId="52" fillId="0" borderId="0" xfId="0" applyFont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56" fillId="0" borderId="27" xfId="0" applyFont="1" applyBorder="1" applyAlignment="1">
      <alignment horizontal="center"/>
    </xf>
    <xf numFmtId="0" fontId="56" fillId="0" borderId="28" xfId="0" applyFont="1" applyBorder="1" applyAlignment="1">
      <alignment horizontal="center"/>
    </xf>
    <xf numFmtId="179" fontId="56" fillId="0" borderId="28" xfId="0" applyNumberFormat="1" applyFont="1" applyBorder="1"/>
    <xf numFmtId="179" fontId="57" fillId="0" borderId="28" xfId="0" applyNumberFormat="1" applyFont="1" applyBorder="1" applyAlignment="1">
      <alignment horizontal="right"/>
    </xf>
    <xf numFmtId="179" fontId="55" fillId="0" borderId="28" xfId="0" applyNumberFormat="1" applyFont="1" applyBorder="1" applyAlignment="1">
      <alignment horizontal="right" vertical="center"/>
    </xf>
    <xf numFmtId="0" fontId="55" fillId="0" borderId="29" xfId="0" applyFont="1" applyBorder="1" applyAlignment="1">
      <alignment horizontal="right" vertical="center"/>
    </xf>
    <xf numFmtId="172" fontId="0" fillId="0" borderId="0" xfId="0" applyNumberFormat="1" applyAlignment="1">
      <alignment horizontal="center"/>
    </xf>
    <xf numFmtId="0" fontId="0" fillId="28" borderId="0" xfId="0" applyFill="1"/>
    <xf numFmtId="0" fontId="0" fillId="6" borderId="0" xfId="0" applyFill="1" applyAlignme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0" applyNumberFormat="1" applyFont="1" applyAlignment="1">
      <alignment horizontal="right" vertical="center"/>
    </xf>
    <xf numFmtId="173" fontId="62" fillId="0" borderId="0" xfId="3" applyNumberFormat="1" applyFont="1" applyAlignment="1">
      <alignment horizontal="center"/>
    </xf>
    <xf numFmtId="0" fontId="62" fillId="0" borderId="0" xfId="3" applyFont="1" applyAlignment="1">
      <alignment horizontal="left"/>
    </xf>
    <xf numFmtId="4" fontId="62" fillId="0" borderId="0" xfId="3" applyNumberFormat="1" applyFont="1" applyAlignment="1">
      <alignment horizontal="right" vertical="center"/>
    </xf>
    <xf numFmtId="0" fontId="62" fillId="0" borderId="0" xfId="3" applyFont="1" applyAlignment="1">
      <alignment horizontal="center" vertical="center"/>
    </xf>
    <xf numFmtId="0" fontId="62" fillId="0" borderId="27" xfId="0" applyFont="1" applyBorder="1" applyAlignment="1">
      <alignment horizontal="center"/>
    </xf>
    <xf numFmtId="0" fontId="62" fillId="0" borderId="28" xfId="0" applyFont="1" applyBorder="1" applyAlignment="1">
      <alignment horizontal="center"/>
    </xf>
    <xf numFmtId="179" fontId="62" fillId="0" borderId="28" xfId="0" applyNumberFormat="1" applyFont="1" applyBorder="1"/>
    <xf numFmtId="179" fontId="63" fillId="0" borderId="28" xfId="0" applyNumberFormat="1" applyFont="1" applyBorder="1" applyAlignment="1">
      <alignment horizontal="right"/>
    </xf>
    <xf numFmtId="179" fontId="60" fillId="0" borderId="28" xfId="0" applyNumberFormat="1" applyFont="1" applyBorder="1" applyAlignment="1">
      <alignment horizontal="right" vertical="center"/>
    </xf>
    <xf numFmtId="0" fontId="60" fillId="0" borderId="29" xfId="0" applyFont="1" applyBorder="1" applyAlignment="1">
      <alignment horizontal="right" vertical="center"/>
    </xf>
    <xf numFmtId="179" fontId="60" fillId="0" borderId="28" xfId="3" applyNumberFormat="1" applyFont="1" applyBorder="1" applyAlignment="1">
      <alignment horizontal="right"/>
    </xf>
    <xf numFmtId="179" fontId="60" fillId="0" borderId="28" xfId="3" applyNumberFormat="1" applyFont="1" applyBorder="1" applyAlignment="1">
      <alignment horizontal="right" vertical="center"/>
    </xf>
    <xf numFmtId="169" fontId="58" fillId="25" borderId="0" xfId="3" applyNumberFormat="1" applyFont="1" applyFill="1" applyAlignment="1">
      <alignment horizontal="center" vertical="center"/>
    </xf>
    <xf numFmtId="0" fontId="59" fillId="25" borderId="0" xfId="3" applyFont="1" applyFill="1" applyAlignment="1">
      <alignment horizontal="center"/>
    </xf>
    <xf numFmtId="4" fontId="58" fillId="25" borderId="0" xfId="3" applyNumberFormat="1" applyFont="1" applyFill="1" applyAlignment="1">
      <alignment horizontal="right" vertical="center"/>
    </xf>
    <xf numFmtId="164" fontId="0" fillId="0" borderId="0" xfId="27" applyFont="1"/>
    <xf numFmtId="169" fontId="66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/>
    </xf>
    <xf numFmtId="4" fontId="66" fillId="0" borderId="0" xfId="0" applyNumberFormat="1" applyFont="1" applyAlignment="1">
      <alignment horizontal="right" vertical="center"/>
    </xf>
    <xf numFmtId="172" fontId="70" fillId="0" borderId="0" xfId="3" applyNumberFormat="1" applyFont="1" applyAlignment="1">
      <alignment horizontal="center"/>
    </xf>
    <xf numFmtId="4" fontId="70" fillId="0" borderId="0" xfId="3" applyNumberFormat="1" applyFont="1" applyAlignment="1">
      <alignment horizontal="right" vertical="center"/>
    </xf>
    <xf numFmtId="0" fontId="70" fillId="0" borderId="0" xfId="3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4" fontId="70" fillId="0" borderId="0" xfId="0" applyNumberFormat="1" applyFont="1" applyAlignment="1">
      <alignment horizontal="right" vertical="center"/>
    </xf>
    <xf numFmtId="2" fontId="0" fillId="0" borderId="0" xfId="0" applyNumberFormat="1"/>
    <xf numFmtId="0" fontId="70" fillId="0" borderId="27" xfId="0" applyFont="1" applyBorder="1" applyAlignment="1">
      <alignment horizontal="center"/>
    </xf>
    <xf numFmtId="0" fontId="70" fillId="0" borderId="28" xfId="0" applyFont="1" applyBorder="1" applyAlignment="1">
      <alignment horizontal="center"/>
    </xf>
    <xf numFmtId="179" fontId="70" fillId="0" borderId="28" xfId="0" applyNumberFormat="1" applyFont="1" applyBorder="1"/>
    <xf numFmtId="179" fontId="71" fillId="0" borderId="28" xfId="0" applyNumberFormat="1" applyFont="1" applyBorder="1" applyAlignment="1">
      <alignment horizontal="right"/>
    </xf>
    <xf numFmtId="179" fontId="68" fillId="0" borderId="28" xfId="0" applyNumberFormat="1" applyFont="1" applyBorder="1" applyAlignment="1">
      <alignment horizontal="right" vertical="center"/>
    </xf>
    <xf numFmtId="0" fontId="68" fillId="0" borderId="29" xfId="0" applyFont="1" applyBorder="1" applyAlignment="1">
      <alignment horizontal="right" vertical="center"/>
    </xf>
    <xf numFmtId="4" fontId="72" fillId="0" borderId="0" xfId="3" applyNumberFormat="1" applyFont="1" applyAlignment="1">
      <alignment horizontal="right"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/>
    </xf>
    <xf numFmtId="4" fontId="72" fillId="0" borderId="0" xfId="0" applyNumberFormat="1" applyFont="1" applyAlignment="1">
      <alignment horizontal="right" vertical="center"/>
    </xf>
    <xf numFmtId="0" fontId="72" fillId="0" borderId="0" xfId="0" applyFont="1" applyAlignment="1">
      <alignment horizontal="right" vertical="center"/>
    </xf>
    <xf numFmtId="4" fontId="68" fillId="0" borderId="0" xfId="3" applyNumberFormat="1" applyFont="1" applyAlignment="1">
      <alignment horizontal="right" vertical="center"/>
    </xf>
    <xf numFmtId="0" fontId="74" fillId="22" borderId="35" xfId="0" applyFont="1" applyFill="1" applyBorder="1" applyAlignment="1">
      <alignment horizontal="center" vertical="center"/>
    </xf>
    <xf numFmtId="169" fontId="75" fillId="0" borderId="0" xfId="3" applyNumberFormat="1" applyFont="1" applyAlignment="1">
      <alignment horizontal="center" vertical="center"/>
    </xf>
    <xf numFmtId="170" fontId="75" fillId="0" borderId="0" xfId="3" applyNumberFormat="1" applyFont="1" applyAlignment="1">
      <alignment horizontal="center" vertical="center"/>
    </xf>
    <xf numFmtId="171" fontId="75" fillId="0" borderId="0" xfId="3" applyNumberFormat="1" applyFont="1" applyAlignment="1">
      <alignment horizontal="center" vertical="center"/>
    </xf>
    <xf numFmtId="173" fontId="75" fillId="0" borderId="0" xfId="3" applyNumberFormat="1" applyFont="1" applyAlignment="1">
      <alignment horizontal="center" vertical="center"/>
    </xf>
    <xf numFmtId="0" fontId="75" fillId="0" borderId="0" xfId="3" applyFont="1" applyAlignment="1">
      <alignment horizontal="left" vertical="center"/>
    </xf>
    <xf numFmtId="40" fontId="76" fillId="0" borderId="0" xfId="3" applyNumberFormat="1" applyFont="1" applyAlignment="1">
      <alignment horizontal="right" vertical="center"/>
    </xf>
    <xf numFmtId="40" fontId="76" fillId="0" borderId="0" xfId="3" applyNumberFormat="1" applyFont="1" applyAlignment="1">
      <alignment vertical="center"/>
    </xf>
    <xf numFmtId="40" fontId="76" fillId="0" borderId="0" xfId="3" applyNumberFormat="1" applyFont="1" applyAlignment="1">
      <alignment horizontal="center" vertical="center"/>
    </xf>
    <xf numFmtId="0" fontId="75" fillId="0" borderId="0" xfId="3" applyFont="1" applyAlignment="1">
      <alignment horizontal="center" vertical="center"/>
    </xf>
    <xf numFmtId="172" fontId="77" fillId="0" borderId="0" xfId="3" applyNumberFormat="1" applyFont="1" applyAlignment="1">
      <alignment horizontal="center"/>
    </xf>
    <xf numFmtId="173" fontId="77" fillId="0" borderId="0" xfId="3" applyNumberFormat="1" applyFont="1" applyAlignment="1">
      <alignment horizontal="center"/>
    </xf>
    <xf numFmtId="0" fontId="77" fillId="0" borderId="0" xfId="3" applyFont="1" applyAlignment="1">
      <alignment horizontal="left"/>
    </xf>
    <xf numFmtId="4" fontId="77" fillId="0" borderId="0" xfId="3" applyNumberFormat="1" applyFont="1" applyAlignment="1">
      <alignment horizontal="right" vertical="center"/>
    </xf>
    <xf numFmtId="0" fontId="77" fillId="0" borderId="0" xfId="3" applyFont="1" applyAlignment="1">
      <alignment horizontal="center" vertical="center"/>
    </xf>
    <xf numFmtId="169" fontId="78" fillId="0" borderId="0" xfId="3" applyNumberFormat="1" applyFont="1" applyAlignment="1">
      <alignment horizontal="center" vertical="center"/>
    </xf>
    <xf numFmtId="4" fontId="78" fillId="0" borderId="0" xfId="3" applyNumberFormat="1" applyFont="1" applyAlignment="1">
      <alignment horizontal="right" vertical="center"/>
    </xf>
    <xf numFmtId="0" fontId="79" fillId="0" borderId="0" xfId="0" applyFont="1" applyAlignment="1">
      <alignment horizontal="center"/>
    </xf>
    <xf numFmtId="0" fontId="79" fillId="0" borderId="0" xfId="3" applyFont="1" applyAlignment="1">
      <alignment horizontal="center"/>
    </xf>
    <xf numFmtId="172" fontId="75" fillId="0" borderId="0" xfId="3" applyNumberFormat="1" applyFont="1" applyAlignment="1">
      <alignment horizontal="center" vertical="center"/>
    </xf>
    <xf numFmtId="164" fontId="36" fillId="0" borderId="0" xfId="27" applyFont="1" applyAlignment="1">
      <alignment horizontal="right" vertical="center"/>
    </xf>
    <xf numFmtId="164" fontId="77" fillId="0" borderId="0" xfId="27" applyFont="1" applyFill="1" applyAlignment="1">
      <alignment horizontal="right" vertical="center"/>
    </xf>
    <xf numFmtId="0" fontId="36" fillId="0" borderId="0" xfId="0" applyFont="1" applyAlignment="1">
      <alignment horizontal="right" vertical="center"/>
    </xf>
    <xf numFmtId="4" fontId="75" fillId="0" borderId="0" xfId="3" applyNumberFormat="1" applyFont="1" applyAlignment="1">
      <alignment horizontal="right" vertical="center"/>
    </xf>
    <xf numFmtId="0" fontId="80" fillId="22" borderId="35" xfId="0" applyFont="1" applyFill="1" applyBorder="1" applyAlignment="1">
      <alignment horizontal="center" vertical="center"/>
    </xf>
    <xf numFmtId="164" fontId="3" fillId="0" borderId="0" xfId="27" applyFont="1"/>
    <xf numFmtId="40" fontId="40" fillId="30" borderId="0" xfId="3" applyNumberFormat="1" applyFont="1" applyFill="1" applyAlignment="1">
      <alignment horizontal="right" vertical="center"/>
    </xf>
    <xf numFmtId="40" fontId="40" fillId="30" borderId="0" xfId="3" applyNumberFormat="1" applyFont="1" applyFill="1" applyAlignment="1">
      <alignment vertical="center"/>
    </xf>
    <xf numFmtId="40" fontId="7" fillId="30" borderId="0" xfId="3" applyNumberFormat="1" applyFont="1" applyFill="1" applyAlignment="1">
      <alignment vertical="center"/>
    </xf>
    <xf numFmtId="40" fontId="7" fillId="30" borderId="0" xfId="3" applyNumberFormat="1" applyFont="1" applyFill="1" applyAlignment="1">
      <alignment horizontal="center" vertical="center"/>
    </xf>
    <xf numFmtId="39" fontId="0" fillId="0" borderId="1" xfId="0" applyNumberFormat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center"/>
    </xf>
    <xf numFmtId="4" fontId="81" fillId="0" borderId="0" xfId="0" applyNumberFormat="1" applyFont="1" applyAlignment="1">
      <alignment horizontal="right" vertical="center"/>
    </xf>
    <xf numFmtId="181" fontId="82" fillId="0" borderId="0" xfId="0" applyNumberFormat="1" applyFont="1" applyAlignment="1">
      <alignment horizontal="center"/>
    </xf>
    <xf numFmtId="4" fontId="81" fillId="0" borderId="0" xfId="3" applyNumberFormat="1" applyFont="1" applyAlignment="1">
      <alignment horizontal="right" vertical="center"/>
    </xf>
    <xf numFmtId="40" fontId="7" fillId="30" borderId="0" xfId="3" applyNumberFormat="1" applyFont="1" applyFill="1" applyAlignment="1">
      <alignment horizontal="right" vertical="center"/>
    </xf>
    <xf numFmtId="0" fontId="39" fillId="30" borderId="0" xfId="3" applyFont="1" applyFill="1" applyAlignment="1">
      <alignment horizontal="left" vertical="center"/>
    </xf>
    <xf numFmtId="0" fontId="39" fillId="30" borderId="0" xfId="3" applyFont="1" applyFill="1" applyAlignment="1">
      <alignment horizontal="center" vertical="center"/>
    </xf>
    <xf numFmtId="0" fontId="6" fillId="30" borderId="0" xfId="3" applyFont="1" applyFill="1" applyAlignment="1">
      <alignment horizontal="left" vertical="center"/>
    </xf>
    <xf numFmtId="0" fontId="6" fillId="30" borderId="0" xfId="3" applyFont="1" applyFill="1" applyAlignment="1">
      <alignment horizontal="center" vertical="center"/>
    </xf>
    <xf numFmtId="0" fontId="81" fillId="0" borderId="0" xfId="0" applyFont="1" applyAlignment="1">
      <alignment horizontal="right" vertical="center"/>
    </xf>
    <xf numFmtId="4" fontId="83" fillId="0" borderId="0" xfId="3" applyNumberFormat="1" applyFont="1" applyAlignment="1">
      <alignment horizontal="right" vertical="center"/>
    </xf>
    <xf numFmtId="0" fontId="3" fillId="22" borderId="35" xfId="0" applyFont="1" applyFill="1" applyBorder="1" applyAlignment="1">
      <alignment horizontal="center" vertical="center"/>
    </xf>
    <xf numFmtId="169" fontId="85" fillId="0" borderId="34" xfId="3" applyNumberFormat="1" applyFont="1" applyBorder="1" applyAlignment="1">
      <alignment horizontal="center"/>
    </xf>
    <xf numFmtId="170" fontId="85" fillId="0" borderId="1" xfId="3" applyNumberFormat="1" applyFont="1" applyBorder="1" applyAlignment="1">
      <alignment horizontal="center"/>
    </xf>
    <xf numFmtId="171" fontId="85" fillId="0" borderId="9" xfId="3" applyNumberFormat="1" applyFont="1" applyBorder="1" applyAlignment="1">
      <alignment horizontal="center"/>
    </xf>
    <xf numFmtId="172" fontId="85" fillId="0" borderId="1" xfId="3" applyNumberFormat="1" applyFont="1" applyBorder="1" applyAlignment="1">
      <alignment horizontal="center"/>
    </xf>
    <xf numFmtId="0" fontId="85" fillId="0" borderId="1" xfId="3" applyFont="1" applyBorder="1" applyAlignment="1">
      <alignment horizontal="center"/>
    </xf>
    <xf numFmtId="173" fontId="85" fillId="0" borderId="1" xfId="3" applyNumberFormat="1" applyFont="1" applyBorder="1" applyAlignment="1">
      <alignment horizontal="center"/>
    </xf>
    <xf numFmtId="179" fontId="85" fillId="0" borderId="1" xfId="3" applyNumberFormat="1" applyFont="1" applyBorder="1"/>
    <xf numFmtId="179" fontId="85" fillId="0" borderId="1" xfId="3" applyNumberFormat="1" applyFont="1" applyBorder="1" applyAlignment="1">
      <alignment horizontal="right"/>
    </xf>
    <xf numFmtId="179" fontId="85" fillId="0" borderId="1" xfId="3" applyNumberFormat="1" applyFont="1" applyBorder="1" applyAlignment="1">
      <alignment horizontal="right" vertical="center"/>
    </xf>
    <xf numFmtId="40" fontId="83" fillId="0" borderId="13" xfId="3" applyNumberFormat="1" applyFont="1" applyBorder="1" applyAlignment="1">
      <alignment horizontal="right" vertical="center"/>
    </xf>
    <xf numFmtId="169" fontId="85" fillId="0" borderId="23" xfId="3" applyNumberFormat="1" applyFont="1" applyBorder="1" applyAlignment="1">
      <alignment horizontal="center"/>
    </xf>
    <xf numFmtId="170" fontId="85" fillId="0" borderId="28" xfId="3" applyNumberFormat="1" applyFont="1" applyBorder="1" applyAlignment="1">
      <alignment horizontal="center"/>
    </xf>
    <xf numFmtId="171" fontId="85" fillId="0" borderId="27" xfId="3" applyNumberFormat="1" applyFont="1" applyBorder="1" applyAlignment="1">
      <alignment horizontal="center"/>
    </xf>
    <xf numFmtId="172" fontId="85" fillId="0" borderId="28" xfId="3" applyNumberFormat="1" applyFont="1" applyBorder="1" applyAlignment="1">
      <alignment horizontal="center"/>
    </xf>
    <xf numFmtId="0" fontId="85" fillId="0" borderId="28" xfId="3" applyFont="1" applyBorder="1" applyAlignment="1">
      <alignment horizontal="center"/>
    </xf>
    <xf numFmtId="173" fontId="85" fillId="0" borderId="28" xfId="3" applyNumberFormat="1" applyFont="1" applyBorder="1" applyAlignment="1">
      <alignment horizontal="center"/>
    </xf>
    <xf numFmtId="179" fontId="85" fillId="0" borderId="28" xfId="3" applyNumberFormat="1" applyFont="1" applyBorder="1"/>
    <xf numFmtId="179" fontId="85" fillId="0" borderId="28" xfId="3" applyNumberFormat="1" applyFont="1" applyBorder="1" applyAlignment="1">
      <alignment horizontal="right"/>
    </xf>
    <xf numFmtId="179" fontId="85" fillId="0" borderId="28" xfId="3" applyNumberFormat="1" applyFont="1" applyBorder="1" applyAlignment="1">
      <alignment horizontal="right" vertical="center"/>
    </xf>
    <xf numFmtId="40" fontId="83" fillId="0" borderId="29" xfId="3" applyNumberFormat="1" applyFont="1" applyBorder="1" applyAlignment="1">
      <alignment horizontal="right" vertical="center"/>
    </xf>
    <xf numFmtId="169" fontId="85" fillId="31" borderId="34" xfId="3" applyNumberFormat="1" applyFont="1" applyFill="1" applyBorder="1" applyAlignment="1">
      <alignment horizontal="center"/>
    </xf>
    <xf numFmtId="170" fontId="85" fillId="31" borderId="1" xfId="3" applyNumberFormat="1" applyFont="1" applyFill="1" applyBorder="1" applyAlignment="1">
      <alignment horizontal="center"/>
    </xf>
    <xf numFmtId="171" fontId="85" fillId="31" borderId="9" xfId="3" applyNumberFormat="1" applyFont="1" applyFill="1" applyBorder="1" applyAlignment="1">
      <alignment horizontal="center"/>
    </xf>
    <xf numFmtId="172" fontId="85" fillId="31" borderId="1" xfId="3" applyNumberFormat="1" applyFont="1" applyFill="1" applyBorder="1" applyAlignment="1">
      <alignment horizontal="center"/>
    </xf>
    <xf numFmtId="0" fontId="85" fillId="31" borderId="1" xfId="3" applyFont="1" applyFill="1" applyBorder="1" applyAlignment="1">
      <alignment horizontal="center"/>
    </xf>
    <xf numFmtId="173" fontId="85" fillId="31" borderId="1" xfId="3" applyNumberFormat="1" applyFont="1" applyFill="1" applyBorder="1" applyAlignment="1">
      <alignment horizontal="center"/>
    </xf>
    <xf numFmtId="179" fontId="85" fillId="31" borderId="1" xfId="3" applyNumberFormat="1" applyFont="1" applyFill="1" applyBorder="1"/>
    <xf numFmtId="171" fontId="83" fillId="0" borderId="0" xfId="3" applyNumberFormat="1" applyFont="1" applyAlignment="1">
      <alignment horizontal="center" vertical="center"/>
    </xf>
    <xf numFmtId="172" fontId="83" fillId="0" borderId="0" xfId="3" applyNumberFormat="1" applyFont="1" applyAlignment="1">
      <alignment horizontal="center" vertical="center"/>
    </xf>
    <xf numFmtId="173" fontId="83" fillId="0" borderId="0" xfId="3" applyNumberFormat="1" applyFont="1" applyAlignment="1">
      <alignment horizontal="center" vertical="center"/>
    </xf>
    <xf numFmtId="0" fontId="83" fillId="0" borderId="0" xfId="3" applyFont="1" applyAlignment="1">
      <alignment horizontal="center" vertical="center"/>
    </xf>
    <xf numFmtId="169" fontId="81" fillId="0" borderId="0" xfId="3" applyNumberFormat="1" applyFont="1" applyAlignment="1">
      <alignment horizontal="center" vertical="center"/>
    </xf>
    <xf numFmtId="164" fontId="36" fillId="0" borderId="0" xfId="27" applyFont="1" applyAlignment="1">
      <alignment horizontal="center" vertical="center"/>
    </xf>
    <xf numFmtId="164" fontId="81" fillId="0" borderId="0" xfId="27" applyFont="1" applyFill="1" applyAlignment="1">
      <alignment horizontal="center" vertical="center"/>
    </xf>
    <xf numFmtId="4" fontId="0" fillId="0" borderId="0" xfId="0" applyNumberFormat="1"/>
    <xf numFmtId="0" fontId="88" fillId="0" borderId="27" xfId="0" applyFont="1" applyBorder="1" applyAlignment="1">
      <alignment horizontal="center"/>
    </xf>
    <xf numFmtId="0" fontId="88" fillId="0" borderId="28" xfId="0" applyFont="1" applyBorder="1" applyAlignment="1">
      <alignment horizontal="center"/>
    </xf>
    <xf numFmtId="40" fontId="91" fillId="0" borderId="28" xfId="0" applyNumberFormat="1" applyFont="1" applyBorder="1" applyAlignment="1">
      <alignment horizontal="right"/>
    </xf>
    <xf numFmtId="40" fontId="86" fillId="0" borderId="28" xfId="0" applyNumberFormat="1" applyFont="1" applyBorder="1" applyAlignment="1">
      <alignment horizontal="right" vertical="center"/>
    </xf>
    <xf numFmtId="0" fontId="86" fillId="0" borderId="29" xfId="0" applyFont="1" applyBorder="1" applyAlignment="1">
      <alignment horizontal="right" vertical="center"/>
    </xf>
    <xf numFmtId="172" fontId="88" fillId="0" borderId="0" xfId="3" applyNumberFormat="1" applyFont="1" applyAlignment="1">
      <alignment horizontal="center"/>
    </xf>
    <xf numFmtId="173" fontId="88" fillId="0" borderId="0" xfId="3" applyNumberFormat="1" applyFont="1" applyAlignment="1">
      <alignment horizontal="center"/>
    </xf>
    <xf numFmtId="0" fontId="88" fillId="0" borderId="0" xfId="3" applyFont="1" applyAlignment="1">
      <alignment horizontal="left"/>
    </xf>
    <xf numFmtId="0" fontId="88" fillId="0" borderId="0" xfId="3" applyFont="1" applyAlignment="1">
      <alignment horizontal="center" vertical="center"/>
    </xf>
    <xf numFmtId="164" fontId="88" fillId="0" borderId="0" xfId="27" applyFont="1" applyFill="1" applyAlignment="1">
      <alignment horizontal="right" vertical="center"/>
    </xf>
    <xf numFmtId="169" fontId="86" fillId="0" borderId="0" xfId="3" applyNumberFormat="1" applyFont="1" applyAlignment="1">
      <alignment horizontal="center" vertical="center"/>
    </xf>
    <xf numFmtId="170" fontId="86" fillId="0" borderId="0" xfId="3" applyNumberFormat="1" applyFont="1" applyAlignment="1">
      <alignment horizontal="center" vertical="center"/>
    </xf>
    <xf numFmtId="171" fontId="86" fillId="0" borderId="0" xfId="3" applyNumberFormat="1" applyFont="1" applyAlignment="1">
      <alignment horizontal="center" vertical="center"/>
    </xf>
    <xf numFmtId="172" fontId="86" fillId="0" borderId="0" xfId="3" applyNumberFormat="1" applyFont="1" applyAlignment="1">
      <alignment horizontal="center" vertical="center"/>
    </xf>
    <xf numFmtId="173" fontId="86" fillId="0" borderId="0" xfId="3" applyNumberFormat="1" applyFont="1" applyAlignment="1">
      <alignment horizontal="center" vertical="center"/>
    </xf>
    <xf numFmtId="0" fontId="86" fillId="0" borderId="0" xfId="3" applyFont="1" applyAlignment="1">
      <alignment horizontal="left" vertical="center"/>
    </xf>
    <xf numFmtId="40" fontId="87" fillId="0" borderId="0" xfId="3" applyNumberFormat="1" applyFont="1" applyAlignment="1">
      <alignment horizontal="right" vertical="center"/>
    </xf>
    <xf numFmtId="40" fontId="87" fillId="0" borderId="0" xfId="3" applyNumberFormat="1" applyFont="1" applyAlignment="1">
      <alignment vertical="center"/>
    </xf>
    <xf numFmtId="40" fontId="87" fillId="0" borderId="0" xfId="3" applyNumberFormat="1" applyFont="1" applyAlignment="1">
      <alignment horizontal="center" vertical="center"/>
    </xf>
    <xf numFmtId="0" fontId="86" fillId="0" borderId="0" xfId="3" applyFont="1" applyAlignment="1">
      <alignment horizontal="center" vertical="center"/>
    </xf>
    <xf numFmtId="169" fontId="89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center"/>
    </xf>
    <xf numFmtId="14" fontId="90" fillId="0" borderId="0" xfId="3" applyNumberFormat="1" applyFont="1" applyAlignment="1">
      <alignment horizontal="left"/>
    </xf>
    <xf numFmtId="4" fontId="89" fillId="0" borderId="0" xfId="3" applyNumberFormat="1" applyFont="1" applyAlignment="1">
      <alignment horizontal="right" vertical="center"/>
    </xf>
    <xf numFmtId="170" fontId="6" fillId="30" borderId="0" xfId="3" applyNumberFormat="1" applyFont="1" applyFill="1" applyAlignment="1">
      <alignment horizontal="center" vertical="center"/>
    </xf>
    <xf numFmtId="171" fontId="86" fillId="30" borderId="0" xfId="3" applyNumberFormat="1" applyFont="1" applyFill="1" applyAlignment="1">
      <alignment horizontal="center" vertical="center"/>
    </xf>
    <xf numFmtId="172" fontId="86" fillId="30" borderId="0" xfId="3" applyNumberFormat="1" applyFont="1" applyFill="1" applyAlignment="1">
      <alignment horizontal="center" vertical="center"/>
    </xf>
    <xf numFmtId="173" fontId="86" fillId="30" borderId="0" xfId="3" applyNumberFormat="1" applyFont="1" applyFill="1" applyAlignment="1">
      <alignment horizontal="center" vertical="center"/>
    </xf>
    <xf numFmtId="169" fontId="6" fillId="30" borderId="0" xfId="3" applyNumberFormat="1" applyFont="1" applyFill="1" applyAlignment="1">
      <alignment horizontal="center" vertical="center"/>
    </xf>
    <xf numFmtId="169" fontId="36" fillId="29" borderId="0" xfId="3" applyNumberFormat="1" applyFont="1" applyFill="1" applyAlignment="1">
      <alignment horizontal="center" vertical="center"/>
    </xf>
    <xf numFmtId="0" fontId="0" fillId="32" borderId="1" xfId="0" applyFill="1" applyBorder="1"/>
    <xf numFmtId="169" fontId="60" fillId="30" borderId="0" xfId="3" applyNumberFormat="1" applyFont="1" applyFill="1" applyAlignment="1">
      <alignment horizontal="center" vertical="center"/>
    </xf>
    <xf numFmtId="170" fontId="60" fillId="30" borderId="0" xfId="3" applyNumberFormat="1" applyFont="1" applyFill="1" applyAlignment="1">
      <alignment horizontal="center" vertical="center"/>
    </xf>
    <xf numFmtId="171" fontId="60" fillId="30" borderId="0" xfId="3" applyNumberFormat="1" applyFont="1" applyFill="1" applyAlignment="1">
      <alignment horizontal="center" vertical="center"/>
    </xf>
    <xf numFmtId="172" fontId="60" fillId="30" borderId="0" xfId="3" applyNumberFormat="1" applyFont="1" applyFill="1" applyAlignment="1">
      <alignment horizontal="center" vertical="center"/>
    </xf>
    <xf numFmtId="173" fontId="60" fillId="30" borderId="0" xfId="3" applyNumberFormat="1" applyFont="1" applyFill="1" applyAlignment="1">
      <alignment horizontal="center" vertical="center"/>
    </xf>
    <xf numFmtId="0" fontId="60" fillId="30" borderId="0" xfId="3" applyFont="1" applyFill="1" applyAlignment="1">
      <alignment horizontal="left" vertical="center"/>
    </xf>
    <xf numFmtId="40" fontId="61" fillId="30" borderId="0" xfId="3" applyNumberFormat="1" applyFont="1" applyFill="1" applyAlignment="1">
      <alignment horizontal="right" vertical="center"/>
    </xf>
    <xf numFmtId="40" fontId="61" fillId="30" borderId="0" xfId="3" applyNumberFormat="1" applyFont="1" applyFill="1" applyAlignment="1">
      <alignment vertical="center"/>
    </xf>
    <xf numFmtId="40" fontId="61" fillId="30" borderId="0" xfId="3" applyNumberFormat="1" applyFont="1" applyFill="1" applyAlignment="1">
      <alignment horizontal="center" vertical="center"/>
    </xf>
    <xf numFmtId="0" fontId="60" fillId="30" borderId="0" xfId="3" applyFont="1" applyFill="1" applyAlignment="1">
      <alignment horizontal="center" vertical="center"/>
    </xf>
    <xf numFmtId="171" fontId="6" fillId="30" borderId="0" xfId="3" applyNumberFormat="1" applyFont="1" applyFill="1" applyAlignment="1">
      <alignment horizontal="center" vertical="center"/>
    </xf>
    <xf numFmtId="172" fontId="6" fillId="30" borderId="0" xfId="3" applyNumberFormat="1" applyFont="1" applyFill="1" applyAlignment="1">
      <alignment horizontal="center" vertical="center"/>
    </xf>
    <xf numFmtId="173" fontId="6" fillId="30" borderId="0" xfId="3" applyNumberFormat="1" applyFont="1" applyFill="1" applyAlignment="1">
      <alignment horizontal="center" vertical="center"/>
    </xf>
    <xf numFmtId="169" fontId="39" fillId="30" borderId="0" xfId="3" applyNumberFormat="1" applyFont="1" applyFill="1" applyAlignment="1">
      <alignment horizontal="center" vertical="center"/>
    </xf>
    <xf numFmtId="171" fontId="39" fillId="30" borderId="0" xfId="3" applyNumberFormat="1" applyFont="1" applyFill="1" applyAlignment="1">
      <alignment horizontal="center" vertical="center"/>
    </xf>
    <xf numFmtId="172" fontId="39" fillId="30" borderId="0" xfId="3" applyNumberFormat="1" applyFont="1" applyFill="1" applyAlignment="1">
      <alignment horizontal="center" vertical="center"/>
    </xf>
    <xf numFmtId="173" fontId="39" fillId="30" borderId="0" xfId="3" applyNumberFormat="1" applyFont="1" applyFill="1" applyAlignment="1">
      <alignment horizontal="center" vertical="center"/>
    </xf>
    <xf numFmtId="169" fontId="92" fillId="30" borderId="0" xfId="3" applyNumberFormat="1" applyFont="1" applyFill="1" applyAlignment="1">
      <alignment horizontal="center" vertical="center"/>
    </xf>
    <xf numFmtId="171" fontId="92" fillId="30" borderId="0" xfId="3" applyNumberFormat="1" applyFont="1" applyFill="1" applyAlignment="1">
      <alignment horizontal="center" vertical="center"/>
    </xf>
    <xf numFmtId="172" fontId="92" fillId="30" borderId="0" xfId="3" applyNumberFormat="1" applyFont="1" applyFill="1" applyAlignment="1">
      <alignment horizontal="center" vertical="center"/>
    </xf>
    <xf numFmtId="173" fontId="92" fillId="30" borderId="0" xfId="3" applyNumberFormat="1" applyFont="1" applyFill="1" applyAlignment="1">
      <alignment horizontal="center" vertical="center"/>
    </xf>
    <xf numFmtId="0" fontId="92" fillId="30" borderId="0" xfId="3" applyFont="1" applyFill="1" applyAlignment="1">
      <alignment horizontal="left" vertical="center"/>
    </xf>
    <xf numFmtId="40" fontId="93" fillId="30" borderId="0" xfId="3" applyNumberFormat="1" applyFont="1" applyFill="1" applyAlignment="1">
      <alignment horizontal="right" vertical="center"/>
    </xf>
    <xf numFmtId="40" fontId="93" fillId="30" borderId="0" xfId="3" applyNumberFormat="1" applyFont="1" applyFill="1" applyAlignment="1">
      <alignment vertical="center"/>
    </xf>
    <xf numFmtId="0" fontId="92" fillId="30" borderId="0" xfId="3" applyFont="1" applyFill="1" applyAlignment="1">
      <alignment horizontal="center" vertical="center"/>
    </xf>
    <xf numFmtId="170" fontId="92" fillId="30" borderId="0" xfId="3" applyNumberFormat="1" applyFont="1" applyFill="1" applyAlignment="1">
      <alignment horizontal="center" vertical="center"/>
    </xf>
    <xf numFmtId="169" fontId="60" fillId="0" borderId="0" xfId="3" applyNumberFormat="1" applyFont="1" applyAlignment="1">
      <alignment horizontal="center" vertical="center"/>
    </xf>
    <xf numFmtId="170" fontId="60" fillId="0" borderId="0" xfId="3" applyNumberFormat="1" applyFont="1" applyAlignment="1">
      <alignment horizontal="center" vertical="center"/>
    </xf>
    <xf numFmtId="171" fontId="60" fillId="0" borderId="0" xfId="3" applyNumberFormat="1" applyFont="1" applyAlignment="1">
      <alignment horizontal="center" vertical="center"/>
    </xf>
    <xf numFmtId="172" fontId="60" fillId="0" borderId="0" xfId="3" applyNumberFormat="1" applyFont="1" applyAlignment="1">
      <alignment horizontal="center" vertical="center"/>
    </xf>
    <xf numFmtId="173" fontId="60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left" vertical="center"/>
    </xf>
    <xf numFmtId="40" fontId="61" fillId="0" borderId="0" xfId="3" applyNumberFormat="1" applyFont="1" applyAlignment="1">
      <alignment horizontal="right" vertical="center"/>
    </xf>
    <xf numFmtId="40" fontId="61" fillId="0" borderId="0" xfId="3" applyNumberFormat="1" applyFont="1" applyAlignment="1">
      <alignment vertical="center"/>
    </xf>
    <xf numFmtId="40" fontId="61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169" fontId="36" fillId="30" borderId="0" xfId="3" applyNumberFormat="1" applyFont="1" applyFill="1" applyAlignment="1">
      <alignment horizontal="center" vertical="center"/>
    </xf>
    <xf numFmtId="173" fontId="62" fillId="30" borderId="0" xfId="3" applyNumberFormat="1" applyFont="1" applyFill="1" applyAlignment="1">
      <alignment horizontal="center"/>
    </xf>
    <xf numFmtId="0" fontId="62" fillId="30" borderId="0" xfId="3" applyFont="1" applyFill="1" applyAlignment="1">
      <alignment horizontal="left"/>
    </xf>
    <xf numFmtId="4" fontId="62" fillId="30" borderId="0" xfId="3" applyNumberFormat="1" applyFont="1" applyFill="1" applyAlignment="1">
      <alignment horizontal="right" vertical="center"/>
    </xf>
    <xf numFmtId="0" fontId="62" fillId="30" borderId="0" xfId="3" applyFont="1" applyFill="1" applyAlignment="1">
      <alignment horizontal="center" vertical="center"/>
    </xf>
    <xf numFmtId="0" fontId="10" fillId="30" borderId="0" xfId="3" applyFont="1" applyFill="1" applyAlignment="1">
      <alignment horizontal="left"/>
    </xf>
    <xf numFmtId="4" fontId="36" fillId="30" borderId="0" xfId="3" applyNumberFormat="1" applyFont="1" applyFill="1" applyAlignment="1">
      <alignment horizontal="right" vertical="center"/>
    </xf>
    <xf numFmtId="0" fontId="10" fillId="30" borderId="0" xfId="3" applyFont="1" applyFill="1" applyAlignment="1">
      <alignment horizontal="center" vertical="center"/>
    </xf>
    <xf numFmtId="169" fontId="92" fillId="0" borderId="0" xfId="3" applyNumberFormat="1" applyFont="1" applyAlignment="1">
      <alignment horizontal="center" vertical="center"/>
    </xf>
    <xf numFmtId="171" fontId="92" fillId="0" borderId="0" xfId="3" applyNumberFormat="1" applyFont="1" applyAlignment="1">
      <alignment horizontal="center" vertical="center"/>
    </xf>
    <xf numFmtId="172" fontId="92" fillId="0" borderId="0" xfId="3" applyNumberFormat="1" applyFont="1" applyAlignment="1">
      <alignment horizontal="center" vertical="center"/>
    </xf>
    <xf numFmtId="173" fontId="92" fillId="0" borderId="0" xfId="3" applyNumberFormat="1" applyFont="1" applyAlignment="1">
      <alignment horizontal="center" vertical="center"/>
    </xf>
    <xf numFmtId="0" fontId="92" fillId="0" borderId="0" xfId="3" applyFont="1" applyAlignment="1">
      <alignment horizontal="left" vertical="center"/>
    </xf>
    <xf numFmtId="40" fontId="93" fillId="0" borderId="0" xfId="3" applyNumberFormat="1" applyFont="1" applyAlignment="1">
      <alignment horizontal="right" vertical="center"/>
    </xf>
    <xf numFmtId="40" fontId="93" fillId="0" borderId="0" xfId="3" applyNumberFormat="1" applyFont="1" applyAlignment="1">
      <alignment vertical="center"/>
    </xf>
    <xf numFmtId="0" fontId="92" fillId="0" borderId="0" xfId="3" applyFont="1" applyAlignment="1">
      <alignment horizontal="center" vertical="center"/>
    </xf>
    <xf numFmtId="170" fontId="92" fillId="0" borderId="0" xfId="3" applyNumberFormat="1" applyFont="1" applyAlignment="1">
      <alignment horizontal="center" vertical="center"/>
    </xf>
    <xf numFmtId="40" fontId="93" fillId="0" borderId="0" xfId="3" applyNumberFormat="1" applyFont="1" applyAlignment="1">
      <alignment horizontal="center" vertical="center"/>
    </xf>
    <xf numFmtId="164" fontId="58" fillId="25" borderId="0" xfId="27" applyFont="1" applyFill="1" applyAlignment="1">
      <alignment horizontal="right" vertical="center"/>
    </xf>
    <xf numFmtId="164" fontId="58" fillId="0" borderId="0" xfId="27" applyFont="1" applyAlignment="1">
      <alignment horizontal="right" vertical="center"/>
    </xf>
    <xf numFmtId="169" fontId="64" fillId="0" borderId="0" xfId="3" applyNumberFormat="1" applyFont="1" applyAlignment="1">
      <alignment horizontal="center" vertical="center"/>
    </xf>
    <xf numFmtId="171" fontId="64" fillId="0" borderId="0" xfId="3" applyNumberFormat="1" applyFont="1" applyAlignment="1">
      <alignment horizontal="center" vertical="center"/>
    </xf>
    <xf numFmtId="172" fontId="64" fillId="0" borderId="0" xfId="3" applyNumberFormat="1" applyFont="1" applyAlignment="1">
      <alignment horizontal="center" vertical="center"/>
    </xf>
    <xf numFmtId="173" fontId="64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left" vertical="center"/>
    </xf>
    <xf numFmtId="40" fontId="65" fillId="0" borderId="0" xfId="3" applyNumberFormat="1" applyFont="1" applyAlignment="1">
      <alignment horizontal="right" vertical="center"/>
    </xf>
    <xf numFmtId="40" fontId="65" fillId="0" borderId="0" xfId="3" applyNumberFormat="1" applyFont="1" applyAlignment="1">
      <alignment vertical="center"/>
    </xf>
    <xf numFmtId="40" fontId="65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center" vertical="center"/>
    </xf>
    <xf numFmtId="172" fontId="94" fillId="0" borderId="0" xfId="3" applyNumberFormat="1" applyFont="1" applyAlignment="1">
      <alignment horizontal="center"/>
    </xf>
    <xf numFmtId="173" fontId="94" fillId="0" borderId="0" xfId="3" applyNumberFormat="1" applyFont="1" applyAlignment="1">
      <alignment horizontal="center"/>
    </xf>
    <xf numFmtId="0" fontId="94" fillId="0" borderId="0" xfId="3" applyFont="1" applyAlignment="1">
      <alignment horizontal="left"/>
    </xf>
    <xf numFmtId="4" fontId="94" fillId="0" borderId="0" xfId="3" applyNumberFormat="1" applyFont="1" applyAlignment="1">
      <alignment horizontal="right" vertical="center"/>
    </xf>
    <xf numFmtId="0" fontId="94" fillId="0" borderId="0" xfId="3" applyFont="1" applyAlignment="1">
      <alignment horizontal="center" vertical="center"/>
    </xf>
    <xf numFmtId="0" fontId="70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70" fillId="25" borderId="0" xfId="3" applyFont="1" applyFill="1" applyAlignment="1">
      <alignment horizontal="center"/>
    </xf>
    <xf numFmtId="0" fontId="10" fillId="25" borderId="0" xfId="3" applyFont="1" applyFill="1" applyAlignment="1">
      <alignment horizontal="center"/>
    </xf>
    <xf numFmtId="40" fontId="69" fillId="0" borderId="0" xfId="3" applyNumberFormat="1" applyFont="1" applyAlignment="1">
      <alignment horizontal="center" vertical="center"/>
    </xf>
    <xf numFmtId="169" fontId="95" fillId="0" borderId="0" xfId="3" applyNumberFormat="1" applyFont="1" applyAlignment="1">
      <alignment horizontal="center" vertical="center"/>
    </xf>
    <xf numFmtId="40" fontId="69" fillId="0" borderId="0" xfId="3" applyNumberFormat="1" applyFont="1" applyAlignment="1">
      <alignment vertical="center"/>
    </xf>
    <xf numFmtId="170" fontId="68" fillId="0" borderId="0" xfId="3" applyNumberFormat="1" applyFont="1" applyAlignment="1">
      <alignment horizontal="center" vertical="center"/>
    </xf>
    <xf numFmtId="171" fontId="68" fillId="0" borderId="0" xfId="3" applyNumberFormat="1" applyFont="1" applyAlignment="1">
      <alignment horizontal="center" vertical="center"/>
    </xf>
    <xf numFmtId="172" fontId="68" fillId="0" borderId="0" xfId="3" applyNumberFormat="1" applyFont="1" applyAlignment="1">
      <alignment horizontal="center" vertical="center"/>
    </xf>
    <xf numFmtId="173" fontId="68" fillId="0" borderId="0" xfId="3" applyNumberFormat="1" applyFont="1" applyAlignment="1">
      <alignment horizontal="center" vertical="center"/>
    </xf>
    <xf numFmtId="40" fontId="69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0" fontId="0" fillId="0" borderId="0" xfId="0" applyAlignment="1">
      <alignment horizontal="left"/>
    </xf>
    <xf numFmtId="0" fontId="15" fillId="3" borderId="0" xfId="3" applyFont="1" applyFill="1" applyAlignment="1">
      <alignment horizontal="left" vertical="center" wrapText="1"/>
    </xf>
    <xf numFmtId="0" fontId="39" fillId="0" borderId="0" xfId="3" applyFont="1" applyAlignment="1">
      <alignment horizontal="left"/>
    </xf>
    <xf numFmtId="0" fontId="68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14" fontId="8" fillId="22" borderId="30" xfId="3" applyNumberFormat="1" applyFont="1" applyFill="1" applyBorder="1" applyAlignment="1">
      <alignment horizontal="left" vertical="center"/>
    </xf>
    <xf numFmtId="4" fontId="36" fillId="0" borderId="0" xfId="3" applyNumberFormat="1" applyFont="1" applyAlignment="1">
      <alignment horizontal="left" vertical="center"/>
    </xf>
    <xf numFmtId="4" fontId="36" fillId="0" borderId="0" xfId="0" applyNumberFormat="1" applyFont="1" applyAlignment="1">
      <alignment horizontal="left" vertical="center"/>
    </xf>
    <xf numFmtId="4" fontId="72" fillId="0" borderId="0" xfId="0" applyNumberFormat="1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173" fontId="70" fillId="0" borderId="0" xfId="3" applyNumberFormat="1" applyFont="1" applyAlignment="1">
      <alignment horizontal="left"/>
    </xf>
    <xf numFmtId="0" fontId="12" fillId="6" borderId="11" xfId="0" applyFont="1" applyFill="1" applyBorder="1" applyAlignment="1">
      <alignment horizontal="left" vertical="center" wrapText="1"/>
    </xf>
    <xf numFmtId="0" fontId="70" fillId="0" borderId="28" xfId="0" applyFont="1" applyBorder="1" applyAlignment="1">
      <alignment horizontal="left"/>
    </xf>
    <xf numFmtId="173" fontId="10" fillId="0" borderId="1" xfId="3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8" fillId="0" borderId="0" xfId="3" applyFont="1" applyAlignment="1">
      <alignment horizontal="left" vertical="center"/>
    </xf>
    <xf numFmtId="164" fontId="0" fillId="0" borderId="0" xfId="27" applyFont="1" applyFill="1" applyBorder="1"/>
    <xf numFmtId="169" fontId="96" fillId="0" borderId="0" xfId="3" applyNumberFormat="1" applyFont="1" applyAlignment="1">
      <alignment horizontal="center" vertical="center"/>
    </xf>
    <xf numFmtId="181" fontId="97" fillId="0" borderId="0" xfId="0" applyNumberFormat="1" applyFont="1" applyAlignment="1">
      <alignment horizontal="center"/>
    </xf>
    <xf numFmtId="4" fontId="96" fillId="0" borderId="0" xfId="3" applyNumberFormat="1" applyFont="1" applyAlignment="1">
      <alignment horizontal="left" vertical="center"/>
    </xf>
    <xf numFmtId="4" fontId="96" fillId="0" borderId="0" xfId="3" applyNumberFormat="1" applyFont="1" applyAlignment="1">
      <alignment horizontal="right" vertical="center"/>
    </xf>
    <xf numFmtId="4" fontId="92" fillId="0" borderId="0" xfId="3" applyNumberFormat="1" applyFont="1" applyAlignment="1">
      <alignment horizontal="right" vertical="center"/>
    </xf>
    <xf numFmtId="40" fontId="69" fillId="25" borderId="0" xfId="3" applyNumberFormat="1" applyFont="1" applyFill="1" applyAlignment="1">
      <alignment horizontal="center" vertical="center"/>
    </xf>
    <xf numFmtId="40" fontId="7" fillId="25" borderId="0" xfId="3" applyNumberFormat="1" applyFont="1" applyFill="1" applyAlignment="1">
      <alignment horizontal="center" vertical="center"/>
    </xf>
    <xf numFmtId="172" fontId="39" fillId="25" borderId="0" xfId="3" applyNumberFormat="1" applyFont="1" applyFill="1" applyAlignment="1">
      <alignment horizontal="center" vertical="center"/>
    </xf>
    <xf numFmtId="169" fontId="95" fillId="25" borderId="0" xfId="3" applyNumberFormat="1" applyFont="1" applyFill="1" applyAlignment="1">
      <alignment horizontal="center" vertical="center"/>
    </xf>
    <xf numFmtId="170" fontId="6" fillId="25" borderId="0" xfId="3" applyNumberFormat="1" applyFont="1" applyFill="1" applyAlignment="1">
      <alignment horizontal="center" vertical="center"/>
    </xf>
    <xf numFmtId="171" fontId="68" fillId="25" borderId="0" xfId="3" applyNumberFormat="1" applyFont="1" applyFill="1" applyAlignment="1">
      <alignment horizontal="center" vertical="center"/>
    </xf>
    <xf numFmtId="172" fontId="68" fillId="25" borderId="0" xfId="3" applyNumberFormat="1" applyFont="1" applyFill="1" applyAlignment="1">
      <alignment horizontal="center" vertical="center"/>
    </xf>
    <xf numFmtId="173" fontId="68" fillId="25" borderId="0" xfId="3" applyNumberFormat="1" applyFont="1" applyFill="1" applyAlignment="1">
      <alignment horizontal="center" vertical="center"/>
    </xf>
    <xf numFmtId="0" fontId="68" fillId="25" borderId="0" xfId="3" applyFont="1" applyFill="1" applyAlignment="1">
      <alignment horizontal="left"/>
    </xf>
    <xf numFmtId="40" fontId="69" fillId="25" borderId="0" xfId="3" applyNumberFormat="1" applyFont="1" applyFill="1" applyAlignment="1">
      <alignment horizontal="right" vertical="center"/>
    </xf>
    <xf numFmtId="40" fontId="69" fillId="25" borderId="0" xfId="3" applyNumberFormat="1" applyFont="1" applyFill="1" applyAlignment="1">
      <alignment vertical="center"/>
    </xf>
    <xf numFmtId="0" fontId="68" fillId="25" borderId="0" xfId="3" applyFont="1" applyFill="1" applyAlignment="1">
      <alignment horizontal="center" vertical="center"/>
    </xf>
    <xf numFmtId="170" fontId="68" fillId="25" borderId="0" xfId="3" applyNumberFormat="1" applyFont="1" applyFill="1" applyAlignment="1">
      <alignment horizontal="center" vertical="center"/>
    </xf>
    <xf numFmtId="169" fontId="68" fillId="25" borderId="0" xfId="3" applyNumberFormat="1" applyFont="1" applyFill="1" applyAlignment="1">
      <alignment horizontal="center" vertical="center"/>
    </xf>
    <xf numFmtId="169" fontId="92" fillId="25" borderId="0" xfId="3" applyNumberFormat="1" applyFont="1" applyFill="1" applyAlignment="1">
      <alignment horizontal="center" vertical="center"/>
    </xf>
    <xf numFmtId="170" fontId="92" fillId="25" borderId="0" xfId="3" applyNumberFormat="1" applyFont="1" applyFill="1" applyAlignment="1">
      <alignment horizontal="center" vertical="center"/>
    </xf>
    <xf numFmtId="171" fontId="92" fillId="25" borderId="0" xfId="3" applyNumberFormat="1" applyFont="1" applyFill="1" applyAlignment="1">
      <alignment horizontal="center" vertical="center"/>
    </xf>
    <xf numFmtId="172" fontId="92" fillId="25" borderId="0" xfId="3" applyNumberFormat="1" applyFont="1" applyFill="1" applyAlignment="1">
      <alignment horizontal="center" vertical="center"/>
    </xf>
    <xf numFmtId="173" fontId="92" fillId="25" borderId="0" xfId="3" applyNumberFormat="1" applyFont="1" applyFill="1" applyAlignment="1">
      <alignment horizontal="center" vertical="center"/>
    </xf>
    <xf numFmtId="0" fontId="92" fillId="25" borderId="0" xfId="3" applyFont="1" applyFill="1" applyAlignment="1">
      <alignment horizontal="left" vertical="center"/>
    </xf>
    <xf numFmtId="40" fontId="93" fillId="25" borderId="0" xfId="3" applyNumberFormat="1" applyFont="1" applyFill="1" applyAlignment="1">
      <alignment horizontal="right" vertical="center"/>
    </xf>
    <xf numFmtId="40" fontId="93" fillId="25" borderId="0" xfId="3" applyNumberFormat="1" applyFont="1" applyFill="1" applyAlignment="1">
      <alignment vertical="center"/>
    </xf>
    <xf numFmtId="40" fontId="93" fillId="25" borderId="0" xfId="3" applyNumberFormat="1" applyFont="1" applyFill="1" applyAlignment="1">
      <alignment horizontal="center" vertical="center"/>
    </xf>
    <xf numFmtId="0" fontId="92" fillId="25" borderId="0" xfId="3" applyFont="1" applyFill="1" applyAlignment="1">
      <alignment horizontal="center" vertical="center"/>
    </xf>
    <xf numFmtId="170" fontId="39" fillId="25" borderId="0" xfId="3" applyNumberFormat="1" applyFont="1" applyFill="1" applyAlignment="1">
      <alignment horizontal="center" vertical="center"/>
    </xf>
    <xf numFmtId="171" fontId="39" fillId="25" borderId="0" xfId="3" applyNumberFormat="1" applyFont="1" applyFill="1" applyAlignment="1">
      <alignment horizontal="center" vertical="center"/>
    </xf>
    <xf numFmtId="173" fontId="39" fillId="25" borderId="0" xfId="3" applyNumberFormat="1" applyFont="1" applyFill="1" applyAlignment="1">
      <alignment horizontal="center" vertical="center"/>
    </xf>
    <xf numFmtId="40" fontId="40" fillId="25" borderId="0" xfId="3" applyNumberFormat="1" applyFont="1" applyFill="1" applyAlignment="1">
      <alignment horizontal="right" vertical="center"/>
    </xf>
    <xf numFmtId="40" fontId="93" fillId="30" borderId="0" xfId="3" applyNumberFormat="1" applyFont="1" applyFill="1" applyAlignment="1">
      <alignment horizontal="center" vertical="center"/>
    </xf>
    <xf numFmtId="179" fontId="94" fillId="0" borderId="1" xfId="3" applyNumberFormat="1" applyFont="1" applyBorder="1"/>
    <xf numFmtId="179" fontId="94" fillId="0" borderId="1" xfId="3" applyNumberFormat="1" applyFont="1" applyBorder="1" applyAlignment="1">
      <alignment horizontal="right"/>
    </xf>
    <xf numFmtId="179" fontId="94" fillId="0" borderId="1" xfId="3" applyNumberFormat="1" applyFont="1" applyBorder="1" applyAlignment="1">
      <alignment horizontal="right" vertical="center"/>
    </xf>
    <xf numFmtId="40" fontId="92" fillId="0" borderId="13" xfId="3" applyNumberFormat="1" applyFont="1" applyBorder="1" applyAlignment="1">
      <alignment horizontal="right" vertical="center"/>
    </xf>
    <xf numFmtId="169" fontId="95" fillId="30" borderId="0" xfId="3" applyNumberFormat="1" applyFont="1" applyFill="1" applyAlignment="1">
      <alignment horizontal="center" vertical="center"/>
    </xf>
    <xf numFmtId="170" fontId="39" fillId="30" borderId="0" xfId="3" applyNumberFormat="1" applyFont="1" applyFill="1" applyAlignment="1">
      <alignment horizontal="center" vertical="center"/>
    </xf>
    <xf numFmtId="0" fontId="68" fillId="30" borderId="0" xfId="3" applyFont="1" applyFill="1" applyAlignment="1">
      <alignment horizontal="left"/>
    </xf>
    <xf numFmtId="40" fontId="69" fillId="30" borderId="0" xfId="3" applyNumberFormat="1" applyFont="1" applyFill="1" applyAlignment="1">
      <alignment vertical="center"/>
    </xf>
    <xf numFmtId="40" fontId="69" fillId="30" borderId="0" xfId="3" applyNumberFormat="1" applyFont="1" applyFill="1" applyAlignment="1">
      <alignment horizontal="center" vertical="center"/>
    </xf>
    <xf numFmtId="0" fontId="68" fillId="30" borderId="0" xfId="3" applyFont="1" applyFill="1" applyAlignment="1">
      <alignment horizontal="center" vertical="center"/>
    </xf>
    <xf numFmtId="40" fontId="76" fillId="25" borderId="0" xfId="3" applyNumberFormat="1" applyFont="1" applyFill="1" applyAlignment="1">
      <alignment horizontal="center" vertical="center"/>
    </xf>
    <xf numFmtId="40" fontId="76" fillId="25" borderId="0" xfId="3" applyNumberFormat="1" applyFont="1" applyFill="1" applyAlignment="1">
      <alignment vertical="center"/>
    </xf>
    <xf numFmtId="164" fontId="0" fillId="25" borderId="0" xfId="27" applyFont="1" applyFill="1" applyBorder="1"/>
    <xf numFmtId="169" fontId="6" fillId="33" borderId="0" xfId="3" applyNumberFormat="1" applyFont="1" applyFill="1" applyAlignment="1">
      <alignment horizontal="center" vertical="center"/>
    </xf>
    <xf numFmtId="170" fontId="6" fillId="33" borderId="0" xfId="3" applyNumberFormat="1" applyFont="1" applyFill="1" applyAlignment="1">
      <alignment horizontal="center" vertical="center"/>
    </xf>
    <xf numFmtId="171" fontId="6" fillId="33" borderId="0" xfId="3" applyNumberFormat="1" applyFont="1" applyFill="1" applyAlignment="1">
      <alignment horizontal="center" vertical="center"/>
    </xf>
    <xf numFmtId="172" fontId="6" fillId="33" borderId="0" xfId="3" applyNumberFormat="1" applyFont="1" applyFill="1" applyAlignment="1">
      <alignment horizontal="center" vertical="center"/>
    </xf>
    <xf numFmtId="173" fontId="6" fillId="33" borderId="0" xfId="3" applyNumberFormat="1" applyFont="1" applyFill="1" applyAlignment="1">
      <alignment horizontal="center" vertical="center"/>
    </xf>
    <xf numFmtId="0" fontId="6" fillId="33" borderId="0" xfId="3" applyFont="1" applyFill="1" applyAlignment="1">
      <alignment horizontal="left" vertical="center"/>
    </xf>
    <xf numFmtId="40" fontId="7" fillId="33" borderId="0" xfId="3" applyNumberFormat="1" applyFont="1" applyFill="1" applyAlignment="1">
      <alignment horizontal="right" vertical="center"/>
    </xf>
    <xf numFmtId="40" fontId="7" fillId="33" borderId="0" xfId="3" applyNumberFormat="1" applyFont="1" applyFill="1" applyAlignment="1">
      <alignment vertical="center"/>
    </xf>
    <xf numFmtId="40" fontId="7" fillId="33" borderId="0" xfId="3" applyNumberFormat="1" applyFont="1" applyFill="1" applyAlignment="1">
      <alignment horizontal="center" vertical="center"/>
    </xf>
    <xf numFmtId="0" fontId="6" fillId="33" borderId="0" xfId="3" applyFont="1" applyFill="1" applyAlignment="1">
      <alignment horizontal="center" vertical="center"/>
    </xf>
    <xf numFmtId="4" fontId="6" fillId="0" borderId="0" xfId="3" applyNumberFormat="1" applyFont="1" applyAlignment="1">
      <alignment horizontal="right" vertical="center"/>
    </xf>
    <xf numFmtId="169" fontId="95" fillId="29" borderId="0" xfId="3" applyNumberFormat="1" applyFont="1" applyFill="1" applyAlignment="1">
      <alignment horizontal="center" vertical="center"/>
    </xf>
    <xf numFmtId="170" fontId="68" fillId="29" borderId="0" xfId="3" applyNumberFormat="1" applyFont="1" applyFill="1" applyAlignment="1">
      <alignment horizontal="center" vertical="center"/>
    </xf>
    <xf numFmtId="171" fontId="68" fillId="29" borderId="0" xfId="3" applyNumberFormat="1" applyFont="1" applyFill="1" applyAlignment="1">
      <alignment horizontal="center" vertical="center"/>
    </xf>
    <xf numFmtId="172" fontId="68" fillId="29" borderId="0" xfId="3" applyNumberFormat="1" applyFont="1" applyFill="1" applyAlignment="1">
      <alignment horizontal="center" vertical="center"/>
    </xf>
    <xf numFmtId="173" fontId="68" fillId="29" borderId="0" xfId="3" applyNumberFormat="1" applyFont="1" applyFill="1" applyAlignment="1">
      <alignment horizontal="center" vertical="center"/>
    </xf>
    <xf numFmtId="0" fontId="68" fillId="29" borderId="0" xfId="3" applyFont="1" applyFill="1" applyAlignment="1">
      <alignment horizontal="left"/>
    </xf>
    <xf numFmtId="40" fontId="69" fillId="29" borderId="0" xfId="3" applyNumberFormat="1" applyFont="1" applyFill="1" applyAlignment="1">
      <alignment horizontal="right" vertical="center"/>
    </xf>
    <xf numFmtId="40" fontId="69" fillId="29" borderId="0" xfId="3" applyNumberFormat="1" applyFont="1" applyFill="1" applyAlignment="1">
      <alignment vertical="center"/>
    </xf>
    <xf numFmtId="40" fontId="69" fillId="29" borderId="0" xfId="3" applyNumberFormat="1" applyFont="1" applyFill="1" applyAlignment="1">
      <alignment horizontal="center" vertical="center"/>
    </xf>
    <xf numFmtId="0" fontId="68" fillId="29" borderId="0" xfId="3" applyFont="1" applyFill="1" applyAlignment="1">
      <alignment horizontal="center" vertical="center"/>
    </xf>
    <xf numFmtId="170" fontId="39" fillId="29" borderId="0" xfId="3" applyNumberFormat="1" applyFont="1" applyFill="1" applyAlignment="1">
      <alignment horizontal="center" vertical="center"/>
    </xf>
    <xf numFmtId="171" fontId="39" fillId="29" borderId="0" xfId="3" applyNumberFormat="1" applyFont="1" applyFill="1" applyAlignment="1">
      <alignment horizontal="center" vertical="center"/>
    </xf>
    <xf numFmtId="172" fontId="39" fillId="29" borderId="0" xfId="3" applyNumberFormat="1" applyFont="1" applyFill="1" applyAlignment="1">
      <alignment horizontal="center" vertical="center"/>
    </xf>
    <xf numFmtId="173" fontId="39" fillId="29" borderId="0" xfId="3" applyNumberFormat="1" applyFont="1" applyFill="1" applyAlignment="1">
      <alignment horizontal="center" vertical="center"/>
    </xf>
    <xf numFmtId="40" fontId="40" fillId="29" borderId="0" xfId="3" applyNumberFormat="1" applyFont="1" applyFill="1" applyAlignment="1">
      <alignment horizontal="right" vertical="center"/>
    </xf>
    <xf numFmtId="0" fontId="0" fillId="29" borderId="0" xfId="0" applyFill="1" applyAlignment="1">
      <alignment vertical="center"/>
    </xf>
    <xf numFmtId="0" fontId="6" fillId="29" borderId="0" xfId="3" applyFont="1" applyFill="1" applyAlignment="1">
      <alignment horizontal="left"/>
    </xf>
    <xf numFmtId="0" fontId="6" fillId="29" borderId="0" xfId="3" applyFont="1" applyFill="1" applyAlignment="1">
      <alignment horizontal="center" vertical="center"/>
    </xf>
    <xf numFmtId="173" fontId="75" fillId="0" borderId="0" xfId="3" applyNumberFormat="1" applyFont="1" applyAlignment="1">
      <alignment horizontal="center"/>
    </xf>
    <xf numFmtId="40" fontId="76" fillId="33" borderId="0" xfId="3" applyNumberFormat="1" applyFont="1" applyFill="1" applyAlignment="1">
      <alignment vertical="center"/>
    </xf>
    <xf numFmtId="176" fontId="0" fillId="0" borderId="0" xfId="0" applyNumberFormat="1"/>
    <xf numFmtId="169" fontId="75" fillId="33" borderId="0" xfId="3" applyNumberFormat="1" applyFont="1" applyFill="1" applyAlignment="1">
      <alignment horizontal="center" vertical="center"/>
    </xf>
    <xf numFmtId="170" fontId="75" fillId="33" borderId="0" xfId="3" applyNumberFormat="1" applyFont="1" applyFill="1" applyAlignment="1">
      <alignment horizontal="center" vertical="center"/>
    </xf>
    <xf numFmtId="171" fontId="75" fillId="33" borderId="0" xfId="3" applyNumberFormat="1" applyFont="1" applyFill="1" applyAlignment="1">
      <alignment horizontal="center" vertical="center"/>
    </xf>
    <xf numFmtId="172" fontId="75" fillId="33" borderId="0" xfId="3" applyNumberFormat="1" applyFont="1" applyFill="1" applyAlignment="1">
      <alignment horizontal="center" vertical="center"/>
    </xf>
    <xf numFmtId="173" fontId="75" fillId="33" borderId="0" xfId="3" applyNumberFormat="1" applyFont="1" applyFill="1" applyAlignment="1">
      <alignment horizontal="center" vertical="center"/>
    </xf>
    <xf numFmtId="0" fontId="75" fillId="33" borderId="0" xfId="3" applyFont="1" applyFill="1" applyAlignment="1">
      <alignment horizontal="left" vertical="center"/>
    </xf>
    <xf numFmtId="40" fontId="76" fillId="33" borderId="0" xfId="3" applyNumberFormat="1" applyFont="1" applyFill="1" applyAlignment="1">
      <alignment horizontal="right" vertical="center"/>
    </xf>
    <xf numFmtId="40" fontId="76" fillId="33" borderId="0" xfId="3" applyNumberFormat="1" applyFont="1" applyFill="1" applyAlignment="1">
      <alignment horizontal="center" vertical="center"/>
    </xf>
    <xf numFmtId="0" fontId="75" fillId="33" borderId="0" xfId="3" applyFont="1" applyFill="1" applyAlignment="1">
      <alignment horizontal="center" vertical="center"/>
    </xf>
    <xf numFmtId="171" fontId="94" fillId="0" borderId="9" xfId="3" applyNumberFormat="1" applyFont="1" applyBorder="1" applyAlignment="1">
      <alignment horizontal="center"/>
    </xf>
    <xf numFmtId="172" fontId="94" fillId="0" borderId="1" xfId="3" applyNumberFormat="1" applyFont="1" applyBorder="1" applyAlignment="1">
      <alignment horizontal="center"/>
    </xf>
    <xf numFmtId="0" fontId="94" fillId="0" borderId="1" xfId="3" applyFont="1" applyBorder="1" applyAlignment="1">
      <alignment horizontal="center"/>
    </xf>
    <xf numFmtId="173" fontId="94" fillId="0" borderId="1" xfId="3" applyNumberFormat="1" applyFont="1" applyBorder="1" applyAlignment="1">
      <alignment horizontal="center"/>
    </xf>
    <xf numFmtId="179" fontId="10" fillId="25" borderId="1" xfId="3" applyNumberFormat="1" applyFont="1" applyFill="1" applyBorder="1"/>
    <xf numFmtId="169" fontId="6" fillId="0" borderId="1" xfId="3" applyNumberFormat="1" applyFont="1" applyBorder="1" applyAlignment="1">
      <alignment horizontal="center" vertical="center"/>
    </xf>
    <xf numFmtId="169" fontId="75" fillId="25" borderId="0" xfId="3" applyNumberFormat="1" applyFont="1" applyFill="1" applyAlignment="1">
      <alignment horizontal="center" vertical="center"/>
    </xf>
    <xf numFmtId="170" fontId="75" fillId="25" borderId="0" xfId="3" applyNumberFormat="1" applyFont="1" applyFill="1" applyAlignment="1">
      <alignment horizontal="center" vertical="center"/>
    </xf>
    <xf numFmtId="171" fontId="75" fillId="25" borderId="0" xfId="3" applyNumberFormat="1" applyFont="1" applyFill="1" applyAlignment="1">
      <alignment horizontal="center" vertical="center"/>
    </xf>
    <xf numFmtId="172" fontId="75" fillId="25" borderId="0" xfId="3" applyNumberFormat="1" applyFont="1" applyFill="1" applyAlignment="1">
      <alignment horizontal="center" vertical="center"/>
    </xf>
    <xf numFmtId="173" fontId="75" fillId="25" borderId="0" xfId="3" applyNumberFormat="1" applyFont="1" applyFill="1" applyAlignment="1">
      <alignment horizontal="center" vertical="center"/>
    </xf>
    <xf numFmtId="0" fontId="75" fillId="25" borderId="0" xfId="3" applyFont="1" applyFill="1" applyAlignment="1">
      <alignment horizontal="left" vertical="center"/>
    </xf>
    <xf numFmtId="40" fontId="76" fillId="25" borderId="0" xfId="3" applyNumberFormat="1" applyFont="1" applyFill="1" applyAlignment="1">
      <alignment horizontal="right" vertical="center"/>
    </xf>
    <xf numFmtId="0" fontId="75" fillId="25" borderId="0" xfId="3" applyFont="1" applyFill="1" applyAlignment="1">
      <alignment horizontal="center" vertical="center"/>
    </xf>
    <xf numFmtId="0" fontId="51" fillId="25" borderId="0" xfId="0" applyFont="1" applyFill="1"/>
    <xf numFmtId="0" fontId="6" fillId="25" borderId="0" xfId="3" applyFont="1" applyFill="1" applyAlignment="1">
      <alignment horizontal="center" vertical="center"/>
    </xf>
    <xf numFmtId="40" fontId="7" fillId="25" borderId="0" xfId="3" applyNumberFormat="1" applyFont="1" applyFill="1" applyAlignment="1">
      <alignment horizontal="right" vertical="center"/>
    </xf>
    <xf numFmtId="40" fontId="7" fillId="25" borderId="0" xfId="3" applyNumberFormat="1" applyFont="1" applyFill="1" applyAlignment="1">
      <alignment vertical="center"/>
    </xf>
    <xf numFmtId="40" fontId="98" fillId="25" borderId="0" xfId="3" applyNumberFormat="1" applyFont="1" applyFill="1" applyAlignment="1">
      <alignment vertical="center"/>
    </xf>
    <xf numFmtId="169" fontId="99" fillId="0" borderId="34" xfId="3" applyNumberFormat="1" applyFont="1" applyBorder="1" applyAlignment="1">
      <alignment horizontal="center"/>
    </xf>
    <xf numFmtId="170" fontId="99" fillId="0" borderId="1" xfId="3" applyNumberFormat="1" applyFont="1" applyBorder="1" applyAlignment="1">
      <alignment horizontal="center"/>
    </xf>
    <xf numFmtId="171" fontId="99" fillId="0" borderId="9" xfId="3" applyNumberFormat="1" applyFont="1" applyBorder="1" applyAlignment="1">
      <alignment horizontal="center"/>
    </xf>
    <xf numFmtId="172" fontId="99" fillId="0" borderId="1" xfId="3" applyNumberFormat="1" applyFont="1" applyBorder="1" applyAlignment="1">
      <alignment horizontal="center"/>
    </xf>
    <xf numFmtId="0" fontId="99" fillId="0" borderId="1" xfId="3" applyFont="1" applyBorder="1" applyAlignment="1">
      <alignment horizontal="center"/>
    </xf>
    <xf numFmtId="179" fontId="99" fillId="0" borderId="1" xfId="3" applyNumberFormat="1" applyFont="1" applyBorder="1"/>
    <xf numFmtId="179" fontId="99" fillId="0" borderId="1" xfId="3" applyNumberFormat="1" applyFont="1" applyBorder="1" applyAlignment="1">
      <alignment horizontal="right"/>
    </xf>
    <xf numFmtId="179" fontId="99" fillId="0" borderId="1" xfId="3" applyNumberFormat="1" applyFont="1" applyBorder="1" applyAlignment="1">
      <alignment horizontal="right" vertical="center"/>
    </xf>
    <xf numFmtId="40" fontId="100" fillId="0" borderId="13" xfId="3" applyNumberFormat="1" applyFont="1" applyBorder="1" applyAlignment="1">
      <alignment horizontal="right" vertical="center"/>
    </xf>
    <xf numFmtId="0" fontId="0" fillId="29" borderId="0" xfId="0" applyFill="1"/>
    <xf numFmtId="0" fontId="0" fillId="0" borderId="0" xfId="0" applyAlignment="1">
      <alignment horizontal="right"/>
    </xf>
    <xf numFmtId="4" fontId="0" fillId="25" borderId="0" xfId="0" applyNumberFormat="1" applyFill="1"/>
    <xf numFmtId="169" fontId="75" fillId="27" borderId="0" xfId="3" applyNumberFormat="1" applyFont="1" applyFill="1" applyAlignment="1">
      <alignment horizontal="center" vertical="center"/>
    </xf>
    <xf numFmtId="170" fontId="75" fillId="27" borderId="0" xfId="3" applyNumberFormat="1" applyFont="1" applyFill="1" applyAlignment="1">
      <alignment horizontal="center" vertical="center"/>
    </xf>
    <xf numFmtId="171" fontId="75" fillId="27" borderId="0" xfId="3" applyNumberFormat="1" applyFont="1" applyFill="1" applyAlignment="1">
      <alignment horizontal="center" vertical="center"/>
    </xf>
    <xf numFmtId="172" fontId="75" fillId="27" borderId="0" xfId="3" applyNumberFormat="1" applyFont="1" applyFill="1" applyAlignment="1">
      <alignment horizontal="center" vertical="center"/>
    </xf>
    <xf numFmtId="173" fontId="75" fillId="27" borderId="0" xfId="3" applyNumberFormat="1" applyFont="1" applyFill="1" applyAlignment="1">
      <alignment horizontal="center" vertical="center"/>
    </xf>
    <xf numFmtId="40" fontId="76" fillId="27" borderId="0" xfId="3" applyNumberFormat="1" applyFont="1" applyFill="1" applyAlignment="1">
      <alignment horizontal="right" vertical="center"/>
    </xf>
    <xf numFmtId="40" fontId="76" fillId="27" borderId="0" xfId="3" applyNumberFormat="1" applyFont="1" applyFill="1" applyAlignment="1">
      <alignment vertical="center"/>
    </xf>
    <xf numFmtId="0" fontId="0" fillId="27" borderId="0" xfId="0" applyFill="1"/>
    <xf numFmtId="169" fontId="36" fillId="27" borderId="0" xfId="3" applyNumberFormat="1" applyFont="1" applyFill="1" applyAlignment="1">
      <alignment horizontal="center" vertical="center"/>
    </xf>
    <xf numFmtId="172" fontId="10" fillId="27" borderId="0" xfId="3" applyNumberFormat="1" applyFont="1" applyFill="1" applyAlignment="1">
      <alignment horizontal="center"/>
    </xf>
    <xf numFmtId="173" fontId="10" fillId="27" borderId="0" xfId="3" applyNumberFormat="1" applyFont="1" applyFill="1" applyAlignment="1">
      <alignment horizontal="center"/>
    </xf>
    <xf numFmtId="0" fontId="10" fillId="27" borderId="0" xfId="3" applyFont="1" applyFill="1" applyAlignment="1">
      <alignment horizontal="left"/>
    </xf>
    <xf numFmtId="4" fontId="10" fillId="27" borderId="0" xfId="3" applyNumberFormat="1" applyFont="1" applyFill="1" applyAlignment="1">
      <alignment horizontal="right" vertical="center"/>
    </xf>
    <xf numFmtId="0" fontId="10" fillId="27" borderId="0" xfId="3" applyFont="1" applyFill="1" applyAlignment="1">
      <alignment horizontal="center" vertical="center"/>
    </xf>
    <xf numFmtId="172" fontId="77" fillId="27" borderId="0" xfId="3" applyNumberFormat="1" applyFont="1" applyFill="1" applyAlignment="1">
      <alignment horizontal="center"/>
    </xf>
    <xf numFmtId="0" fontId="77" fillId="27" borderId="0" xfId="3" applyFont="1" applyFill="1" applyAlignment="1">
      <alignment horizontal="left"/>
    </xf>
    <xf numFmtId="4" fontId="77" fillId="27" borderId="0" xfId="3" applyNumberFormat="1" applyFont="1" applyFill="1" applyAlignment="1">
      <alignment horizontal="right" vertical="center"/>
    </xf>
    <xf numFmtId="0" fontId="77" fillId="27" borderId="0" xfId="3" applyFont="1" applyFill="1" applyAlignment="1">
      <alignment horizontal="center" vertical="center"/>
    </xf>
    <xf numFmtId="172" fontId="99" fillId="27" borderId="0" xfId="3" applyNumberFormat="1" applyFont="1" applyFill="1" applyAlignment="1">
      <alignment horizontal="center"/>
    </xf>
    <xf numFmtId="173" fontId="99" fillId="27" borderId="0" xfId="3" applyNumberFormat="1" applyFont="1" applyFill="1" applyAlignment="1">
      <alignment horizontal="center"/>
    </xf>
    <xf numFmtId="0" fontId="99" fillId="27" borderId="0" xfId="3" applyFont="1" applyFill="1" applyAlignment="1">
      <alignment horizontal="left"/>
    </xf>
    <xf numFmtId="4" fontId="99" fillId="27" borderId="0" xfId="3" applyNumberFormat="1" applyFont="1" applyFill="1" applyAlignment="1">
      <alignment horizontal="right" vertical="center"/>
    </xf>
    <xf numFmtId="0" fontId="99" fillId="27" borderId="0" xfId="3" applyFont="1" applyFill="1" applyAlignment="1">
      <alignment horizontal="center" vertical="center"/>
    </xf>
    <xf numFmtId="173" fontId="77" fillId="27" borderId="0" xfId="3" applyNumberFormat="1" applyFont="1" applyFill="1" applyAlignment="1">
      <alignment horizontal="center"/>
    </xf>
    <xf numFmtId="169" fontId="100" fillId="0" borderId="0" xfId="3" applyNumberFormat="1" applyFont="1" applyAlignment="1">
      <alignment horizontal="center" vertical="center"/>
    </xf>
    <xf numFmtId="171" fontId="100" fillId="0" borderId="0" xfId="3" applyNumberFormat="1" applyFont="1" applyAlignment="1">
      <alignment horizontal="center" vertical="center"/>
    </xf>
    <xf numFmtId="172" fontId="100" fillId="0" borderId="0" xfId="3" applyNumberFormat="1" applyFont="1" applyAlignment="1">
      <alignment horizontal="center" vertical="center"/>
    </xf>
    <xf numFmtId="173" fontId="100" fillId="0" borderId="0" xfId="3" applyNumberFormat="1" applyFont="1" applyAlignment="1">
      <alignment horizontal="center" vertical="center"/>
    </xf>
    <xf numFmtId="0" fontId="100" fillId="0" borderId="0" xfId="3" applyFont="1" applyAlignment="1">
      <alignment horizontal="left" vertical="center"/>
    </xf>
    <xf numFmtId="40" fontId="98" fillId="0" borderId="0" xfId="3" applyNumberFormat="1" applyFont="1" applyAlignment="1">
      <alignment horizontal="right" vertical="center"/>
    </xf>
    <xf numFmtId="40" fontId="98" fillId="0" borderId="0" xfId="3" applyNumberFormat="1" applyFont="1" applyAlignment="1">
      <alignment vertical="center"/>
    </xf>
    <xf numFmtId="40" fontId="98" fillId="0" borderId="0" xfId="3" applyNumberFormat="1" applyFont="1" applyAlignment="1">
      <alignment horizontal="center" vertical="center"/>
    </xf>
    <xf numFmtId="0" fontId="100" fillId="0" borderId="0" xfId="3" applyFont="1" applyAlignment="1">
      <alignment horizontal="center" vertical="center"/>
    </xf>
    <xf numFmtId="169" fontId="75" fillId="34" borderId="0" xfId="3" applyNumberFormat="1" applyFont="1" applyFill="1" applyAlignment="1">
      <alignment horizontal="center" vertical="center"/>
    </xf>
    <xf numFmtId="170" fontId="75" fillId="34" borderId="0" xfId="3" applyNumberFormat="1" applyFont="1" applyFill="1" applyAlignment="1">
      <alignment horizontal="center" vertical="center"/>
    </xf>
    <xf numFmtId="171" fontId="75" fillId="34" borderId="0" xfId="3" applyNumberFormat="1" applyFont="1" applyFill="1" applyAlignment="1">
      <alignment horizontal="center" vertical="center"/>
    </xf>
    <xf numFmtId="172" fontId="75" fillId="34" borderId="0" xfId="3" applyNumberFormat="1" applyFont="1" applyFill="1" applyAlignment="1">
      <alignment horizontal="center" vertical="center"/>
    </xf>
    <xf numFmtId="173" fontId="75" fillId="34" borderId="0" xfId="3" applyNumberFormat="1" applyFont="1" applyFill="1" applyAlignment="1">
      <alignment horizontal="center" vertical="center"/>
    </xf>
    <xf numFmtId="0" fontId="75" fillId="34" borderId="0" xfId="3" applyFont="1" applyFill="1" applyAlignment="1">
      <alignment horizontal="left" vertical="center"/>
    </xf>
    <xf numFmtId="40" fontId="40" fillId="34" borderId="0" xfId="3" applyNumberFormat="1" applyFont="1" applyFill="1" applyAlignment="1">
      <alignment horizontal="right" vertical="center"/>
    </xf>
    <xf numFmtId="40" fontId="7" fillId="34" borderId="0" xfId="3" applyNumberFormat="1" applyFont="1" applyFill="1" applyAlignment="1">
      <alignment vertical="center"/>
    </xf>
    <xf numFmtId="40" fontId="7" fillId="34" borderId="0" xfId="3" applyNumberFormat="1" applyFont="1" applyFill="1" applyAlignment="1">
      <alignment horizontal="center" vertical="center"/>
    </xf>
    <xf numFmtId="0" fontId="75" fillId="34" borderId="0" xfId="3" applyFont="1" applyFill="1" applyAlignment="1">
      <alignment horizontal="center" vertical="center"/>
    </xf>
    <xf numFmtId="40" fontId="76" fillId="34" borderId="0" xfId="3" applyNumberFormat="1" applyFont="1" applyFill="1" applyAlignment="1">
      <alignment horizontal="right" vertical="center"/>
    </xf>
    <xf numFmtId="40" fontId="76" fillId="34" borderId="0" xfId="3" applyNumberFormat="1" applyFont="1" applyFill="1" applyAlignment="1">
      <alignment vertical="center"/>
    </xf>
    <xf numFmtId="40" fontId="76" fillId="34" borderId="0" xfId="3" applyNumberFormat="1" applyFont="1" applyFill="1" applyAlignment="1">
      <alignment horizontal="center" vertical="center"/>
    </xf>
    <xf numFmtId="40" fontId="7" fillId="34" borderId="0" xfId="3" applyNumberFormat="1" applyFont="1" applyFill="1" applyAlignment="1">
      <alignment horizontal="right" vertic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2" fontId="99" fillId="0" borderId="0" xfId="3" applyNumberFormat="1" applyFont="1" applyAlignment="1">
      <alignment horizontal="center"/>
    </xf>
    <xf numFmtId="173" fontId="99" fillId="0" borderId="0" xfId="3" applyNumberFormat="1" applyFont="1" applyAlignment="1">
      <alignment horizontal="center"/>
    </xf>
    <xf numFmtId="0" fontId="99" fillId="0" borderId="0" xfId="3" applyFont="1" applyAlignment="1">
      <alignment horizontal="left"/>
    </xf>
    <xf numFmtId="4" fontId="99" fillId="0" borderId="0" xfId="3" applyNumberFormat="1" applyFont="1" applyAlignment="1">
      <alignment horizontal="right" vertical="center"/>
    </xf>
    <xf numFmtId="0" fontId="99" fillId="0" borderId="0" xfId="3" applyFont="1" applyAlignment="1">
      <alignment horizontal="center" vertical="center"/>
    </xf>
    <xf numFmtId="169" fontId="42" fillId="27" borderId="0" xfId="3" applyNumberFormat="1" applyFont="1" applyFill="1" applyAlignment="1">
      <alignment horizontal="center" vertical="center"/>
    </xf>
    <xf numFmtId="170" fontId="42" fillId="27" borderId="0" xfId="3" applyNumberFormat="1" applyFont="1" applyFill="1" applyAlignment="1">
      <alignment horizontal="center" vertical="center"/>
    </xf>
    <xf numFmtId="171" fontId="42" fillId="27" borderId="0" xfId="3" applyNumberFormat="1" applyFont="1" applyFill="1" applyAlignment="1">
      <alignment horizontal="center" vertical="center"/>
    </xf>
    <xf numFmtId="172" fontId="42" fillId="27" borderId="0" xfId="3" applyNumberFormat="1" applyFont="1" applyFill="1" applyAlignment="1">
      <alignment horizontal="center" vertical="center"/>
    </xf>
    <xf numFmtId="173" fontId="42" fillId="27" borderId="0" xfId="3" applyNumberFormat="1" applyFont="1" applyFill="1" applyAlignment="1">
      <alignment horizontal="center" vertical="center"/>
    </xf>
    <xf numFmtId="0" fontId="42" fillId="27" borderId="0" xfId="3" applyFont="1" applyFill="1" applyAlignment="1">
      <alignment horizontal="left" vertical="center"/>
    </xf>
    <xf numFmtId="40" fontId="43" fillId="27" borderId="0" xfId="3" applyNumberFormat="1" applyFont="1" applyFill="1" applyAlignment="1">
      <alignment vertical="center"/>
    </xf>
    <xf numFmtId="40" fontId="43" fillId="27" borderId="0" xfId="3" applyNumberFormat="1" applyFont="1" applyFill="1" applyAlignment="1">
      <alignment horizontal="center" vertical="center"/>
    </xf>
    <xf numFmtId="0" fontId="42" fillId="27" borderId="0" xfId="3" applyFont="1" applyFill="1" applyAlignment="1">
      <alignment horizontal="center" vertical="center"/>
    </xf>
    <xf numFmtId="40" fontId="43" fillId="27" borderId="0" xfId="3" applyNumberFormat="1" applyFont="1" applyFill="1" applyAlignment="1">
      <alignment horizontal="right" vertical="center"/>
    </xf>
    <xf numFmtId="169" fontId="49" fillId="27" borderId="0" xfId="3" applyNumberFormat="1" applyFont="1" applyFill="1" applyAlignment="1">
      <alignment horizontal="center" vertical="center"/>
    </xf>
    <xf numFmtId="171" fontId="49" fillId="27" borderId="0" xfId="3" applyNumberFormat="1" applyFont="1" applyFill="1" applyAlignment="1">
      <alignment horizontal="center" vertical="center"/>
    </xf>
    <xf numFmtId="172" fontId="49" fillId="27" borderId="0" xfId="3" applyNumberFormat="1" applyFont="1" applyFill="1" applyAlignment="1">
      <alignment horizontal="center" vertical="center"/>
    </xf>
    <xf numFmtId="0" fontId="49" fillId="27" borderId="0" xfId="3" applyFont="1" applyFill="1" applyAlignment="1">
      <alignment horizontal="left" vertical="center"/>
    </xf>
    <xf numFmtId="40" fontId="50" fillId="27" borderId="0" xfId="3" applyNumberFormat="1" applyFont="1" applyFill="1" applyAlignment="1">
      <alignment horizontal="right" vertical="center"/>
    </xf>
    <xf numFmtId="40" fontId="50" fillId="27" borderId="0" xfId="3" applyNumberFormat="1" applyFont="1" applyFill="1" applyAlignment="1">
      <alignment vertical="center"/>
    </xf>
    <xf numFmtId="40" fontId="50" fillId="27" borderId="0" xfId="3" applyNumberFormat="1" applyFont="1" applyFill="1" applyAlignment="1">
      <alignment horizontal="center" vertical="center"/>
    </xf>
    <xf numFmtId="0" fontId="49" fillId="27" borderId="0" xfId="3" applyFont="1" applyFill="1" applyAlignment="1">
      <alignment horizontal="center" vertical="center"/>
    </xf>
    <xf numFmtId="169" fontId="6" fillId="34" borderId="0" xfId="3" applyNumberFormat="1" applyFont="1" applyFill="1" applyAlignment="1">
      <alignment horizontal="center" vertical="center"/>
    </xf>
    <xf numFmtId="170" fontId="6" fillId="34" borderId="0" xfId="3" applyNumberFormat="1" applyFont="1" applyFill="1" applyAlignment="1">
      <alignment horizontal="center" vertical="center"/>
    </xf>
    <xf numFmtId="171" fontId="6" fillId="34" borderId="0" xfId="3" applyNumberFormat="1" applyFont="1" applyFill="1" applyAlignment="1">
      <alignment horizontal="center" vertical="center"/>
    </xf>
    <xf numFmtId="172" fontId="6" fillId="34" borderId="0" xfId="3" applyNumberFormat="1" applyFont="1" applyFill="1" applyAlignment="1">
      <alignment horizontal="center" vertical="center"/>
    </xf>
    <xf numFmtId="173" fontId="6" fillId="34" borderId="0" xfId="3" applyNumberFormat="1" applyFont="1" applyFill="1" applyAlignment="1">
      <alignment horizontal="center" vertical="center"/>
    </xf>
    <xf numFmtId="0" fontId="6" fillId="34" borderId="0" xfId="3" applyFont="1" applyFill="1" applyAlignment="1">
      <alignment horizontal="left" vertical="center"/>
    </xf>
    <xf numFmtId="0" fontId="6" fillId="34" borderId="0" xfId="3" applyFont="1" applyFill="1" applyAlignment="1">
      <alignment horizontal="center" vertical="center"/>
    </xf>
    <xf numFmtId="169" fontId="47" fillId="34" borderId="0" xfId="3" applyNumberFormat="1" applyFont="1" applyFill="1" applyAlignment="1">
      <alignment horizontal="center" vertical="center"/>
    </xf>
    <xf numFmtId="171" fontId="47" fillId="34" borderId="0" xfId="3" applyNumberFormat="1" applyFont="1" applyFill="1" applyAlignment="1">
      <alignment horizontal="center" vertical="center"/>
    </xf>
    <xf numFmtId="172" fontId="47" fillId="34" borderId="0" xfId="3" applyNumberFormat="1" applyFont="1" applyFill="1" applyAlignment="1">
      <alignment horizontal="center" vertical="center"/>
    </xf>
    <xf numFmtId="173" fontId="47" fillId="34" borderId="0" xfId="3" applyNumberFormat="1" applyFont="1" applyFill="1" applyAlignment="1">
      <alignment horizontal="center" vertical="center"/>
    </xf>
    <xf numFmtId="0" fontId="47" fillId="34" borderId="0" xfId="3" applyFont="1" applyFill="1" applyAlignment="1">
      <alignment horizontal="left" vertical="center"/>
    </xf>
    <xf numFmtId="40" fontId="48" fillId="34" borderId="0" xfId="3" applyNumberFormat="1" applyFont="1" applyFill="1" applyAlignment="1">
      <alignment horizontal="right" vertical="center"/>
    </xf>
    <xf numFmtId="40" fontId="48" fillId="34" borderId="0" xfId="3" applyNumberFormat="1" applyFont="1" applyFill="1" applyAlignment="1">
      <alignment vertical="center"/>
    </xf>
    <xf numFmtId="40" fontId="48" fillId="34" borderId="0" xfId="3" applyNumberFormat="1" applyFont="1" applyFill="1" applyAlignment="1">
      <alignment horizontal="center" vertical="center"/>
    </xf>
    <xf numFmtId="0" fontId="47" fillId="34" borderId="0" xfId="3" applyFont="1" applyFill="1" applyAlignment="1">
      <alignment horizontal="center" vertical="center"/>
    </xf>
    <xf numFmtId="169" fontId="83" fillId="34" borderId="0" xfId="3" applyNumberFormat="1" applyFont="1" applyFill="1" applyAlignment="1">
      <alignment horizontal="center" vertical="center"/>
    </xf>
    <xf numFmtId="171" fontId="83" fillId="34" borderId="0" xfId="3" applyNumberFormat="1" applyFont="1" applyFill="1" applyAlignment="1">
      <alignment horizontal="center" vertical="center"/>
    </xf>
    <xf numFmtId="172" fontId="83" fillId="34" borderId="0" xfId="3" applyNumberFormat="1" applyFont="1" applyFill="1" applyAlignment="1">
      <alignment horizontal="center" vertical="center"/>
    </xf>
    <xf numFmtId="0" fontId="83" fillId="34" borderId="0" xfId="3" applyFont="1" applyFill="1" applyAlignment="1">
      <alignment horizontal="left" vertical="center"/>
    </xf>
    <xf numFmtId="40" fontId="84" fillId="34" borderId="0" xfId="3" applyNumberFormat="1" applyFont="1" applyFill="1" applyAlignment="1">
      <alignment horizontal="right" vertical="center"/>
    </xf>
    <xf numFmtId="40" fontId="84" fillId="34" borderId="0" xfId="3" applyNumberFormat="1" applyFont="1" applyFill="1" applyAlignment="1">
      <alignment vertical="center"/>
    </xf>
    <xf numFmtId="40" fontId="84" fillId="34" borderId="0" xfId="3" applyNumberFormat="1" applyFont="1" applyFill="1" applyAlignment="1">
      <alignment horizontal="center" vertical="center"/>
    </xf>
    <xf numFmtId="0" fontId="83" fillId="34" borderId="0" xfId="3" applyFont="1" applyFill="1" applyAlignment="1">
      <alignment horizontal="center" vertical="center"/>
    </xf>
    <xf numFmtId="0" fontId="0" fillId="34" borderId="0" xfId="0" applyFill="1"/>
    <xf numFmtId="0" fontId="0" fillId="33" borderId="0" xfId="0" applyFill="1"/>
    <xf numFmtId="164" fontId="36" fillId="0" borderId="0" xfId="0" applyNumberFormat="1" applyFont="1" applyAlignment="1">
      <alignment horizontal="right" vertical="center"/>
    </xf>
    <xf numFmtId="0" fontId="62" fillId="30" borderId="0" xfId="3" applyFont="1" applyFill="1" applyAlignment="1">
      <alignment horizontal="left" vertical="center"/>
    </xf>
    <xf numFmtId="0" fontId="62" fillId="0" borderId="0" xfId="3" applyFont="1" applyAlignment="1">
      <alignment horizontal="left" vertical="center"/>
    </xf>
    <xf numFmtId="0" fontId="10" fillId="30" borderId="0" xfId="3" applyFont="1" applyFill="1" applyAlignment="1">
      <alignment horizontal="left" vertical="center"/>
    </xf>
    <xf numFmtId="0" fontId="10" fillId="0" borderId="0" xfId="3" applyFont="1" applyAlignment="1">
      <alignment horizontal="left" vertical="center"/>
    </xf>
    <xf numFmtId="40" fontId="6" fillId="0" borderId="0" xfId="3" applyNumberFormat="1" applyFont="1" applyAlignment="1">
      <alignment horizontal="left" vertical="center"/>
    </xf>
    <xf numFmtId="0" fontId="94" fillId="0" borderId="0" xfId="3" applyFont="1" applyAlignment="1">
      <alignment horizontal="left" vertical="center"/>
    </xf>
    <xf numFmtId="3" fontId="0" fillId="0" borderId="0" xfId="0" applyNumberFormat="1"/>
    <xf numFmtId="173" fontId="6" fillId="26" borderId="1" xfId="3" applyNumberFormat="1" applyFont="1" applyFill="1" applyBorder="1" applyAlignment="1">
      <alignment horizontal="center" vertical="center"/>
    </xf>
    <xf numFmtId="0" fontId="6" fillId="26" borderId="1" xfId="3" applyFont="1" applyFill="1" applyBorder="1" applyAlignment="1">
      <alignment horizontal="left" vertical="center"/>
    </xf>
    <xf numFmtId="173" fontId="6" fillId="32" borderId="1" xfId="3" applyNumberFormat="1" applyFont="1" applyFill="1" applyBorder="1" applyAlignment="1">
      <alignment horizontal="center" vertical="center"/>
    </xf>
    <xf numFmtId="0" fontId="6" fillId="32" borderId="1" xfId="3" applyFont="1" applyFill="1" applyBorder="1" applyAlignment="1">
      <alignment horizontal="left" vertical="center"/>
    </xf>
    <xf numFmtId="0" fontId="77" fillId="0" borderId="0" xfId="3" applyFont="1" applyAlignment="1">
      <alignment horizontal="left" vertical="center"/>
    </xf>
    <xf numFmtId="4" fontId="0" fillId="0" borderId="0" xfId="0" applyNumberFormat="1" applyAlignment="1">
      <alignment horizontal="left"/>
    </xf>
    <xf numFmtId="40" fontId="7" fillId="27" borderId="0" xfId="3" applyNumberFormat="1" applyFont="1" applyFill="1" applyAlignment="1">
      <alignment horizontal="left" vertical="center"/>
    </xf>
    <xf numFmtId="40" fontId="43" fillId="0" borderId="0" xfId="3" applyNumberFormat="1" applyFont="1" applyAlignment="1">
      <alignment horizontal="left" vertical="center"/>
    </xf>
    <xf numFmtId="40" fontId="7" fillId="0" borderId="0" xfId="3" applyNumberFormat="1" applyFont="1" applyAlignment="1">
      <alignment horizontal="left" vertical="center"/>
    </xf>
    <xf numFmtId="40" fontId="43" fillId="27" borderId="0" xfId="3" applyNumberFormat="1" applyFont="1" applyFill="1" applyAlignment="1">
      <alignment horizontal="left" vertical="center"/>
    </xf>
    <xf numFmtId="40" fontId="7" fillId="0" borderId="0" xfId="0" applyNumberFormat="1" applyFont="1" applyAlignment="1">
      <alignment horizontal="left" vertical="center"/>
    </xf>
    <xf numFmtId="0" fontId="3" fillId="22" borderId="30" xfId="0" applyFont="1" applyFill="1" applyBorder="1" applyAlignment="1">
      <alignment horizontal="left" vertical="center"/>
    </xf>
    <xf numFmtId="4" fontId="45" fillId="0" borderId="0" xfId="3" applyNumberFormat="1" applyFont="1" applyAlignment="1">
      <alignment horizontal="left" vertical="center"/>
    </xf>
    <xf numFmtId="4" fontId="81" fillId="0" borderId="0" xfId="3" applyNumberFormat="1" applyFont="1" applyAlignment="1">
      <alignment horizontal="left" vertical="center"/>
    </xf>
    <xf numFmtId="4" fontId="81" fillId="0" borderId="0" xfId="0" applyNumberFormat="1" applyFont="1" applyAlignment="1">
      <alignment horizontal="left" vertical="center"/>
    </xf>
    <xf numFmtId="0" fontId="44" fillId="0" borderId="0" xfId="3" applyFont="1" applyAlignment="1">
      <alignment horizontal="left" vertical="center"/>
    </xf>
    <xf numFmtId="0" fontId="99" fillId="0" borderId="0" xfId="3" applyFont="1" applyAlignment="1">
      <alignment horizontal="left" vertical="center"/>
    </xf>
    <xf numFmtId="179" fontId="6" fillId="0" borderId="1" xfId="3" applyNumberFormat="1" applyFont="1" applyBorder="1" applyAlignment="1">
      <alignment horizontal="left" vertical="center"/>
    </xf>
    <xf numFmtId="179" fontId="6" fillId="0" borderId="28" xfId="3" applyNumberFormat="1" applyFont="1" applyBorder="1" applyAlignment="1">
      <alignment horizontal="left" vertical="center"/>
    </xf>
    <xf numFmtId="179" fontId="6" fillId="0" borderId="28" xfId="0" applyNumberFormat="1" applyFont="1" applyBorder="1" applyAlignment="1">
      <alignment horizontal="left" vertical="center"/>
    </xf>
    <xf numFmtId="179" fontId="10" fillId="0" borderId="1" xfId="3" applyNumberFormat="1" applyFont="1" applyBorder="1" applyAlignment="1">
      <alignment horizontal="left"/>
    </xf>
    <xf numFmtId="179" fontId="85" fillId="0" borderId="1" xfId="3" applyNumberFormat="1" applyFont="1" applyBorder="1" applyAlignment="1">
      <alignment horizontal="left" vertical="center"/>
    </xf>
    <xf numFmtId="179" fontId="85" fillId="0" borderId="28" xfId="3" applyNumberFormat="1" applyFont="1" applyBorder="1" applyAlignment="1">
      <alignment horizontal="left" vertical="center"/>
    </xf>
    <xf numFmtId="40" fontId="6" fillId="0" borderId="28" xfId="0" applyNumberFormat="1" applyFont="1" applyBorder="1" applyAlignment="1">
      <alignment horizontal="left" vertical="center"/>
    </xf>
    <xf numFmtId="0" fontId="5" fillId="0" borderId="0" xfId="3" applyAlignment="1">
      <alignment horizontal="left"/>
    </xf>
    <xf numFmtId="4" fontId="8" fillId="0" borderId="0" xfId="3" applyNumberFormat="1" applyFont="1" applyAlignment="1">
      <alignment horizontal="left" vertical="center"/>
    </xf>
    <xf numFmtId="40" fontId="10" fillId="0" borderId="0" xfId="3" applyNumberFormat="1" applyFont="1" applyAlignment="1">
      <alignment horizontal="left"/>
    </xf>
    <xf numFmtId="40" fontId="7" fillId="0" borderId="0" xfId="3" applyNumberFormat="1" applyFont="1" applyFill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32" fillId="17" borderId="36" xfId="15" applyFont="1" applyBorder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0" fillId="34" borderId="0" xfId="0" applyFill="1" applyAlignment="1">
      <alignment horizont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9">
    <cellStyle name="Car" xfId="7"/>
    <cellStyle name="Celda de comprobación" xfId="15" builtinId="23"/>
    <cellStyle name="Énfasis1" xfId="5" builtinId="29"/>
    <cellStyle name="Énfasis2" xfId="2" builtinId="33"/>
    <cellStyle name="Error" xfId="8"/>
    <cellStyle name="Error 2" xfId="16"/>
    <cellStyle name="Millares" xfId="27" builtinId="3"/>
    <cellStyle name="Millares 2" xfId="9"/>
    <cellStyle name="Millares 2 2" xfId="17"/>
    <cellStyle name="Millares 3" xfId="28"/>
    <cellStyle name="Moneda" xfId="1" builtinId="4"/>
    <cellStyle name="Moneda 2" xfId="10"/>
    <cellStyle name="Moneda 2 2" xfId="20"/>
    <cellStyle name="Moneda 3" xfId="23"/>
    <cellStyle name="No completar" xfId="11"/>
    <cellStyle name="No completar 2" xfId="18"/>
    <cellStyle name="Normal" xfId="0" builtinId="0"/>
    <cellStyle name="Normal 10" xfId="26"/>
    <cellStyle name="Normal 2" xfId="4"/>
    <cellStyle name="Normal 2 2" xfId="19"/>
    <cellStyle name="Normal 3" xfId="3"/>
    <cellStyle name="Normal 4" xfId="12"/>
    <cellStyle name="Normal 5" xfId="13"/>
    <cellStyle name="Normal 6" xfId="14"/>
    <cellStyle name="Normal 6 2" xfId="21"/>
    <cellStyle name="Normal 7" xfId="6"/>
    <cellStyle name="Normal 7 2" xfId="22"/>
    <cellStyle name="Normal 8" xfId="24"/>
    <cellStyle name="Normal 9" xfId="25"/>
  </cellStyles>
  <dxfs count="19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rgb="FFB7DEE8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rgb="FFB7DEE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>
      <tableStyleElement type="wholeTable" dxfId="1980"/>
      <tableStyleElement type="headerRow" dxfId="1979"/>
      <tableStyleElement type="totalRow" dxfId="1978"/>
      <tableStyleElement type="firstRowStripe" dxfId="1977"/>
    </tableStyle>
    <tableStyle name="Tabla Ventas" pivot="0" count="5">
      <tableStyleElement type="wholeTable" dxfId="1976"/>
      <tableStyleElement type="headerRow" dxfId="1975"/>
      <tableStyleElement type="totalRow" dxfId="1974"/>
      <tableStyleElement type="firstRowStripe" dxfId="1973"/>
      <tableStyleElement type="secondRowStripe" dxfId="1972"/>
    </tableStyle>
  </tableStyles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Lista_CUIT" displayName="Lista_CUIT" ref="A1:D3231" totalsRowShown="0" headerRowDxfId="1971">
  <autoFilter ref="A1:D3231">
    <filterColumn colId="1">
      <filters>
        <filter val="SERCAP INSUMOS SRL"/>
      </filters>
    </filterColumn>
  </autoFilter>
  <sortState ref="A2:D3230">
    <sortCondition ref="C1:C3230"/>
  </sortState>
  <tableColumns count="4">
    <tableColumn id="1" name="CUIT" dataDxfId="1970"/>
    <tableColumn id="2" name="RAZON SOCIAL" dataDxfId="1969"/>
    <tableColumn id="3" name="Tipo de Gasto" dataDxfId="1968"/>
    <tableColumn id="4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8" name="compras_mes1" displayName="compras_mes1" ref="B8:R147" totalsRowCount="1" headerRowDxfId="1967" dataDxfId="1966" totalsRowDxfId="1965">
  <autoFilter ref="B8:R146"/>
  <sortState ref="B9:R146">
    <sortCondition ref="Q8:Q146"/>
  </sortState>
  <tableColumns count="17">
    <tableColumn id="1" name="FECHA" totalsRowLabel="Total" dataDxfId="1964" totalsRowDxfId="1963" dataCellStyle="Normal 3"/>
    <tableColumn id="2" name="TIPO" dataDxfId="1962" totalsRowDxfId="1961" dataCellStyle="Normal 3"/>
    <tableColumn id="3" name="PTO VTA" dataDxfId="1960" totalsRowDxfId="1959" dataCellStyle="Normal 3"/>
    <tableColumn id="4" name="NRO. CPTE" dataDxfId="1958" totalsRowDxfId="1957" dataCellStyle="Normal 3"/>
    <tableColumn id="5" name="CUIT" dataDxfId="1956" totalsRowDxfId="1955" dataCellStyle="Normal 3"/>
    <tableColumn id="6" name="RAZON SOCIAL" dataDxfId="1954" totalsRowDxfId="1953" dataCellStyle="Normal 3">
      <calculatedColumnFormula>IFERROR(IF(compras_mes1[[#This Row],[CUIT]]="","-",VLOOKUP(compras_mes1[[#This Row],[CUIT]],Lista_CUIT[#All],2,0)),"CUIT NO CARGADO")</calculatedColumnFormula>
    </tableColumn>
    <tableColumn id="7" name="NETO GRAVADO" totalsRowFunction="sum" dataDxfId="1952" totalsRowDxfId="1951" dataCellStyle="Normal 3"/>
    <tableColumn id="8" name="IVA 21 %" totalsRowFunction="sum" dataDxfId="1950" totalsRowDxfId="1949" dataCellStyle="Normal 3">
      <calculatedColumnFormula>IF(compras_mes1[[#This Row],[NETO GRAVADO]]="","",compras_mes1[[#This Row],[NETO GRAVADO]]*0.21)</calculatedColumnFormula>
    </tableColumn>
    <tableColumn id="9" name="IVA 27%" totalsRowFunction="sum" dataDxfId="1948" totalsRowDxfId="1947" dataCellStyle="Normal 3"/>
    <tableColumn id="10" name="IVA 10,5%" totalsRowFunction="sum" dataDxfId="1946" totalsRowDxfId="1945" dataCellStyle="Normal 3"/>
    <tableColumn id="11" name="PERC. IVA" totalsRowFunction="sum" dataDxfId="1944" totalsRowDxfId="1943" dataCellStyle="Normal 3"/>
    <tableColumn id="12" name="PERC IIBB _x000a_BS AS" totalsRowFunction="sum" dataDxfId="1942" totalsRowDxfId="1941" dataCellStyle="Normal 3"/>
    <tableColumn id="13" name="PERC. IIBB CABA" totalsRowFunction="sum" dataDxfId="1940" totalsRowDxfId="1939" dataCellStyle="Normal 3"/>
    <tableColumn id="14" name="Otros / No Grav." totalsRowFunction="sum" dataDxfId="1938" totalsRowDxfId="1937" dataCellStyle="Normal 3"/>
    <tableColumn id="15" name="TOTAL" totalsRowFunction="sum" dataDxfId="1936" totalsRowDxfId="1935" dataCellStyle="Normal 3">
      <calculatedColumnFormula>SUM(compras_mes1[[#This Row],[NETO GRAVADO]:[Otros / No Grav.]])</calculatedColumnFormula>
    </tableColumn>
    <tableColumn id="16" name="Tipo de Gasto" dataDxfId="1934" totalsRowDxfId="1933" dataCellStyle="Normal 3">
      <calculatedColumnFormula>IFERROR(IF(compras_mes1[[#This Row],[CUIT]]="","-",VLOOKUP(compras_mes1[[#This Row],[CUIT]],Lista_CUIT[#All],3,0)),"CUIT NO CARGADO")</calculatedColumnFormula>
    </tableColumn>
    <tableColumn id="17" name="Provincia" dataDxfId="1932" totalsRowDxfId="1931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10" name="factura_c_mes1" displayName="factura_c_mes1" ref="D166:K192" totalsRowCount="1" headerRowDxfId="1930" totalsRowDxfId="1929" headerRowCellStyle="Normal 3">
  <autoFilter ref="D166:K191"/>
  <sortState ref="D167:K191">
    <sortCondition ref="J166:J191"/>
  </sortState>
  <tableColumns count="8">
    <tableColumn id="1" name="FECHA" totalsRowLabel="Total" dataDxfId="1928" totalsRowDxfId="1927" dataCellStyle="Normal 3"/>
    <tableColumn id="2" name="PTO VTA" dataDxfId="1926" totalsRowDxfId="1925" dataCellStyle="Normal 3"/>
    <tableColumn id="3" name="FC Nº" dataDxfId="1924" totalsRowDxfId="1923" dataCellStyle="Normal 3"/>
    <tableColumn id="4" name="CUIT" dataDxfId="1922" totalsRowDxfId="1921" dataCellStyle="Normal 3"/>
    <tableColumn id="5" name="RAZON SOCIAL" dataDxfId="1920" totalsRowDxfId="1919" dataCellStyle="Normal 3">
      <calculatedColumnFormula>IFERROR(IF(factura_c_mes1[[#This Row],[CUIT]]="","-",VLOOKUP(factura_c_mes1[[#This Row],[CUIT]],Lista_CUIT[#All],2,0)),"CUIT NO CARGADO")</calculatedColumnFormula>
    </tableColumn>
    <tableColumn id="6" name="TOTAL" totalsRowFunction="sum" dataDxfId="1918" totalsRowDxfId="1917" dataCellStyle="Millares"/>
    <tableColumn id="7" name="TIPO DE GASTO" dataDxfId="1916" totalsRowDxfId="1915" dataCellStyle="Normal 3">
      <calculatedColumnFormula>IFERROR(IF(factura_c_mes1[[#This Row],[CUIT]]="","-",VLOOKUP(factura_c_mes1[[#This Row],[CUIT]],Lista_CUIT[#All],3,0)),"CUIT NO CARGADO")</calculatedColumnFormula>
    </tableColumn>
    <tableColumn id="8" name="Provincia" dataDxfId="1914" totalsRowDxfId="1913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1" name="venta_a_mes1" displayName="venta_a_mes1" ref="B200:M253" totalsRowCount="1" headerRowDxfId="1912" dataDxfId="1910" headerRowBorderDxfId="1911" tableBorderDxfId="1909" totalsRowBorderDxfId="1908" dataCellStyle="Normal 3">
  <autoFilter ref="B200:M252"/>
  <tableColumns count="12">
    <tableColumn id="1" name="FECHA" totalsRowLabel="Total" dataDxfId="1907" totalsRowDxfId="1906" dataCellStyle="Normal 3"/>
    <tableColumn id="2" name="TIPO" dataDxfId="1905" totalsRowDxfId="1904" dataCellStyle="Normal 3"/>
    <tableColumn id="3" name="PTO VENTA" dataDxfId="1903" totalsRowDxfId="1902" dataCellStyle="Normal 3"/>
    <tableColumn id="4" name="Nº FACTURA" dataDxfId="1901" totalsRowDxfId="1900" dataCellStyle="Normal 3"/>
    <tableColumn id="5" name="CUIT" dataDxfId="1899" totalsRowDxfId="1898" dataCellStyle="Normal 3"/>
    <tableColumn id="6" name="RAZON SOCIAL" dataDxfId="1897" totalsRowDxfId="1896" dataCellStyle="Normal 3">
      <calculatedColumnFormula>IFERROR(IF(venta_a_mes1[[#This Row],[CUIT]]="","-",VLOOKUP(venta_a_mes1[[#This Row],[CUIT]],Lista_CUIT[#All],2,0)),"CUIT NO CARGADO")</calculatedColumnFormula>
    </tableColumn>
    <tableColumn id="7" name="IMPORTE NETO" totalsRowFunction="sum" dataDxfId="1895" totalsRowDxfId="1894" dataCellStyle="Normal 3"/>
    <tableColumn id="8" name="IVA 21%" totalsRowFunction="sum" dataDxfId="1893" totalsRowDxfId="1892" dataCellStyle="Normal 3">
      <calculatedColumnFormula>venta_a_mes1[[#This Row],[IMPORTE NETO]]*0.21</calculatedColumnFormula>
    </tableColumn>
    <tableColumn id="9" name="IVA 10,5%" totalsRowFunction="sum" dataDxfId="1891" totalsRowDxfId="1890" dataCellStyle="Normal 3"/>
    <tableColumn id="10" name="EXENTO" totalsRowFunction="sum" dataDxfId="1889" totalsRowDxfId="1888" dataCellStyle="Normal 3"/>
    <tableColumn id="11" name="TOTAL" totalsRowFunction="sum" dataDxfId="1887" totalsRowDxfId="1886" dataCellStyle="Normal 3">
      <calculatedColumnFormula>SUM(venta_a_mes1[[#This Row],[IMPORTE NETO]:[EXENTO]])</calculatedColumnFormula>
    </tableColumn>
    <tableColumn id="12" name="Provincia" totalsRowFunction="count" dataDxfId="1885" totalsRowDxfId="1884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id="3" name="ventas_b_mes1" displayName="ventas_b_mes1" ref="B257:M1581" totalsRowCount="1" headerRowDxfId="1883" dataDxfId="1881" headerRowBorderDxfId="1882" tableBorderDxfId="1880" totalsRowBorderDxfId="1879" dataCellStyle="Normal 3">
  <autoFilter ref="B257:M1580"/>
  <tableColumns count="12">
    <tableColumn id="1" name="FECHA" totalsRowLabel="Total" dataDxfId="1878" totalsRowDxfId="1877" dataCellStyle="Normal 3"/>
    <tableColumn id="2" name="TIPO" dataDxfId="1876" totalsRowDxfId="1875" dataCellStyle="Normal 3"/>
    <tableColumn id="3" name="PTO VENTA" dataDxfId="1874" totalsRowDxfId="1873" dataCellStyle="Normal 3"/>
    <tableColumn id="4" name="Nº FACTURA" dataDxfId="1872" totalsRowDxfId="1871" dataCellStyle="Normal 3"/>
    <tableColumn id="5" name="CUIT" dataDxfId="1870" totalsRowDxfId="1869" dataCellStyle="Normal 3"/>
    <tableColumn id="6" name="RAZON SOCIAL" dataDxfId="1868" totalsRowDxfId="1867" dataCellStyle="Normal 3">
      <calculatedColumnFormula>IFERROR(IF(ventas_b_mes1[[#This Row],[CUIT]]="","-",VLOOKUP(ventas_b_mes1[[#This Row],[CUIT]],Lista_CUIT[#All],2,0)),"CUIT NO CARGADO")</calculatedColumnFormula>
    </tableColumn>
    <tableColumn id="7" name="IMPORTE NETO" totalsRowFunction="sum" dataDxfId="1866" totalsRowDxfId="1865" dataCellStyle="Normal 3">
      <calculatedColumnFormula>ventas_b_mes1[[#This Row],[TOTAL]]/1.21</calculatedColumnFormula>
    </tableColumn>
    <tableColumn id="8" name="IVA 21%" totalsRowFunction="sum" dataDxfId="1864" totalsRowDxfId="1863" dataCellStyle="Normal 3">
      <calculatedColumnFormula>ventas_b_mes1[[#This Row],[IMPORTE NETO]]*0.21</calculatedColumnFormula>
    </tableColumn>
    <tableColumn id="9" name="IVA 10,5%" totalsRowFunction="sum" dataDxfId="1862" totalsRowDxfId="1861" dataCellStyle="Normal 3"/>
    <tableColumn id="10" name="EXENTO" totalsRowFunction="sum" dataDxfId="1860" totalsRowDxfId="1859" dataCellStyle="Normal 3"/>
    <tableColumn id="11" name="TOTAL" totalsRowFunction="sum" dataDxfId="1858" totalsRowDxfId="1857" dataCellStyle="Normal 3"/>
    <tableColumn id="12" name="Provincia" totalsRowFunction="count" dataDxfId="1856" totalsRowDxfId="1855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id="4" name="extracto_banco_mes1" displayName="extracto_banco_mes1" ref="D153:L162" totalsRowCount="1" headerRowDxfId="1854" dataDxfId="1853" tableBorderDxfId="1852" dataCellStyle="Normal 3">
  <autoFilter ref="D153:L161"/>
  <tableColumns count="9">
    <tableColumn id="1" name="FECHA" totalsRowLabel="Total" dataDxfId="1851" totalsRowDxfId="1850" dataCellStyle="Normal 3"/>
    <tableColumn id="2" name="NRO CPTE" dataDxfId="1849" totalsRowDxfId="1848"/>
    <tableColumn id="3" name="BANCO" dataDxfId="1847" totalsRowDxfId="1846"/>
    <tableColumn id="4" name="NETO" totalsRowFunction="sum" dataDxfId="1845" totalsRowDxfId="1844" dataCellStyle="Normal 3"/>
    <tableColumn id="5" name="IVA 21%" totalsRowFunction="sum" dataDxfId="1843" totalsRowDxfId="1842" dataCellStyle="Normal 3">
      <calculatedColumnFormula>extracto_banco_mes1[[#This Row],[NETO]]*0.21</calculatedColumnFormula>
    </tableColumn>
    <tableColumn id="6" name="IVA 10,5%" totalsRowFunction="sum" dataDxfId="1841" totalsRowDxfId="1840" dataCellStyle="Normal 3"/>
    <tableColumn id="7" name="RET IIBB CABA" totalsRowFunction="sum" dataDxfId="1839" totalsRowDxfId="1838" dataCellStyle="Normal 3"/>
    <tableColumn id="8" name="PERC IVA" totalsRowFunction="sum" dataDxfId="1837" totalsRowDxfId="1836" dataCellStyle="Normal 3"/>
    <tableColumn id="9" name="PERC IIBB" totalsRowFunction="sum" dataDxfId="1835" totalsRowDxfId="1834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id="5" name="retenciones_mes1" displayName="retenciones_mes1" ref="C1590:L1595" totalsRowShown="0" headerRowDxfId="1833" dataDxfId="1832" headerRowCellStyle="Normal 3" dataCellStyle="Normal 3">
  <autoFilter ref="C1590:L1595"/>
  <tableColumns count="10">
    <tableColumn id="1" name="FECHA " dataDxfId="1831" dataCellStyle="Normal 3"/>
    <tableColumn id="2" name="COMP Nº" dataDxfId="1830" dataCellStyle="Normal 3"/>
    <tableColumn id="3" name="Columna1" dataDxfId="1829" dataCellStyle="Normal 3"/>
    <tableColumn id="4" name="CUIT" dataDxfId="1828" dataCellStyle="Normal 3"/>
    <tableColumn id="5" name="RAZON SOCIAL" dataDxfId="1827" dataCellStyle="Normal 3">
      <calculatedColumnFormula>IFERROR(IF(retenciones_mes1[[#This Row],[CUIT]]="","-",VLOOKUP(retenciones_mes1[[#This Row],[CUIT]],Lista_CUIT[#All],2,0)),"CUIT NO CARGADO")</calculatedColumnFormula>
    </tableColumn>
    <tableColumn id="6" name="Ganancias" dataDxfId="1826" dataCellStyle="Normal 3"/>
    <tableColumn id="7" name="IVA" dataDxfId="1825" dataCellStyle="Normal 3"/>
    <tableColumn id="8" name="SUSS" dataDxfId="1824" dataCellStyle="Normal 3"/>
    <tableColumn id="9" name="IIBB BSAS" dataDxfId="1823" dataCellStyle="Normal 3"/>
    <tableColumn id="10" name="IIBB CABA" dataDxfId="1822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id="7" name="compras_mes2" displayName="compras_mes2" ref="B7:R135" totalsRowCount="1" headerRowDxfId="1821" dataDxfId="1820" totalsRowDxfId="1819">
  <autoFilter ref="B7:R134"/>
  <sortState ref="B8:R134">
    <sortCondition ref="Q7:Q134"/>
  </sortState>
  <tableColumns count="17">
    <tableColumn id="1" name="FECHA" totalsRowLabel="Total" dataDxfId="1818" totalsRowDxfId="1817" dataCellStyle="Normal 3"/>
    <tableColumn id="2" name="TIPO" dataDxfId="1816" totalsRowDxfId="1815" dataCellStyle="Normal 3"/>
    <tableColumn id="3" name="PTO VTA" dataDxfId="1814" totalsRowDxfId="1813" dataCellStyle="Normal 3"/>
    <tableColumn id="4" name="NRO. CPTE" dataDxfId="1812" totalsRowDxfId="1811" dataCellStyle="Normal 3"/>
    <tableColumn id="5" name="CUIT" dataDxfId="1810" totalsRowDxfId="1809" dataCellStyle="Normal 3"/>
    <tableColumn id="6" name="RAZON SOCIAL" dataDxfId="1808" totalsRowDxfId="1807" dataCellStyle="Normal 3">
      <calculatedColumnFormula>IFERROR(IF(compras_mes2[[#This Row],[CUIT]]="","-",VLOOKUP(compras_mes2[[#This Row],[CUIT]],Lista_CUIT[#All],2,0)),"CUIT NO CARGADO")</calculatedColumnFormula>
    </tableColumn>
    <tableColumn id="7" name="NETO GRAVADO" totalsRowFunction="sum" dataDxfId="1806" totalsRowDxfId="1805" dataCellStyle="Normal 3"/>
    <tableColumn id="8" name="IVA 21 %" totalsRowFunction="sum" dataDxfId="1804" totalsRowDxfId="1803" dataCellStyle="Normal 3">
      <calculatedColumnFormula>IF(compras_mes2[[#This Row],[NETO GRAVADO]]="","",compras_mes2[[#This Row],[NETO GRAVADO]]*0.21)</calculatedColumnFormula>
    </tableColumn>
    <tableColumn id="9" name="IVA 27%" totalsRowFunction="sum" dataDxfId="1802" totalsRowDxfId="1801" dataCellStyle="Normal 3"/>
    <tableColumn id="10" name="IVA 10,5%" totalsRowFunction="sum" dataDxfId="1800" totalsRowDxfId="1799" dataCellStyle="Normal 3"/>
    <tableColumn id="11" name="PERC. IVA" totalsRowFunction="sum" dataDxfId="1798" totalsRowDxfId="1797" dataCellStyle="Normal 3"/>
    <tableColumn id="12" name="PERC IIBB _x000a_BS AS" totalsRowFunction="sum" dataDxfId="1796" totalsRowDxfId="1795" dataCellStyle="Normal 3"/>
    <tableColumn id="13" name="PERC. IIBB CABA" totalsRowFunction="sum" dataDxfId="1794" totalsRowDxfId="1793" dataCellStyle="Normal 3"/>
    <tableColumn id="14" name="Otros / No Grav." totalsRowFunction="sum" dataDxfId="1792" totalsRowDxfId="1791" dataCellStyle="Normal 3"/>
    <tableColumn id="15" name="TOTAL" totalsRowFunction="sum" dataDxfId="1790" totalsRowDxfId="1789" dataCellStyle="Normal 3">
      <calculatedColumnFormula>SUM(compras_mes2[[#This Row],[NETO GRAVADO]:[Otros / No Grav.]])</calculatedColumnFormula>
    </tableColumn>
    <tableColumn id="16" name="Tipo de Gasto" dataDxfId="1788" totalsRowDxfId="1787" dataCellStyle="Normal 3">
      <calculatedColumnFormula>IFERROR(IF(compras_mes2[[#This Row],[CUIT]]="","-",VLOOKUP(compras_mes2[[#This Row],[CUIT]],Lista_CUIT[#All],3,0)),"CUIT NO CARGADO")</calculatedColumnFormula>
    </tableColumn>
    <tableColumn id="17" name="Provincia" dataDxfId="1786" totalsRowDxfId="1785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id="9" name="factura_c_mes2" displayName="factura_c_mes2" ref="D155:K180" totalsRowCount="1" headerRowDxfId="1784" totalsRowDxfId="1783" headerRowCellStyle="Normal 3">
  <autoFilter ref="D155:K179"/>
  <sortState ref="D156:K179">
    <sortCondition ref="J155:J179"/>
  </sortState>
  <tableColumns count="8">
    <tableColumn id="1" name="FECHA" totalsRowLabel="Total" dataDxfId="1782" totalsRowDxfId="1781" dataCellStyle="Normal 3"/>
    <tableColumn id="2" name="PTO VTA" dataDxfId="1780" totalsRowDxfId="1779" dataCellStyle="Normal 3"/>
    <tableColumn id="3" name="FC Nº" dataDxfId="1778" totalsRowDxfId="1777" dataCellStyle="Normal 3"/>
    <tableColumn id="4" name="CUIT" dataDxfId="1776" totalsRowDxfId="1775" dataCellStyle="Normal 3"/>
    <tableColumn id="5" name="RAZON SOCIAL" dataDxfId="1774" totalsRowDxfId="1773" dataCellStyle="Normal 3">
      <calculatedColumnFormula>IFERROR(IF(factura_c_mes2[[#This Row],[CUIT]]="","-",VLOOKUP(factura_c_mes2[[#This Row],[CUIT]],Lista_CUIT[#All],2,0)),"CUIT NO CARGADO")</calculatedColumnFormula>
    </tableColumn>
    <tableColumn id="6" name="TOTAL" totalsRowFunction="sum" dataDxfId="1772" totalsRowDxfId="1771" dataCellStyle="Normal 3"/>
    <tableColumn id="7" name="TIPO DE GASTO" dataDxfId="1770" totalsRowDxfId="1769" dataCellStyle="Normal 3">
      <calculatedColumnFormula>IFERROR(IF(factura_c_mes2[[#This Row],[CUIT]]="","-",VLOOKUP(factura_c_mes2[[#This Row],[CUIT]],Lista_CUIT[#All],3,0)),"CUIT NO CARGADO")</calculatedColumnFormula>
    </tableColumn>
    <tableColumn id="8" name="Provincia" dataDxfId="1768" totalsRowDxfId="1767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id="11" name="venta_a_mes2" displayName="venta_a_mes2" ref="B189:M191" totalsRowCount="1" headerRowDxfId="1766" dataDxfId="1764" headerRowBorderDxfId="1765" tableBorderDxfId="1763" totalsRowBorderDxfId="1762" dataCellStyle="Normal 3">
  <autoFilter ref="B189:M190"/>
  <tableColumns count="12">
    <tableColumn id="1" name="FECHA" totalsRowLabel="Total" dataDxfId="1761" totalsRowDxfId="1760" dataCellStyle="Normal 3"/>
    <tableColumn id="2" name="TIPO" dataDxfId="1759" totalsRowDxfId="1758" dataCellStyle="Normal 3"/>
    <tableColumn id="3" name="PTO VENTA" dataDxfId="1757" totalsRowDxfId="1756" dataCellStyle="Normal 3"/>
    <tableColumn id="4" name="Nº FACTURA" dataDxfId="1755" totalsRowDxfId="1754" dataCellStyle="Normal 3"/>
    <tableColumn id="5" name="CUIT" dataDxfId="1753" totalsRowDxfId="1752" dataCellStyle="Normal 3"/>
    <tableColumn id="6" name="RAZON SOCIAL" dataDxfId="1751" totalsRowDxfId="1750" dataCellStyle="Normal 3">
      <calculatedColumnFormula>IFERROR(IF(venta_a_mes2[[#This Row],[CUIT]]="","-",VLOOKUP(venta_a_mes2[[#This Row],[CUIT]],Lista_CUIT[#All],2,0)),"CUIT NO CARGADO")</calculatedColumnFormula>
    </tableColumn>
    <tableColumn id="7" name="IMPORTE NETO" totalsRowFunction="sum" dataDxfId="1749" totalsRowDxfId="1748" dataCellStyle="Normal 3"/>
    <tableColumn id="8" name="IVA 21%" totalsRowFunction="sum" dataDxfId="1747" totalsRowDxfId="1746" dataCellStyle="Normal 3">
      <calculatedColumnFormula>venta_a_mes2[[#This Row],[IMPORTE NETO]]*0.21</calculatedColumnFormula>
    </tableColumn>
    <tableColumn id="9" name="IVA 10,5%" totalsRowFunction="sum" dataDxfId="1745" totalsRowDxfId="1744" dataCellStyle="Normal 3"/>
    <tableColumn id="10" name="EXENTO" totalsRowFunction="sum" dataDxfId="1743" totalsRowDxfId="1742" dataCellStyle="Normal 3"/>
    <tableColumn id="11" name="TOTAL" totalsRowFunction="sum" dataDxfId="1741" totalsRowDxfId="1740" dataCellStyle="Normal 3">
      <calculatedColumnFormula>SUM(venta_a_mes2[[#This Row],[IMPORTE NETO]:[EXENTO]])</calculatedColumnFormula>
    </tableColumn>
    <tableColumn id="12" name="Provincia" totalsRowFunction="count" dataDxfId="1739" totalsRowDxfId="1738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id="12" name="ventas_b_mes2" displayName="ventas_b_mes2" ref="B195:M198" totalsRowCount="1" headerRowDxfId="1737" dataDxfId="1735" headerRowBorderDxfId="1736" tableBorderDxfId="1734" totalsRowBorderDxfId="1733" dataCellStyle="Normal 3">
  <autoFilter ref="B195:M197"/>
  <tableColumns count="12">
    <tableColumn id="1" name="FECHA" totalsRowLabel="Total" dataDxfId="1732" totalsRowDxfId="1731" dataCellStyle="Normal 3"/>
    <tableColumn id="2" name="TIPO" dataDxfId="1730" totalsRowDxfId="1729" dataCellStyle="Normal 3"/>
    <tableColumn id="3" name="PTO VENTA" dataDxfId="1728" totalsRowDxfId="1727" dataCellStyle="Normal 3"/>
    <tableColumn id="4" name="Nº FACTURA" dataDxfId="1726" totalsRowDxfId="1725" dataCellStyle="Normal 3"/>
    <tableColumn id="5" name="CUIT" dataDxfId="1724" totalsRowDxfId="1723" dataCellStyle="Normal 3"/>
    <tableColumn id="6" name="RAZON SOCIAL" dataDxfId="1722" totalsRowDxfId="1721" dataCellStyle="Normal 3">
      <calculatedColumnFormula>IFERROR(IF(ventas_b_mes2[[#This Row],[CUIT]]="","-",VLOOKUP(ventas_b_mes2[[#This Row],[CUIT]],Lista_CUIT[#All],2,0)),"CUIT NO CARGADO")</calculatedColumnFormula>
    </tableColumn>
    <tableColumn id="7" name="IMPORTE NETO" totalsRowFunction="sum" dataDxfId="1720" totalsRowDxfId="1719" dataCellStyle="Normal 3">
      <calculatedColumnFormula>ventas_b_mes2[[#This Row],[TOTAL]]/1.21</calculatedColumnFormula>
    </tableColumn>
    <tableColumn id="8" name="IVA 21%" totalsRowFunction="sum" dataDxfId="1718" totalsRowDxfId="1717" dataCellStyle="Normal 3">
      <calculatedColumnFormula>ventas_b_mes2[[#This Row],[IMPORTE NETO]]*0.21</calculatedColumnFormula>
    </tableColumn>
    <tableColumn id="9" name="IVA 10,5%" totalsRowFunction="sum" dataDxfId="1716" totalsRowDxfId="1715" dataCellStyle="Normal 3"/>
    <tableColumn id="10" name="EXENTO" totalsRowFunction="sum" dataDxfId="1714" totalsRowDxfId="1713" dataCellStyle="Normal 3"/>
    <tableColumn id="11" name="TOTAL" totalsRowFunction="sum" dataDxfId="1712" totalsRowDxfId="1711" dataCellStyle="Normal 3"/>
    <tableColumn id="12" name="Provincia" totalsRowFunction="count" dataDxfId="1710" totalsRowDxfId="1709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id="13" name="extracto_banco_mes2" displayName="extracto_banco_mes2" ref="D140:L150" totalsRowCount="1" headerRowDxfId="1708" dataDxfId="1707" tableBorderDxfId="1706" dataCellStyle="Normal 3">
  <autoFilter ref="D140:L149"/>
  <tableColumns count="9">
    <tableColumn id="1" name="FECHA" totalsRowLabel="Total" dataDxfId="1705" totalsRowDxfId="1704" dataCellStyle="Normal 3"/>
    <tableColumn id="2" name="NRO CPTE" dataDxfId="1703" totalsRowDxfId="1702" dataCellStyle="Normal 3"/>
    <tableColumn id="3" name="BANCO" dataDxfId="1701" totalsRowDxfId="1700" dataCellStyle="Normal 3"/>
    <tableColumn id="4" name="NETO" totalsRowFunction="sum" dataDxfId="1699" totalsRowDxfId="1698" dataCellStyle="Normal 3"/>
    <tableColumn id="5" name="IVA 21%" totalsRowFunction="sum" dataDxfId="1697" totalsRowDxfId="1696" dataCellStyle="Normal 3"/>
    <tableColumn id="6" name="IVA 10,5%" totalsRowFunction="sum" dataDxfId="1695" totalsRowDxfId="1694" dataCellStyle="Normal 3"/>
    <tableColumn id="7" name="RET IIBB CABA" totalsRowFunction="sum" dataDxfId="1693" totalsRowDxfId="1692" dataCellStyle="Normal 3"/>
    <tableColumn id="8" name="PERC IVA" totalsRowFunction="sum" dataDxfId="1691" totalsRowDxfId="1690" dataCellStyle="Normal 3"/>
    <tableColumn id="9" name="PERC IIBB" totalsRowFunction="sum" dataDxfId="1689" totalsRowDxfId="1688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id="14" name="Retenciones_mes2" displayName="Retenciones_mes2" ref="C202:L207" totalsRowShown="0" headerRowDxfId="1687" dataDxfId="1686" headerRowCellStyle="Normal 3" dataCellStyle="Normal 3">
  <autoFilter ref="C202:L207"/>
  <tableColumns count="10">
    <tableColumn id="1" name="FECHA " dataDxfId="1685" dataCellStyle="Normal 3"/>
    <tableColumn id="2" name="COMP Nº" dataDxfId="1684" dataCellStyle="Normal 3"/>
    <tableColumn id="3" name="Columna1" dataDxfId="1683" dataCellStyle="Normal 3"/>
    <tableColumn id="4" name="CUIT" dataDxfId="1682" dataCellStyle="Normal 3"/>
    <tableColumn id="5" name="RAZON SOCIAL" dataDxfId="1681" dataCellStyle="Normal 3">
      <calculatedColumnFormula>IFERROR(IF(Retenciones_mes2[[#This Row],[CUIT]]="","-",VLOOKUP(Retenciones_mes2[[#This Row],[CUIT]],Lista_CUIT[#All],2,0)),"CUIT NO CARGADO")</calculatedColumnFormula>
    </tableColumn>
    <tableColumn id="6" name="Ganancias" dataDxfId="1680" dataCellStyle="Normal 3"/>
    <tableColumn id="7" name="IVA" dataDxfId="1679" dataCellStyle="Normal 3"/>
    <tableColumn id="8" name="SUSS" dataDxfId="1678" dataCellStyle="Normal 3"/>
    <tableColumn id="9" name="IIBB BSAS" dataDxfId="1677" dataCellStyle="Normal 3"/>
    <tableColumn id="10" name="IIBB CABA" dataDxfId="1676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id="51" name="venta_a_mes552" displayName="venta_a_mes552" ref="B211:M216" totalsRowCount="1" headerRowDxfId="1675" dataDxfId="1673" headerRowBorderDxfId="1674" tableBorderDxfId="1672" totalsRowBorderDxfId="1671" dataCellStyle="Normal 3">
  <autoFilter ref="B211:M215"/>
  <tableColumns count="12">
    <tableColumn id="1" name="FECHA" totalsRowLabel="Total" dataDxfId="1670" totalsRowDxfId="1669" dataCellStyle="Normal 3"/>
    <tableColumn id="2" name="TIPO" dataDxfId="1668" totalsRowDxfId="1667" dataCellStyle="Normal 3"/>
    <tableColumn id="3" name="PTO VENTA" dataDxfId="1666" totalsRowDxfId="1665" dataCellStyle="Normal 3"/>
    <tableColumn id="4" name="Nº FACTURA" dataDxfId="1664" totalsRowDxfId="1663" dataCellStyle="Normal 3"/>
    <tableColumn id="5" name="CUIT" dataDxfId="1662" totalsRowDxfId="1661" dataCellStyle="Normal 3"/>
    <tableColumn id="6" name="RAZON SOCIAL" dataDxfId="1660" totalsRowDxfId="1659" dataCellStyle="Normal 3">
      <calculatedColumnFormula>IFERROR(IF(venta_a_mes552[[#This Row],[CUIT]]="","-",VLOOKUP(venta_a_mes552[[#This Row],[CUIT]],Lista_CUIT[#All],2,0)),"CUIT NO CARGADO")</calculatedColumnFormula>
    </tableColumn>
    <tableColumn id="7" name="IMPORTE NETO" totalsRowFunction="sum" dataDxfId="1658" totalsRowDxfId="1657" dataCellStyle="Normal 3"/>
    <tableColumn id="8" name="IVA 21%" totalsRowFunction="sum" dataDxfId="1656" totalsRowDxfId="1655" dataCellStyle="Normal 3">
      <calculatedColumnFormula>venta_a_mes552[[#This Row],[IMPORTE NETO]]*0.21</calculatedColumnFormula>
    </tableColumn>
    <tableColumn id="9" name="IVA 10,5%" totalsRowFunction="sum" dataDxfId="1654" totalsRowDxfId="1653" dataCellStyle="Normal 3"/>
    <tableColumn id="10" name="EXENTO" totalsRowFunction="sum" dataDxfId="1652" totalsRowDxfId="1651" dataCellStyle="Normal 3"/>
    <tableColumn id="11" name="TOTAL" totalsRowFunction="sum" dataDxfId="1650" totalsRowDxfId="1649" dataCellStyle="Normal 3">
      <calculatedColumnFormula>SUM(venta_a_mes552[[#This Row],[IMPORTE NETO]:[EXENTO]])</calculatedColumnFormula>
    </tableColumn>
    <tableColumn id="12" name="Provincia" totalsRowFunction="count" dataDxfId="1648" totalsRowDxfId="1647" dataCellStyle="Normal 3"/>
  </tableColumns>
  <tableStyleInfo name="Tabla Ventas" showFirstColumn="0" showLastColumn="0" showRowStripes="1" showColumnStripes="0"/>
</table>
</file>

<file path=xl/tables/table15.xml><?xml version="1.0" encoding="utf-8"?>
<table xmlns="http://schemas.openxmlformats.org/spreadsheetml/2006/main" id="15" name="compras_mes3" displayName="compras_mes3" ref="B8:R182" totalsRowCount="1" headerRowDxfId="1646" dataDxfId="1645" totalsRowDxfId="1644">
  <autoFilter ref="B8:R181">
    <filterColumn colId="15">
      <filters>
        <filter val="Servicios Gas, Luz, etc."/>
      </filters>
    </filterColumn>
  </autoFilter>
  <sortState ref="B9:R181">
    <sortCondition ref="Q8:Q181"/>
  </sortState>
  <tableColumns count="17">
    <tableColumn id="1" name="FECHA" totalsRowLabel="Total" dataDxfId="1643" totalsRowDxfId="1642" dataCellStyle="Normal 3"/>
    <tableColumn id="2" name="TIPO" dataDxfId="1641" totalsRowDxfId="1640" dataCellStyle="Normal 3"/>
    <tableColumn id="3" name="PTO VTA" dataDxfId="1639" totalsRowDxfId="1638" dataCellStyle="Normal 3"/>
    <tableColumn id="4" name="NRO. CPTE" dataDxfId="1637" totalsRowDxfId="1636" dataCellStyle="Normal 3"/>
    <tableColumn id="5" name="CUIT" dataDxfId="1635" totalsRowDxfId="1634" dataCellStyle="Normal 3"/>
    <tableColumn id="6" name="RAZON SOCIAL" dataDxfId="1633" totalsRowDxfId="1632" dataCellStyle="Normal 3">
      <calculatedColumnFormula>IFERROR(IF(compras_mes3[[#This Row],[CUIT]]="","-",VLOOKUP(compras_mes3[[#This Row],[CUIT]],Lista_CUIT[#All],2,0)),"CUIT NO CARGADO")</calculatedColumnFormula>
    </tableColumn>
    <tableColumn id="7" name="NETO GRAVADO" totalsRowFunction="sum" dataDxfId="1631" totalsRowDxfId="1630" dataCellStyle="Normal 3"/>
    <tableColumn id="8" name="IVA 21 %" totalsRowFunction="sum" dataDxfId="1629" totalsRowDxfId="1628" dataCellStyle="Normal 3">
      <calculatedColumnFormula>compras_mes3[[#This Row],[NETO GRAVADO]]*0.21</calculatedColumnFormula>
    </tableColumn>
    <tableColumn id="9" name="IVA 27%" totalsRowFunction="sum" dataDxfId="1627" totalsRowDxfId="1626" dataCellStyle="Normal 3"/>
    <tableColumn id="10" name="IVA 10,5%" totalsRowFunction="sum" dataDxfId="1625" totalsRowDxfId="1624" dataCellStyle="Normal 3"/>
    <tableColumn id="11" name="PERC. IVA" totalsRowFunction="sum" dataDxfId="1623" totalsRowDxfId="1622" dataCellStyle="Normal 3"/>
    <tableColumn id="12" name="PERC IIBB _x000a_BS AS" totalsRowFunction="sum" dataDxfId="1621" totalsRowDxfId="1620" dataCellStyle="Normal 3"/>
    <tableColumn id="13" name="PERC. IIBB CABA" totalsRowFunction="sum" dataDxfId="1619" totalsRowDxfId="1618" dataCellStyle="Normal 3"/>
    <tableColumn id="14" name="Otros / No Grav." totalsRowFunction="sum" dataDxfId="1617" totalsRowDxfId="1616" dataCellStyle="Normal 3"/>
    <tableColumn id="15" name="TOTAL" totalsRowFunction="sum" dataDxfId="1615" totalsRowDxfId="1614" dataCellStyle="Normal 3">
      <calculatedColumnFormula>SUM(compras_mes3[[#This Row],[NETO GRAVADO]:[Otros / No Grav.]])</calculatedColumnFormula>
    </tableColumn>
    <tableColumn id="16" name="Tipo de Gasto" dataDxfId="1613" totalsRowDxfId="1612" dataCellStyle="Normal 3">
      <calculatedColumnFormula>IFERROR(IF(compras_mes3[[#This Row],[CUIT]]="","-",VLOOKUP(compras_mes3[[#This Row],[CUIT]],Lista_CUIT[#All],3,0)),"CUIT NO CARGADO")</calculatedColumnFormula>
    </tableColumn>
    <tableColumn id="17" name="Provincia" dataDxfId="1611" totalsRowDxfId="1610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id="16" name="factura_c_mes3" displayName="factura_c_mes3" ref="D197:K212" totalsRowCount="1" headerRowDxfId="1609" totalsRowDxfId="1608" headerRowCellStyle="Normal 3">
  <autoFilter ref="D197:K211"/>
  <sortState ref="D198:K211">
    <sortCondition ref="J197:J211"/>
  </sortState>
  <tableColumns count="8">
    <tableColumn id="1" name="FECHA" totalsRowLabel="Total" dataDxfId="1607" totalsRowDxfId="1606" dataCellStyle="Normal 3"/>
    <tableColumn id="2" name="PTO VTA" dataDxfId="1605" totalsRowDxfId="1604" dataCellStyle="Normal 3"/>
    <tableColumn id="3" name="FC Nº" dataDxfId="1603" totalsRowDxfId="1602" dataCellStyle="Normal 3"/>
    <tableColumn id="4" name="CUIT" dataDxfId="1601" totalsRowDxfId="1600" dataCellStyle="Normal 3"/>
    <tableColumn id="5" name="RAZON SOCIAL" dataDxfId="1599" totalsRowDxfId="1598" dataCellStyle="Normal 3">
      <calculatedColumnFormula>IFERROR(IF(factura_c_mes3[[#This Row],[CUIT]]="","-",VLOOKUP(factura_c_mes3[[#This Row],[CUIT]],Lista_CUIT[#All],2,0)),"CUIT NO CARGADO")</calculatedColumnFormula>
    </tableColumn>
    <tableColumn id="6" name="TOTAL" totalsRowFunction="sum" dataDxfId="1597" totalsRowDxfId="1596" dataCellStyle="Normal 3"/>
    <tableColumn id="7" name="TIPO DE GASTO" dataDxfId="1595" totalsRowDxfId="1594" dataCellStyle="Normal 3">
      <calculatedColumnFormula>IFERROR(IF(factura_c_mes3[[#This Row],[CUIT]]="","-",VLOOKUP(factura_c_mes3[[#This Row],[CUIT]],Lista_CUIT[#All],3,0)),"CUIT NO CARGADO")</calculatedColumnFormula>
    </tableColumn>
    <tableColumn id="8" name="Provincia" dataDxfId="1593" totalsRowDxfId="1592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7.xml><?xml version="1.0" encoding="utf-8"?>
<table xmlns="http://schemas.openxmlformats.org/spreadsheetml/2006/main" id="17" name="venta_a_mes3" displayName="venta_a_mes3" ref="B218:M221" totalsRowCount="1" headerRowDxfId="1591" dataDxfId="1589" headerRowBorderDxfId="1590" tableBorderDxfId="1588" totalsRowBorderDxfId="1587" dataCellStyle="Normal 3">
  <autoFilter ref="B218:M220"/>
  <tableColumns count="12">
    <tableColumn id="1" name="FECHA" totalsRowLabel="Total" dataDxfId="1586" totalsRowDxfId="1585" dataCellStyle="Normal 3"/>
    <tableColumn id="2" name="TIPO" dataDxfId="1584" totalsRowDxfId="1583" dataCellStyle="Normal 3"/>
    <tableColumn id="3" name="PTO VENTA" dataDxfId="1582" totalsRowDxfId="1581" dataCellStyle="Normal 3"/>
    <tableColumn id="4" name="Nº FACTURA" dataDxfId="1580" totalsRowDxfId="1579" dataCellStyle="Normal 3"/>
    <tableColumn id="5" name="CUIT" dataDxfId="1578" totalsRowDxfId="1577" dataCellStyle="Normal 3"/>
    <tableColumn id="6" name="RAZON SOCIAL" dataDxfId="1576" totalsRowDxfId="1575" dataCellStyle="Normal 3">
      <calculatedColumnFormula>IFERROR(IF(venta_a_mes3[[#This Row],[CUIT]]="","-",VLOOKUP(venta_a_mes3[[#This Row],[CUIT]],Lista_CUIT[#All],2,0)),"CUIT NO CARGADO")</calculatedColumnFormula>
    </tableColumn>
    <tableColumn id="7" name="IMPORTE NETO" totalsRowFunction="sum" dataDxfId="1574" totalsRowDxfId="1573" dataCellStyle="Normal 3"/>
    <tableColumn id="8" name="IVA 21%" totalsRowFunction="sum" dataDxfId="1572" totalsRowDxfId="1571" dataCellStyle="Normal 3">
      <calculatedColumnFormula>venta_a_mes3[[#This Row],[IMPORTE NETO]]*0.21</calculatedColumnFormula>
    </tableColumn>
    <tableColumn id="9" name="IVA 10,5%" totalsRowFunction="sum" dataDxfId="1570" totalsRowDxfId="1569" dataCellStyle="Normal 3"/>
    <tableColumn id="10" name="EXENTO" totalsRowFunction="sum" dataDxfId="1568" totalsRowDxfId="1567" dataCellStyle="Normal 3"/>
    <tableColumn id="11" name="TOTAL" totalsRowFunction="sum" dataDxfId="1566" totalsRowDxfId="1565" dataCellStyle="Normal 3">
      <calculatedColumnFormula>SUM(venta_a_mes3[[#This Row],[IMPORTE NETO]:[EXENTO]])</calculatedColumnFormula>
    </tableColumn>
    <tableColumn id="12" name="Provincia" totalsRowFunction="count" dataDxfId="1564" totalsRowDxfId="1563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id="18" name="ventas_b_mes3" displayName="ventas_b_mes3" ref="B225:M228" totalsRowCount="1" headerRowDxfId="1562" dataDxfId="1560" headerRowBorderDxfId="1561" tableBorderDxfId="1559" totalsRowBorderDxfId="1558" dataCellStyle="Normal 3">
  <autoFilter ref="B225:M227"/>
  <tableColumns count="12">
    <tableColumn id="1" name="FECHA" totalsRowLabel="Total" dataDxfId="1557" totalsRowDxfId="1556" dataCellStyle="Normal 3"/>
    <tableColumn id="2" name="TIPO" dataDxfId="1555" totalsRowDxfId="1554" dataCellStyle="Normal 3"/>
    <tableColumn id="3" name="PTO VENTA" dataDxfId="1553" totalsRowDxfId="1552" dataCellStyle="Normal 3"/>
    <tableColumn id="4" name="Nº FACTURA" dataDxfId="1551" totalsRowDxfId="1550" dataCellStyle="Normal 3"/>
    <tableColumn id="5" name="CUIT" dataDxfId="1549" totalsRowDxfId="1548" dataCellStyle="Normal 3"/>
    <tableColumn id="6" name="RAZON SOCIAL" dataDxfId="1547" totalsRowDxfId="1546" dataCellStyle="Normal 3">
      <calculatedColumnFormula>IFERROR(IF(ventas_b_mes3[[#This Row],[CUIT]]="","-",VLOOKUP(ventas_b_mes3[[#This Row],[CUIT]],Lista_CUIT[#All],2,0)),"CUIT NO CARGADO")</calculatedColumnFormula>
    </tableColumn>
    <tableColumn id="7" name="IMPORTE NETO" totalsRowFunction="sum" dataDxfId="1545" totalsRowDxfId="1544" dataCellStyle="Normal 3"/>
    <tableColumn id="8" name="IVA 21%" totalsRowFunction="sum" dataDxfId="1543" totalsRowDxfId="1542" dataCellStyle="Normal 3"/>
    <tableColumn id="9" name="IVA 10,5%" totalsRowFunction="sum" dataDxfId="1541" totalsRowDxfId="1540" dataCellStyle="Normal 3"/>
    <tableColumn id="10" name="EXENTO" totalsRowFunction="sum" dataDxfId="1539" totalsRowDxfId="1538" dataCellStyle="Normal 3"/>
    <tableColumn id="11" name="TOTAL" totalsRowFunction="sum" dataDxfId="1537" totalsRowDxfId="1536" dataCellStyle="Normal 3">
      <calculatedColumnFormula>SUM(ventas_b_mes3[[#This Row],[IMPORTE NETO]:[EXENTO]])</calculatedColumnFormula>
    </tableColumn>
    <tableColumn id="12" name="Provincia" totalsRowFunction="count" dataDxfId="1535" totalsRowDxfId="1534" dataCellStyle="Normal 3"/>
  </tableColumns>
  <tableStyleInfo name="Tabla Ventas" showFirstColumn="0" showLastColumn="0" showRowStripes="1" showColumnStripes="0"/>
</table>
</file>

<file path=xl/tables/table19.xml><?xml version="1.0" encoding="utf-8"?>
<table xmlns="http://schemas.openxmlformats.org/spreadsheetml/2006/main" id="19" name="extracto_banco_mes3" displayName="extracto_banco_mes3" ref="D185:L194" totalsRowCount="1" headerRowDxfId="1533" dataDxfId="1532" tableBorderDxfId="1531" dataCellStyle="Normal 3">
  <autoFilter ref="D185:L193"/>
  <tableColumns count="9">
    <tableColumn id="1" name="FECHA" totalsRowLabel="Total" dataDxfId="1530" totalsRowDxfId="1529" dataCellStyle="Normal 3"/>
    <tableColumn id="2" name="NRO CPTE" dataDxfId="1528" totalsRowDxfId="1527"/>
    <tableColumn id="3" name="BANCO" dataDxfId="1526" totalsRowDxfId="1525"/>
    <tableColumn id="4" name="NETO" totalsRowFunction="sum" dataDxfId="1524" totalsRowDxfId="1523" dataCellStyle="Millares"/>
    <tableColumn id="5" name="IVA 21%" totalsRowFunction="sum" dataDxfId="1522" totalsRowDxfId="1521" dataCellStyle="Millares">
      <calculatedColumnFormula>extracto_banco_mes3[[#This Row],[NETO]]*0.21</calculatedColumnFormula>
    </tableColumn>
    <tableColumn id="6" name="IVA 10,5%" totalsRowFunction="sum" dataDxfId="1520" totalsRowDxfId="1519" dataCellStyle="Millares"/>
    <tableColumn id="7" name="RET IIBB CABA" totalsRowFunction="sum" dataDxfId="1518" totalsRowDxfId="1517" dataCellStyle="Millares"/>
    <tableColumn id="8" name="PERC IVA" totalsRowFunction="sum" dataDxfId="1516" totalsRowDxfId="1515" dataCellStyle="Millares"/>
    <tableColumn id="9" name="PERC IIBB" totalsRowFunction="sum" dataDxfId="1514" totalsRowDxfId="1513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id="20" name="Retenciones_mes3" displayName="Retenciones_mes3" ref="C237:L242" totalsRowShown="0" headerRowDxfId="1512" dataDxfId="1511" headerRowCellStyle="Normal 3" dataCellStyle="Normal 3">
  <autoFilter ref="C237:L242"/>
  <tableColumns count="10">
    <tableColumn id="1" name="FECHA " dataDxfId="1510" dataCellStyle="Normal 3"/>
    <tableColumn id="2" name="COMP Nº" dataDxfId="1509" dataCellStyle="Normal 3"/>
    <tableColumn id="3" name="Columna1" dataDxfId="1508" dataCellStyle="Normal 3"/>
    <tableColumn id="4" name="CUIT" dataDxfId="1507" dataCellStyle="Normal 3"/>
    <tableColumn id="5" name="RAZON SOCIAL" dataDxfId="1506" dataCellStyle="Normal 3">
      <calculatedColumnFormula>IFERROR(IF(Retenciones_mes3[[#This Row],[CUIT]]="","-",VLOOKUP(Retenciones_mes3[[#This Row],[CUIT]],Lista_CUIT[#All],2,0)),"CUIT NO CARGADO")</calculatedColumnFormula>
    </tableColumn>
    <tableColumn id="6" name="Ganancias" dataDxfId="1505" dataCellStyle="Normal 3"/>
    <tableColumn id="7" name="IVA" dataDxfId="1504" dataCellStyle="Normal 3"/>
    <tableColumn id="8" name="SUSS" dataDxfId="1503" dataCellStyle="Normal 3"/>
    <tableColumn id="9" name="IIBB BSAS" dataDxfId="1502" dataCellStyle="Normal 3"/>
    <tableColumn id="10" name="IIBB CABA" dataDxfId="1501" dataCellStyle="Normal 3"/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id="52" name="venta_a_mes55253" displayName="venta_a_mes55253" ref="C246:N251" totalsRowCount="1" headerRowDxfId="1500" dataDxfId="1498" headerRowBorderDxfId="1499" tableBorderDxfId="1497" totalsRowBorderDxfId="1496" dataCellStyle="Normal 3">
  <autoFilter ref="C246:N250"/>
  <tableColumns count="12">
    <tableColumn id="1" name="FECHA" totalsRowLabel="Total" dataDxfId="1495" totalsRowDxfId="1494" dataCellStyle="Normal 3"/>
    <tableColumn id="2" name="TIPO" dataDxfId="1493" totalsRowDxfId="1492" dataCellStyle="Normal 3"/>
    <tableColumn id="3" name="PTO VENTA" dataDxfId="1491" totalsRowDxfId="1490" dataCellStyle="Normal 3"/>
    <tableColumn id="4" name="Nº FACTURA" dataDxfId="1489" totalsRowDxfId="1488" dataCellStyle="Normal 3"/>
    <tableColumn id="5" name="CUIT" dataDxfId="1487" totalsRowDxfId="1486" dataCellStyle="Normal 3"/>
    <tableColumn id="6" name="RAZON SOCIAL" dataDxfId="1485" totalsRowDxfId="1484" dataCellStyle="Normal 3">
      <calculatedColumnFormula>IFERROR(IF(venta_a_mes55253[[#This Row],[CUIT]]="","-",VLOOKUP(venta_a_mes55253[[#This Row],[CUIT]],Lista_CUIT[#All],2,0)),"CUIT NO CARGADO")</calculatedColumnFormula>
    </tableColumn>
    <tableColumn id="7" name="IMPORTE NETO" totalsRowFunction="sum" dataDxfId="1483" totalsRowDxfId="1482" dataCellStyle="Normal 3"/>
    <tableColumn id="8" name="IVA 21%" totalsRowFunction="sum" dataDxfId="1481" totalsRowDxfId="1480" dataCellStyle="Normal 3">
      <calculatedColumnFormula>venta_a_mes55253[[#This Row],[IMPORTE NETO]]*0.21</calculatedColumnFormula>
    </tableColumn>
    <tableColumn id="9" name="IVA 10,5%" totalsRowFunction="sum" dataDxfId="1479" totalsRowDxfId="1478" dataCellStyle="Normal 3"/>
    <tableColumn id="10" name="EXENTO" totalsRowFunction="sum" dataDxfId="1477" totalsRowDxfId="1476" dataCellStyle="Normal 3"/>
    <tableColumn id="11" name="TOTAL" totalsRowFunction="sum" dataDxfId="1475" totalsRowDxfId="1474" dataCellStyle="Normal 3">
      <calculatedColumnFormula>SUM(venta_a_mes55253[[#This Row],[IMPORTE NETO]:[EXENTO]])</calculatedColumnFormula>
    </tableColumn>
    <tableColumn id="12" name="Provincia" totalsRowFunction="count" dataDxfId="1473" totalsRowDxfId="1472" dataCellStyle="Normal 3"/>
  </tableColumns>
  <tableStyleInfo name="Tabla Ventas" showFirstColumn="0" showLastColumn="0" showRowStripes="1" showColumnStripes="0"/>
</table>
</file>

<file path=xl/tables/table22.xml><?xml version="1.0" encoding="utf-8"?>
<table xmlns="http://schemas.openxmlformats.org/spreadsheetml/2006/main" id="21" name="compras_mes4" displayName="compras_mes4" ref="B7:R161" totalsRowCount="1" headerRowDxfId="1471" totalsRowDxfId="1470">
  <autoFilter ref="B7:R160">
    <filterColumn colId="15">
      <filters>
        <filter val="Gastos Varios"/>
      </filters>
    </filterColumn>
  </autoFilter>
  <sortState ref="B8:R160">
    <sortCondition ref="Q7:Q160"/>
  </sortState>
  <tableColumns count="17">
    <tableColumn id="1" name="FECHA" totalsRowLabel="Total" dataDxfId="1469" totalsRowDxfId="1468" dataCellStyle="Normal 3"/>
    <tableColumn id="2" name="TIPO" dataDxfId="1467" totalsRowDxfId="1466" dataCellStyle="Normal 3"/>
    <tableColumn id="3" name="PTO VTA" dataDxfId="1465" totalsRowDxfId="1464" dataCellStyle="Normal 3"/>
    <tableColumn id="4" name="NRO. CPTE" dataDxfId="1463" totalsRowDxfId="1462" dataCellStyle="Normal 3"/>
    <tableColumn id="5" name="CUIT" dataDxfId="1461" totalsRowDxfId="1460" dataCellStyle="Normal 3"/>
    <tableColumn id="6" name="RAZON SOCIAL" dataDxfId="1459" totalsRowDxfId="1458" dataCellStyle="Normal 3">
      <calculatedColumnFormula>IFERROR(IF(compras_mes4[[#This Row],[CUIT]]="","-",VLOOKUP(compras_mes4[[#This Row],[CUIT]],Lista_CUIT[#All],2,0)),"CUIT NO CARGADO")</calculatedColumnFormula>
    </tableColumn>
    <tableColumn id="7" name="NETO GRAVADO" totalsRowFunction="sum" dataDxfId="1457" totalsRowDxfId="1456" dataCellStyle="Normal 3"/>
    <tableColumn id="8" name="IVA 21 %" totalsRowFunction="sum" dataDxfId="1455" totalsRowDxfId="1454" dataCellStyle="Normal 3">
      <calculatedColumnFormula>IF(compras_mes4[[#This Row],[NETO GRAVADO]]="","",compras_mes4[[#This Row],[NETO GRAVADO]]*0.21)</calculatedColumnFormula>
    </tableColumn>
    <tableColumn id="9" name="IVA 27%" totalsRowFunction="sum" dataDxfId="1453" totalsRowDxfId="1452" dataCellStyle="Normal 3"/>
    <tableColumn id="10" name="IVA 10,5%" totalsRowFunction="sum" dataDxfId="1451" totalsRowDxfId="1450" dataCellStyle="Normal 3"/>
    <tableColumn id="11" name="PERC. IVA" totalsRowFunction="sum" dataDxfId="1449" totalsRowDxfId="1448" dataCellStyle="Normal 3"/>
    <tableColumn id="12" name="PERC IIBB _x000a_BS AS" totalsRowFunction="sum" dataDxfId="1447" totalsRowDxfId="1446" dataCellStyle="Normal 3"/>
    <tableColumn id="13" name="PERC. IIBB CABA" totalsRowFunction="sum" dataDxfId="1445" totalsRowDxfId="1444" dataCellStyle="Normal 3"/>
    <tableColumn id="14" name="Otros / No Grav." totalsRowFunction="sum" dataDxfId="1443" totalsRowDxfId="1442" dataCellStyle="Normal 3"/>
    <tableColumn id="15" name="TOTAL" totalsRowFunction="sum" dataDxfId="1441" totalsRowDxfId="1440" dataCellStyle="Normal 3">
      <calculatedColumnFormula>SUM(compras_mes4[[#This Row],[NETO GRAVADO]:[Otros / No Grav.]])</calculatedColumnFormula>
    </tableColumn>
    <tableColumn id="16" name="Tipo de Gasto" dataDxfId="1439" totalsRowDxfId="1438" dataCellStyle="Normal 3">
      <calculatedColumnFormula>IFERROR(IF(compras_mes4[[#This Row],[CUIT]]="","-",VLOOKUP(compras_mes4[[#This Row],[CUIT]],Lista_CUIT[#All],3,0)),"CUIT NO CARGADO")</calculatedColumnFormula>
    </tableColumn>
    <tableColumn id="17" name="Provincia" dataDxfId="1437" totalsRowDxfId="1436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id="22" name="factura_c_mes4" displayName="factura_c_mes4" ref="D175:K212" totalsRowCount="1" headerRowDxfId="1435" totalsRowDxfId="1434" headerRowCellStyle="Normal 3">
  <autoFilter ref="D175:K211"/>
  <sortState ref="D176:K211">
    <sortCondition ref="J175:J211"/>
  </sortState>
  <tableColumns count="8">
    <tableColumn id="1" name="FECHA" totalsRowLabel="Total" dataDxfId="1433" totalsRowDxfId="1432" dataCellStyle="Normal 3"/>
    <tableColumn id="2" name="PTO VTA" dataDxfId="1431" totalsRowDxfId="1430" dataCellStyle="Normal 3"/>
    <tableColumn id="3" name="FC Nº" dataDxfId="1429" totalsRowDxfId="1428" dataCellStyle="Normal 3"/>
    <tableColumn id="4" name="CUIT" dataDxfId="1427" totalsRowDxfId="1426" dataCellStyle="Normal 3"/>
    <tableColumn id="5" name="RAZON SOCIAL" dataDxfId="1425" totalsRowDxfId="1424" dataCellStyle="Normal 3">
      <calculatedColumnFormula>IFERROR(IF(factura_c_mes4[[#This Row],[CUIT]]="","-",VLOOKUP(factura_c_mes4[[#This Row],[CUIT]],Lista_CUIT[#All],2,0)),"CUIT NO CARGADO")</calculatedColumnFormula>
    </tableColumn>
    <tableColumn id="6" name="TOTAL" totalsRowFunction="sum" dataDxfId="1423" totalsRowDxfId="1422" dataCellStyle="Normal 3"/>
    <tableColumn id="7" name="TIPO DE GASTO" dataDxfId="1421" totalsRowDxfId="1420" dataCellStyle="Normal 3">
      <calculatedColumnFormula>IFERROR(IF(factura_c_mes4[[#This Row],[CUIT]]="","-",VLOOKUP(factura_c_mes4[[#This Row],[CUIT]],Lista_CUIT[#All],3,0)),"CUIT NO CARGADO")</calculatedColumnFormula>
    </tableColumn>
    <tableColumn id="8" name="Provincia" dataDxfId="1419" totalsRowDxfId="1418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id="23" name="venta_a_mes4" displayName="venta_a_mes4" ref="B221:M227" totalsRowCount="1" headerRowDxfId="1417" dataDxfId="1415" headerRowBorderDxfId="1416" tableBorderDxfId="1414" totalsRowBorderDxfId="1413" dataCellStyle="Normal 3">
  <autoFilter ref="B221:M226"/>
  <tableColumns count="12">
    <tableColumn id="1" name="FECHA" totalsRowLabel="Total" dataDxfId="1412" totalsRowDxfId="1411" dataCellStyle="Normal 3"/>
    <tableColumn id="2" name="TIPO" dataDxfId="1410" totalsRowDxfId="1409" dataCellStyle="Normal 3"/>
    <tableColumn id="3" name="PTO VENTA" dataDxfId="1408" totalsRowDxfId="1407" dataCellStyle="Normal 3"/>
    <tableColumn id="4" name="Nº FACTURA" dataDxfId="1406" totalsRowDxfId="1405" dataCellStyle="Normal 3"/>
    <tableColumn id="5" name="CUIT" dataDxfId="1404" totalsRowDxfId="1403" dataCellStyle="Normal 3"/>
    <tableColumn id="6" name="RAZON SOCIAL" dataDxfId="1402" totalsRowDxfId="1401" dataCellStyle="Normal 3">
      <calculatedColumnFormula>IFERROR(IF(venta_a_mes4[[#This Row],[CUIT]]="","-",VLOOKUP(venta_a_mes4[[#This Row],[CUIT]],Lista_CUIT[#All],2,0)),"CUIT NO CARGADO")</calculatedColumnFormula>
    </tableColumn>
    <tableColumn id="7" name="IMPORTE NETO" totalsRowFunction="sum" dataDxfId="1400" totalsRowDxfId="1399" dataCellStyle="Normal 3"/>
    <tableColumn id="8" name="IVA 21%" totalsRowFunction="sum" dataDxfId="1398" totalsRowDxfId="1397" dataCellStyle="Normal 3">
      <calculatedColumnFormula>venta_a_mes4[[#This Row],[IMPORTE NETO]]*0.21</calculatedColumnFormula>
    </tableColumn>
    <tableColumn id="9" name="IVA 10,5%" totalsRowFunction="sum" dataDxfId="1396" totalsRowDxfId="1395" dataCellStyle="Normal 3"/>
    <tableColumn id="10" name="EXENTO" totalsRowFunction="sum" dataDxfId="1394" totalsRowDxfId="1393" dataCellStyle="Normal 3"/>
    <tableColumn id="11" name="TOTAL" totalsRowFunction="sum" dataDxfId="1392" totalsRowDxfId="1391" dataCellStyle="Normal 3">
      <calculatedColumnFormula>SUM(venta_a_mes4[[#This Row],[IMPORTE NETO]:[EXENTO]])</calculatedColumnFormula>
    </tableColumn>
    <tableColumn id="12" name="Provincia" totalsRowFunction="count" dataDxfId="1390" totalsRowDxfId="1389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id="24" name="ventas_b_mes4" displayName="ventas_b_mes4" ref="B231:M238" totalsRowCount="1" headerRowDxfId="1388" dataDxfId="1386" headerRowBorderDxfId="1387" tableBorderDxfId="1385" totalsRowBorderDxfId="1384" dataCellStyle="Normal 3">
  <autoFilter ref="B231:M237"/>
  <tableColumns count="12">
    <tableColumn id="1" name="FECHA" totalsRowLabel="Total" dataDxfId="1383" totalsRowDxfId="1382" dataCellStyle="Normal 3"/>
    <tableColumn id="2" name="TIPO" dataDxfId="1381" totalsRowDxfId="1380" dataCellStyle="Normal 3"/>
    <tableColumn id="3" name="PTO VENTA" dataDxfId="1379" totalsRowDxfId="1378" dataCellStyle="Normal 3"/>
    <tableColumn id="4" name="Nº FACTURA" dataDxfId="1377" totalsRowDxfId="1376" dataCellStyle="Normal 3"/>
    <tableColumn id="5" name="CUIT" dataDxfId="1375" totalsRowDxfId="1374" dataCellStyle="Normal 3"/>
    <tableColumn id="6" name="RAZON SOCIAL" dataDxfId="1373" totalsRowDxfId="1372" dataCellStyle="Normal 3">
      <calculatedColumnFormula>IFERROR(IF(ventas_b_mes4[[#This Row],[CUIT]]="","-",VLOOKUP(ventas_b_mes4[[#This Row],[CUIT]],Lista_CUIT[#All],2,0)),"CUIT NO CARGADO")</calculatedColumnFormula>
    </tableColumn>
    <tableColumn id="7" name="IMPORTE NETO" totalsRowFunction="sum" dataDxfId="1371" totalsRowDxfId="1370" dataCellStyle="Normal 3"/>
    <tableColumn id="8" name="IVA 21%" totalsRowFunction="sum" dataDxfId="1369" totalsRowDxfId="1368" dataCellStyle="Normal 3"/>
    <tableColumn id="9" name="IVA 10,5%" totalsRowFunction="sum" dataDxfId="1367" totalsRowDxfId="1366" dataCellStyle="Normal 3"/>
    <tableColumn id="10" name="EXENTO" totalsRowFunction="sum" dataDxfId="1365" totalsRowDxfId="1364" dataCellStyle="Normal 3"/>
    <tableColumn id="11" name="TOTAL" totalsRowFunction="sum" dataDxfId="1363" totalsRowDxfId="1362" dataCellStyle="Normal 3">
      <calculatedColumnFormula>SUM(ventas_b_mes4[[#This Row],[IMPORTE NETO]:[EXENTO]])</calculatedColumnFormula>
    </tableColumn>
    <tableColumn id="12" name="Provincia" totalsRowFunction="count" dataDxfId="1361" totalsRowDxfId="1360" dataCellStyle="Normal 3"/>
  </tableColumns>
  <tableStyleInfo name="Tabla Ventas" showFirstColumn="0" showLastColumn="0" showRowStripes="1" showColumnStripes="0"/>
</table>
</file>

<file path=xl/tables/table26.xml><?xml version="1.0" encoding="utf-8"?>
<table xmlns="http://schemas.openxmlformats.org/spreadsheetml/2006/main" id="25" name="extracto_banco_mes4" displayName="extracto_banco_mes4" ref="D164:L171" totalsRowCount="1" headerRowDxfId="1359" dataDxfId="1358" tableBorderDxfId="1357" dataCellStyle="Normal 3">
  <autoFilter ref="D164:L170"/>
  <tableColumns count="9">
    <tableColumn id="1" name="FECHA" totalsRowLabel="Total" dataDxfId="1356" totalsRowDxfId="1355" dataCellStyle="Normal 3"/>
    <tableColumn id="2" name="NRO CPTE" dataDxfId="1354" totalsRowDxfId="1353"/>
    <tableColumn id="3" name="BANCO" dataDxfId="1352" totalsRowDxfId="1351"/>
    <tableColumn id="4" name="NETO" totalsRowFunction="sum" dataDxfId="1350" totalsRowDxfId="1349" dataCellStyle="Normal 3"/>
    <tableColumn id="5" name="IVA 21%" totalsRowFunction="sum" dataDxfId="1348" totalsRowDxfId="1347" dataCellStyle="Normal 3"/>
    <tableColumn id="6" name="IVA 10,5%" totalsRowFunction="sum" dataDxfId="1346" totalsRowDxfId="1345" dataCellStyle="Normal 3"/>
    <tableColumn id="7" name="RET IIBB CABA" totalsRowFunction="sum" dataDxfId="1344" totalsRowDxfId="1343" dataCellStyle="Normal 3"/>
    <tableColumn id="8" name="PERC IVA" totalsRowFunction="sum" dataDxfId="1342" totalsRowDxfId="1341" dataCellStyle="Normal 3"/>
    <tableColumn id="9" name="PERC IIBB" totalsRowFunction="sum" dataDxfId="1340" totalsRowDxfId="1339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id="26" name="Retenciones_mes4" displayName="Retenciones_mes4" ref="C247:L252" totalsRowShown="0" headerRowDxfId="1338" dataDxfId="1337" headerRowCellStyle="Normal 3" dataCellStyle="Normal 3">
  <autoFilter ref="C247:L252"/>
  <tableColumns count="10">
    <tableColumn id="1" name="FECHA " dataDxfId="1336" dataCellStyle="Normal 3"/>
    <tableColumn id="2" name="COMP Nº" dataDxfId="1335" dataCellStyle="Normal 3"/>
    <tableColumn id="3" name="Columna1" dataDxfId="1334" dataCellStyle="Normal 3"/>
    <tableColumn id="4" name="CUIT" dataDxfId="1333" dataCellStyle="Normal 3"/>
    <tableColumn id="5" name="RAZON SOCIAL" dataDxfId="1332" dataCellStyle="Normal 3">
      <calculatedColumnFormula>IFERROR(IF(Retenciones_mes4[[#This Row],[CUIT]]="","-",VLOOKUP(Retenciones_mes4[[#This Row],[CUIT]],Lista_CUIT[#All],2,0)),"CUIT NO CARGADO")</calculatedColumnFormula>
    </tableColumn>
    <tableColumn id="6" name="Ganancias" dataDxfId="1331" dataCellStyle="Normal 3"/>
    <tableColumn id="7" name="IVA" dataDxfId="1330" dataCellStyle="Normal 3"/>
    <tableColumn id="8" name="SUSS" dataDxfId="1329" dataCellStyle="Normal 3"/>
    <tableColumn id="9" name="IIBB BSAS" dataDxfId="1328" dataCellStyle="Normal 3"/>
    <tableColumn id="10" name="IIBB CABA" dataDxfId="1327" dataCellStyle="Normal 3"/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id="45" name="compras_mes5" displayName="compras_mes5" ref="B7:R207" totalsRowCount="1" headerRowDxfId="1326" dataDxfId="1325" totalsRowDxfId="1324">
  <autoFilter ref="B7:R206"/>
  <sortState ref="B8:R206">
    <sortCondition ref="Q7:Q206"/>
  </sortState>
  <tableColumns count="17">
    <tableColumn id="1" name="FECHA" totalsRowLabel="Total" dataDxfId="1323" totalsRowDxfId="1322" dataCellStyle="Normal 3"/>
    <tableColumn id="2" name="TIPO" dataDxfId="1321" totalsRowDxfId="1320" dataCellStyle="Normal 3"/>
    <tableColumn id="3" name="PTO VTA" dataDxfId="1319" totalsRowDxfId="1318" dataCellStyle="Normal 3"/>
    <tableColumn id="4" name="NRO. CPTE" dataDxfId="1317" totalsRowDxfId="1316" dataCellStyle="Normal 3"/>
    <tableColumn id="5" name="CUIT" dataDxfId="1315" totalsRowDxfId="1314" dataCellStyle="Normal 3"/>
    <tableColumn id="6" name="RAZON SOCIAL" dataDxfId="1313" totalsRowDxfId="1312" dataCellStyle="Normal 3">
      <calculatedColumnFormula>IFERROR(IF(compras_mes5[[#This Row],[CUIT]]="","-",VLOOKUP(compras_mes5[[#This Row],[CUIT]],Lista_CUIT[#All],2,0)),"CUIT NO CARGADO")</calculatedColumnFormula>
    </tableColumn>
    <tableColumn id="7" name="NETO GRAVADO" totalsRowFunction="sum" dataDxfId="1311" totalsRowDxfId="1310" dataCellStyle="Normal 3"/>
    <tableColumn id="8" name="IVA 21 %" totalsRowFunction="sum" dataDxfId="1309" totalsRowDxfId="1308" dataCellStyle="Normal 3">
      <calculatedColumnFormula>IF(compras_mes5[[#This Row],[NETO GRAVADO]]="","",compras_mes5[[#This Row],[NETO GRAVADO]]*0.21)</calculatedColumnFormula>
    </tableColumn>
    <tableColumn id="9" name="IVA 27%" totalsRowFunction="sum" dataDxfId="1307" totalsRowDxfId="1306" dataCellStyle="Normal 3"/>
    <tableColumn id="10" name="IVA 10,5%" totalsRowFunction="sum" dataDxfId="1305" totalsRowDxfId="1304" dataCellStyle="Normal 3"/>
    <tableColumn id="11" name="PERC. IVA" totalsRowFunction="sum" dataDxfId="1303" totalsRowDxfId="1302" dataCellStyle="Normal 3"/>
    <tableColumn id="12" name="PERC IIBB _x000a_BS AS" totalsRowFunction="sum" dataDxfId="1301" totalsRowDxfId="1300" dataCellStyle="Normal 3"/>
    <tableColumn id="13" name="PERC. IIBB CABA" totalsRowFunction="sum" dataDxfId="1299" totalsRowDxfId="1298" dataCellStyle="Normal 3"/>
    <tableColumn id="14" name="Otros / No Grav." totalsRowFunction="sum" dataDxfId="1297" totalsRowDxfId="1296" dataCellStyle="Normal 3"/>
    <tableColumn id="15" name="TOTAL" totalsRowFunction="sum" dataDxfId="1295" totalsRowDxfId="1294" dataCellStyle="Normal 3">
      <calculatedColumnFormula>SUM(compras_mes5[[#This Row],[NETO GRAVADO]:[Otros / No Grav.]])</calculatedColumnFormula>
    </tableColumn>
    <tableColumn id="16" name="Tipo de Gasto" dataDxfId="1293" totalsRowDxfId="1292" dataCellStyle="Normal 3">
      <calculatedColumnFormula>IFERROR(IF(compras_mes5[[#This Row],[CUIT]]="","-",VLOOKUP(compras_mes5[[#This Row],[CUIT]],Lista_CUIT[#All],3,0)),"CUIT NO CARGADO")</calculatedColumnFormula>
    </tableColumn>
    <tableColumn id="17" name="Provincia" dataDxfId="1291" totalsRowDxfId="1290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id="46" name="factura_c_mes5" displayName="factura_c_mes5" ref="D223:K249" totalsRowCount="1" headerRowDxfId="1289" totalsRowDxfId="1288" headerRowCellStyle="Normal 3">
  <autoFilter ref="D223:K248"/>
  <sortState ref="D224:K248">
    <sortCondition ref="J223:J248"/>
  </sortState>
  <tableColumns count="8">
    <tableColumn id="1" name="FECHA" totalsRowLabel="Total" dataDxfId="1287" totalsRowDxfId="1286" dataCellStyle="Normal 3"/>
    <tableColumn id="2" name="PTO VTA" dataDxfId="1285" totalsRowDxfId="1284" dataCellStyle="Normal 3"/>
    <tableColumn id="3" name="FC Nº" dataDxfId="1283" totalsRowDxfId="1282" dataCellStyle="Normal 3"/>
    <tableColumn id="4" name="CUIT" dataDxfId="1281" totalsRowDxfId="1280" dataCellStyle="Normal 3"/>
    <tableColumn id="5" name="RAZON SOCIAL" dataDxfId="1279" totalsRowDxfId="1278" dataCellStyle="Normal 3">
      <calculatedColumnFormula>IFERROR(IF(factura_c_mes5[[#This Row],[CUIT]]="","-",VLOOKUP(factura_c_mes5[[#This Row],[CUIT]],Lista_CUIT[#All],2,0)),"CUIT NO CARGADO")</calculatedColumnFormula>
    </tableColumn>
    <tableColumn id="6" name="TOTAL" totalsRowFunction="sum" dataDxfId="1277" totalsRowDxfId="1276" dataCellStyle="Normal 3"/>
    <tableColumn id="7" name="TIPO DE GASTO" dataDxfId="1275" totalsRowDxfId="1274" dataCellStyle="Normal 3">
      <calculatedColumnFormula>IFERROR(IF(factura_c_mes5[[#This Row],[CUIT]]="","-",VLOOKUP(factura_c_mes5[[#This Row],[CUIT]],Lista_CUIT[#All],3,0)),"CUIT NO CARGADO")</calculatedColumnFormula>
    </tableColumn>
    <tableColumn id="8" name="Provincia" dataDxfId="1273" totalsRowDxfId="1272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id="47" name="venta_a_mes5" displayName="venta_a_mes5" ref="B254:M260" totalsRowCount="1" headerRowDxfId="1271" dataDxfId="1269" headerRowBorderDxfId="1270" tableBorderDxfId="1268" totalsRowBorderDxfId="1267" dataCellStyle="Normal 3">
  <autoFilter ref="B254:M259"/>
  <tableColumns count="12">
    <tableColumn id="1" name="FECHA" totalsRowLabel="Total" dataDxfId="1266" totalsRowDxfId="1265" dataCellStyle="Normal 3"/>
    <tableColumn id="2" name="TIPO" dataDxfId="1264" totalsRowDxfId="1263" dataCellStyle="Normal 3"/>
    <tableColumn id="3" name="PTO VENTA" dataDxfId="1262" totalsRowDxfId="1261" dataCellStyle="Normal 3"/>
    <tableColumn id="4" name="Nº FACTURA" dataDxfId="1260" totalsRowDxfId="1259" dataCellStyle="Normal 3"/>
    <tableColumn id="5" name="CUIT" dataDxfId="1258" totalsRowDxfId="1257" dataCellStyle="Normal 3"/>
    <tableColumn id="6" name="RAZON SOCIAL" dataDxfId="1256" totalsRowDxfId="1255" dataCellStyle="Normal 3">
      <calculatedColumnFormula>IFERROR(IF(venta_a_mes5[[#This Row],[CUIT]]="","-",VLOOKUP(venta_a_mes5[[#This Row],[CUIT]],Lista_CUIT[#All],2,0)),"CUIT NO CARGADO")</calculatedColumnFormula>
    </tableColumn>
    <tableColumn id="7" name="IMPORTE NETO" totalsRowFunction="sum" dataDxfId="1254" totalsRowDxfId="1253" dataCellStyle="Normal 3"/>
    <tableColumn id="8" name="IVA 21%" totalsRowFunction="sum" dataDxfId="1252" totalsRowDxfId="1251" dataCellStyle="Normal 3">
      <calculatedColumnFormula>venta_a_mes5[[#This Row],[IMPORTE NETO]]*0.21</calculatedColumnFormula>
    </tableColumn>
    <tableColumn id="9" name="IVA 10,5%" totalsRowFunction="sum" dataDxfId="1250" totalsRowDxfId="1249" dataCellStyle="Normal 3"/>
    <tableColumn id="10" name="EXENTO" totalsRowFunction="sum" dataDxfId="1248" totalsRowDxfId="1247" dataCellStyle="Normal 3"/>
    <tableColumn id="11" name="TOTAL" totalsRowFunction="sum" dataDxfId="1246" totalsRowDxfId="1245" dataCellStyle="Normal 3">
      <calculatedColumnFormula>SUM(venta_a_mes5[[#This Row],[IMPORTE NETO]:[EXENTO]])</calculatedColumnFormula>
    </tableColumn>
    <tableColumn id="12" name="Provincia" totalsRowFunction="count" dataDxfId="1244" totalsRowDxfId="1243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id="48" name="ventas_b_mes5" displayName="ventas_b_mes5" ref="B264:M271" totalsRowCount="1" headerRowDxfId="1242" dataDxfId="1240" headerRowBorderDxfId="1241" tableBorderDxfId="1239" totalsRowBorderDxfId="1238" dataCellStyle="Normal 3">
  <autoFilter ref="B264:M270"/>
  <tableColumns count="12">
    <tableColumn id="1" name="FECHA" totalsRowLabel="Total" dataDxfId="1237" totalsRowDxfId="1236" dataCellStyle="Normal 3"/>
    <tableColumn id="2" name="TIPO" dataDxfId="1235" totalsRowDxfId="1234" dataCellStyle="Normal 3"/>
    <tableColumn id="3" name="PTO VENTA" dataDxfId="1233" totalsRowDxfId="1232" dataCellStyle="Normal 3"/>
    <tableColumn id="4" name="Nº FACTURA" dataDxfId="1231" totalsRowDxfId="1230" dataCellStyle="Normal 3"/>
    <tableColumn id="5" name="CUIT" dataDxfId="1229" totalsRowDxfId="1228" dataCellStyle="Normal 3"/>
    <tableColumn id="6" name="RAZON SOCIAL" dataDxfId="1227" totalsRowDxfId="1226" dataCellStyle="Normal 3">
      <calculatedColumnFormula>IFERROR(IF(ventas_b_mes5[[#This Row],[CUIT]]="","-",VLOOKUP(ventas_b_mes5[[#This Row],[CUIT]],Lista_CUIT[#All],2,0)),"CUIT NO CARGADO")</calculatedColumnFormula>
    </tableColumn>
    <tableColumn id="7" name="IMPORTE NETO" totalsRowFunction="sum" dataDxfId="1225" totalsRowDxfId="1224" dataCellStyle="Normal 3"/>
    <tableColumn id="8" name="IVA 21%" totalsRowFunction="sum" dataDxfId="1223" totalsRowDxfId="1222" dataCellStyle="Normal 3"/>
    <tableColumn id="9" name="IVA 10,5%" totalsRowFunction="sum" dataDxfId="1221" totalsRowDxfId="1220" dataCellStyle="Normal 3"/>
    <tableColumn id="10" name="EXENTO" totalsRowFunction="sum" dataDxfId="1219" totalsRowDxfId="1218" dataCellStyle="Normal 3"/>
    <tableColumn id="11" name="TOTAL" totalsRowFunction="sum" dataDxfId="1217" totalsRowDxfId="1216" dataCellStyle="Normal 3">
      <calculatedColumnFormula>SUM(ventas_b_mes5[[#This Row],[IMPORTE NETO]:[EXENTO]])</calculatedColumnFormula>
    </tableColumn>
    <tableColumn id="12" name="Provincia" totalsRowFunction="count" dataDxfId="1215" totalsRowDxfId="1214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id="49" name="extracto_banco_mes5" displayName="extracto_banco_mes5" ref="D210:M220" totalsRowCount="1" headerRowDxfId="1213" dataDxfId="1212" tableBorderDxfId="1211" dataCellStyle="Normal 3">
  <autoFilter ref="D210:M219"/>
  <tableColumns count="10">
    <tableColumn id="1" name="FECHA" totalsRowLabel="Total" dataDxfId="1210" totalsRowDxfId="1209" dataCellStyle="Normal 3"/>
    <tableColumn id="2" name="NRO CPTE" dataDxfId="1208" totalsRowDxfId="1207"/>
    <tableColumn id="3" name="BANCO" dataDxfId="1206" totalsRowDxfId="1205"/>
    <tableColumn id="4" name="NETO" totalsRowFunction="sum" dataDxfId="1204" totalsRowDxfId="1203" dataCellStyle="Normal 3"/>
    <tableColumn id="5" name="IVA 21%" totalsRowFunction="sum" dataDxfId="1202" totalsRowDxfId="1201" dataCellStyle="Normal 3">
      <calculatedColumnFormula>extracto_banco_mes5[[#This Row],[NETO]]*0.21</calculatedColumnFormula>
    </tableColumn>
    <tableColumn id="6" name="IVA 10,5%" totalsRowFunction="sum" dataDxfId="1200" totalsRowDxfId="1199" dataCellStyle="Normal 3"/>
    <tableColumn id="7" name="RET IIBB CABA" totalsRowFunction="sum" dataDxfId="1198" totalsRowDxfId="1197" dataCellStyle="Normal 3"/>
    <tableColumn id="8" name="PERC IVA" totalsRowFunction="sum" dataDxfId="1196" totalsRowDxfId="1195" dataCellStyle="Normal 3"/>
    <tableColumn id="9" name="PERC IIBB" totalsRowFunction="sum" dataDxfId="1194" totalsRowDxfId="1193" dataCellStyle="Normal 3"/>
    <tableColumn id="10" name="TOTAL " dataDxfId="1192" totalsRowDxfId="1191" dataCellStyle="Normal 3">
      <calculatedColumnFormula>SUM(extracto_banco_mes5[[#This Row],[NETO]:[PERC IIBB]])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id="50" name="Retenciones_mes5" displayName="Retenciones_mes5" ref="C280:L285" totalsRowShown="0" headerRowDxfId="1190" dataDxfId="1189" headerRowCellStyle="Normal 3" dataCellStyle="Normal 3">
  <autoFilter ref="C280:L285"/>
  <tableColumns count="10">
    <tableColumn id="1" name="FECHA " dataDxfId="1188" dataCellStyle="Normal 3"/>
    <tableColumn id="2" name="COMP Nº" dataDxfId="1187" dataCellStyle="Normal 3"/>
    <tableColumn id="3" name="Columna1" dataDxfId="1186" dataCellStyle="Normal 3"/>
    <tableColumn id="4" name="CUIT" dataDxfId="1185" dataCellStyle="Normal 3"/>
    <tableColumn id="5" name="RAZON SOCIAL" dataDxfId="1184" dataCellStyle="Normal 3">
      <calculatedColumnFormula>IFERROR(IF(Retenciones_mes5[[#This Row],[CUIT]]="","-",VLOOKUP(Retenciones_mes5[[#This Row],[CUIT]],Lista_CUIT[#All],2,0)),"CUIT NO CARGADO")</calculatedColumnFormula>
    </tableColumn>
    <tableColumn id="6" name="Ganancias" dataDxfId="1183" dataCellStyle="Normal 3"/>
    <tableColumn id="7" name="IVA" dataDxfId="1182" dataCellStyle="Normal 3"/>
    <tableColumn id="8" name="SUSS" dataDxfId="1181" dataCellStyle="Normal 3"/>
    <tableColumn id="9" name="IIBB BSAS" dataDxfId="1180" dataCellStyle="Normal 3"/>
    <tableColumn id="10" name="IIBB CABA" dataDxfId="1179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id="75" name="compras_mes576" displayName="compras_mes576" ref="B7:R206" totalsRowCount="1" headerRowDxfId="1178" dataDxfId="1177" totalsRowDxfId="1176">
  <autoFilter ref="B7:R205"/>
  <sortState ref="B8:R198">
    <sortCondition ref="B7:B198"/>
  </sortState>
  <tableColumns count="17">
    <tableColumn id="1" name="FECHA" totalsRowLabel="Total" dataDxfId="1175" totalsRowDxfId="1174" dataCellStyle="Normal 3"/>
    <tableColumn id="2" name="TIPO" dataDxfId="1173" totalsRowDxfId="1172" dataCellStyle="Normal 3"/>
    <tableColumn id="3" name="PTO VTA" dataDxfId="1171" totalsRowDxfId="1170" dataCellStyle="Normal 3"/>
    <tableColumn id="4" name="NRO. CPTE" dataDxfId="1169" totalsRowDxfId="1168" dataCellStyle="Normal 3"/>
    <tableColumn id="5" name="CUIT" dataDxfId="1167" totalsRowDxfId="1166" dataCellStyle="Normal 3"/>
    <tableColumn id="6" name="RAZON SOCIAL" dataDxfId="1165" totalsRowDxfId="1164" dataCellStyle="Normal 3">
      <calculatedColumnFormula>IFERROR(IF(compras_mes576[[#This Row],[CUIT]]="","-",VLOOKUP(compras_mes576[[#This Row],[CUIT]],Lista_CUIT[#All],2,0)),"CUIT NO CARGADO")</calculatedColumnFormula>
    </tableColumn>
    <tableColumn id="7" name="NETO GRAVADO" totalsRowFunction="sum" dataDxfId="1163" totalsRowDxfId="1162" dataCellStyle="Normal 3"/>
    <tableColumn id="8" name="IVA 21 %" totalsRowFunction="sum" dataDxfId="1161" totalsRowDxfId="1160" dataCellStyle="Normal 3">
      <calculatedColumnFormula>IF(compras_mes576[[#This Row],[NETO GRAVADO]]="","",compras_mes576[[#This Row],[NETO GRAVADO]]*0.21)</calculatedColumnFormula>
    </tableColumn>
    <tableColumn id="9" name="IVA 27%" totalsRowFunction="sum" dataDxfId="1159" totalsRowDxfId="1158" dataCellStyle="Normal 3"/>
    <tableColumn id="10" name="IVA 10,5%" totalsRowFunction="sum" dataDxfId="1157" totalsRowDxfId="1156" dataCellStyle="Normal 3"/>
    <tableColumn id="11" name="PERC. IVA" totalsRowFunction="sum" dataDxfId="1155" totalsRowDxfId="1154" dataCellStyle="Normal 3"/>
    <tableColumn id="12" name="PERC IIBB _x000a_BS AS" totalsRowFunction="sum" dataDxfId="1153" totalsRowDxfId="1152" dataCellStyle="Normal 3"/>
    <tableColumn id="13" name="PERC. IIBB CABA" totalsRowFunction="sum" dataDxfId="1151" totalsRowDxfId="1150" dataCellStyle="Normal 3"/>
    <tableColumn id="14" name="Otros / No Grav." totalsRowFunction="sum" dataDxfId="1149" totalsRowDxfId="1148" dataCellStyle="Normal 3"/>
    <tableColumn id="15" name="TOTAL" totalsRowFunction="sum" dataDxfId="1147" totalsRowDxfId="1146" dataCellStyle="Normal 3">
      <calculatedColumnFormula>SUM(compras_mes576[[#This Row],[NETO GRAVADO]:[Otros / No Grav.]])</calculatedColumnFormula>
    </tableColumn>
    <tableColumn id="16" name="Tipo de Gasto" dataDxfId="1145" totalsRowDxfId="1144" dataCellStyle="Normal 3">
      <calculatedColumnFormula>IFERROR(IF(compras_mes576[[#This Row],[CUIT]]="","-",VLOOKUP(compras_mes576[[#This Row],[CUIT]],Lista_CUIT[#All],3,0)),"CUIT NO CARGADO")</calculatedColumnFormula>
    </tableColumn>
    <tableColumn id="17" name="Provincia" dataDxfId="1143" totalsRowDxfId="1142" dataCellStyle="Normal 3">
      <calculatedColumnFormula>IFERROR(IF(compras_mes576[[#This Row],[CUIT]]="","-",VLOOKUP(compras_mes576[[#This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5.xml><?xml version="1.0" encoding="utf-8"?>
<table xmlns="http://schemas.openxmlformats.org/spreadsheetml/2006/main" id="76" name="factura_c_mes577" displayName="factura_c_mes577" ref="D222:K248" totalsRowCount="1" headerRowDxfId="1141" totalsRowDxfId="1140" headerRowCellStyle="Normal 3">
  <autoFilter ref="D222:K247"/>
  <tableColumns count="8">
    <tableColumn id="1" name="FECHA" totalsRowLabel="Total" dataDxfId="1139" totalsRowDxfId="1138" dataCellStyle="Normal 3"/>
    <tableColumn id="2" name="PTO VTA" dataDxfId="1137" totalsRowDxfId="1136" dataCellStyle="Normal 3"/>
    <tableColumn id="3" name="FC Nº" dataDxfId="1135" totalsRowDxfId="1134" dataCellStyle="Normal 3"/>
    <tableColumn id="4" name="CUIT" dataDxfId="1133" totalsRowDxfId="1132" dataCellStyle="Normal 3"/>
    <tableColumn id="5" name="RAZON SOCIAL" dataDxfId="1131" totalsRowDxfId="1130" dataCellStyle="Normal 3">
      <calculatedColumnFormula>IFERROR(IF(factura_c_mes577[[#This Row],[CUIT]]="","-",VLOOKUP(factura_c_mes577[[#This Row],[CUIT]],Lista_CUIT[#All],2,0)),"CUIT NO CARGADO")</calculatedColumnFormula>
    </tableColumn>
    <tableColumn id="6" name="TOTAL" totalsRowFunction="sum" dataDxfId="1129" totalsRowDxfId="1128" dataCellStyle="Normal 3"/>
    <tableColumn id="7" name="TIPO DE GASTO" dataDxfId="1127" totalsRowDxfId="1126" dataCellStyle="Normal 3">
      <calculatedColumnFormula>IFERROR(IF(factura_c_mes577[[#This Row],[CUIT]]="","-",VLOOKUP(factura_c_mes577[[#This Row],[CUIT]],Lista_CUIT[#All],3,0)),"CUIT NO CARGADO")</calculatedColumnFormula>
    </tableColumn>
    <tableColumn id="8" name="Provincia" dataDxfId="1125" totalsRowDxfId="1124" dataCellStyle="Normal 3">
      <calculatedColumnFormula>IFERROR(IF(factura_c_mes577[[#This Row],[CUIT]]="","-",VLOOKUP(factura_c_mes577[[#This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id="77" name="venta_a_mes578" displayName="venta_a_mes578" ref="B253:M259" totalsRowCount="1" headerRowDxfId="1123" dataDxfId="1121" headerRowBorderDxfId="1122" tableBorderDxfId="1120" totalsRowBorderDxfId="1119" dataCellStyle="Normal 3">
  <autoFilter ref="B253:M258"/>
  <tableColumns count="12">
    <tableColumn id="1" name="FECHA" totalsRowLabel="Total" dataDxfId="1118" totalsRowDxfId="1117" dataCellStyle="Normal 3"/>
    <tableColumn id="2" name="TIPO" dataDxfId="1116" totalsRowDxfId="1115" dataCellStyle="Normal 3"/>
    <tableColumn id="3" name="PTO VENTA" dataDxfId="1114" totalsRowDxfId="1113" dataCellStyle="Normal 3"/>
    <tableColumn id="4" name="Nº FACTURA" dataDxfId="1112" totalsRowDxfId="1111" dataCellStyle="Normal 3"/>
    <tableColumn id="5" name="CUIT" dataDxfId="1110" totalsRowDxfId="1109" dataCellStyle="Normal 3"/>
    <tableColumn id="6" name="RAZON SOCIAL" dataDxfId="1108" totalsRowDxfId="1107" dataCellStyle="Normal 3">
      <calculatedColumnFormula>IFERROR(IF(venta_a_mes578[[#This Row],[CUIT]]="","-",VLOOKUP(venta_a_mes578[[#This Row],[CUIT]],Lista_CUIT[#All],2,0)),"CUIT NO CARGADO")</calculatedColumnFormula>
    </tableColumn>
    <tableColumn id="7" name="IMPORTE NETO" totalsRowFunction="sum" dataDxfId="1106" totalsRowDxfId="1105" dataCellStyle="Normal 3"/>
    <tableColumn id="8" name="IVA 21%" totalsRowFunction="sum" dataDxfId="1104" totalsRowDxfId="1103" dataCellStyle="Normal 3">
      <calculatedColumnFormula>venta_a_mes578[[#This Row],[IMPORTE NETO]]*0.21</calculatedColumnFormula>
    </tableColumn>
    <tableColumn id="9" name="IVA 10,5%" totalsRowFunction="sum" dataDxfId="1102" totalsRowDxfId="1101" dataCellStyle="Normal 3"/>
    <tableColumn id="10" name="EXENTO" totalsRowFunction="sum" dataDxfId="1100" totalsRowDxfId="1099" dataCellStyle="Normal 3"/>
    <tableColumn id="11" name="TOTAL" totalsRowFunction="sum" dataDxfId="1098" totalsRowDxfId="1097" dataCellStyle="Normal 3">
      <calculatedColumnFormula>SUM(venta_a_mes578[[#This Row],[IMPORTE NETO]:[EXENTO]])</calculatedColumnFormula>
    </tableColumn>
    <tableColumn id="12" name="Provincia" totalsRowFunction="count" dataDxfId="1096" totalsRowDxfId="1095" dataCellStyle="Normal 3"/>
  </tableColumns>
  <tableStyleInfo name="Tabla Ventas" showFirstColumn="0" showLastColumn="0" showRowStripes="1" showColumnStripes="0"/>
</table>
</file>

<file path=xl/tables/table37.xml><?xml version="1.0" encoding="utf-8"?>
<table xmlns="http://schemas.openxmlformats.org/spreadsheetml/2006/main" id="78" name="ventas_b_mes579" displayName="ventas_b_mes579" ref="B263:M275" totalsRowCount="1" headerRowDxfId="1094" dataDxfId="1092" headerRowBorderDxfId="1093" tableBorderDxfId="1091" totalsRowBorderDxfId="1090" dataCellStyle="Normal 3">
  <autoFilter ref="B263:M274"/>
  <tableColumns count="12">
    <tableColumn id="1" name="FECHA" dataDxfId="1089" totalsRowDxfId="1088" dataCellStyle="Normal 3"/>
    <tableColumn id="2" name="TIPO" dataDxfId="1087" totalsRowDxfId="1086" dataCellStyle="Normal 3"/>
    <tableColumn id="3" name="PTO VENTA" dataDxfId="1085" totalsRowDxfId="1084" dataCellStyle="Normal 3"/>
    <tableColumn id="4" name="Nº FACTURA" dataDxfId="1083" totalsRowDxfId="1082" dataCellStyle="Normal 3"/>
    <tableColumn id="5" name="CUIT" dataDxfId="1081" totalsRowDxfId="1080" dataCellStyle="Normal 3"/>
    <tableColumn id="6" name="RAZON SOCIAL" dataDxfId="1079" totalsRowDxfId="1078" dataCellStyle="Normal 3">
      <calculatedColumnFormula>IFERROR(IF(ventas_b_mes579[[#This Row],[CUIT]]="","-",VLOOKUP(ventas_b_mes579[[#This Row],[CUIT]],Lista_CUIT[#All],2,0)),"CUIT NO CARGADO")</calculatedColumnFormula>
    </tableColumn>
    <tableColumn id="7" name="IMPORTE NETO" totalsRowFunction="sum" dataDxfId="1077" totalsRowDxfId="1076" dataCellStyle="Normal 3"/>
    <tableColumn id="8" name="IVA 21%" totalsRowFunction="sum" dataDxfId="1075" totalsRowDxfId="1074" dataCellStyle="Normal 3"/>
    <tableColumn id="9" name="IVA 10,5%" totalsRowFunction="sum" dataDxfId="1073" totalsRowDxfId="1072" dataCellStyle="Normal 3"/>
    <tableColumn id="10" name="EXENTO" totalsRowFunction="sum" dataDxfId="1071" totalsRowDxfId="1070" dataCellStyle="Normal 3"/>
    <tableColumn id="11" name="TOTAL" totalsRowFunction="sum" dataDxfId="1069" totalsRowDxfId="1068" dataCellStyle="Normal 3">
      <calculatedColumnFormula>SUM(ventas_b_mes579[[#This Row],[IMPORTE NETO]:[EXENTO]])</calculatedColumnFormula>
    </tableColumn>
    <tableColumn id="12" name="Provincia" totalsRowFunction="count" dataDxfId="1067" totalsRowDxfId="1066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id="79" name="extracto_banco_mes580" displayName="extracto_banco_mes580" ref="D209:M219" totalsRowCount="1" headerRowDxfId="1065" dataDxfId="1064" tableBorderDxfId="1063" dataCellStyle="Normal 3">
  <autoFilter ref="D209:M218"/>
  <tableColumns count="10">
    <tableColumn id="1" name="FECHA" totalsRowLabel="Total" dataDxfId="1062" totalsRowDxfId="1061" dataCellStyle="Normal 3"/>
    <tableColumn id="2" name="NRO CPTE" dataDxfId="1060" totalsRowDxfId="1059"/>
    <tableColumn id="3" name="BANCO" dataDxfId="1058" totalsRowDxfId="1057"/>
    <tableColumn id="4" name="NETO" totalsRowFunction="sum" dataDxfId="1056" totalsRowDxfId="1055" dataCellStyle="Normal 3"/>
    <tableColumn id="5" name="IVA 21%" totalsRowFunction="sum" dataDxfId="1054" totalsRowDxfId="1053" dataCellStyle="Normal 3">
      <calculatedColumnFormula>extracto_banco_mes580[[#This Row],[NETO]]*0.21</calculatedColumnFormula>
    </tableColumn>
    <tableColumn id="6" name="IVA 10,5%" totalsRowFunction="sum" dataDxfId="1052" totalsRowDxfId="1051" dataCellStyle="Normal 3"/>
    <tableColumn id="7" name="RET IIBB CABA" totalsRowFunction="sum" dataDxfId="1050" totalsRowDxfId="1049" dataCellStyle="Normal 3"/>
    <tableColumn id="8" name="PERC IVA" totalsRowFunction="sum" dataDxfId="1048" totalsRowDxfId="1047" dataCellStyle="Normal 3"/>
    <tableColumn id="9" name="PERC IIBB" totalsRowFunction="sum" dataDxfId="1046" totalsRowDxfId="1045" dataCellStyle="Normal 3"/>
    <tableColumn id="10" name="TOTAL " dataDxfId="1044" totalsRowDxfId="1043" dataCellStyle="Normal 3">
      <calculatedColumnFormula>SUM(extracto_banco_mes580[[#This Row],[NETO]:[PERC IIBB]])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id="80" name="Retenciones_mes581" displayName="Retenciones_mes581" ref="C277:L282" totalsRowShown="0" headerRowDxfId="1042" dataDxfId="1041" headerRowCellStyle="Normal 3" dataCellStyle="Normal 3">
  <autoFilter ref="C277:L282"/>
  <tableColumns count="10">
    <tableColumn id="1" name="FECHA " dataDxfId="1040" dataCellStyle="Normal 3"/>
    <tableColumn id="2" name="COMP Nº" dataDxfId="1039" dataCellStyle="Normal 3"/>
    <tableColumn id="3" name="Columna1" dataDxfId="1038" dataCellStyle="Normal 3"/>
    <tableColumn id="4" name="CUIT" dataDxfId="1037" dataCellStyle="Normal 3"/>
    <tableColumn id="5" name="RAZON SOCIAL" dataDxfId="1036" dataCellStyle="Normal 3">
      <calculatedColumnFormula>IFERROR(IF(Retenciones_mes581[[#This Row],[CUIT]]="","-",VLOOKUP(Retenciones_mes581[[#This Row],[CUIT]],Lista_CUIT[#All],2,0)),"CUIT NO CARGADO")</calculatedColumnFormula>
    </tableColumn>
    <tableColumn id="6" name="Ganancias" dataDxfId="1035" dataCellStyle="Normal 3"/>
    <tableColumn id="7" name="IVA" dataDxfId="1034" dataCellStyle="Normal 3"/>
    <tableColumn id="8" name="SUSS" dataDxfId="1033" dataCellStyle="Normal 3"/>
    <tableColumn id="9" name="IIBB BSAS" dataDxfId="1032" dataCellStyle="Normal 3"/>
    <tableColumn id="10" name="IIBB CABA" dataDxfId="1031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id="27" name="compras_mes6" displayName="compras_mes6" ref="B8:R168" totalsRowCount="1" headerRowDxfId="1030" dataDxfId="1029" totalsRowDxfId="1028">
  <autoFilter ref="B8:R167"/>
  <sortState ref="B9:R167">
    <sortCondition ref="Q8:Q167"/>
  </sortState>
  <tableColumns count="17">
    <tableColumn id="1" name="FECHA" totalsRowLabel="Total" dataDxfId="1027" totalsRowDxfId="1026" dataCellStyle="Normal 3"/>
    <tableColumn id="2" name="TIPO" dataDxfId="1025" totalsRowDxfId="1024" dataCellStyle="Normal 3"/>
    <tableColumn id="3" name="PTO VTA" dataDxfId="1023" totalsRowDxfId="1022" dataCellStyle="Normal 3"/>
    <tableColumn id="4" name="NRO. CPTE" dataDxfId="1021" totalsRowDxfId="1020" dataCellStyle="Normal 3"/>
    <tableColumn id="5" name="CUIT" dataDxfId="1019" totalsRowDxfId="1018" dataCellStyle="Normal 3"/>
    <tableColumn id="6" name="RAZON SOCIAL" dataDxfId="1017" totalsRowDxfId="1016" dataCellStyle="Normal 3">
      <calculatedColumnFormula>IFERROR(IF(compras_mes6[[#This Row],[CUIT]]="","-",VLOOKUP(compras_mes6[[#This Row],[CUIT]],Lista_CUIT[#All],2,0)),"CUIT NO CARGADO")</calculatedColumnFormula>
    </tableColumn>
    <tableColumn id="7" name="NETO GRAVADO" totalsRowFunction="sum" dataDxfId="1015" totalsRowDxfId="1014" dataCellStyle="Normal 3"/>
    <tableColumn id="8" name="IVA 21 %" totalsRowFunction="sum" dataDxfId="1013" totalsRowDxfId="1012" dataCellStyle="Normal 3">
      <calculatedColumnFormula>IF(compras_mes6[[#This Row],[NETO GRAVADO]]="","",compras_mes6[[#This Row],[NETO GRAVADO]]*0.21)</calculatedColumnFormula>
    </tableColumn>
    <tableColumn id="9" name="IVA 27%" totalsRowFunction="sum" dataDxfId="1011" totalsRowDxfId="1010" dataCellStyle="Normal 3"/>
    <tableColumn id="10" name="IVA 10,5%" totalsRowFunction="sum" dataDxfId="1009" totalsRowDxfId="1008" dataCellStyle="Normal 3"/>
    <tableColumn id="11" name="PERC. IVA" totalsRowFunction="sum" dataDxfId="1007" totalsRowDxfId="1006" dataCellStyle="Normal 3"/>
    <tableColumn id="12" name="PERC IIBB _x000a_BS AS" totalsRowFunction="sum" dataDxfId="1005" totalsRowDxfId="1004" dataCellStyle="Normal 3"/>
    <tableColumn id="13" name="PERC. IIBB CABA" totalsRowFunction="sum" dataDxfId="1003" totalsRowDxfId="1002" dataCellStyle="Normal 3"/>
    <tableColumn id="14" name="Otros / No Grav." totalsRowFunction="sum" dataDxfId="1001" totalsRowDxfId="1000" dataCellStyle="Normal 3"/>
    <tableColumn id="15" name="TOTAL" totalsRowFunction="sum" dataDxfId="999" totalsRowDxfId="998" dataCellStyle="Normal 3">
      <calculatedColumnFormula>SUM(compras_mes6[[#This Row],[NETO GRAVADO]:[Otros / No Grav.]])</calculatedColumnFormula>
    </tableColumn>
    <tableColumn id="16" name="Tipo de Gasto" dataDxfId="997" totalsRowDxfId="996" dataCellStyle="Normal 3">
      <calculatedColumnFormula>IFERROR(IF(compras_mes6[[#This Row],[CUIT]]="","-",VLOOKUP(compras_mes6[[#This Row],[CUIT]],Lista_CUIT[#All],3,0)),"CUIT NO CARGADO")</calculatedColumnFormula>
    </tableColumn>
    <tableColumn id="17" name="Provincia" dataDxfId="995" totalsRowDxfId="994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1.xml><?xml version="1.0" encoding="utf-8"?>
<table xmlns="http://schemas.openxmlformats.org/spreadsheetml/2006/main" id="28" name="factura_c_mes6" displayName="factura_c_mes6" ref="D183:K212" totalsRowCount="1" headerRowDxfId="993" totalsRowDxfId="992" headerRowCellStyle="Normal 3">
  <autoFilter ref="D183:K211"/>
  <sortState ref="D184:K211">
    <sortCondition ref="J183:J211"/>
  </sortState>
  <tableColumns count="8">
    <tableColumn id="1" name="FECHA" totalsRowLabel="Total" dataDxfId="991" totalsRowDxfId="990" dataCellStyle="Normal 3"/>
    <tableColumn id="2" name="PTO VTA" dataDxfId="989" totalsRowDxfId="988" dataCellStyle="Normal 3"/>
    <tableColumn id="3" name="FC Nº" dataDxfId="987" totalsRowDxfId="986" dataCellStyle="Normal 3"/>
    <tableColumn id="4" name="CUIT" dataDxfId="985" totalsRowDxfId="984" dataCellStyle="Normal 3"/>
    <tableColumn id="5" name="RAZON SOCIAL" dataDxfId="983" totalsRowDxfId="982" dataCellStyle="Normal 3">
      <calculatedColumnFormula>IFERROR(IF(factura_c_mes6[[#This Row],[CUIT]]="","-",VLOOKUP(factura_c_mes6[[#This Row],[CUIT]],Lista_CUIT[#All],2,0)),"CUIT NO CARGADO")</calculatedColumnFormula>
    </tableColumn>
    <tableColumn id="6" name="TOTAL" totalsRowFunction="sum" dataDxfId="981" totalsRowDxfId="980" dataCellStyle="Normal 3"/>
    <tableColumn id="7" name="TIPO DE GASTO" dataDxfId="979" totalsRowDxfId="978" dataCellStyle="Normal 3">
      <calculatedColumnFormula>IFERROR(IF(factura_c_mes6[[#This Row],[CUIT]]="","-",VLOOKUP(factura_c_mes6[[#This Row],[CUIT]],Lista_CUIT[#All],3,0)),"CUIT NO CARGADO")</calculatedColumnFormula>
    </tableColumn>
    <tableColumn id="8" name="Provincia" dataDxfId="977" totalsRowDxfId="976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id="29" name="venta_a_mes6" displayName="venta_a_mes6" ref="B221:M369" totalsRowCount="1" headerRowDxfId="975" dataDxfId="973" headerRowBorderDxfId="974" tableBorderDxfId="972" totalsRowBorderDxfId="971" dataCellStyle="Normal 3">
  <autoFilter ref="B221:M368"/>
  <tableColumns count="12">
    <tableColumn id="1" name="FECHA" totalsRowLabel="Total" dataDxfId="970" totalsRowDxfId="969" dataCellStyle="Normal 3"/>
    <tableColumn id="2" name="TIPO" dataDxfId="968" totalsRowDxfId="967" dataCellStyle="Normal 3"/>
    <tableColumn id="3" name="PTO VENTA" dataDxfId="966" totalsRowDxfId="965" dataCellStyle="Normal 3"/>
    <tableColumn id="4" name="Nº FACTURA" dataDxfId="964" totalsRowDxfId="963" dataCellStyle="Normal 3"/>
    <tableColumn id="5" name="CUIT" dataDxfId="962" totalsRowDxfId="961" dataCellStyle="Normal 3"/>
    <tableColumn id="6" name="RAZON SOCIAL" dataDxfId="960" totalsRowDxfId="959" dataCellStyle="Normal 3">
      <calculatedColumnFormula>IFERROR(IF(venta_a_mes6[[#This Row],[CUIT]]="","-",VLOOKUP(venta_a_mes6[[#This Row],[CUIT]],Lista_CUIT[#All],2,0)),"CUIT NO CARGADO")</calculatedColumnFormula>
    </tableColumn>
    <tableColumn id="7" name="IMPORTE NETO" totalsRowFunction="sum" dataDxfId="958" totalsRowDxfId="957" dataCellStyle="Normal 3"/>
    <tableColumn id="8" name="IVA 21%" totalsRowFunction="sum" dataDxfId="956" totalsRowDxfId="955" dataCellStyle="Normal 3">
      <calculatedColumnFormula>venta_a_mes6[[#This Row],[IMPORTE NETO]]*0.21</calculatedColumnFormula>
    </tableColumn>
    <tableColumn id="9" name="IVA 10,5%" totalsRowFunction="sum" dataDxfId="954" totalsRowDxfId="953" dataCellStyle="Normal 3"/>
    <tableColumn id="10" name="EXENTO" totalsRowFunction="sum" dataDxfId="952" totalsRowDxfId="951" dataCellStyle="Normal 3"/>
    <tableColumn id="11" name="TOTAL" totalsRowFunction="sum" dataDxfId="950" totalsRowDxfId="949" dataCellStyle="Normal 3">
      <calculatedColumnFormula>SUM(venta_a_mes6[[#This Row],[IMPORTE NETO]:[EXENTO]])</calculatedColumnFormula>
    </tableColumn>
    <tableColumn id="12" name="Provincia" totalsRowFunction="count" dataDxfId="948" totalsRowDxfId="947" dataCellStyle="Normal 3"/>
  </tableColumns>
  <tableStyleInfo name="Tabla Ventas" showFirstColumn="0" showLastColumn="0" showRowStripes="1" showColumnStripes="0"/>
</table>
</file>

<file path=xl/tables/table43.xml><?xml version="1.0" encoding="utf-8"?>
<table xmlns="http://schemas.openxmlformats.org/spreadsheetml/2006/main" id="30" name="ventas_b_mes6" displayName="ventas_b_mes6" ref="B373:M380" totalsRowCount="1" headerRowDxfId="946" dataDxfId="944" headerRowBorderDxfId="945" tableBorderDxfId="943" totalsRowBorderDxfId="942" dataCellStyle="Normal 3">
  <autoFilter ref="B373:M379"/>
  <tableColumns count="12">
    <tableColumn id="1" name="FECHA" totalsRowLabel="Total" dataDxfId="941" totalsRowDxfId="940" dataCellStyle="Normal 3"/>
    <tableColumn id="2" name="TIPO" dataDxfId="939" totalsRowDxfId="938" dataCellStyle="Normal 3"/>
    <tableColumn id="3" name="PTO VENTA" dataDxfId="937" totalsRowDxfId="936" dataCellStyle="Normal 3"/>
    <tableColumn id="4" name="Nº FACTURA" dataDxfId="935" totalsRowDxfId="934" dataCellStyle="Normal 3"/>
    <tableColumn id="5" name="CUIT" dataDxfId="933" totalsRowDxfId="932" dataCellStyle="Normal 3"/>
    <tableColumn id="6" name="RAZON SOCIAL" dataDxfId="931" totalsRowDxfId="930" dataCellStyle="Normal 3">
      <calculatedColumnFormula>IFERROR(IF(ventas_b_mes6[[#This Row],[CUIT]]="","-",VLOOKUP(ventas_b_mes6[[#This Row],[CUIT]],Lista_CUIT[#All],2,0)),"CUIT NO CARGADO")</calculatedColumnFormula>
    </tableColumn>
    <tableColumn id="7" name="IMPORTE NETO" totalsRowFunction="sum" dataDxfId="929" totalsRowDxfId="928" dataCellStyle="Normal 3"/>
    <tableColumn id="8" name="IVA 21%" totalsRowFunction="sum" dataDxfId="927" totalsRowDxfId="926" dataCellStyle="Normal 3"/>
    <tableColumn id="9" name="IVA 10,5%" totalsRowFunction="sum" dataDxfId="925" totalsRowDxfId="924" dataCellStyle="Normal 3"/>
    <tableColumn id="10" name="EXENTO" totalsRowFunction="sum" dataDxfId="923" totalsRowDxfId="922" dataCellStyle="Normal 3"/>
    <tableColumn id="11" name="TOTAL" totalsRowFunction="sum" dataDxfId="921" totalsRowDxfId="920" dataCellStyle="Normal 3">
      <calculatedColumnFormula>SUM(ventas_b_mes6[[#This Row],[IMPORTE NETO]:[EXENTO]])</calculatedColumnFormula>
    </tableColumn>
    <tableColumn id="12" name="Provincia" totalsRowFunction="count" dataDxfId="919" totalsRowDxfId="918" dataCellStyle="Normal 3"/>
  </tableColumns>
  <tableStyleInfo name="Tabla Ventas" showFirstColumn="0" showLastColumn="0" showRowStripes="1" showColumnStripes="0"/>
</table>
</file>

<file path=xl/tables/table44.xml><?xml version="1.0" encoding="utf-8"?>
<table xmlns="http://schemas.openxmlformats.org/spreadsheetml/2006/main" id="31" name="extracto_banco_mes6" displayName="extracto_banco_mes6" ref="D171:M180" totalsRowCount="1" headerRowDxfId="917" dataDxfId="916" tableBorderDxfId="915" dataCellStyle="Normal 3">
  <autoFilter ref="D171:M179"/>
  <tableColumns count="10">
    <tableColumn id="1" name="FECHA" totalsRowLabel="Total" dataDxfId="914" totalsRowDxfId="913" dataCellStyle="Normal 3"/>
    <tableColumn id="2" name="NRO CPTE" dataDxfId="912" totalsRowDxfId="911"/>
    <tableColumn id="3" name="BANCO" dataDxfId="910" totalsRowDxfId="909"/>
    <tableColumn id="4" name="NETO" totalsRowFunction="sum" dataDxfId="908" totalsRowDxfId="907" dataCellStyle="Normal 3"/>
    <tableColumn id="5" name="IVA 21%" totalsRowFunction="sum" dataDxfId="906" totalsRowDxfId="905" dataCellStyle="Normal 3">
      <calculatedColumnFormula>extracto_banco_mes6[[#This Row],[NETO]]*0.21</calculatedColumnFormula>
    </tableColumn>
    <tableColumn id="6" name="IVA 10,5%" totalsRowFunction="sum" dataDxfId="904" totalsRowDxfId="903" dataCellStyle="Normal 3"/>
    <tableColumn id="7" name="RET IIBB CABA" totalsRowFunction="sum" dataDxfId="902" totalsRowDxfId="901" dataCellStyle="Normal 3"/>
    <tableColumn id="8" name="PERC IVA" totalsRowFunction="sum" dataDxfId="900" totalsRowDxfId="899" dataCellStyle="Normal 3"/>
    <tableColumn id="9" name="PERC IIBB" totalsRowFunction="sum" dataDxfId="898" totalsRowDxfId="897" dataCellStyle="Normal 3"/>
    <tableColumn id="10" name="TOTAL" dataDxfId="896" totalsRowDxfId="895" dataCellStyle="Normal 3">
      <calculatedColumnFormula>SUM(extracto_banco_mes6[[#This Row],[NETO]:[PERC IIBB]])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id="32" name="Retenciones_mes6" displayName="Retenciones_mes6" ref="C2762:L2767" totalsRowShown="0" headerRowDxfId="894" dataDxfId="893" headerRowCellStyle="Normal 3" dataCellStyle="Normal 3">
  <autoFilter ref="C2762:L2767"/>
  <tableColumns count="10">
    <tableColumn id="1" name="FECHA " dataDxfId="892" dataCellStyle="Normal 3"/>
    <tableColumn id="2" name="COMP Nº" dataDxfId="891" dataCellStyle="Normal 3"/>
    <tableColumn id="3" name="Columna1" dataDxfId="890" dataCellStyle="Normal 3"/>
    <tableColumn id="4" name="CUIT" dataDxfId="889" dataCellStyle="Normal 3"/>
    <tableColumn id="5" name="RAZON SOCIAL" dataDxfId="888" dataCellStyle="Normal 3">
      <calculatedColumnFormula>IFERROR(IF(Retenciones_mes6[[#This Row],[CUIT]]="","-",VLOOKUP(Retenciones_mes6[[#This Row],[CUIT]],Lista_CUIT[#All],2,0)),"CUIT NO CARGADO")</calculatedColumnFormula>
    </tableColumn>
    <tableColumn id="6" name="Ganancias" dataDxfId="887" dataCellStyle="Normal 3"/>
    <tableColumn id="7" name="IVA" dataDxfId="886" dataCellStyle="Normal 3"/>
    <tableColumn id="8" name="SUSS" dataDxfId="885" dataCellStyle="Normal 3"/>
    <tableColumn id="9" name="IIBB BSAS" dataDxfId="884" dataCellStyle="Normal 3"/>
    <tableColumn id="10" name="IIBB CABA" dataDxfId="883" dataCellStyle="Normal 3"/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id="83" name="ventas_b_mes684" displayName="ventas_b_mes684" ref="B383:M2760" totalsRowCount="1" headerRowDxfId="882" dataDxfId="880" headerRowBorderDxfId="881" tableBorderDxfId="879" totalsRowBorderDxfId="878" dataCellStyle="Normal 3">
  <autoFilter ref="B383:M2759"/>
  <tableColumns count="12">
    <tableColumn id="1" name="FECHA" totalsRowLabel="Total" dataDxfId="877" totalsRowDxfId="876" dataCellStyle="Normal 3"/>
    <tableColumn id="2" name="TIPO" dataDxfId="875" totalsRowDxfId="874" dataCellStyle="Normal 3"/>
    <tableColumn id="3" name="PTO VENTA" dataDxfId="873" totalsRowDxfId="872" dataCellStyle="Normal 3"/>
    <tableColumn id="4" name="Nº FACTURA" dataDxfId="871" totalsRowDxfId="870" dataCellStyle="Normal 3"/>
    <tableColumn id="5" name="CUIT" dataDxfId="869" totalsRowDxfId="868" dataCellStyle="Normal 3"/>
    <tableColumn id="6" name="RAZON SOCIAL" dataDxfId="867" totalsRowDxfId="866" dataCellStyle="Normal 3">
      <calculatedColumnFormula>IFERROR(IF(ventas_b_mes684[[#This Row],[CUIT]]="","-",VLOOKUP(ventas_b_mes684[[#This Row],[CUIT]],Lista_CUIT[#All],2,0)),"CUIT NO CARGADO")</calculatedColumnFormula>
    </tableColumn>
    <tableColumn id="7" name="IMPORTE NETO" totalsRowFunction="sum" dataDxfId="865" totalsRowDxfId="864" dataCellStyle="Normal 3"/>
    <tableColumn id="8" name="IVA 21%" totalsRowFunction="sum" dataDxfId="863" totalsRowDxfId="862" dataCellStyle="Normal 3">
      <calculatedColumnFormula>ventas_b_mes684[[#This Row],[IMPORTE NETO]]*0.21</calculatedColumnFormula>
    </tableColumn>
    <tableColumn id="9" name="IVA 10,5%" totalsRowFunction="sum" dataDxfId="861" totalsRowDxfId="860" dataCellStyle="Normal 3"/>
    <tableColumn id="10" name="EXENTO" totalsRowFunction="sum" dataDxfId="859" totalsRowDxfId="858" dataCellStyle="Normal 3"/>
    <tableColumn id="11" name="TOTAL" totalsRowFunction="sum" dataDxfId="857" totalsRowDxfId="856" dataCellStyle="Normal 3">
      <calculatedColumnFormula>SUM(ventas_b_mes684[[#This Row],[IMPORTE NETO]:[EXENTO]])</calculatedColumnFormula>
    </tableColumn>
    <tableColumn id="12" name="Provincia" totalsRowFunction="count" dataDxfId="855" totalsRowDxfId="854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id="87" name="compras_mes78288" displayName="compras_mes78288" ref="B8:R166" totalsRowCount="1" headerRowDxfId="853" totalsRowDxfId="852">
  <autoFilter ref="B8:R165"/>
  <sortState ref="B9:R165">
    <sortCondition ref="Q8:Q165"/>
  </sortState>
  <tableColumns count="17">
    <tableColumn id="1" name="FECHA" totalsRowLabel="Total" dataDxfId="851" totalsRowDxfId="850" dataCellStyle="Normal 3"/>
    <tableColumn id="2" name="TIPO" dataDxfId="849" totalsRowDxfId="848" dataCellStyle="Normal 3"/>
    <tableColumn id="3" name="PTO VTA" dataDxfId="847" totalsRowDxfId="846" dataCellStyle="Normal 3"/>
    <tableColumn id="4" name="NRO. CPTE" dataDxfId="845" totalsRowDxfId="844" dataCellStyle="Normal 3"/>
    <tableColumn id="5" name="CUIT" dataDxfId="843" totalsRowDxfId="842" dataCellStyle="Normal 3"/>
    <tableColumn id="6" name="RAZON SOCIAL" dataDxfId="841" totalsRowDxfId="840" dataCellStyle="Normal 3">
      <calculatedColumnFormula>IFERROR(IF(compras_mes78288[[#This Row],[CUIT]]="","-",VLOOKUP(compras_mes78288[[#This Row],[CUIT]],Lista_CUIT[#All],2,0)),"CUIT NO CARGADO")</calculatedColumnFormula>
    </tableColumn>
    <tableColumn id="7" name="NETO GRAVADO" totalsRowFunction="sum" dataDxfId="839" totalsRowDxfId="838" dataCellStyle="Normal 3"/>
    <tableColumn id="8" name="IVA 21 %" totalsRowFunction="sum" dataDxfId="837" totalsRowDxfId="836" dataCellStyle="Normal 3">
      <calculatedColumnFormula>IF(compras_mes78288[[#This Row],[NETO GRAVADO]]="","",compras_mes78288[[#This Row],[NETO GRAVADO]]*0.21)</calculatedColumnFormula>
    </tableColumn>
    <tableColumn id="9" name="IVA 27%" totalsRowFunction="sum" dataDxfId="835" totalsRowDxfId="834" dataCellStyle="Normal 3"/>
    <tableColumn id="10" name="IVA 10,5%" totalsRowFunction="sum" dataDxfId="833" totalsRowDxfId="832" dataCellStyle="Normal 3"/>
    <tableColumn id="11" name="PERC. IVA" totalsRowFunction="sum" dataDxfId="831" totalsRowDxfId="830" dataCellStyle="Normal 3"/>
    <tableColumn id="12" name="PERC IIBB _x000a_BS AS" totalsRowFunction="sum" dataDxfId="829" totalsRowDxfId="828" dataCellStyle="Normal 3"/>
    <tableColumn id="13" name="PERC. IIBB CABA" totalsRowFunction="sum" dataDxfId="827" totalsRowDxfId="826" dataCellStyle="Normal 3"/>
    <tableColumn id="14" name="Otros / No Grav." totalsRowFunction="sum" dataDxfId="825" totalsRowDxfId="824" dataCellStyle="Normal 3"/>
    <tableColumn id="15" name="TOTAL" totalsRowFunction="sum" dataDxfId="823" totalsRowDxfId="822" dataCellStyle="Normal 3">
      <calculatedColumnFormula>SUM(compras_mes78288[[#This Row],[NETO GRAVADO]:[Otros / No Grav.]])</calculatedColumnFormula>
    </tableColumn>
    <tableColumn id="16" name="Tipo de Gasto" dataDxfId="821" totalsRowDxfId="820" dataCellStyle="Normal 3">
      <calculatedColumnFormula>IFERROR(IF(compras_mes78288[[#This Row],[CUIT]]="","-",VLOOKUP(compras_mes78288[[#This Row],[CUIT]],Lista_CUIT[#All],3,0)),"CUIT NO CARGADO")</calculatedColumnFormula>
    </tableColumn>
    <tableColumn id="17" name="Provincia" dataDxfId="819" totalsRowDxfId="818" dataCellStyle="Normal 3">
      <calculatedColumnFormula>IFERROR(IF(compras_mes78288[[#This Row],[CUIT]]="","-",VLOOKUP(compras_mes78288[[#This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id="88" name="factura_c_mes78389" displayName="factura_c_mes78389" ref="D185:K205" totalsRowCount="1" headerRowDxfId="817" totalsRowDxfId="816" headerRowCellStyle="Normal 3">
  <autoFilter ref="D185:K204"/>
  <sortState ref="D186:K204">
    <sortCondition ref="J185:J204"/>
  </sortState>
  <tableColumns count="8">
    <tableColumn id="1" name="FECHA" totalsRowLabel="Total" dataDxfId="815" totalsRowDxfId="814" dataCellStyle="Normal 3"/>
    <tableColumn id="2" name="PTO VTA" dataDxfId="813" totalsRowDxfId="812" dataCellStyle="Normal 3"/>
    <tableColumn id="3" name="FC Nº" dataDxfId="811" totalsRowDxfId="810" dataCellStyle="Normal 3"/>
    <tableColumn id="4" name="CUIT" dataDxfId="809" totalsRowDxfId="808" dataCellStyle="Normal 3"/>
    <tableColumn id="5" name="RAZON SOCIAL" dataDxfId="807" totalsRowDxfId="806" dataCellStyle="Normal 3">
      <calculatedColumnFormula>IFERROR(IF(factura_c_mes78389[[#This Row],[CUIT]]="","-",VLOOKUP(factura_c_mes78389[[#This Row],[CUIT]],Lista_CUIT[#All],2,0)),"CUIT NO CARGADO")</calculatedColumnFormula>
    </tableColumn>
    <tableColumn id="6" name="TOTAL" totalsRowFunction="sum" dataDxfId="805" totalsRowDxfId="804" dataCellStyle="Normal 3"/>
    <tableColumn id="7" name="TIPO DE GASTO" dataDxfId="803" totalsRowDxfId="802" dataCellStyle="Normal 3">
      <calculatedColumnFormula>IFERROR(IF(factura_c_mes78389[[#This Row],[CUIT]]="","-",VLOOKUP(factura_c_mes78389[[#This Row],[CUIT]],Lista_CUIT[#All],3,0)),"CUIT NO CARGADO")</calculatedColumnFormula>
    </tableColumn>
    <tableColumn id="8" name="Provincia" dataDxfId="801" totalsRowDxfId="800" dataCellStyle="Normal 3">
      <calculatedColumnFormula>IFERROR(IF(factura_c_mes78389[[#This Row],[CUIT]]="","-",VLOOKUP(factura_c_mes78389[[#This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id="89" name="ventas_b_mes78590" displayName="ventas_b_mes78590" ref="B215:M223" totalsRowCount="1" headerRowDxfId="799" dataDxfId="797" headerRowBorderDxfId="798" tableBorderDxfId="796" totalsRowBorderDxfId="795" dataCellStyle="Normal 3">
  <autoFilter ref="B215:M222"/>
  <tableColumns count="12">
    <tableColumn id="1" name="FECHA" totalsRowLabel="Total" dataDxfId="794" totalsRowDxfId="793" dataCellStyle="Normal 3"/>
    <tableColumn id="2" name="TIPO" dataDxfId="792" totalsRowDxfId="791" dataCellStyle="Normal 3"/>
    <tableColumn id="3" name="PTO VENTA" dataDxfId="790" totalsRowDxfId="789" dataCellStyle="Normal 3"/>
    <tableColumn id="4" name="Nº FACTURA" dataDxfId="788" totalsRowDxfId="787" dataCellStyle="Normal 3"/>
    <tableColumn id="5" name="CUIT" dataDxfId="786" totalsRowDxfId="785" dataCellStyle="Normal 3"/>
    <tableColumn id="6" name="RAZON SOCIAL" dataDxfId="784" totalsRowDxfId="783" dataCellStyle="Normal 3">
      <calculatedColumnFormula>IFERROR(IF(ventas_b_mes78590[[#This Row],[CUIT]]="","-",VLOOKUP(ventas_b_mes78590[[#This Row],[CUIT]],Lista_CUIT[#All],2,0)),"CUIT NO CARGADO")</calculatedColumnFormula>
    </tableColumn>
    <tableColumn id="7" name="IMPORTE NETO" totalsRowFunction="sum" dataDxfId="782" totalsRowDxfId="781" dataCellStyle="Normal 3"/>
    <tableColumn id="8" name="IVA 21%" totalsRowFunction="sum" dataDxfId="780" totalsRowDxfId="779" dataCellStyle="Normal 3"/>
    <tableColumn id="9" name="IVA 10,5%" totalsRowFunction="sum" dataDxfId="778" totalsRowDxfId="777" dataCellStyle="Normal 3"/>
    <tableColumn id="10" name="EXENTO" totalsRowFunction="sum" dataDxfId="776" totalsRowDxfId="775" dataCellStyle="Normal 3"/>
    <tableColumn id="11" name="TOTAL" totalsRowFunction="sum" dataDxfId="774" totalsRowDxfId="773" dataCellStyle="Normal 3">
      <calculatedColumnFormula>SUM(ventas_b_mes78590[[#This Row],[IMPORTE NETO]:[EXENTO]])</calculatedColumnFormula>
    </tableColumn>
    <tableColumn id="12" name="Provincia" totalsRowFunction="count" dataDxfId="772" totalsRowDxfId="771" dataCellStyle="Normal 3"/>
  </tableColumns>
  <tableStyleInfo name="Tabla Ventas" showFirstColumn="0" showLastColumn="0" showRowStripes="1" showColumnStripes="0"/>
</table>
</file>

<file path=xl/tables/table50.xml><?xml version="1.0" encoding="utf-8"?>
<table xmlns="http://schemas.openxmlformats.org/spreadsheetml/2006/main" id="90" name="extracto_banco_mes78691" displayName="extracto_banco_mes78691" ref="D172:L180" totalsRowCount="1" headerRowDxfId="770" dataDxfId="769" tableBorderDxfId="768" dataCellStyle="Normal 3">
  <autoFilter ref="D172:L179"/>
  <tableColumns count="9">
    <tableColumn id="1" name="FECHA" totalsRowLabel="Total" dataDxfId="767" totalsRowDxfId="766" dataCellStyle="Normal 3"/>
    <tableColumn id="2" name="NRO CPTE" dataDxfId="765" totalsRowDxfId="764"/>
    <tableColumn id="3" name="BANCO" dataDxfId="763" totalsRowDxfId="762"/>
    <tableColumn id="4" name="NETO" totalsRowFunction="sum" dataDxfId="761" totalsRowDxfId="760" dataCellStyle="Normal 3"/>
    <tableColumn id="5" name="IVA 21%" totalsRowFunction="sum" dataDxfId="759" totalsRowDxfId="758" dataCellStyle="Normal 3">
      <calculatedColumnFormula>extracto_banco_mes78691[[#This Row],[NETO]]*0.21</calculatedColumnFormula>
    </tableColumn>
    <tableColumn id="6" name="IVA 10,5%" totalsRowFunction="sum" dataDxfId="757" totalsRowDxfId="756" dataCellStyle="Normal 3"/>
    <tableColumn id="7" name="RET IIBB CABA" totalsRowFunction="sum" dataDxfId="755" totalsRowDxfId="754" dataCellStyle="Normal 3"/>
    <tableColumn id="8" name="PERC IVA" totalsRowFunction="sum" dataDxfId="753" totalsRowDxfId="752" dataCellStyle="Normal 3"/>
    <tableColumn id="9" name="PERC IIBB" totalsRowFunction="sum" dataDxfId="751" totalsRowDxfId="750" dataCellStyle="Normal 3"/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id="91" name="Retenciones_mes78792" displayName="Retenciones_mes78792" ref="C231:L236" totalsRowShown="0" headerRowDxfId="749" dataDxfId="748" headerRowCellStyle="Normal 3" dataCellStyle="Normal 3">
  <autoFilter ref="C231:L236"/>
  <tableColumns count="10">
    <tableColumn id="1" name="FECHA " dataDxfId="747" dataCellStyle="Normal 3"/>
    <tableColumn id="2" name="COMP Nº" dataDxfId="746" dataCellStyle="Normal 3"/>
    <tableColumn id="3" name="Columna1" dataDxfId="745" dataCellStyle="Normal 3"/>
    <tableColumn id="4" name="CUIT" dataDxfId="744" dataCellStyle="Normal 3"/>
    <tableColumn id="5" name="RAZON SOCIAL" dataDxfId="743" dataCellStyle="Normal 3">
      <calculatedColumnFormula>IFERROR(IF(Retenciones_mes78792[[#This Row],[CUIT]]="","-",VLOOKUP(Retenciones_mes78792[[#This Row],[CUIT]],Lista_CUIT[#All],2,0)),"CUIT NO CARGADO")</calculatedColumnFormula>
    </tableColumn>
    <tableColumn id="6" name="Ganancias" dataDxfId="742" dataCellStyle="Normal 3"/>
    <tableColumn id="7" name="IVA" dataDxfId="741" dataCellStyle="Normal 3"/>
    <tableColumn id="8" name="SUSS" dataDxfId="740" dataCellStyle="Normal 3"/>
    <tableColumn id="9" name="IIBB BSAS" dataDxfId="739" dataCellStyle="Normal 3"/>
    <tableColumn id="10" name="IIBB CABA" dataDxfId="738" dataCellStyle="Normal 3"/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id="57" name="compras_mes8" displayName="compras_mes8" ref="B8:R162" totalsRowCount="1" headerRowDxfId="737" dataDxfId="736" totalsRowDxfId="735">
  <autoFilter ref="B8:R161"/>
  <sortState ref="B9:R161">
    <sortCondition ref="Q8:Q161"/>
  </sortState>
  <tableColumns count="17">
    <tableColumn id="1" name="FECHA" totalsRowLabel="Total" dataDxfId="734" totalsRowDxfId="733" dataCellStyle="Normal 3"/>
    <tableColumn id="2" name="TIPO" dataDxfId="732" totalsRowDxfId="731" dataCellStyle="Normal 3"/>
    <tableColumn id="3" name="PTO VTA" dataDxfId="730" totalsRowDxfId="729" dataCellStyle="Normal 3"/>
    <tableColumn id="4" name="NRO. CPTE" dataDxfId="728" totalsRowDxfId="727" dataCellStyle="Normal 3"/>
    <tableColumn id="5" name="CUIT" dataDxfId="726" totalsRowDxfId="725" dataCellStyle="Normal 3"/>
    <tableColumn id="6" name="RAZON SOCIAL" dataDxfId="724" totalsRowDxfId="723" dataCellStyle="Normal 3">
      <calculatedColumnFormula>IFERROR(IF(compras_mes8[[#This Row],[CUIT]]="","-",VLOOKUP(compras_mes8[[#This Row],[CUIT]],Lista_CUIT[#All],2,0)),"CUIT NO CARGADO")</calculatedColumnFormula>
    </tableColumn>
    <tableColumn id="7" name="NETO GRAVADO" totalsRowFunction="sum" dataDxfId="722" totalsRowDxfId="721" dataCellStyle="Normal 3"/>
    <tableColumn id="8" name="IVA 21 %" totalsRowFunction="sum" dataDxfId="720" totalsRowDxfId="719" dataCellStyle="Normal 3">
      <calculatedColumnFormula>IF(compras_mes8[[#This Row],[NETO GRAVADO]]="","",compras_mes8[[#This Row],[NETO GRAVADO]]*0.21)</calculatedColumnFormula>
    </tableColumn>
    <tableColumn id="9" name="IVA 27%" totalsRowFunction="sum" dataDxfId="718" totalsRowDxfId="717" dataCellStyle="Normal 3"/>
    <tableColumn id="10" name="IVA 10,5%" totalsRowFunction="sum" dataDxfId="716" totalsRowDxfId="715" dataCellStyle="Normal 3"/>
    <tableColumn id="11" name="PERC. IVA" totalsRowFunction="sum" dataDxfId="714" totalsRowDxfId="713" dataCellStyle="Normal 3"/>
    <tableColumn id="12" name="PERC IIBB _x000a_BS AS" totalsRowFunction="sum" dataDxfId="712" totalsRowDxfId="711" dataCellStyle="Normal 3"/>
    <tableColumn id="13" name="PERC. IIBB CABA" totalsRowFunction="sum" dataDxfId="710" totalsRowDxfId="709" dataCellStyle="Normal 3"/>
    <tableColumn id="14" name="Otros / No Grav." totalsRowFunction="sum" dataDxfId="708" totalsRowDxfId="707" dataCellStyle="Normal 3"/>
    <tableColumn id="15" name="TOTAL" totalsRowFunction="sum" dataDxfId="706" totalsRowDxfId="705" dataCellStyle="Normal 3">
      <calculatedColumnFormula>SUM(compras_mes8[[#This Row],[NETO GRAVADO]:[Otros / No Grav.]])</calculatedColumnFormula>
    </tableColumn>
    <tableColumn id="16" name="Tipo de Gasto" dataDxfId="704" totalsRowDxfId="703" dataCellStyle="Normal 3">
      <calculatedColumnFormula>IFERROR(IF(compras_mes8[[#This Row],[CUIT]]="","-",VLOOKUP(compras_mes8[[#This Row],[CUIT]],Lista_CUIT[#All],3,0)),"CUIT NO CARGADO")</calculatedColumnFormula>
    </tableColumn>
    <tableColumn id="17" name="Provincia" dataDxfId="702" totalsRowDxfId="701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id="58" name="factura_c_mes8" displayName="factura_c_mes8" ref="D183:K210" totalsRowCount="1" headerRowDxfId="700" totalsRowDxfId="699" headerRowCellStyle="Normal 3">
  <autoFilter ref="D183:K209"/>
  <sortState ref="D184:K209">
    <sortCondition ref="J183:J209"/>
  </sortState>
  <tableColumns count="8">
    <tableColumn id="1" name="FECHA" totalsRowLabel="Total" dataDxfId="698" totalsRowDxfId="697" dataCellStyle="Normal 3"/>
    <tableColumn id="2" name="PTO VTA" dataDxfId="696" totalsRowDxfId="695" dataCellStyle="Normal 3"/>
    <tableColumn id="3" name="FC Nº" dataDxfId="694" totalsRowDxfId="693" dataCellStyle="Normal 3"/>
    <tableColumn id="4" name="CUIT" dataDxfId="692" totalsRowDxfId="691" dataCellStyle="Normal 3"/>
    <tableColumn id="5" name="RAZON SOCIAL" dataDxfId="690" totalsRowDxfId="689" dataCellStyle="Normal 3">
      <calculatedColumnFormula>IFERROR(IF(factura_c_mes8[[#This Row],[CUIT]]="","-",VLOOKUP(factura_c_mes8[[#This Row],[CUIT]],Lista_CUIT[#All],2,0)),"CUIT NO CARGADO")</calculatedColumnFormula>
    </tableColumn>
    <tableColumn id="6" name="TOTAL" totalsRowFunction="sum" dataDxfId="688" totalsRowDxfId="687" dataCellStyle="Normal 3"/>
    <tableColumn id="7" name="TIPO DE GASTO" dataDxfId="686" totalsRowDxfId="685" dataCellStyle="Normal 3">
      <calculatedColumnFormula>IFERROR(IF(factura_c_mes8[[#This Row],[CUIT]]="","-",VLOOKUP(factura_c_mes8[[#This Row],[CUIT]],Lista_CUIT[#All],3,0)),"CUIT NO CARGADO")</calculatedColumnFormula>
    </tableColumn>
    <tableColumn id="8" name="Provincia" dataDxfId="684" totalsRowDxfId="683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id="59" name="venta_a_mes8" displayName="venta_a_mes8" ref="B219:M222" totalsRowCount="1" headerRowDxfId="682" dataDxfId="680" headerRowBorderDxfId="681" tableBorderDxfId="679" totalsRowBorderDxfId="678" dataCellStyle="Normal 3">
  <autoFilter ref="B219:M221"/>
  <tableColumns count="12">
    <tableColumn id="1" name="FECHA" totalsRowLabel="Total" dataDxfId="677" totalsRowDxfId="676" dataCellStyle="Normal 3"/>
    <tableColumn id="2" name="TIPO" dataDxfId="675" totalsRowDxfId="674" dataCellStyle="Normal 3"/>
    <tableColumn id="3" name="PTO VENTA" dataDxfId="673" totalsRowDxfId="672" dataCellStyle="Normal 3"/>
    <tableColumn id="4" name="Nº FACTURA" dataDxfId="671" totalsRowDxfId="670" dataCellStyle="Normal 3"/>
    <tableColumn id="5" name="CUIT" dataDxfId="669" totalsRowDxfId="668" dataCellStyle="Normal 3"/>
    <tableColumn id="6" name="RAZON SOCIAL" dataDxfId="667" totalsRowDxfId="666" dataCellStyle="Normal 3">
      <calculatedColumnFormula>IFERROR(IF(venta_a_mes8[[#This Row],[CUIT]]="","-",VLOOKUP(venta_a_mes8[[#This Row],[CUIT]],Lista_CUIT[#All],2,0)),"CUIT NO CARGADO")</calculatedColumnFormula>
    </tableColumn>
    <tableColumn id="7" name="IMPORTE NETO" totalsRowFunction="sum" dataDxfId="665" totalsRowDxfId="664" dataCellStyle="Normal 3"/>
    <tableColumn id="8" name="IVA 21%" totalsRowFunction="sum" dataDxfId="663" totalsRowDxfId="662" dataCellStyle="Normal 3">
      <calculatedColumnFormula>venta_a_mes8[[#This Row],[IMPORTE NETO]]*0.21</calculatedColumnFormula>
    </tableColumn>
    <tableColumn id="9" name="IVA 10,5%" totalsRowFunction="sum" dataDxfId="661" totalsRowDxfId="660" dataCellStyle="Normal 3"/>
    <tableColumn id="10" name="EXENTO" totalsRowFunction="sum" dataDxfId="659" totalsRowDxfId="658" dataCellStyle="Normal 3"/>
    <tableColumn id="11" name="TOTAL" totalsRowFunction="sum" dataDxfId="657" totalsRowDxfId="656" dataCellStyle="Normal 3">
      <calculatedColumnFormula>SUM(venta_a_mes8[[#This Row],[IMPORTE NETO]:[EXENTO]])</calculatedColumnFormula>
    </tableColumn>
    <tableColumn id="12" name="Provincia" totalsRowFunction="count" dataDxfId="655" totalsRowDxfId="654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id="60" name="ventas_b_mes8" displayName="ventas_b_mes8" ref="B226:M231" totalsRowCount="1" headerRowDxfId="653" dataDxfId="651" headerRowBorderDxfId="652" tableBorderDxfId="650" totalsRowBorderDxfId="649" dataCellStyle="Normal 3">
  <autoFilter ref="B226:M230"/>
  <tableColumns count="12">
    <tableColumn id="1" name="FECHA" totalsRowLabel="Total" dataDxfId="648" totalsRowDxfId="647" dataCellStyle="Normal 3"/>
    <tableColumn id="2" name="TIPO" dataDxfId="646" totalsRowDxfId="645" dataCellStyle="Normal 3"/>
    <tableColumn id="3" name="PTO VENTA" dataDxfId="644" totalsRowDxfId="643" dataCellStyle="Normal 3"/>
    <tableColumn id="4" name="Nº FACTURA" dataDxfId="642" totalsRowDxfId="641" dataCellStyle="Normal 3"/>
    <tableColumn id="5" name="CUIT" dataDxfId="640" totalsRowDxfId="639" dataCellStyle="Normal 3"/>
    <tableColumn id="6" name="RAZON SOCIAL" dataDxfId="638" totalsRowDxfId="637" dataCellStyle="Normal 3">
      <calculatedColumnFormula>IFERROR(IF(ventas_b_mes8[[#This Row],[CUIT]]="","-",VLOOKUP(ventas_b_mes8[[#This Row],[CUIT]],Lista_CUIT[#All],2,0)),"CUIT NO CARGADO")</calculatedColumnFormula>
    </tableColumn>
    <tableColumn id="7" name="IMPORTE NETO" totalsRowFunction="sum" dataDxfId="636" totalsRowDxfId="635" dataCellStyle="Normal 3"/>
    <tableColumn id="8" name="IVA 21%" totalsRowFunction="sum" dataDxfId="634" totalsRowDxfId="633" dataCellStyle="Normal 3">
      <calculatedColumnFormula>ventas_b_mes8[[#This Row],[IMPORTE NETO]]*0.21</calculatedColumnFormula>
    </tableColumn>
    <tableColumn id="9" name="IVA 10,5%" totalsRowFunction="sum" dataDxfId="632" totalsRowDxfId="631" dataCellStyle="Normal 3"/>
    <tableColumn id="10" name="EXENTO" totalsRowFunction="sum" dataDxfId="630" totalsRowDxfId="629" dataCellStyle="Normal 3"/>
    <tableColumn id="11" name="TOTAL" totalsRowFunction="sum" dataDxfId="628" totalsRowDxfId="627" dataCellStyle="Normal 3">
      <calculatedColumnFormula>SUM(ventas_b_mes8[[#This Row],[IMPORTE NETO]:[EXENTO]])</calculatedColumnFormula>
    </tableColumn>
    <tableColumn id="12" name="Provincia" totalsRowFunction="count" dataDxfId="626" totalsRowDxfId="625" dataCellStyle="Normal 3"/>
  </tableColumns>
  <tableStyleInfo name="Tabla Ventas" showFirstColumn="0" showLastColumn="0" showRowStripes="1" showColumnStripes="0"/>
</table>
</file>

<file path=xl/tables/table56.xml><?xml version="1.0" encoding="utf-8"?>
<table xmlns="http://schemas.openxmlformats.org/spreadsheetml/2006/main" id="61" name="extracto_banco_mes8" displayName="extracto_banco_mes8" ref="D168:M178" totalsRowCount="1" headerRowDxfId="624" dataDxfId="623" tableBorderDxfId="622" dataCellStyle="Normal 3">
  <autoFilter ref="D168:M177"/>
  <tableColumns count="10">
    <tableColumn id="1" name="FECHA" totalsRowLabel="Total" dataDxfId="621" totalsRowDxfId="620" dataCellStyle="Normal 3"/>
    <tableColumn id="2" name="NRO CPTE" dataDxfId="619" totalsRowDxfId="618"/>
    <tableColumn id="3" name="BANCO" dataDxfId="617" totalsRowDxfId="616"/>
    <tableColumn id="4" name="NETO" totalsRowFunction="sum" dataDxfId="615" totalsRowDxfId="614" dataCellStyle="Normal 3"/>
    <tableColumn id="5" name="IVA 21%" totalsRowFunction="sum" dataDxfId="613" totalsRowDxfId="612" dataCellStyle="Normal 3">
      <calculatedColumnFormula>extracto_banco_mes8[[#This Row],[NETO]]*0.21</calculatedColumnFormula>
    </tableColumn>
    <tableColumn id="6" name="IVA 10,5%" totalsRowFunction="sum" dataDxfId="611" totalsRowDxfId="610" dataCellStyle="Normal 3"/>
    <tableColumn id="7" name="RET IIBB CABA" totalsRowFunction="sum" dataDxfId="609" totalsRowDxfId="608" dataCellStyle="Normal 3"/>
    <tableColumn id="8" name="PERC IVA" totalsRowFunction="sum" dataDxfId="607" totalsRowDxfId="606" dataCellStyle="Normal 3"/>
    <tableColumn id="9" name="PERC IIBB" totalsRowFunction="sum" dataDxfId="605" totalsRowDxfId="604" dataCellStyle="Normal 3"/>
    <tableColumn id="10" name="TOTAL" dataDxfId="603" totalsRowDxfId="602" dataCellStyle="Normal 3">
      <calculatedColumnFormula>SUM(extracto_banco_mes8[[#This Row],[NETO]:[PERC IIBB]])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id="62" name="Retenciones_mes8" displayName="Retenciones_mes8" ref="C233:L238" totalsRowShown="0" headerRowDxfId="601" dataDxfId="600" headerRowCellStyle="Normal 3" dataCellStyle="Normal 3">
  <autoFilter ref="C233:L238"/>
  <tableColumns count="10">
    <tableColumn id="1" name="FECHA " dataDxfId="599" dataCellStyle="Normal 3"/>
    <tableColumn id="2" name="COMP Nº" dataDxfId="598" dataCellStyle="Normal 3"/>
    <tableColumn id="3" name="Columna1" dataDxfId="597" dataCellStyle="Normal 3"/>
    <tableColumn id="4" name="CUIT" dataDxfId="596" dataCellStyle="Normal 3"/>
    <tableColumn id="5" name="RAZON SOCIAL" dataDxfId="595" dataCellStyle="Normal 3">
      <calculatedColumnFormula>IFERROR(IF(Retenciones_mes8[[#This Row],[CUIT]]="","-",VLOOKUP(Retenciones_mes8[[#This Row],[CUIT]],Lista_CUIT[#All],2,0)),"CUIT NO CARGADO")</calculatedColumnFormula>
    </tableColumn>
    <tableColumn id="6" name="Ganancias" dataDxfId="594" dataCellStyle="Normal 3"/>
    <tableColumn id="7" name="IVA" dataDxfId="593" dataCellStyle="Normal 3">
      <calculatedColumnFormula>Retenciones_mes8[[#This Row],[Ganancias]]*0.21</calculatedColumnFormula>
    </tableColumn>
    <tableColumn id="8" name="SUSS" dataDxfId="592" dataCellStyle="Normal 3"/>
    <tableColumn id="9" name="IIBB BSAS" dataDxfId="591" dataCellStyle="Normal 3"/>
    <tableColumn id="10" name="IIBB CABA" dataDxfId="590" dataCellStyle="Normal 3"/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id="63" name="compras_mes9" displayName="compras_mes9" ref="B8:R171" totalsRowCount="1" headerRowDxfId="589" dataDxfId="588" totalsRowDxfId="587">
  <autoFilter ref="B8:R170"/>
  <sortState ref="B9:R170">
    <sortCondition ref="Q8:Q170"/>
  </sortState>
  <tableColumns count="17">
    <tableColumn id="1" name="FECHA" totalsRowLabel="Total" dataDxfId="586" totalsRowDxfId="585" dataCellStyle="Normal 3"/>
    <tableColumn id="2" name="TIPO" dataDxfId="584" totalsRowDxfId="583" dataCellStyle="Normal 3"/>
    <tableColumn id="3" name="PTO VTA" dataDxfId="582" totalsRowDxfId="581" dataCellStyle="Normal 3"/>
    <tableColumn id="4" name="NRO. CPTE" dataDxfId="580" totalsRowDxfId="579" dataCellStyle="Normal 3"/>
    <tableColumn id="5" name="CUIT" dataDxfId="578" totalsRowDxfId="577" dataCellStyle="Normal 3"/>
    <tableColumn id="6" name="RAZON SOCIAL" dataDxfId="576" totalsRowDxfId="575" dataCellStyle="Normal 3">
      <calculatedColumnFormula>IFERROR(IF(compras_mes9[[#This Row],[CUIT]]="","-",VLOOKUP(compras_mes9[[#This Row],[CUIT]],Lista_CUIT[#All],2,0)),"CUIT NO CARGADO")</calculatedColumnFormula>
    </tableColumn>
    <tableColumn id="7" name="NETO GRAVADO" totalsRowFunction="sum" dataDxfId="574" totalsRowDxfId="573" dataCellStyle="Normal 3"/>
    <tableColumn id="8" name="IVA 21 %" totalsRowFunction="sum" dataDxfId="572" totalsRowDxfId="571" dataCellStyle="Normal 3">
      <calculatedColumnFormula>IF(compras_mes9[[#This Row],[NETO GRAVADO]]="","",compras_mes9[[#This Row],[NETO GRAVADO]]*0.21)</calculatedColumnFormula>
    </tableColumn>
    <tableColumn id="9" name="IVA 27%" totalsRowFunction="sum" dataDxfId="570" totalsRowDxfId="569" dataCellStyle="Normal 3"/>
    <tableColumn id="10" name="IVA 10,5%" totalsRowFunction="sum" dataDxfId="568" totalsRowDxfId="567" dataCellStyle="Normal 3"/>
    <tableColumn id="11" name="PERC. IVA" totalsRowFunction="sum" dataDxfId="566" totalsRowDxfId="565" dataCellStyle="Normal 3"/>
    <tableColumn id="12" name="PERC IIBB _x000a_BS AS" totalsRowFunction="sum" dataDxfId="564" totalsRowDxfId="563" dataCellStyle="Normal 3"/>
    <tableColumn id="13" name="PERC. IIBB CABA" totalsRowFunction="sum" dataDxfId="562" totalsRowDxfId="561" dataCellStyle="Normal 3"/>
    <tableColumn id="14" name="Otros / No Grav." totalsRowFunction="sum" dataDxfId="560" totalsRowDxfId="559" dataCellStyle="Normal 3"/>
    <tableColumn id="15" name="TOTAL" totalsRowFunction="sum" dataDxfId="558" totalsRowDxfId="557" dataCellStyle="Normal 3">
      <calculatedColumnFormula>SUM(compras_mes9[[#This Row],[NETO GRAVADO]:[Otros / No Grav.]])</calculatedColumnFormula>
    </tableColumn>
    <tableColumn id="16" name="Tipo de Gasto" dataDxfId="556" totalsRowDxfId="555" dataCellStyle="Normal 3">
      <calculatedColumnFormula>IFERROR(IF(compras_mes9[[#This Row],[CUIT]]="","-",VLOOKUP(compras_mes9[[#This Row],[CUIT]],Lista_CUIT[#All],3,0)),"CUIT NO CARGADO")</calculatedColumnFormula>
    </tableColumn>
    <tableColumn id="17" name="Provincia" dataDxfId="554" totalsRowDxfId="553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9.xml><?xml version="1.0" encoding="utf-8"?>
<table xmlns="http://schemas.openxmlformats.org/spreadsheetml/2006/main" id="64" name="factura_c_mes9" displayName="factura_c_mes9" ref="D192:K221" totalsRowCount="1" headerRowDxfId="552" totalsRowDxfId="551" headerRowCellStyle="Normal 3">
  <autoFilter ref="D192:K220"/>
  <sortState ref="D193:K220">
    <sortCondition ref="J192:J220"/>
  </sortState>
  <tableColumns count="8">
    <tableColumn id="1" name="FECHA" totalsRowLabel="Total" dataDxfId="550" totalsRowDxfId="549" dataCellStyle="Normal 3"/>
    <tableColumn id="2" name="PTO VTA" dataDxfId="548" totalsRowDxfId="547" dataCellStyle="Normal 3"/>
    <tableColumn id="3" name="FC Nº" dataDxfId="546" totalsRowDxfId="545" dataCellStyle="Normal 3"/>
    <tableColumn id="4" name="CUIT" dataDxfId="544" totalsRowDxfId="543" dataCellStyle="Normal 3"/>
    <tableColumn id="5" name="RAZON SOCIAL" dataDxfId="542" totalsRowDxfId="541" dataCellStyle="Normal 3">
      <calculatedColumnFormula>IFERROR(IF(factura_c_mes9[[#This Row],[CUIT]]="","-",VLOOKUP(factura_c_mes9[[#This Row],[CUIT]],Lista_CUIT[#All],2,0)),"CUIT NO CARGADO")</calculatedColumnFormula>
    </tableColumn>
    <tableColumn id="6" name="TOTAL" totalsRowFunction="sum" dataDxfId="540" totalsRowDxfId="539" dataCellStyle="Normal 3"/>
    <tableColumn id="7" name="TIPO DE GASTO" dataDxfId="538" totalsRowDxfId="537" dataCellStyle="Normal 3">
      <calculatedColumnFormula>IFERROR(IF(factura_c_mes9[[#This Row],[CUIT]]="","-",VLOOKUP(factura_c_mes9[[#This Row],[CUIT]],Lista_CUIT[#All],3,0)),"CUIT NO CARGADO")</calculatedColumnFormula>
    </tableColumn>
    <tableColumn id="8" name="Provincia" dataDxfId="536" totalsRowDxfId="535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id="65" name="venta_a_mes9" displayName="venta_a_mes9" ref="B230:M240" totalsRowCount="1" headerRowDxfId="534" dataDxfId="532" headerRowBorderDxfId="533" tableBorderDxfId="531" totalsRowBorderDxfId="530" dataCellStyle="Normal 3">
  <autoFilter ref="B230:M239"/>
  <tableColumns count="12">
    <tableColumn id="1" name="FECHA" totalsRowLabel="Total" dataDxfId="529" totalsRowDxfId="528" dataCellStyle="Normal 3"/>
    <tableColumn id="2" name="TIPO" dataDxfId="527" totalsRowDxfId="526" dataCellStyle="Normal 3"/>
    <tableColumn id="3" name="PTO VENTA" dataDxfId="525" totalsRowDxfId="524" dataCellStyle="Normal 3"/>
    <tableColumn id="4" name="Nº FACTURA" dataDxfId="523" totalsRowDxfId="522" dataCellStyle="Normal 3"/>
    <tableColumn id="5" name="CUIT" dataDxfId="521" totalsRowDxfId="520" dataCellStyle="Normal 3"/>
    <tableColumn id="6" name="RAZON SOCIAL" dataDxfId="519" totalsRowDxfId="518" dataCellStyle="Normal 3">
      <calculatedColumnFormula>IFERROR(IF(venta_a_mes9[[#This Row],[CUIT]]="","-",VLOOKUP(venta_a_mes9[[#This Row],[CUIT]],Lista_CUIT[#All],2,0)),"CUIT NO CARGADO")</calculatedColumnFormula>
    </tableColumn>
    <tableColumn id="7" name="IMPORTE NETO" totalsRowFunction="sum" dataDxfId="517" totalsRowDxfId="516" dataCellStyle="Normal 3"/>
    <tableColumn id="8" name="IVA 21%" totalsRowFunction="sum" dataDxfId="515" totalsRowDxfId="514" dataCellStyle="Normal 3">
      <calculatedColumnFormula>venta_a_mes9[[#This Row],[IMPORTE NETO]]*0.21</calculatedColumnFormula>
    </tableColumn>
    <tableColumn id="9" name="IVA 10,5%" totalsRowFunction="sum" dataDxfId="513" totalsRowDxfId="512" dataCellStyle="Normal 3"/>
    <tableColumn id="10" name="EXENTO" totalsRowFunction="sum" dataDxfId="511" totalsRowDxfId="510" dataCellStyle="Normal 3"/>
    <tableColumn id="11" name="TOTAL" totalsRowFunction="sum" dataDxfId="509" totalsRowDxfId="508" dataCellStyle="Normal 3">
      <calculatedColumnFormula>SUM(venta_a_mes9[[#This Row],[IMPORTE NETO]:[EXENTO]])</calculatedColumnFormula>
    </tableColumn>
    <tableColumn id="12" name="Provincia" totalsRowFunction="count" dataDxfId="507" totalsRowDxfId="506" dataCellStyle="Normal 3"/>
  </tableColumns>
  <tableStyleInfo name="Tabla Ventas" showFirstColumn="0" showLastColumn="0" showRowStripes="1" showColumnStripes="0"/>
</table>
</file>

<file path=xl/tables/table61.xml><?xml version="1.0" encoding="utf-8"?>
<table xmlns="http://schemas.openxmlformats.org/spreadsheetml/2006/main" id="66" name="ventas_b_mes9" displayName="ventas_b_mes9" ref="B244:M251" totalsRowCount="1" headerRowDxfId="505" dataDxfId="503" headerRowBorderDxfId="504" tableBorderDxfId="502" totalsRowBorderDxfId="501" dataCellStyle="Normal 3">
  <autoFilter ref="B244:M250"/>
  <tableColumns count="12">
    <tableColumn id="1" name="FECHA" totalsRowLabel="Total" dataDxfId="500" totalsRowDxfId="499" dataCellStyle="Normal 3"/>
    <tableColumn id="2" name="TIPO" dataDxfId="498" totalsRowDxfId="497" dataCellStyle="Normal 3"/>
    <tableColumn id="3" name="PTO VENTA" dataDxfId="496" totalsRowDxfId="495" dataCellStyle="Normal 3"/>
    <tableColumn id="4" name="Nº FACTURA" dataDxfId="494" totalsRowDxfId="493" dataCellStyle="Normal 3"/>
    <tableColumn id="5" name="CUIT" dataDxfId="492" totalsRowDxfId="491" dataCellStyle="Normal 3"/>
    <tableColumn id="6" name="RAZON SOCIAL" dataDxfId="490" totalsRowDxfId="489" dataCellStyle="Normal 3">
      <calculatedColumnFormula>IFERROR(IF(ventas_b_mes9[[#This Row],[CUIT]]="","-",VLOOKUP(ventas_b_mes9[[#This Row],[CUIT]],Lista_CUIT[#All],2,0)),"CUIT NO CARGADO")</calculatedColumnFormula>
    </tableColumn>
    <tableColumn id="7" name="IMPORTE NETO" totalsRowFunction="sum" dataDxfId="488" totalsRowDxfId="487" dataCellStyle="Normal 3"/>
    <tableColumn id="8" name="IVA 21%" totalsRowFunction="sum" dataDxfId="486" totalsRowDxfId="485" dataCellStyle="Normal 3"/>
    <tableColumn id="9" name="IVA 10,5%" totalsRowFunction="sum" dataDxfId="484" totalsRowDxfId="483" dataCellStyle="Normal 3"/>
    <tableColumn id="10" name="EXENTO" totalsRowFunction="sum" dataDxfId="482" totalsRowDxfId="481" dataCellStyle="Normal 3"/>
    <tableColumn id="11" name="TOTAL" totalsRowFunction="sum" dataDxfId="480" totalsRowDxfId="479" dataCellStyle="Normal 3">
      <calculatedColumnFormula>SUM(ventas_b_mes9[[#This Row],[IMPORTE NETO]:[EXENTO]])</calculatedColumnFormula>
    </tableColumn>
    <tableColumn id="12" name="Provincia" totalsRowFunction="count" dataDxfId="478" totalsRowDxfId="477" dataCellStyle="Normal 3"/>
  </tableColumns>
  <tableStyleInfo name="Tabla Ventas" showFirstColumn="0" showLastColumn="0" showRowStripes="1" showColumnStripes="0"/>
</table>
</file>

<file path=xl/tables/table62.xml><?xml version="1.0" encoding="utf-8"?>
<table xmlns="http://schemas.openxmlformats.org/spreadsheetml/2006/main" id="67" name="extracto_banco_mes9" displayName="extracto_banco_mes9" ref="D177:L187" totalsRowCount="1" headerRowDxfId="476" dataDxfId="475" tableBorderDxfId="474" dataCellStyle="Normal 3">
  <autoFilter ref="D177:L186"/>
  <tableColumns count="9">
    <tableColumn id="1" name="FECHA" totalsRowLabel="Total" dataDxfId="473" totalsRowDxfId="472" dataCellStyle="Normal 3"/>
    <tableColumn id="2" name="NRO CPTE" dataDxfId="471" totalsRowDxfId="470"/>
    <tableColumn id="3" name="BANCO" dataDxfId="469" totalsRowDxfId="468"/>
    <tableColumn id="4" name="NETO" totalsRowFunction="sum" dataDxfId="467" totalsRowDxfId="466" dataCellStyle="Normal 3"/>
    <tableColumn id="5" name="IVA 21%" totalsRowFunction="sum" dataDxfId="465" totalsRowDxfId="464" dataCellStyle="Normal 3"/>
    <tableColumn id="6" name="IVA 10,5%" totalsRowFunction="sum" dataDxfId="463" totalsRowDxfId="462" dataCellStyle="Normal 3"/>
    <tableColumn id="7" name="RET IIBB CABA" totalsRowFunction="sum" dataDxfId="461" totalsRowDxfId="460" dataCellStyle="Normal 3"/>
    <tableColumn id="8" name="PERC IVA" totalsRowFunction="sum" dataDxfId="459" totalsRowDxfId="458" dataCellStyle="Normal 3"/>
    <tableColumn id="9" name="PERC IIBB" totalsRowFunction="sum" dataDxfId="457" totalsRowDxfId="456" dataCellStyle="Normal 3"/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id="68" name="Retenciones_mes9" displayName="Retenciones_mes9" ref="C260:L265" totalsRowShown="0" headerRowDxfId="455" dataDxfId="454" headerRowCellStyle="Normal 3" dataCellStyle="Normal 3">
  <autoFilter ref="C260:L265"/>
  <tableColumns count="10">
    <tableColumn id="1" name="FECHA " dataDxfId="453" dataCellStyle="Normal 3"/>
    <tableColumn id="2" name="COMP Nº" dataDxfId="452" dataCellStyle="Normal 3"/>
    <tableColumn id="3" name="Columna1" dataDxfId="451" dataCellStyle="Normal 3"/>
    <tableColumn id="4" name="CUIT" dataDxfId="450" dataCellStyle="Normal 3"/>
    <tableColumn id="5" name="RAZON SOCIAL" dataDxfId="449" dataCellStyle="Normal 3">
      <calculatedColumnFormula>IFERROR(IF(Retenciones_mes9[[#This Row],[CUIT]]="","-",VLOOKUP(Retenciones_mes9[[#This Row],[CUIT]],Lista_CUIT[#All],2,0)),"CUIT NO CARGADO")</calculatedColumnFormula>
    </tableColumn>
    <tableColumn id="6" name="Ganancias" dataDxfId="448" dataCellStyle="Normal 3"/>
    <tableColumn id="7" name="IVA" dataDxfId="447" dataCellStyle="Normal 3"/>
    <tableColumn id="8" name="SUSS" dataDxfId="446" dataCellStyle="Normal 3"/>
    <tableColumn id="9" name="IIBB BSAS" dataDxfId="445" dataCellStyle="Normal 3"/>
    <tableColumn id="10" name="IIBB CABA" dataDxfId="444" dataCellStyle="Normal 3"/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id="33" name="compras_mes10" displayName="compras_mes10" ref="B8:R176" totalsRowCount="1" headerRowDxfId="443" dataDxfId="442" totalsRowDxfId="441">
  <autoFilter ref="B8:R175"/>
  <sortState ref="B9:R175">
    <sortCondition ref="Q8:Q175"/>
  </sortState>
  <tableColumns count="17">
    <tableColumn id="1" name="FECHA" totalsRowLabel="Total" dataDxfId="440" totalsRowDxfId="439" dataCellStyle="Normal 3"/>
    <tableColumn id="2" name="TIPO" dataDxfId="438" totalsRowDxfId="437" dataCellStyle="Normal 3"/>
    <tableColumn id="3" name="PTO VTA" dataDxfId="436" totalsRowDxfId="435" dataCellStyle="Normal 3"/>
    <tableColumn id="4" name="NRO. CPTE" dataDxfId="434" totalsRowDxfId="433" dataCellStyle="Normal 3"/>
    <tableColumn id="5" name="CUIT" dataDxfId="432" totalsRowDxfId="431" dataCellStyle="Normal 3"/>
    <tableColumn id="6" name="RAZON SOCIAL" dataDxfId="430" totalsRowDxfId="429" dataCellStyle="Normal 3">
      <calculatedColumnFormula>IFERROR(IF(compras_mes10[[#This Row],[CUIT]]="","-",VLOOKUP(compras_mes10[[#This Row],[CUIT]],Lista_CUIT[#All],2,0)),"CUIT NO CARGADO")</calculatedColumnFormula>
    </tableColumn>
    <tableColumn id="7" name="NETO GRAVADO" totalsRowFunction="sum" dataDxfId="428" totalsRowDxfId="427" dataCellStyle="Normal 3"/>
    <tableColumn id="8" name="IVA 21 %" totalsRowFunction="sum" dataDxfId="426" totalsRowDxfId="425" dataCellStyle="Normal 3">
      <calculatedColumnFormula>IF(compras_mes10[[#This Row],[NETO GRAVADO]]="","",compras_mes10[[#This Row],[NETO GRAVADO]]*0.21)</calculatedColumnFormula>
    </tableColumn>
    <tableColumn id="9" name="IVA 27%" totalsRowFunction="sum" dataDxfId="424" totalsRowDxfId="423" dataCellStyle="Normal 3"/>
    <tableColumn id="10" name="IVA 10,5%" totalsRowFunction="sum" dataDxfId="422" totalsRowDxfId="421" dataCellStyle="Normal 3"/>
    <tableColumn id="11" name="PERC. IVA" totalsRowFunction="sum" dataDxfId="420" totalsRowDxfId="419" dataCellStyle="Normal 3"/>
    <tableColumn id="12" name="PERC IIBB _x000a_BS AS" totalsRowFunction="sum" dataDxfId="418" totalsRowDxfId="417" dataCellStyle="Normal 3"/>
    <tableColumn id="13" name="PERC. IIBB CABA" totalsRowFunction="sum" dataDxfId="416" totalsRowDxfId="415" dataCellStyle="Normal 3"/>
    <tableColumn id="14" name="Otros / No Grav." totalsRowFunction="sum" dataDxfId="414" totalsRowDxfId="413" dataCellStyle="Normal 3"/>
    <tableColumn id="15" name="TOTAL" totalsRowFunction="sum" dataDxfId="412" totalsRowDxfId="411" dataCellStyle="Normal 3">
      <calculatedColumnFormula>SUM(compras_mes10[[#This Row],[NETO GRAVADO]:[Otros / No Grav.]])</calculatedColumnFormula>
    </tableColumn>
    <tableColumn id="16" name="Tipo de Gasto" dataDxfId="410" totalsRowDxfId="409" dataCellStyle="Normal 3">
      <calculatedColumnFormula>IFERROR(IF(compras_mes10[[#This Row],[CUIT]]="","-",VLOOKUP(compras_mes10[[#This Row],[CUIT]],Lista_CUIT[#All],3,0)),"CUIT NO CARGADO")</calculatedColumnFormula>
    </tableColumn>
    <tableColumn id="17" name="Provincia" dataDxfId="408" totalsRowDxfId="407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5.xml><?xml version="1.0" encoding="utf-8"?>
<table xmlns="http://schemas.openxmlformats.org/spreadsheetml/2006/main" id="34" name="factura_c_mes10" displayName="factura_c_mes10" ref="D197:K224" totalsRowCount="1" headerRowDxfId="406" totalsRowDxfId="405" headerRowCellStyle="Normal 3">
  <autoFilter ref="D197:K223"/>
  <sortState ref="D198:K223">
    <sortCondition ref="J197:J223"/>
  </sortState>
  <tableColumns count="8">
    <tableColumn id="1" name="FECHA" totalsRowLabel="Total" dataDxfId="404" totalsRowDxfId="403" dataCellStyle="Normal 3"/>
    <tableColumn id="2" name="PTO VTA" dataDxfId="402" totalsRowDxfId="401" dataCellStyle="Normal 3"/>
    <tableColumn id="3" name="FC Nº" dataDxfId="400" totalsRowDxfId="399" dataCellStyle="Normal 3"/>
    <tableColumn id="4" name="CUIT" dataDxfId="398" totalsRowDxfId="397" dataCellStyle="Normal 3"/>
    <tableColumn id="5" name="RAZON SOCIAL" dataDxfId="396" totalsRowDxfId="395" dataCellStyle="Normal 3">
      <calculatedColumnFormula>IFERROR(IF(factura_c_mes10[[#This Row],[CUIT]]="","-",VLOOKUP(factura_c_mes10[[#This Row],[CUIT]],Lista_CUIT[#All],2,0)),"CUIT NO CARGADO")</calculatedColumnFormula>
    </tableColumn>
    <tableColumn id="6" name="TOTAL" totalsRowFunction="sum" dataDxfId="394" totalsRowDxfId="393" dataCellStyle="Normal 3"/>
    <tableColumn id="7" name="TIPO DE GASTO" dataDxfId="392" totalsRowDxfId="391" dataCellStyle="Normal 3">
      <calculatedColumnFormula>IFERROR(IF(factura_c_mes10[[#This Row],[CUIT]]="","-",VLOOKUP(factura_c_mes10[[#This Row],[CUIT]],Lista_CUIT[#All],3,0)),"CUIT NO CARGADO")</calculatedColumnFormula>
    </tableColumn>
    <tableColumn id="8" name="Provincia" dataDxfId="390" totalsRowDxfId="389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id="35" name="venta_a_mes10" displayName="venta_a_mes10" ref="B233:M243" totalsRowCount="1" headerRowDxfId="388" dataDxfId="386" headerRowBorderDxfId="387" tableBorderDxfId="385" totalsRowBorderDxfId="384" dataCellStyle="Normal 3">
  <autoFilter ref="B233:M242"/>
  <tableColumns count="12">
    <tableColumn id="1" name="FECHA" totalsRowLabel="Total" dataDxfId="383" totalsRowDxfId="382" dataCellStyle="Normal 3"/>
    <tableColumn id="2" name="TIPO" dataDxfId="381" totalsRowDxfId="380" dataCellStyle="Normal 3"/>
    <tableColumn id="3" name="PTO VENTA" dataDxfId="379" totalsRowDxfId="378" dataCellStyle="Normal 3"/>
    <tableColumn id="4" name="Nº FACTURA" dataDxfId="377" totalsRowDxfId="376" dataCellStyle="Normal 3"/>
    <tableColumn id="5" name="CUIT" dataDxfId="375" totalsRowDxfId="374" dataCellStyle="Normal 3"/>
    <tableColumn id="6" name="RAZON SOCIAL" dataDxfId="373" totalsRowDxfId="372" dataCellStyle="Normal 3">
      <calculatedColumnFormula>IFERROR(IF(venta_a_mes10[[#This Row],[CUIT]]="","-",VLOOKUP(venta_a_mes10[[#This Row],[CUIT]],Lista_CUIT[#All],2,0)),"CUIT NO CARGADO")</calculatedColumnFormula>
    </tableColumn>
    <tableColumn id="7" name="IMPORTE NETO" totalsRowFunction="sum" dataDxfId="371" totalsRowDxfId="370" dataCellStyle="Normal 3"/>
    <tableColumn id="8" name="IVA 21%" totalsRowFunction="sum" dataDxfId="369" totalsRowDxfId="368" dataCellStyle="Normal 3">
      <calculatedColumnFormula>venta_a_mes10[[#This Row],[IMPORTE NETO]]*0.21</calculatedColumnFormula>
    </tableColumn>
    <tableColumn id="9" name="IVA 10,5%" totalsRowFunction="sum" dataDxfId="367" totalsRowDxfId="366" dataCellStyle="Normal 3"/>
    <tableColumn id="10" name="EXENTO" totalsRowFunction="sum" dataDxfId="365" totalsRowDxfId="364" dataCellStyle="Normal 3"/>
    <tableColumn id="11" name="TOTAL" totalsRowFunction="sum" dataDxfId="363" totalsRowDxfId="362" dataCellStyle="Normal 3">
      <calculatedColumnFormula>SUM(venta_a_mes10[[#This Row],[IMPORTE NETO]:[EXENTO]])</calculatedColumnFormula>
    </tableColumn>
    <tableColumn id="12" name="Provincia" totalsRowFunction="count" dataDxfId="361" totalsRowDxfId="360" dataCellStyle="Normal 3"/>
  </tableColumns>
  <tableStyleInfo name="Tabla Ventas" showFirstColumn="0" showLastColumn="0" showRowStripes="1" showColumnStripes="0"/>
</table>
</file>

<file path=xl/tables/table67.xml><?xml version="1.0" encoding="utf-8"?>
<table xmlns="http://schemas.openxmlformats.org/spreadsheetml/2006/main" id="36" name="ventas_b_mes10" displayName="ventas_b_mes10" ref="B247:M281" totalsRowCount="1" headerRowDxfId="359" dataDxfId="357" headerRowBorderDxfId="358" tableBorderDxfId="356" totalsRowBorderDxfId="355" dataCellStyle="Normal 3">
  <autoFilter ref="B247:M280"/>
  <tableColumns count="12">
    <tableColumn id="1" name="FECHA" totalsRowLabel="Total" dataDxfId="354" totalsRowDxfId="353" dataCellStyle="Normal 3"/>
    <tableColumn id="2" name="TIPO" dataDxfId="352" totalsRowDxfId="351" dataCellStyle="Normal 3"/>
    <tableColumn id="3" name="PTO VENTA" dataDxfId="350" totalsRowDxfId="349" dataCellStyle="Normal 3"/>
    <tableColumn id="4" name="Nº FACTURA" dataDxfId="348" totalsRowDxfId="347" dataCellStyle="Normal 3"/>
    <tableColumn id="5" name="CUIT" dataDxfId="346" totalsRowDxfId="345" dataCellStyle="Normal 3"/>
    <tableColumn id="6" name="RAZON SOCIAL" dataDxfId="344" totalsRowDxfId="343" dataCellStyle="Normal 3">
      <calculatedColumnFormula>IFERROR(IF(ventas_b_mes10[[#This Row],[CUIT]]="","-",VLOOKUP(ventas_b_mes10[[#This Row],[CUIT]],Lista_CUIT[#All],2,0)),"CUIT NO CARGADO")</calculatedColumnFormula>
    </tableColumn>
    <tableColumn id="7" name="IMPORTE NETO" totalsRowFunction="sum" dataDxfId="342" totalsRowDxfId="341" dataCellStyle="Normal 3"/>
    <tableColumn id="8" name="IVA 21%" totalsRowFunction="sum" dataDxfId="340" totalsRowDxfId="339" dataCellStyle="Normal 3">
      <calculatedColumnFormula>ventas_b_mes10[[#This Row],[IMPORTE NETO]]*0.21</calculatedColumnFormula>
    </tableColumn>
    <tableColumn id="9" name="IVA 10,5%" totalsRowFunction="sum" dataDxfId="338" totalsRowDxfId="337" dataCellStyle="Normal 3"/>
    <tableColumn id="10" name="EXENTO" totalsRowFunction="sum" dataDxfId="336" totalsRowDxfId="335" dataCellStyle="Normal 3"/>
    <tableColumn id="11" name="TOTAL" totalsRowFunction="sum" dataDxfId="334" totalsRowDxfId="333" dataCellStyle="Normal 3"/>
    <tableColumn id="12" name="Provincia" totalsRowFunction="count" dataDxfId="332" totalsRowDxfId="331" dataCellStyle="Normal 3"/>
  </tableColumns>
  <tableStyleInfo name="Tabla Ventas" showFirstColumn="0" showLastColumn="0" showRowStripes="1" showColumnStripes="0"/>
</table>
</file>

<file path=xl/tables/table68.xml><?xml version="1.0" encoding="utf-8"?>
<table xmlns="http://schemas.openxmlformats.org/spreadsheetml/2006/main" id="37" name="extracto_banco_mes10" displayName="extracto_banco_mes10" ref="D182:M192" totalsRowCount="1" headerRowDxfId="330" dataDxfId="329" tableBorderDxfId="328" dataCellStyle="Normal 3">
  <autoFilter ref="D182:M191"/>
  <tableColumns count="10">
    <tableColumn id="1" name="FECHA" totalsRowLabel="Total" dataDxfId="327" totalsRowDxfId="326" dataCellStyle="Normal 3"/>
    <tableColumn id="2" name="NRO CPTE" dataDxfId="325" totalsRowDxfId="324"/>
    <tableColumn id="3" name="BANCO" dataDxfId="323" totalsRowDxfId="322"/>
    <tableColumn id="4" name="NETO" totalsRowFunction="sum" dataDxfId="321" totalsRowDxfId="320" dataCellStyle="Normal 3"/>
    <tableColumn id="5" name="IVA 21%" totalsRowFunction="sum" dataDxfId="319" totalsRowDxfId="318" dataCellStyle="Normal 3"/>
    <tableColumn id="6" name="IVA 10,5%" totalsRowFunction="sum" dataDxfId="317" totalsRowDxfId="316" dataCellStyle="Normal 3"/>
    <tableColumn id="7" name="RET IIBB CABA" totalsRowFunction="sum" dataDxfId="315" totalsRowDxfId="314" dataCellStyle="Normal 3"/>
    <tableColumn id="8" name="PERC IVA" totalsRowFunction="sum" dataDxfId="313" totalsRowDxfId="312" dataCellStyle="Normal 3"/>
    <tableColumn id="9" name="PERC IIBB" totalsRowFunction="sum" dataDxfId="311" totalsRowDxfId="310" dataCellStyle="Normal 3"/>
    <tableColumn id="10" name="TOTAL" dataDxfId="309" totalsRowDxfId="308" dataCellStyle="Normal 3">
      <calculatedColumnFormula>SUM(extracto_banco_mes10[[#This Row],[NETO]:[PERC IIBB]])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id="38" name="Retenciones_mes10" displayName="Retenciones_mes10" ref="C283:L288" totalsRowShown="0" headerRowDxfId="307" dataDxfId="306" headerRowCellStyle="Normal 3" dataCellStyle="Normal 3">
  <autoFilter ref="C283:L288"/>
  <tableColumns count="10">
    <tableColumn id="1" name="FECHA " dataDxfId="305" dataCellStyle="Normal 3"/>
    <tableColumn id="2" name="COMP Nº" dataDxfId="304" dataCellStyle="Normal 3"/>
    <tableColumn id="3" name="Columna1" dataDxfId="303" dataCellStyle="Normal 3"/>
    <tableColumn id="4" name="CUIT" dataDxfId="302" dataCellStyle="Normal 3"/>
    <tableColumn id="5" name="RAZON SOCIAL" dataDxfId="301" dataCellStyle="Normal 3">
      <calculatedColumnFormula>IFERROR(IF(Retenciones_mes10[[#This Row],[CUIT]]="","-",VLOOKUP(Retenciones_mes10[[#This Row],[CUIT]],Lista_CUIT[#All],2,0)),"CUIT NO CARGADO")</calculatedColumnFormula>
    </tableColumn>
    <tableColumn id="6" name="Ganancias" dataDxfId="300" dataCellStyle="Normal 3"/>
    <tableColumn id="7" name="IVA" dataDxfId="299" dataCellStyle="Normal 3"/>
    <tableColumn id="8" name="SUSS" dataDxfId="298" dataCellStyle="Normal 3"/>
    <tableColumn id="9" name="IIBB BSAS" dataDxfId="297" dataCellStyle="Normal 3"/>
    <tableColumn id="10" name="IIBB CABA" dataDxfId="296" dataCellStyle="Normal 3"/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id="2" name="compras_mes123" displayName="compras_mes123" ref="B8:R211" totalsRowCount="1" headerRowDxfId="294" dataDxfId="293" totalsRowDxfId="292">
  <autoFilter ref="B8:R210"/>
  <sortState ref="B9:R210">
    <sortCondition ref="Q8:Q210"/>
  </sortState>
  <tableColumns count="17">
    <tableColumn id="1" name="FECHA" totalsRowLabel="Total" dataDxfId="291" totalsRowDxfId="290" dataCellStyle="Normal 3"/>
    <tableColumn id="2" name="TIPO" dataDxfId="289" totalsRowDxfId="288" dataCellStyle="Normal 3"/>
    <tableColumn id="3" name="PTO VTA" dataDxfId="287" totalsRowDxfId="286" dataCellStyle="Normal 3"/>
    <tableColumn id="4" name="NRO. CPTE" dataDxfId="285" totalsRowDxfId="284" dataCellStyle="Normal 3"/>
    <tableColumn id="5" name="CUIT" dataDxfId="283" totalsRowDxfId="282" dataCellStyle="Normal 3"/>
    <tableColumn id="6" name="RAZON SOCIAL" dataDxfId="281" totalsRowDxfId="280" dataCellStyle="Normal 3">
      <calculatedColumnFormula>IFERROR(IF(compras_mes123[[#This Row],[CUIT]]="","-",VLOOKUP(compras_mes123[[#This Row],[CUIT]],Lista_CUIT[#All],2,0)),"CUIT NO CARGADO")</calculatedColumnFormula>
    </tableColumn>
    <tableColumn id="7" name="NETO GRAVADO" totalsRowFunction="sum" dataDxfId="279" totalsRowDxfId="278" dataCellStyle="Normal 3"/>
    <tableColumn id="8" name="IVA 21 %" totalsRowFunction="sum" dataDxfId="277" totalsRowDxfId="276" dataCellStyle="Normal 3">
      <calculatedColumnFormula>IF(compras_mes123[[#This Row],[NETO GRAVADO]]="","",compras_mes123[[#This Row],[NETO GRAVADO]]*0.21)</calculatedColumnFormula>
    </tableColumn>
    <tableColumn id="9" name="IVA 27%" totalsRowFunction="sum" dataDxfId="275" totalsRowDxfId="274" dataCellStyle="Normal 3"/>
    <tableColumn id="10" name="IVA 10,5%" totalsRowFunction="sum" dataDxfId="273" totalsRowDxfId="272" dataCellStyle="Normal 3"/>
    <tableColumn id="11" name="PERC. IVA" totalsRowFunction="sum" dataDxfId="271" totalsRowDxfId="270" dataCellStyle="Normal 3"/>
    <tableColumn id="12" name="PERC IIBB _x000a_BS AS" totalsRowFunction="sum" dataDxfId="269" totalsRowDxfId="268" dataCellStyle="Normal 3"/>
    <tableColumn id="13" name="PERC. IIBB CABA" totalsRowFunction="sum" dataDxfId="267" totalsRowDxfId="266" dataCellStyle="Normal 3"/>
    <tableColumn id="14" name="Otros / No Grav." totalsRowFunction="sum" dataDxfId="265" totalsRowDxfId="264" dataCellStyle="Normal 3"/>
    <tableColumn id="15" name="TOTAL" totalsRowFunction="sum" dataDxfId="263" totalsRowDxfId="262" dataCellStyle="Normal 3">
      <calculatedColumnFormula>SUM(compras_mes123[[#This Row],[NETO GRAVADO]:[Otros / No Grav.]])</calculatedColumnFormula>
    </tableColumn>
    <tableColumn id="16" name="Tipo de Gasto" dataDxfId="261" totalsRowDxfId="260" dataCellStyle="Normal 3">
      <calculatedColumnFormula>IFERROR(IF(compras_mes123[[#This Row],[CUIT]]="","-",VLOOKUP(compras_mes123[[#This Row],[CUIT]],Lista_CUIT[#All],3,0)),"CUIT NO CARGADO")</calculatedColumnFormula>
    </tableColumn>
    <tableColumn id="17" name="Provincia" dataDxfId="259" totalsRowDxfId="258" dataCellStyle="Normal 3">
      <calculatedColumnFormula>IFERROR(IF(compras_mes123[[#This Row],[CUIT]]="","-",VLOOKUP(compras_mes123[[#This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1.xml><?xml version="1.0" encoding="utf-8"?>
<table xmlns="http://schemas.openxmlformats.org/spreadsheetml/2006/main" id="41" name="factura_c_mes1242" displayName="factura_c_mes1242" ref="D233:K260" totalsRowCount="1" headerRowDxfId="257" dataDxfId="256" totalsRowDxfId="255" headerRowCellStyle="Normal 3" dataCellStyle="Normal 3">
  <autoFilter ref="D233:K259"/>
  <sortState ref="D234:K259">
    <sortCondition ref="J233:J259"/>
  </sortState>
  <tableColumns count="8">
    <tableColumn id="1" name="FECHA" totalsRowLabel="Total" dataDxfId="254" totalsRowDxfId="253" dataCellStyle="Normal 3"/>
    <tableColumn id="2" name="PTO VTA" dataDxfId="252" totalsRowDxfId="251" dataCellStyle="Normal 3"/>
    <tableColumn id="3" name="FC Nº" dataDxfId="250" totalsRowDxfId="249" dataCellStyle="Normal 3"/>
    <tableColumn id="4" name="CUIT" dataDxfId="248" totalsRowDxfId="247" dataCellStyle="Normal 3"/>
    <tableColumn id="5" name="RAZON SOCIAL" dataDxfId="246" totalsRowDxfId="245" dataCellStyle="Normal 3">
      <calculatedColumnFormula>IFERROR(IF(factura_c_mes1242[[#This Row],[CUIT]]="","-",VLOOKUP(factura_c_mes1242[[#This Row],[CUIT]],Lista_CUIT[#All],2,0)),"CUIT NO CARGADO")</calculatedColumnFormula>
    </tableColumn>
    <tableColumn id="6" name="TOTAL" totalsRowFunction="sum" dataDxfId="244" totalsRowDxfId="243" dataCellStyle="Millares"/>
    <tableColumn id="7" name="TIPO DE GASTO" dataDxfId="242" totalsRowDxfId="241" dataCellStyle="Normal 3">
      <calculatedColumnFormula>IFERROR(IF(factura_c_mes1242[[#This Row],[CUIT]]="","-",VLOOKUP(factura_c_mes1242[[#This Row],[CUIT]],Lista_CUIT[#All],3,0)),"CUIT NO CARGADO")</calculatedColumnFormula>
    </tableColumn>
    <tableColumn id="8" name="Provincia" dataDxfId="240" totalsRowDxfId="239" dataCellStyle="Normal 3">
      <calculatedColumnFormula>IFERROR(IF(factura_c_mes1242[[#This Row],[CUIT]]="","-",VLOOKUP(factura_c_mes1242[[#This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id="53" name="venta_a_mes1254" displayName="venta_a_mes1254" ref="B268:M456" totalsRowCount="1" headerRowDxfId="238" dataDxfId="236" headerRowBorderDxfId="237" tableBorderDxfId="235" totalsRowBorderDxfId="234" dataCellStyle="Normal 3">
  <autoFilter ref="B268:M455"/>
  <tableColumns count="12">
    <tableColumn id="1" name="FECHA" totalsRowLabel="Total" dataDxfId="233" totalsRowDxfId="232" dataCellStyle="Normal 3"/>
    <tableColumn id="2" name="TIPO" dataDxfId="231" totalsRowDxfId="230" dataCellStyle="Normal 3"/>
    <tableColumn id="3" name="PTO VENTA" dataDxfId="229" totalsRowDxfId="228" dataCellStyle="Normal 3"/>
    <tableColumn id="4" name="Nº FACTURA" dataDxfId="227" totalsRowDxfId="226" dataCellStyle="Normal 3"/>
    <tableColumn id="5" name="CUIT" dataDxfId="225" totalsRowDxfId="224" dataCellStyle="Normal 3"/>
    <tableColumn id="6" name="RAZON SOCIAL" dataDxfId="223" totalsRowDxfId="222" dataCellStyle="Normal 3">
      <calculatedColumnFormula>IFERROR(IF(venta_a_mes1254[[#This Row],[CUIT]]="","-",VLOOKUP(venta_a_mes1254[[#This Row],[CUIT]],Lista_CUIT[#All],2,0)),"CUIT NO CARGADO")</calculatedColumnFormula>
    </tableColumn>
    <tableColumn id="7" name="IMPORTE NETO" totalsRowFunction="sum" dataDxfId="221" totalsRowDxfId="220" dataCellStyle="Normal 3"/>
    <tableColumn id="8" name="IVA 21%" totalsRowFunction="sum" dataDxfId="219" totalsRowDxfId="218" dataCellStyle="Normal 3">
      <calculatedColumnFormula>venta_a_mes1254[[#This Row],[IMPORTE NETO]]*0.21</calculatedColumnFormula>
    </tableColumn>
    <tableColumn id="9" name="IVA 10,5%" totalsRowFunction="sum" dataDxfId="217" totalsRowDxfId="216" dataCellStyle="Normal 3"/>
    <tableColumn id="10" name="EXENTO" totalsRowFunction="sum" dataDxfId="215" totalsRowDxfId="214" dataCellStyle="Normal 3"/>
    <tableColumn id="11" name="TOTAL" totalsRowFunction="sum" dataDxfId="213" totalsRowDxfId="212" dataCellStyle="Normal 3">
      <calculatedColumnFormula>SUM(venta_a_mes1254[[#This Row],[IMPORTE NETO]:[EXENTO]])</calculatedColumnFormula>
    </tableColumn>
    <tableColumn id="12" name="Provincia" totalsRowFunction="count" dataDxfId="211" totalsRowDxfId="210" dataCellStyle="Normal 3"/>
  </tableColumns>
  <tableStyleInfo name="Tabla Ventas" showFirstColumn="0" showLastColumn="0" showRowStripes="1" showColumnStripes="0"/>
</table>
</file>

<file path=xl/tables/table73.xml><?xml version="1.0" encoding="utf-8"?>
<table xmlns="http://schemas.openxmlformats.org/spreadsheetml/2006/main" id="54" name="ventas_b_mes1255" displayName="ventas_b_mes1255" ref="B459:M2581" totalsRowCount="1" headerRowDxfId="209" dataDxfId="207" headerRowBorderDxfId="208" tableBorderDxfId="206" totalsRowBorderDxfId="205" dataCellStyle="Normal 3">
  <autoFilter ref="B459:M2580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name="FECHA" totalsRowLabel="Total" dataDxfId="204" totalsRowDxfId="203" dataCellStyle="Normal 3"/>
    <tableColumn id="2" name="TIPO" dataDxfId="202" totalsRowDxfId="201" dataCellStyle="Normal 3"/>
    <tableColumn id="3" name="PTO VENTA" dataDxfId="200" totalsRowDxfId="199" dataCellStyle="Normal 3"/>
    <tableColumn id="4" name="Nº FACTURA" dataDxfId="198" totalsRowDxfId="197" dataCellStyle="Normal 3"/>
    <tableColumn id="5" name="CUIT" dataDxfId="196" totalsRowDxfId="195" dataCellStyle="Normal 3"/>
    <tableColumn id="6" name="RAZON SOCIAL" dataDxfId="194" totalsRowDxfId="193" dataCellStyle="Normal 3">
      <calculatedColumnFormula>IFERROR(IF(ventas_b_mes1255[[#This Row],[CUIT]]="","-",VLOOKUP(ventas_b_mes1255[[#This Row],[CUIT]],Lista_CUIT[#All],2,0)),"CUIT NO CARGADO")</calculatedColumnFormula>
    </tableColumn>
    <tableColumn id="7" name="IMPORTE NETO" totalsRowFunction="sum" dataDxfId="192" totalsRowDxfId="191" dataCellStyle="Normal 3"/>
    <tableColumn id="8" name="IVA 21%" totalsRowFunction="sum" dataDxfId="190" totalsRowDxfId="189" dataCellStyle="Normal 3"/>
    <tableColumn id="9" name="IVA 10,5%" totalsRowFunction="sum" dataDxfId="188" totalsRowDxfId="187" dataCellStyle="Normal 3"/>
    <tableColumn id="10" name="EXENTO" totalsRowFunction="sum" dataDxfId="186" totalsRowDxfId="185" dataCellStyle="Normal 3"/>
    <tableColumn id="11" name="TOTAL" totalsRowFunction="sum" dataDxfId="184" totalsRowDxfId="183" dataCellStyle="Normal 3"/>
    <tableColumn id="12" name="Provincia" totalsRowFunction="count" dataDxfId="182" totalsRowDxfId="181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id="55" name="extracto_banco_mes1256" displayName="extracto_banco_mes1256" ref="D217:L228" totalsRowCount="1" headerRowDxfId="180" dataDxfId="179" tableBorderDxfId="178" dataCellStyle="Normal 3">
  <autoFilter ref="D217:L227"/>
  <tableColumns count="9">
    <tableColumn id="1" name="FECHA" totalsRowLabel="Total" dataDxfId="177" totalsRowDxfId="176" dataCellStyle="Normal 3"/>
    <tableColumn id="2" name="NRO CPTE" dataDxfId="175" totalsRowDxfId="174"/>
    <tableColumn id="3" name="BANCO" dataDxfId="173" totalsRowDxfId="172"/>
    <tableColumn id="4" name="NETO" totalsRowFunction="sum" dataDxfId="171" totalsRowDxfId="170" dataCellStyle="Normal 3"/>
    <tableColumn id="5" name="IVA 21%" totalsRowFunction="sum" dataDxfId="169" totalsRowDxfId="168" dataCellStyle="Normal 3"/>
    <tableColumn id="6" name="IVA 10,5%" totalsRowFunction="sum" dataDxfId="167" totalsRowDxfId="166" dataCellStyle="Normal 3"/>
    <tableColumn id="7" name="RET IIBB CABA" totalsRowFunction="sum" dataDxfId="165" totalsRowDxfId="164" dataCellStyle="Normal 3"/>
    <tableColumn id="8" name="PERC IVA" totalsRowFunction="sum" dataDxfId="163" totalsRowDxfId="162" dataCellStyle="Normal 3"/>
    <tableColumn id="9" name="PERC IIBB" totalsRowFunction="sum" dataDxfId="161" totalsRowDxfId="160" dataCellStyle="Normal 3"/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id="56" name="Retenciones_mes1257" displayName="Retenciones_mes1257" ref="C2584:L2589" totalsRowShown="0" headerRowDxfId="159" dataDxfId="158" headerRowCellStyle="Normal 3" dataCellStyle="Normal 3">
  <autoFilter ref="C2584:L2589"/>
  <tableColumns count="10">
    <tableColumn id="1" name="FECHA " dataDxfId="157" dataCellStyle="Normal 3"/>
    <tableColumn id="2" name="COMP Nº" dataDxfId="156" dataCellStyle="Normal 3"/>
    <tableColumn id="3" name="Columna1" dataDxfId="155" dataCellStyle="Normal 3"/>
    <tableColumn id="4" name="CUIT" dataDxfId="154" dataCellStyle="Normal 3"/>
    <tableColumn id="5" name="RAZON SOCIAL" dataDxfId="153" dataCellStyle="Normal 3">
      <calculatedColumnFormula>IFERROR(IF(Retenciones_mes1257[[#This Row],[CUIT]]="","-",VLOOKUP(Retenciones_mes1257[[#This Row],[CUIT]],Lista_CUIT[#All],2,0)),"CUIT NO CARGADO")</calculatedColumnFormula>
    </tableColumn>
    <tableColumn id="6" name="Ganancias" dataDxfId="152" dataCellStyle="Normal 3"/>
    <tableColumn id="7" name="IVA" dataDxfId="151" dataCellStyle="Normal 3"/>
    <tableColumn id="8" name="SUSS" dataDxfId="150" dataCellStyle="Normal 3"/>
    <tableColumn id="9" name="IIBB BSAS" dataDxfId="149" dataCellStyle="Normal 3"/>
    <tableColumn id="10" name="IIBB CABA" dataDxfId="148" dataCellStyle="Normal 3"/>
  </tableColumns>
  <tableStyleInfo name="Estilo de tabla 1" showFirstColumn="0" showLastColumn="0" showRowStripes="1" showColumnStripes="0"/>
</table>
</file>

<file path=xl/tables/table76.xml><?xml version="1.0" encoding="utf-8"?>
<table xmlns="http://schemas.openxmlformats.org/spreadsheetml/2006/main" id="69" name="compras_mes12" displayName="compras_mes12" ref="B8:R171" totalsRowCount="1" headerRowDxfId="146" dataDxfId="145" totalsRowDxfId="144">
  <autoFilter ref="B8:R170"/>
  <sortState ref="B9:R170">
    <sortCondition ref="B8:B170"/>
  </sortState>
  <tableColumns count="17">
    <tableColumn id="1" name="FECHA" totalsRowLabel="Total" dataDxfId="143" totalsRowDxfId="142" dataCellStyle="Normal 3"/>
    <tableColumn id="2" name="TIPO" dataDxfId="141" totalsRowDxfId="140" dataCellStyle="Normal 3"/>
    <tableColumn id="3" name="PTO VTA" dataDxfId="139" totalsRowDxfId="138" dataCellStyle="Normal 3"/>
    <tableColumn id="4" name="NRO. CPTE" dataDxfId="137" totalsRowDxfId="136" dataCellStyle="Normal 3"/>
    <tableColumn id="5" name="CUIT" dataDxfId="135" totalsRowDxfId="134" dataCellStyle="Normal 3"/>
    <tableColumn id="6" name="RAZON SOCIAL" dataDxfId="133" totalsRowDxfId="132" dataCellStyle="Normal 3">
      <calculatedColumnFormula>IFERROR(IF(compras_mes12[[#This Row],[CUIT]]="","-",VLOOKUP(compras_mes12[[#This Row],[CUIT]],Lista_CUIT[#All],2,0)),"CUIT NO CARGADO")</calculatedColumnFormula>
    </tableColumn>
    <tableColumn id="7" name="NETO GRAVADO" totalsRowFunction="sum" dataDxfId="131" totalsRowDxfId="130" dataCellStyle="Normal 3"/>
    <tableColumn id="8" name="IVA 21 %" totalsRowFunction="sum" dataDxfId="129" totalsRowDxfId="128" dataCellStyle="Normal 3">
      <calculatedColumnFormula>IF(compras_mes12[[#This Row],[NETO GRAVADO]]="","",compras_mes12[[#This Row],[NETO GRAVADO]]*0.21)</calculatedColumnFormula>
    </tableColumn>
    <tableColumn id="9" name="IVA 27%" totalsRowFunction="sum" dataDxfId="127" totalsRowDxfId="126" dataCellStyle="Normal 3"/>
    <tableColumn id="10" name="IVA 10,5%" totalsRowFunction="sum" dataDxfId="125" totalsRowDxfId="124" dataCellStyle="Normal 3"/>
    <tableColumn id="11" name="PERC. IVA" totalsRowFunction="sum" dataDxfId="123" totalsRowDxfId="122" dataCellStyle="Normal 3"/>
    <tableColumn id="12" name="PERC IIBB _x000a_BS AS" totalsRowFunction="sum" dataDxfId="121" totalsRowDxfId="120" dataCellStyle="Normal 3"/>
    <tableColumn id="13" name="PERC. IIBB CABA" totalsRowFunction="sum" dataDxfId="119" totalsRowDxfId="118" dataCellStyle="Normal 3"/>
    <tableColumn id="14" name="Otros / No Grav." totalsRowFunction="sum" dataDxfId="117" totalsRowDxfId="116" dataCellStyle="Normal 3"/>
    <tableColumn id="15" name="TOTAL" totalsRowFunction="sum" dataDxfId="115" totalsRowDxfId="114" dataCellStyle="Normal 3">
      <calculatedColumnFormula>SUM(compras_mes12[[#This Row],[NETO GRAVADO]:[Otros / No Grav.]])</calculatedColumnFormula>
    </tableColumn>
    <tableColumn id="16" name="Tipo de Gasto" dataDxfId="113" totalsRowDxfId="112" dataCellStyle="Normal 3">
      <calculatedColumnFormula>IFERROR(IF(compras_mes12[[#This Row],[CUIT]]="","-",VLOOKUP(compras_mes12[[#This Row],[CUIT]],Lista_CUIT[#All],3,0)),"CUIT NO CARGADO")</calculatedColumnFormula>
    </tableColumn>
    <tableColumn id="17" name="Provincia" dataDxfId="111" totalsRowDxfId="110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7.xml><?xml version="1.0" encoding="utf-8"?>
<table xmlns="http://schemas.openxmlformats.org/spreadsheetml/2006/main" id="70" name="factura_c_mes12" displayName="factura_c_mes12" ref="D193:K224" totalsRowCount="1" headerRowDxfId="109" dataDxfId="108" totalsRowDxfId="107" headerRowCellStyle="Normal 3" dataCellStyle="Normal 3">
  <autoFilter ref="D193:K223"/>
  <sortState ref="D194:K223">
    <sortCondition ref="J193:J223"/>
  </sortState>
  <tableColumns count="8">
    <tableColumn id="1" name="FECHA" totalsRowLabel="Total" dataDxfId="106" totalsRowDxfId="105" dataCellStyle="Normal 3"/>
    <tableColumn id="2" name="PTO VTA" dataDxfId="104" totalsRowDxfId="103" dataCellStyle="Normal 3"/>
    <tableColumn id="3" name="FC Nº" dataDxfId="102" totalsRowDxfId="101" dataCellStyle="Normal 3"/>
    <tableColumn id="4" name="CUIT" dataDxfId="100" totalsRowDxfId="99" dataCellStyle="Normal 3"/>
    <tableColumn id="5" name="RAZON SOCIAL" dataDxfId="98" totalsRowDxfId="97" dataCellStyle="Normal 3">
      <calculatedColumnFormula>IFERROR(IF(factura_c_mes12[[#This Row],[CUIT]]="","-",VLOOKUP(factura_c_mes12[[#This Row],[CUIT]],Lista_CUIT[#All],2,0)),"CUIT NO CARGADO")</calculatedColumnFormula>
    </tableColumn>
    <tableColumn id="6" name="TOTAL" totalsRowFunction="sum" dataDxfId="96" totalsRowDxfId="95" dataCellStyle="Normal 3"/>
    <tableColumn id="7" name="TIPO DE GASTO" dataDxfId="94" totalsRowDxfId="93" dataCellStyle="Normal 3">
      <calculatedColumnFormula>IFERROR(IF(factura_c_mes12[[#This Row],[CUIT]]="","-",VLOOKUP(factura_c_mes12[[#This Row],[CUIT]],Lista_CUIT[#All],3,0)),"CUIT NO CARGADO")</calculatedColumnFormula>
    </tableColumn>
    <tableColumn id="8" name="Provincia" dataDxfId="92" totalsRowDxfId="91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8.xml><?xml version="1.0" encoding="utf-8"?>
<table xmlns="http://schemas.openxmlformats.org/spreadsheetml/2006/main" id="71" name="venta_a_mes12" displayName="venta_a_mes12" ref="B232:M234" totalsRowCount="1" headerRowDxfId="90" dataDxfId="88" headerRowBorderDxfId="89" tableBorderDxfId="87" totalsRowBorderDxfId="86" dataCellStyle="Normal 3">
  <autoFilter ref="B232:M233"/>
  <tableColumns count="12">
    <tableColumn id="1" name="FECHA" totalsRowLabel="Total" dataDxfId="85" totalsRowDxfId="84" dataCellStyle="Normal 3"/>
    <tableColumn id="2" name="TIPO" dataDxfId="83" totalsRowDxfId="82" dataCellStyle="Normal 3"/>
    <tableColumn id="3" name="PTO VENTA" dataDxfId="81" totalsRowDxfId="80" dataCellStyle="Normal 3"/>
    <tableColumn id="4" name="Nº FACTURA" dataDxfId="79" totalsRowDxfId="78" dataCellStyle="Normal 3"/>
    <tableColumn id="5" name="CUIT" dataDxfId="77" totalsRowDxfId="76" dataCellStyle="Normal 3"/>
    <tableColumn id="6" name="RAZON SOCIAL" dataDxfId="75" totalsRowDxfId="74" dataCellStyle="Normal 3">
      <calculatedColumnFormula>IFERROR(IF(venta_a_mes12[[#This Row],[CUIT]]="","-",VLOOKUP(venta_a_mes12[[#This Row],[CUIT]],Lista_CUIT[#All],2,0)),"CUIT NO CARGADO")</calculatedColumnFormula>
    </tableColumn>
    <tableColumn id="7" name="IMPORTE NETO" totalsRowFunction="sum" dataDxfId="73" totalsRowDxfId="72" dataCellStyle="Normal 3"/>
    <tableColumn id="8" name="IVA 21%" totalsRowFunction="sum" dataDxfId="71" totalsRowDxfId="70" dataCellStyle="Normal 3">
      <calculatedColumnFormula>venta_a_mes12[[#This Row],[IMPORTE NETO]]*0.21</calculatedColumnFormula>
    </tableColumn>
    <tableColumn id="9" name="IVA 10,5%" totalsRowFunction="sum" dataDxfId="69" totalsRowDxfId="68" dataCellStyle="Normal 3"/>
    <tableColumn id="10" name="EXENTO" totalsRowFunction="sum" dataDxfId="67" totalsRowDxfId="66" dataCellStyle="Normal 3"/>
    <tableColumn id="11" name="TOTAL" totalsRowFunction="sum" dataDxfId="65" totalsRowDxfId="64" dataCellStyle="Normal 3">
      <calculatedColumnFormula>SUM(venta_a_mes12[[#This Row],[IMPORTE NETO]:[EXENTO]])</calculatedColumnFormula>
    </tableColumn>
    <tableColumn id="12" name="Provincia" totalsRowFunction="count" dataDxfId="63" totalsRowDxfId="62" dataCellStyle="Normal 3"/>
  </tableColumns>
  <tableStyleInfo name="Tabla Ventas" showFirstColumn="0" showLastColumn="0" showRowStripes="1" showColumnStripes="0"/>
</table>
</file>

<file path=xl/tables/table79.xml><?xml version="1.0" encoding="utf-8"?>
<table xmlns="http://schemas.openxmlformats.org/spreadsheetml/2006/main" id="72" name="ventas_b_mes12" displayName="ventas_b_mes12" ref="B237:M240" totalsRowCount="1" headerRowDxfId="61" dataDxfId="59" headerRowBorderDxfId="60" tableBorderDxfId="58" totalsRowBorderDxfId="57" dataCellStyle="Normal 3">
  <autoFilter ref="B237:M239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name="FECHA" totalsRowLabel="Total" dataDxfId="56" totalsRowDxfId="55" dataCellStyle="Normal 3"/>
    <tableColumn id="2" name="TIPO" dataDxfId="54" totalsRowDxfId="53" dataCellStyle="Normal 3"/>
    <tableColumn id="3" name="PTO VENTA" dataDxfId="52" totalsRowDxfId="51" dataCellStyle="Normal 3"/>
    <tableColumn id="4" name="Nº FACTURA" dataDxfId="50" totalsRowDxfId="49" dataCellStyle="Normal 3"/>
    <tableColumn id="5" name="CUIT" dataDxfId="48" totalsRowDxfId="47" dataCellStyle="Normal 3"/>
    <tableColumn id="6" name="RAZON SOCIAL" dataDxfId="46" totalsRowDxfId="45" dataCellStyle="Normal 3">
      <calculatedColumnFormula>IFERROR(IF(ventas_b_mes12[[#This Row],[CUIT]]="","-",VLOOKUP(ventas_b_mes12[[#This Row],[CUIT]],Lista_CUIT[#All],2,0)),"CUIT NO CARGADO")</calculatedColumnFormula>
    </tableColumn>
    <tableColumn id="7" name="IMPORTE NETO" totalsRowFunction="sum" dataDxfId="44" totalsRowDxfId="43" dataCellStyle="Normal 3"/>
    <tableColumn id="8" name="IVA 21%" totalsRowFunction="sum" dataDxfId="42" totalsRowDxfId="41" dataCellStyle="Normal 3"/>
    <tableColumn id="9" name="IVA 10,5%" totalsRowFunction="sum" dataDxfId="40" totalsRowDxfId="39" dataCellStyle="Normal 3"/>
    <tableColumn id="10" name="EXENTO" totalsRowFunction="sum" dataDxfId="38" totalsRowDxfId="37" dataCellStyle="Normal 3"/>
    <tableColumn id="11" name="TOTAL" totalsRowFunction="sum" dataDxfId="36" totalsRowDxfId="35" dataCellStyle="Normal 3"/>
    <tableColumn id="12" name="Provincia" totalsRowFunction="count" dataDxfId="34" totalsRowDxfId="33" dataCellStyle="Normal 3"/>
  </tableColumns>
  <tableStyleInfo name="Tabla Ventas" showFirstColumn="0" showLastColumn="0" showRowStripes="1" showColumnStripes="0"/>
</table>
</file>

<file path=xl/tables/table80.xml><?xml version="1.0" encoding="utf-8"?>
<table xmlns="http://schemas.openxmlformats.org/spreadsheetml/2006/main" id="73" name="extracto_banco_mes12" displayName="extracto_banco_mes12" ref="D177:L188" totalsRowCount="1" headerRowDxfId="32" dataDxfId="31" tableBorderDxfId="30" dataCellStyle="Normal 3">
  <autoFilter ref="D177:L187"/>
  <tableColumns count="9">
    <tableColumn id="1" name="FECHA" totalsRowLabel="Total" dataDxfId="29" totalsRowDxfId="28" dataCellStyle="Normal 3"/>
    <tableColumn id="2" name="NRO CPTE" dataDxfId="27" totalsRowDxfId="26"/>
    <tableColumn id="3" name="BANCO" dataDxfId="25" totalsRowDxfId="24"/>
    <tableColumn id="4" name="NETO" totalsRowFunction="sum" dataDxfId="23" totalsRowDxfId="22" dataCellStyle="Normal 3"/>
    <tableColumn id="5" name="IVA 21%" totalsRowFunction="sum" dataDxfId="21" totalsRowDxfId="20" dataCellStyle="Normal 3"/>
    <tableColumn id="6" name="IVA 10,5%" totalsRowFunction="sum" dataDxfId="19" totalsRowDxfId="18" dataCellStyle="Normal 3"/>
    <tableColumn id="7" name="RET IIBB CABA" totalsRowFunction="sum" dataDxfId="17" totalsRowDxfId="16" dataCellStyle="Normal 3"/>
    <tableColumn id="8" name="PERC IVA" totalsRowFunction="sum" dataDxfId="15" totalsRowDxfId="14" dataCellStyle="Normal 3"/>
    <tableColumn id="9" name="PERC IIBB" totalsRowFunction="sum" dataDxfId="13" totalsRowDxfId="12" dataCellStyle="Normal 3"/>
  </tableColumns>
  <tableStyleInfo name="Estilo de tabla 1" showFirstColumn="0" showLastColumn="0" showRowStripes="1" showColumnStripes="0"/>
</table>
</file>

<file path=xl/tables/table81.xml><?xml version="1.0" encoding="utf-8"?>
<table xmlns="http://schemas.openxmlformats.org/spreadsheetml/2006/main" id="74" name="Retenciones_mes12" displayName="Retenciones_mes12" ref="C243:L248" totalsRowShown="0" headerRowDxfId="11" dataDxfId="10" headerRowCellStyle="Normal 3" dataCellStyle="Normal 3">
  <autoFilter ref="C243:L248"/>
  <tableColumns count="10">
    <tableColumn id="1" name="FECHA " dataDxfId="9" dataCellStyle="Normal 3"/>
    <tableColumn id="2" name="COMP Nº" dataDxfId="8" dataCellStyle="Normal 3"/>
    <tableColumn id="3" name="Columna1" dataDxfId="7" dataCellStyle="Normal 3"/>
    <tableColumn id="4" name="CUIT" dataDxfId="6" dataCellStyle="Normal 3"/>
    <tableColumn id="5" name="RAZON SOCIAL" dataDxfId="5" dataCellStyle="Normal 3">
      <calculatedColumnFormula>IFERROR(IF(Retenciones_mes12[[#This Row],[CUIT]]="","-",VLOOKUP(Retenciones_mes12[[#This Row],[CUIT]],Lista_CUIT[#All],2,0)),"CUIT NO CARGADO")</calculatedColumnFormula>
    </tableColumn>
    <tableColumn id="6" name="Ganancias" dataDxfId="4" dataCellStyle="Normal 3"/>
    <tableColumn id="7" name="IVA" dataDxfId="3" dataCellStyle="Normal 3"/>
    <tableColumn id="8" name="SUSS" dataDxfId="2" dataCellStyle="Normal 3"/>
    <tableColumn id="9" name="IIBB BSAS" dataDxfId="1" dataCellStyle="Normal 3"/>
    <tableColumn id="10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1.xml"/><Relationship Id="rId5" Type="http://schemas.openxmlformats.org/officeDocument/2006/relationships/table" Target="../tables/table50.xml"/><Relationship Id="rId4" Type="http://schemas.openxmlformats.org/officeDocument/2006/relationships/table" Target="../tables/table4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7" Type="http://schemas.openxmlformats.org/officeDocument/2006/relationships/table" Target="../tables/table57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7" Type="http://schemas.openxmlformats.org/officeDocument/2006/relationships/table" Target="../tables/table63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7.xml"/><Relationship Id="rId7" Type="http://schemas.openxmlformats.org/officeDocument/2006/relationships/table" Target="../tables/table81.xml"/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0.xml"/><Relationship Id="rId5" Type="http://schemas.openxmlformats.org/officeDocument/2006/relationships/table" Target="../tables/table79.xml"/><Relationship Id="rId4" Type="http://schemas.openxmlformats.org/officeDocument/2006/relationships/table" Target="../tables/table7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3231"/>
  <sheetViews>
    <sheetView zoomScaleNormal="100" workbookViewId="0">
      <selection activeCell="C3232" sqref="C3232"/>
    </sheetView>
  </sheetViews>
  <sheetFormatPr baseColWidth="10" defaultRowHeight="15"/>
  <cols>
    <col min="1" max="1" width="14.28515625" style="35" bestFit="1" customWidth="1"/>
    <col min="2" max="2" width="80.85546875" bestFit="1" customWidth="1"/>
    <col min="3" max="3" width="36.28515625" style="35" customWidth="1"/>
    <col min="4" max="4" width="15" bestFit="1" customWidth="1"/>
    <col min="7" max="7" width="20.5703125" customWidth="1"/>
  </cols>
  <sheetData>
    <row r="1" spans="1:7">
      <c r="A1" s="35" t="s">
        <v>3</v>
      </c>
      <c r="B1" s="35" t="s">
        <v>4</v>
      </c>
      <c r="C1" s="35" t="s">
        <v>11</v>
      </c>
      <c r="D1" s="35" t="s">
        <v>32</v>
      </c>
    </row>
    <row r="2" spans="1:7" hidden="1">
      <c r="A2" s="36">
        <v>34999032089</v>
      </c>
      <c r="B2" t="s">
        <v>1628</v>
      </c>
      <c r="C2" s="35" t="s">
        <v>2682</v>
      </c>
      <c r="G2" s="122" t="s">
        <v>83</v>
      </c>
    </row>
    <row r="3" spans="1:7" hidden="1">
      <c r="A3" s="36">
        <v>30711509859</v>
      </c>
      <c r="B3" t="s">
        <v>2504</v>
      </c>
      <c r="C3" s="35" t="s">
        <v>2677</v>
      </c>
      <c r="G3" s="123" t="s">
        <v>80</v>
      </c>
    </row>
    <row r="4" spans="1:7" hidden="1">
      <c r="A4" s="36">
        <v>27309896063</v>
      </c>
      <c r="B4" t="s">
        <v>1376</v>
      </c>
      <c r="C4" s="35" t="s">
        <v>87</v>
      </c>
      <c r="G4" s="122" t="s">
        <v>106</v>
      </c>
    </row>
    <row r="5" spans="1:7" hidden="1">
      <c r="A5" s="36">
        <v>27309896063</v>
      </c>
      <c r="B5" t="s">
        <v>1376</v>
      </c>
      <c r="C5" s="35" t="s">
        <v>87</v>
      </c>
      <c r="G5" s="123" t="s">
        <v>84</v>
      </c>
    </row>
    <row r="6" spans="1:7" hidden="1">
      <c r="A6" s="36">
        <v>20131206144</v>
      </c>
      <c r="B6" t="s">
        <v>1125</v>
      </c>
      <c r="C6" s="35" t="s">
        <v>87</v>
      </c>
      <c r="G6" s="122" t="s">
        <v>79</v>
      </c>
    </row>
    <row r="7" spans="1:7" hidden="1">
      <c r="A7" s="36">
        <v>20131206144</v>
      </c>
      <c r="B7" t="s">
        <v>1125</v>
      </c>
      <c r="C7" s="35" t="s">
        <v>87</v>
      </c>
      <c r="G7" s="123" t="s">
        <v>107</v>
      </c>
    </row>
    <row r="8" spans="1:7" hidden="1">
      <c r="A8" s="36">
        <v>20131206144</v>
      </c>
      <c r="B8" t="s">
        <v>1125</v>
      </c>
      <c r="C8" s="35" t="s">
        <v>87</v>
      </c>
      <c r="G8" s="122" t="s">
        <v>90</v>
      </c>
    </row>
    <row r="9" spans="1:7" hidden="1">
      <c r="A9" s="36">
        <v>20131206144</v>
      </c>
      <c r="B9" t="s">
        <v>1125</v>
      </c>
      <c r="C9" s="35" t="s">
        <v>87</v>
      </c>
      <c r="G9" s="123" t="s">
        <v>78</v>
      </c>
    </row>
    <row r="10" spans="1:7" hidden="1">
      <c r="A10" s="36">
        <v>30716010313</v>
      </c>
      <c r="B10" t="s">
        <v>1142</v>
      </c>
      <c r="C10" s="35" t="s">
        <v>87</v>
      </c>
      <c r="G10" s="122" t="s">
        <v>108</v>
      </c>
    </row>
    <row r="11" spans="1:7" hidden="1">
      <c r="A11" s="36">
        <v>30647082293</v>
      </c>
      <c r="B11" t="s">
        <v>1568</v>
      </c>
      <c r="C11" s="35" t="s">
        <v>1569</v>
      </c>
      <c r="G11" s="123" t="s">
        <v>87</v>
      </c>
    </row>
    <row r="12" spans="1:7" hidden="1">
      <c r="A12" s="36">
        <v>30516186670</v>
      </c>
      <c r="B12" t="s">
        <v>1171</v>
      </c>
      <c r="C12" s="35" t="s">
        <v>1569</v>
      </c>
      <c r="D12" t="s">
        <v>1754</v>
      </c>
      <c r="G12" s="122" t="s">
        <v>104</v>
      </c>
    </row>
    <row r="13" spans="1:7" hidden="1">
      <c r="A13" s="36">
        <v>30643827197</v>
      </c>
      <c r="B13" t="s">
        <v>196</v>
      </c>
      <c r="C13" s="35" t="s">
        <v>1569</v>
      </c>
      <c r="G13" s="123" t="s">
        <v>109</v>
      </c>
    </row>
    <row r="14" spans="1:7" hidden="1">
      <c r="A14" s="36">
        <v>30687310434</v>
      </c>
      <c r="B14" t="s">
        <v>1439</v>
      </c>
      <c r="C14" s="35" t="s">
        <v>1569</v>
      </c>
      <c r="G14" s="122" t="s">
        <v>110</v>
      </c>
    </row>
    <row r="15" spans="1:7" hidden="1">
      <c r="A15" s="36">
        <v>30687310434</v>
      </c>
      <c r="B15" t="s">
        <v>1439</v>
      </c>
      <c r="C15" s="35" t="s">
        <v>1569</v>
      </c>
      <c r="G15" s="123" t="s">
        <v>85</v>
      </c>
    </row>
    <row r="16" spans="1:7" hidden="1">
      <c r="A16" s="36">
        <v>30515800219</v>
      </c>
      <c r="B16" t="s">
        <v>1131</v>
      </c>
      <c r="C16" s="35" t="s">
        <v>1569</v>
      </c>
      <c r="D16" t="s">
        <v>1754</v>
      </c>
      <c r="G16" s="122" t="s">
        <v>82</v>
      </c>
    </row>
    <row r="17" spans="1:8" hidden="1">
      <c r="A17" s="36">
        <v>33649669029</v>
      </c>
      <c r="B17" t="s">
        <v>267</v>
      </c>
      <c r="C17" s="35" t="s">
        <v>1569</v>
      </c>
      <c r="G17" s="123" t="s">
        <v>111</v>
      </c>
    </row>
    <row r="18" spans="1:8" hidden="1">
      <c r="A18" s="36">
        <v>33649669029</v>
      </c>
      <c r="B18" t="s">
        <v>269</v>
      </c>
      <c r="C18" s="35" t="s">
        <v>1569</v>
      </c>
      <c r="G18" s="122" t="s">
        <v>81</v>
      </c>
    </row>
    <row r="19" spans="1:8" hidden="1">
      <c r="A19" s="36">
        <v>20217165114</v>
      </c>
      <c r="B19" t="s">
        <v>429</v>
      </c>
      <c r="C19" s="35" t="s">
        <v>1569</v>
      </c>
      <c r="G19" s="123" t="s">
        <v>112</v>
      </c>
    </row>
    <row r="20" spans="1:8" hidden="1">
      <c r="A20" s="36">
        <v>30685116657</v>
      </c>
      <c r="B20" t="s">
        <v>486</v>
      </c>
      <c r="C20" s="35" t="s">
        <v>1569</v>
      </c>
      <c r="G20" s="122" t="s">
        <v>86</v>
      </c>
    </row>
    <row r="21" spans="1:8" hidden="1">
      <c r="A21" s="36">
        <v>33608724279</v>
      </c>
      <c r="B21" t="s">
        <v>520</v>
      </c>
      <c r="C21" s="35" t="s">
        <v>1569</v>
      </c>
      <c r="G21" s="123" t="s">
        <v>88</v>
      </c>
    </row>
    <row r="22" spans="1:8" hidden="1">
      <c r="A22" s="36">
        <v>30707983732</v>
      </c>
      <c r="B22" t="s">
        <v>521</v>
      </c>
      <c r="C22" s="35" t="s">
        <v>1569</v>
      </c>
      <c r="G22" s="122" t="s">
        <v>113</v>
      </c>
    </row>
    <row r="23" spans="1:8" hidden="1">
      <c r="A23" s="36">
        <v>30678774495</v>
      </c>
      <c r="B23" t="s">
        <v>95</v>
      </c>
      <c r="C23" s="35" t="s">
        <v>1569</v>
      </c>
    </row>
    <row r="24" spans="1:8" hidden="1">
      <c r="A24" s="36">
        <v>30546995735</v>
      </c>
      <c r="B24" t="s">
        <v>1570</v>
      </c>
      <c r="C24" s="35" t="s">
        <v>1569</v>
      </c>
    </row>
    <row r="25" spans="1:8" hidden="1">
      <c r="A25" s="36">
        <v>30695542476</v>
      </c>
      <c r="B25" t="s">
        <v>96</v>
      </c>
      <c r="C25" s="35" t="s">
        <v>1569</v>
      </c>
    </row>
    <row r="26" spans="1:8" hidden="1">
      <c r="A26" s="36">
        <v>30707841105</v>
      </c>
      <c r="B26" t="s">
        <v>1147</v>
      </c>
      <c r="C26" s="35" t="s">
        <v>1569</v>
      </c>
    </row>
    <row r="27" spans="1:8" hidden="1">
      <c r="A27" s="36">
        <v>30696131003</v>
      </c>
      <c r="B27" t="s">
        <v>1157</v>
      </c>
      <c r="C27" s="35" t="s">
        <v>1569</v>
      </c>
      <c r="G27" s="683">
        <v>30707014756</v>
      </c>
      <c r="H27" s="684" t="s">
        <v>2169</v>
      </c>
    </row>
    <row r="28" spans="1:8" hidden="1">
      <c r="A28" s="36">
        <v>30574300858</v>
      </c>
      <c r="B28" t="s">
        <v>873</v>
      </c>
      <c r="C28" s="35" t="s">
        <v>1569</v>
      </c>
      <c r="G28" s="685">
        <v>30500795804</v>
      </c>
      <c r="H28" s="686" t="s">
        <v>2175</v>
      </c>
    </row>
    <row r="29" spans="1:8" hidden="1">
      <c r="A29" s="36">
        <v>30574300858</v>
      </c>
      <c r="B29" t="s">
        <v>873</v>
      </c>
      <c r="C29" s="35" t="s">
        <v>1569</v>
      </c>
    </row>
    <row r="30" spans="1:8" hidden="1">
      <c r="A30" s="36">
        <v>30517264160</v>
      </c>
      <c r="B30" t="s">
        <v>1012</v>
      </c>
      <c r="C30" s="35" t="s">
        <v>1569</v>
      </c>
    </row>
    <row r="31" spans="1:8" hidden="1">
      <c r="A31" s="36">
        <v>30517264160</v>
      </c>
      <c r="B31" t="s">
        <v>1012</v>
      </c>
      <c r="C31" s="35" t="s">
        <v>1569</v>
      </c>
    </row>
    <row r="32" spans="1:8" hidden="1">
      <c r="A32" s="36">
        <v>30546689979</v>
      </c>
      <c r="B32" t="s">
        <v>1114</v>
      </c>
      <c r="C32" s="35" t="s">
        <v>1569</v>
      </c>
    </row>
    <row r="33" spans="1:4" hidden="1">
      <c r="A33" s="36">
        <v>30546689979</v>
      </c>
      <c r="B33" t="s">
        <v>1114</v>
      </c>
      <c r="C33" s="35" t="s">
        <v>1569</v>
      </c>
    </row>
    <row r="34" spans="1:4" hidden="1">
      <c r="A34" s="36">
        <v>30708613335</v>
      </c>
      <c r="B34" t="s">
        <v>1581</v>
      </c>
      <c r="C34" s="35" t="s">
        <v>1569</v>
      </c>
    </row>
    <row r="35" spans="1:4" hidden="1">
      <c r="A35" s="36">
        <v>30712450327</v>
      </c>
      <c r="B35" t="s">
        <v>1712</v>
      </c>
      <c r="C35" s="35" t="s">
        <v>1569</v>
      </c>
    </row>
    <row r="36" spans="1:4" hidden="1">
      <c r="A36" s="36">
        <v>30708033932</v>
      </c>
      <c r="B36" t="s">
        <v>1715</v>
      </c>
      <c r="C36" s="35" t="s">
        <v>1569</v>
      </c>
    </row>
    <row r="37" spans="1:4" hidden="1">
      <c r="A37" s="36">
        <v>30633647697</v>
      </c>
      <c r="B37" t="s">
        <v>1716</v>
      </c>
      <c r="C37" s="35" t="s">
        <v>1569</v>
      </c>
    </row>
    <row r="38" spans="1:4" hidden="1">
      <c r="A38" s="36">
        <v>30699642777</v>
      </c>
      <c r="B38" t="s">
        <v>1718</v>
      </c>
      <c r="C38" s="35" t="s">
        <v>1569</v>
      </c>
    </row>
    <row r="39" spans="1:4" hidden="1">
      <c r="A39" s="36">
        <v>30683553391</v>
      </c>
      <c r="B39" t="s">
        <v>1742</v>
      </c>
      <c r="C39" s="35" t="s">
        <v>1569</v>
      </c>
    </row>
    <row r="40" spans="1:4" hidden="1">
      <c r="A40" s="36">
        <v>30703843618</v>
      </c>
      <c r="B40" t="s">
        <v>1757</v>
      </c>
      <c r="C40" s="35" t="s">
        <v>1569</v>
      </c>
      <c r="D40" t="s">
        <v>1756</v>
      </c>
    </row>
    <row r="41" spans="1:4" hidden="1">
      <c r="A41" s="36">
        <v>30695443907</v>
      </c>
      <c r="B41" t="s">
        <v>1785</v>
      </c>
      <c r="C41" s="35" t="s">
        <v>1569</v>
      </c>
    </row>
    <row r="42" spans="1:4" hidden="1">
      <c r="A42" s="36">
        <v>30653466931</v>
      </c>
      <c r="B42" t="s">
        <v>1786</v>
      </c>
      <c r="C42" s="35" t="s">
        <v>1569</v>
      </c>
    </row>
    <row r="43" spans="1:4" hidden="1">
      <c r="A43" s="36">
        <v>30709394912</v>
      </c>
      <c r="B43" t="s">
        <v>1787</v>
      </c>
      <c r="C43" s="35" t="s">
        <v>1569</v>
      </c>
    </row>
    <row r="44" spans="1:4" hidden="1">
      <c r="A44" s="36">
        <v>30715537512</v>
      </c>
      <c r="B44" t="s">
        <v>1831</v>
      </c>
      <c r="C44" s="35" t="s">
        <v>1569</v>
      </c>
    </row>
    <row r="45" spans="1:4" hidden="1">
      <c r="A45" s="36">
        <v>30537781323</v>
      </c>
      <c r="B45" t="s">
        <v>1854</v>
      </c>
      <c r="C45" s="35" t="s">
        <v>1569</v>
      </c>
      <c r="D45" t="s">
        <v>1754</v>
      </c>
    </row>
    <row r="46" spans="1:4" hidden="1">
      <c r="A46" s="36">
        <v>30662624736</v>
      </c>
      <c r="B46" t="s">
        <v>1855</v>
      </c>
      <c r="C46" s="35" t="s">
        <v>1569</v>
      </c>
      <c r="D46" t="s">
        <v>1756</v>
      </c>
    </row>
    <row r="47" spans="1:4" hidden="1">
      <c r="A47" s="36">
        <v>30698813659</v>
      </c>
      <c r="B47" t="s">
        <v>1857</v>
      </c>
      <c r="C47" s="35" t="s">
        <v>1569</v>
      </c>
      <c r="D47" t="s">
        <v>1756</v>
      </c>
    </row>
    <row r="48" spans="1:4" hidden="1">
      <c r="A48" s="36">
        <v>30701367193</v>
      </c>
      <c r="B48" t="s">
        <v>1858</v>
      </c>
      <c r="C48" s="35" t="s">
        <v>1569</v>
      </c>
      <c r="D48" t="s">
        <v>1859</v>
      </c>
    </row>
    <row r="49" spans="1:4" hidden="1">
      <c r="A49" s="36">
        <v>30583747482</v>
      </c>
      <c r="B49" t="s">
        <v>1860</v>
      </c>
      <c r="C49" s="35" t="s">
        <v>1569</v>
      </c>
      <c r="D49" t="s">
        <v>1756</v>
      </c>
    </row>
    <row r="50" spans="1:4" hidden="1">
      <c r="A50" s="36">
        <v>20130138005</v>
      </c>
      <c r="B50" t="s">
        <v>1861</v>
      </c>
      <c r="C50" s="35" t="s">
        <v>1569</v>
      </c>
      <c r="D50" t="s">
        <v>1754</v>
      </c>
    </row>
    <row r="51" spans="1:4" hidden="1">
      <c r="A51" s="36">
        <v>30688774495</v>
      </c>
      <c r="B51" t="s">
        <v>1862</v>
      </c>
      <c r="C51" s="35" t="s">
        <v>1569</v>
      </c>
      <c r="D51" t="s">
        <v>1756</v>
      </c>
    </row>
    <row r="52" spans="1:4" hidden="1">
      <c r="A52" s="36">
        <v>30711463514</v>
      </c>
      <c r="B52" t="s">
        <v>1884</v>
      </c>
      <c r="C52" s="35" t="s">
        <v>1569</v>
      </c>
    </row>
    <row r="53" spans="1:4" hidden="1">
      <c r="A53" s="36">
        <v>30710128584</v>
      </c>
      <c r="B53" t="s">
        <v>1937</v>
      </c>
      <c r="C53" s="35" t="s">
        <v>1569</v>
      </c>
      <c r="D53" t="s">
        <v>1756</v>
      </c>
    </row>
    <row r="54" spans="1:4" hidden="1">
      <c r="A54" s="36">
        <v>30671637689</v>
      </c>
      <c r="B54" t="s">
        <v>1940</v>
      </c>
      <c r="C54" s="35" t="s">
        <v>1569</v>
      </c>
    </row>
    <row r="55" spans="1:4" hidden="1">
      <c r="A55" s="36">
        <v>30594832783</v>
      </c>
      <c r="B55" t="s">
        <v>1941</v>
      </c>
      <c r="C55" s="35" t="s">
        <v>1569</v>
      </c>
    </row>
    <row r="56" spans="1:4" hidden="1">
      <c r="A56" s="36">
        <v>30714527300</v>
      </c>
      <c r="B56" t="s">
        <v>1945</v>
      </c>
      <c r="C56" s="35" t="s">
        <v>1569</v>
      </c>
    </row>
    <row r="57" spans="1:4" hidden="1">
      <c r="A57" s="36">
        <v>30540960085</v>
      </c>
      <c r="B57" t="s">
        <v>2074</v>
      </c>
      <c r="C57" s="35" t="s">
        <v>1569</v>
      </c>
    </row>
    <row r="58" spans="1:4" hidden="1">
      <c r="A58" s="36">
        <v>30568459500</v>
      </c>
      <c r="B58" t="s">
        <v>2078</v>
      </c>
      <c r="C58" s="35" t="s">
        <v>1569</v>
      </c>
      <c r="D58" t="s">
        <v>1754</v>
      </c>
    </row>
    <row r="59" spans="1:4" hidden="1">
      <c r="A59" s="36">
        <v>30709474789</v>
      </c>
      <c r="B59" t="s">
        <v>2107</v>
      </c>
      <c r="C59" s="35" t="s">
        <v>1569</v>
      </c>
    </row>
    <row r="60" spans="1:4" hidden="1">
      <c r="A60" s="36">
        <v>30707918302</v>
      </c>
      <c r="B60" t="s">
        <v>2108</v>
      </c>
      <c r="C60" s="35" t="s">
        <v>1569</v>
      </c>
    </row>
    <row r="61" spans="1:4" hidden="1">
      <c r="A61" s="36">
        <v>30684988030</v>
      </c>
      <c r="B61" t="s">
        <v>2109</v>
      </c>
      <c r="C61" s="35" t="s">
        <v>1569</v>
      </c>
    </row>
    <row r="62" spans="1:4" hidden="1">
      <c r="A62" s="36">
        <v>30597304281</v>
      </c>
      <c r="B62" t="s">
        <v>2110</v>
      </c>
      <c r="C62" s="35" t="s">
        <v>1569</v>
      </c>
    </row>
    <row r="63" spans="1:4" hidden="1">
      <c r="A63" s="36">
        <v>30714391344</v>
      </c>
      <c r="B63" t="s">
        <v>2112</v>
      </c>
      <c r="C63" s="35" t="s">
        <v>1569</v>
      </c>
    </row>
    <row r="64" spans="1:4" hidden="1">
      <c r="A64" s="36">
        <v>30716874601</v>
      </c>
      <c r="B64" t="s">
        <v>2113</v>
      </c>
      <c r="C64" s="35" t="s">
        <v>1569</v>
      </c>
    </row>
    <row r="65" spans="1:3" hidden="1">
      <c r="A65" s="36">
        <v>30708046724</v>
      </c>
      <c r="B65" t="s">
        <v>2124</v>
      </c>
      <c r="C65" s="35" t="s">
        <v>1569</v>
      </c>
    </row>
    <row r="66" spans="1:3" hidden="1">
      <c r="A66" s="36">
        <v>30708224142</v>
      </c>
      <c r="B66" t="s">
        <v>2396</v>
      </c>
      <c r="C66" s="35" t="s">
        <v>1569</v>
      </c>
    </row>
    <row r="67" spans="1:3" hidden="1">
      <c r="A67" s="36">
        <v>30526874249</v>
      </c>
      <c r="B67" t="s">
        <v>1363</v>
      </c>
      <c r="C67" s="35" t="s">
        <v>2679</v>
      </c>
    </row>
    <row r="68" spans="1:3" hidden="1">
      <c r="A68" s="36">
        <v>30526874249</v>
      </c>
      <c r="B68" t="s">
        <v>1363</v>
      </c>
      <c r="C68" s="35" t="s">
        <v>2679</v>
      </c>
    </row>
    <row r="69" spans="1:3" hidden="1">
      <c r="A69" s="36">
        <v>30526874249</v>
      </c>
      <c r="B69" t="s">
        <v>1363</v>
      </c>
      <c r="C69" s="35" t="s">
        <v>2679</v>
      </c>
    </row>
    <row r="70" spans="1:3" hidden="1">
      <c r="A70" s="36">
        <v>30526874249</v>
      </c>
      <c r="B70" t="s">
        <v>1363</v>
      </c>
      <c r="C70" s="35" t="s">
        <v>2679</v>
      </c>
    </row>
    <row r="71" spans="1:3" hidden="1">
      <c r="A71" s="36">
        <v>30715946250</v>
      </c>
      <c r="B71" t="s">
        <v>1544</v>
      </c>
      <c r="C71" s="35" t="s">
        <v>2662</v>
      </c>
    </row>
    <row r="72" spans="1:3" hidden="1">
      <c r="A72" s="36">
        <v>30661685731</v>
      </c>
      <c r="B72" t="s">
        <v>985</v>
      </c>
      <c r="C72" s="35" t="s">
        <v>2679</v>
      </c>
    </row>
    <row r="73" spans="1:3" hidden="1">
      <c r="A73" s="36">
        <v>30661685731</v>
      </c>
      <c r="B73" t="s">
        <v>985</v>
      </c>
      <c r="C73" s="35" t="s">
        <v>2679</v>
      </c>
    </row>
    <row r="74" spans="1:3" hidden="1">
      <c r="A74" s="36">
        <v>30707040900</v>
      </c>
      <c r="B74" t="s">
        <v>1732</v>
      </c>
      <c r="C74" s="35" t="s">
        <v>2679</v>
      </c>
    </row>
    <row r="75" spans="1:3" hidden="1">
      <c r="A75" s="36">
        <v>27280785208</v>
      </c>
      <c r="B75" t="s">
        <v>2091</v>
      </c>
      <c r="C75" s="35" t="s">
        <v>2679</v>
      </c>
    </row>
    <row r="76" spans="1:3" hidden="1">
      <c r="A76" s="36">
        <v>30696692951</v>
      </c>
      <c r="B76" t="s">
        <v>2098</v>
      </c>
      <c r="C76" s="35" t="s">
        <v>2679</v>
      </c>
    </row>
    <row r="77" spans="1:3" hidden="1">
      <c r="A77" s="36">
        <v>30604942051</v>
      </c>
      <c r="B77" t="s">
        <v>2134</v>
      </c>
      <c r="C77" s="35" t="s">
        <v>2679</v>
      </c>
    </row>
    <row r="78" spans="1:3" hidden="1">
      <c r="A78" s="36">
        <v>33708543409</v>
      </c>
      <c r="B78" t="s">
        <v>2162</v>
      </c>
      <c r="C78" s="35" t="s">
        <v>2679</v>
      </c>
    </row>
    <row r="79" spans="1:3" hidden="1">
      <c r="A79" s="36">
        <v>30715393251</v>
      </c>
      <c r="B79" t="s">
        <v>2177</v>
      </c>
      <c r="C79" s="35" t="s">
        <v>2679</v>
      </c>
    </row>
    <row r="80" spans="1:3" hidden="1">
      <c r="A80" s="36">
        <v>30717970787</v>
      </c>
      <c r="B80" t="s">
        <v>2216</v>
      </c>
      <c r="C80" s="35" t="s">
        <v>2679</v>
      </c>
    </row>
    <row r="81" spans="1:3" hidden="1">
      <c r="A81" s="526">
        <v>30716371170</v>
      </c>
      <c r="B81" t="s">
        <v>2285</v>
      </c>
      <c r="C81" s="35" t="s">
        <v>2679</v>
      </c>
    </row>
    <row r="82" spans="1:3" hidden="1">
      <c r="A82" s="526">
        <v>20303259164</v>
      </c>
      <c r="B82" t="s">
        <v>2286</v>
      </c>
      <c r="C82" s="35" t="s">
        <v>2679</v>
      </c>
    </row>
    <row r="83" spans="1:3" hidden="1">
      <c r="A83" s="36">
        <v>30717273520</v>
      </c>
      <c r="B83" t="s">
        <v>2294</v>
      </c>
      <c r="C83" s="35" t="s">
        <v>2679</v>
      </c>
    </row>
    <row r="84" spans="1:3" hidden="1">
      <c r="A84" s="36">
        <v>30716984164</v>
      </c>
      <c r="B84" t="s">
        <v>2295</v>
      </c>
      <c r="C84" s="35" t="s">
        <v>2679</v>
      </c>
    </row>
    <row r="85" spans="1:3" hidden="1">
      <c r="A85" s="36">
        <v>30687059812</v>
      </c>
      <c r="B85" t="s">
        <v>2297</v>
      </c>
      <c r="C85" s="35" t="s">
        <v>2679</v>
      </c>
    </row>
    <row r="86" spans="1:3" hidden="1">
      <c r="A86" s="36">
        <v>30714874981</v>
      </c>
      <c r="B86" t="s">
        <v>2599</v>
      </c>
      <c r="C86" s="35" t="s">
        <v>2679</v>
      </c>
    </row>
    <row r="87" spans="1:3" hidden="1">
      <c r="A87" s="36">
        <v>20316749942</v>
      </c>
      <c r="B87" t="s">
        <v>2644</v>
      </c>
      <c r="C87" s="35" t="s">
        <v>2679</v>
      </c>
    </row>
    <row r="88" spans="1:3" hidden="1">
      <c r="A88" s="36">
        <v>27333417400</v>
      </c>
      <c r="B88" t="s">
        <v>2650</v>
      </c>
      <c r="C88" s="35" t="s">
        <v>2679</v>
      </c>
    </row>
    <row r="89" spans="1:3" hidden="1">
      <c r="A89" s="36">
        <v>30715693123</v>
      </c>
      <c r="B89" t="s">
        <v>1938</v>
      </c>
      <c r="C89" s="35" t="s">
        <v>1939</v>
      </c>
    </row>
    <row r="90" spans="1:3" hidden="1">
      <c r="A90" s="36">
        <v>30544110035</v>
      </c>
      <c r="B90" t="s">
        <v>1445</v>
      </c>
      <c r="C90" s="35" t="s">
        <v>2687</v>
      </c>
    </row>
    <row r="91" spans="1:3" hidden="1">
      <c r="A91" s="36">
        <v>30544110035</v>
      </c>
      <c r="B91" t="s">
        <v>1445</v>
      </c>
      <c r="C91" s="35" t="s">
        <v>2687</v>
      </c>
    </row>
    <row r="92" spans="1:3" hidden="1">
      <c r="A92" s="36">
        <v>30711731217</v>
      </c>
      <c r="B92" t="s">
        <v>440</v>
      </c>
      <c r="C92" s="35" t="s">
        <v>2687</v>
      </c>
    </row>
    <row r="93" spans="1:3" hidden="1">
      <c r="A93" s="36">
        <v>30707215689</v>
      </c>
      <c r="B93" t="s">
        <v>567</v>
      </c>
      <c r="C93" s="35" t="s">
        <v>2687</v>
      </c>
    </row>
    <row r="94" spans="1:3" hidden="1">
      <c r="A94" s="36">
        <v>30686978350</v>
      </c>
      <c r="B94" t="s">
        <v>1393</v>
      </c>
      <c r="C94" s="35" t="s">
        <v>2687</v>
      </c>
    </row>
    <row r="95" spans="1:3" hidden="1">
      <c r="A95" s="36">
        <v>30686978350</v>
      </c>
      <c r="B95" t="s">
        <v>1393</v>
      </c>
      <c r="C95" s="35" t="s">
        <v>2687</v>
      </c>
    </row>
    <row r="96" spans="1:3" hidden="1">
      <c r="A96" s="36">
        <v>30683612916</v>
      </c>
      <c r="B96" t="s">
        <v>1002</v>
      </c>
      <c r="C96" s="35" t="s">
        <v>2687</v>
      </c>
    </row>
    <row r="97" spans="1:3" hidden="1">
      <c r="A97" s="36">
        <v>30683612916</v>
      </c>
      <c r="B97" t="s">
        <v>1002</v>
      </c>
      <c r="C97" s="35" t="s">
        <v>2687</v>
      </c>
    </row>
    <row r="98" spans="1:3" hidden="1">
      <c r="A98" s="36">
        <v>20141513177</v>
      </c>
      <c r="B98" t="s">
        <v>1008</v>
      </c>
      <c r="C98" s="35" t="s">
        <v>2687</v>
      </c>
    </row>
    <row r="99" spans="1:3" hidden="1">
      <c r="A99" s="36">
        <v>20141513177</v>
      </c>
      <c r="B99" t="s">
        <v>1008</v>
      </c>
      <c r="C99" s="35" t="s">
        <v>2687</v>
      </c>
    </row>
    <row r="100" spans="1:3" hidden="1">
      <c r="A100" s="36">
        <v>30643922157</v>
      </c>
      <c r="B100" t="s">
        <v>1067</v>
      </c>
      <c r="C100" s="35" t="s">
        <v>2687</v>
      </c>
    </row>
    <row r="101" spans="1:3" hidden="1">
      <c r="A101" s="36">
        <v>30643922157</v>
      </c>
      <c r="B101" t="s">
        <v>1067</v>
      </c>
      <c r="C101" s="35" t="s">
        <v>2687</v>
      </c>
    </row>
    <row r="102" spans="1:3" hidden="1">
      <c r="A102" s="36">
        <v>33711043069</v>
      </c>
      <c r="B102" t="s">
        <v>1068</v>
      </c>
      <c r="C102" s="35" t="s">
        <v>2687</v>
      </c>
    </row>
    <row r="103" spans="1:3" hidden="1">
      <c r="A103" s="36">
        <v>33711043069</v>
      </c>
      <c r="B103" t="s">
        <v>1068</v>
      </c>
      <c r="C103" s="35" t="s">
        <v>2687</v>
      </c>
    </row>
    <row r="104" spans="1:3" hidden="1">
      <c r="A104" s="36">
        <v>33699685459</v>
      </c>
      <c r="B104" t="s">
        <v>1714</v>
      </c>
      <c r="C104" s="35" t="s">
        <v>2687</v>
      </c>
    </row>
    <row r="105" spans="1:3" hidden="1">
      <c r="A105" s="36">
        <v>30506726669</v>
      </c>
      <c r="B105" t="s">
        <v>1977</v>
      </c>
      <c r="C105" s="35" t="s">
        <v>2687</v>
      </c>
    </row>
    <row r="106" spans="1:3" hidden="1">
      <c r="A106" s="36">
        <v>30716715716</v>
      </c>
      <c r="B106" t="s">
        <v>2017</v>
      </c>
      <c r="C106" s="35" t="s">
        <v>2687</v>
      </c>
    </row>
    <row r="107" spans="1:3" hidden="1">
      <c r="A107" s="36">
        <v>27326105177</v>
      </c>
      <c r="B107" t="s">
        <v>2209</v>
      </c>
      <c r="C107" s="35" t="s">
        <v>2687</v>
      </c>
    </row>
    <row r="108" spans="1:3" hidden="1">
      <c r="A108" s="36">
        <v>30698011145</v>
      </c>
      <c r="B108" t="s">
        <v>2220</v>
      </c>
      <c r="C108" s="35" t="s">
        <v>2687</v>
      </c>
    </row>
    <row r="109" spans="1:3" hidden="1">
      <c r="A109" s="36">
        <v>20269497417</v>
      </c>
      <c r="B109" t="s">
        <v>2228</v>
      </c>
      <c r="C109" s="35" t="s">
        <v>2687</v>
      </c>
    </row>
    <row r="110" spans="1:3" hidden="1">
      <c r="A110" s="242">
        <v>30710102046</v>
      </c>
      <c r="B110" t="s">
        <v>2281</v>
      </c>
      <c r="C110" s="35" t="s">
        <v>2687</v>
      </c>
    </row>
    <row r="111" spans="1:3" hidden="1">
      <c r="A111" s="36">
        <v>30556565798</v>
      </c>
      <c r="B111" t="s">
        <v>2464</v>
      </c>
      <c r="C111" s="35" t="s">
        <v>2687</v>
      </c>
    </row>
    <row r="112" spans="1:3" hidden="1">
      <c r="A112" s="36">
        <v>30710144962</v>
      </c>
      <c r="B112" t="s">
        <v>2544</v>
      </c>
      <c r="C112" s="35" t="s">
        <v>2687</v>
      </c>
    </row>
    <row r="113" spans="1:4" hidden="1">
      <c r="A113" s="36">
        <v>30711439311</v>
      </c>
      <c r="B113" t="s">
        <v>1535</v>
      </c>
      <c r="C113" s="35" t="s">
        <v>1853</v>
      </c>
    </row>
    <row r="114" spans="1:4" hidden="1">
      <c r="A114" s="36">
        <v>20338956496</v>
      </c>
      <c r="B114" t="s">
        <v>1726</v>
      </c>
      <c r="C114" s="35" t="s">
        <v>2675</v>
      </c>
    </row>
    <row r="115" spans="1:4" hidden="1">
      <c r="A115" s="36">
        <v>30711050767</v>
      </c>
      <c r="B115" t="s">
        <v>1728</v>
      </c>
      <c r="C115" s="35" t="s">
        <v>2675</v>
      </c>
    </row>
    <row r="116" spans="1:4" hidden="1">
      <c r="A116" s="36">
        <v>30620177497</v>
      </c>
      <c r="B116" t="s">
        <v>695</v>
      </c>
      <c r="C116" s="35" t="s">
        <v>2687</v>
      </c>
    </row>
    <row r="117" spans="1:4" hidden="1">
      <c r="A117" s="36">
        <v>20383353263</v>
      </c>
      <c r="B117" t="s">
        <v>2006</v>
      </c>
      <c r="C117" s="35" t="s">
        <v>2687</v>
      </c>
    </row>
    <row r="118" spans="1:4" hidden="1">
      <c r="A118" s="36">
        <v>33709585229</v>
      </c>
      <c r="B118" t="s">
        <v>2104</v>
      </c>
      <c r="C118" s="35" t="s">
        <v>2687</v>
      </c>
    </row>
    <row r="119" spans="1:4" hidden="1">
      <c r="A119" s="36">
        <v>30716620634</v>
      </c>
      <c r="B119" t="s">
        <v>2120</v>
      </c>
      <c r="C119" s="35" t="s">
        <v>2687</v>
      </c>
    </row>
    <row r="120" spans="1:4" hidden="1">
      <c r="A120" s="36">
        <v>27292471993</v>
      </c>
      <c r="B120" t="s">
        <v>2559</v>
      </c>
      <c r="C120" s="35" t="s">
        <v>2687</v>
      </c>
    </row>
    <row r="121" spans="1:4" hidden="1">
      <c r="A121" s="36">
        <v>30715889486</v>
      </c>
      <c r="B121" t="s">
        <v>1136</v>
      </c>
      <c r="C121" s="35" t="s">
        <v>2686</v>
      </c>
      <c r="D121" t="s">
        <v>1756</v>
      </c>
    </row>
    <row r="122" spans="1:4" hidden="1">
      <c r="A122" s="36">
        <v>30715186256</v>
      </c>
      <c r="B122" t="s">
        <v>2016</v>
      </c>
      <c r="C122" s="35" t="s">
        <v>2686</v>
      </c>
    </row>
    <row r="123" spans="1:4" hidden="1">
      <c r="A123" s="36">
        <v>30614617388</v>
      </c>
      <c r="B123" t="s">
        <v>2173</v>
      </c>
      <c r="C123" s="35" t="s">
        <v>2686</v>
      </c>
    </row>
    <row r="124" spans="1:4" hidden="1">
      <c r="A124" s="36">
        <v>30695056342</v>
      </c>
      <c r="B124" t="s">
        <v>2197</v>
      </c>
      <c r="C124" s="35" t="s">
        <v>2664</v>
      </c>
    </row>
    <row r="125" spans="1:4" hidden="1">
      <c r="A125" s="36">
        <v>30707391983</v>
      </c>
      <c r="B125" t="s">
        <v>1159</v>
      </c>
      <c r="C125" s="35" t="s">
        <v>2679</v>
      </c>
    </row>
    <row r="126" spans="1:4" hidden="1">
      <c r="A126" s="36">
        <v>30707391983</v>
      </c>
      <c r="B126" t="s">
        <v>1159</v>
      </c>
      <c r="C126" s="35" t="s">
        <v>2679</v>
      </c>
    </row>
    <row r="127" spans="1:4" hidden="1">
      <c r="A127" s="36">
        <v>33714232199</v>
      </c>
      <c r="B127" t="s">
        <v>1374</v>
      </c>
      <c r="C127" s="35" t="s">
        <v>2679</v>
      </c>
    </row>
    <row r="128" spans="1:4" hidden="1">
      <c r="A128" s="36">
        <v>33714232199</v>
      </c>
      <c r="B128" t="s">
        <v>1374</v>
      </c>
      <c r="C128" s="35" t="s">
        <v>2679</v>
      </c>
    </row>
    <row r="129" spans="1:3" hidden="1">
      <c r="A129" s="36">
        <v>33677414419</v>
      </c>
      <c r="B129" t="s">
        <v>2065</v>
      </c>
      <c r="C129" s="35" t="s">
        <v>2679</v>
      </c>
    </row>
    <row r="130" spans="1:3" hidden="1">
      <c r="A130" s="36">
        <v>20204428566</v>
      </c>
      <c r="B130" t="s">
        <v>2066</v>
      </c>
      <c r="C130" s="35" t="s">
        <v>2679</v>
      </c>
    </row>
    <row r="131" spans="1:3" hidden="1">
      <c r="A131" s="36">
        <v>33708711999</v>
      </c>
      <c r="B131" t="s">
        <v>2068</v>
      </c>
      <c r="C131" s="35" t="s">
        <v>2679</v>
      </c>
    </row>
    <row r="132" spans="1:3" hidden="1">
      <c r="A132" s="36">
        <v>27178797935</v>
      </c>
      <c r="B132" t="s">
        <v>2070</v>
      </c>
      <c r="C132" s="35" t="s">
        <v>2679</v>
      </c>
    </row>
    <row r="133" spans="1:3" hidden="1">
      <c r="A133" s="36">
        <v>30708349646</v>
      </c>
      <c r="B133" t="s">
        <v>2089</v>
      </c>
      <c r="C133" s="35" t="s">
        <v>2679</v>
      </c>
    </row>
    <row r="134" spans="1:3" hidden="1">
      <c r="A134" s="36">
        <v>30715124919</v>
      </c>
      <c r="B134" t="s">
        <v>1425</v>
      </c>
      <c r="C134" s="35" t="s">
        <v>2688</v>
      </c>
    </row>
    <row r="135" spans="1:3" hidden="1">
      <c r="A135" s="36">
        <v>30715124919</v>
      </c>
      <c r="B135" t="s">
        <v>1425</v>
      </c>
      <c r="C135" s="35" t="s">
        <v>2688</v>
      </c>
    </row>
    <row r="136" spans="1:3" hidden="1">
      <c r="A136" s="36">
        <v>30577207190</v>
      </c>
      <c r="B136" t="s">
        <v>1396</v>
      </c>
      <c r="C136" s="35" t="s">
        <v>2688</v>
      </c>
    </row>
    <row r="137" spans="1:3" hidden="1">
      <c r="A137" s="36">
        <v>30710819552</v>
      </c>
      <c r="B137" t="s">
        <v>2689</v>
      </c>
      <c r="C137" s="35" t="s">
        <v>2688</v>
      </c>
    </row>
    <row r="138" spans="1:3" hidden="1">
      <c r="A138" s="36">
        <v>30710819552</v>
      </c>
      <c r="B138" t="s">
        <v>2689</v>
      </c>
      <c r="C138" s="35" t="s">
        <v>2688</v>
      </c>
    </row>
    <row r="139" spans="1:3" hidden="1">
      <c r="A139" s="36">
        <v>20357275882</v>
      </c>
      <c r="B139" t="s">
        <v>2028</v>
      </c>
      <c r="C139" s="35" t="s">
        <v>2688</v>
      </c>
    </row>
    <row r="140" spans="1:3" hidden="1">
      <c r="A140" s="36">
        <v>20270614311</v>
      </c>
      <c r="B140" t="s">
        <v>2047</v>
      </c>
      <c r="C140" s="35" t="s">
        <v>2688</v>
      </c>
    </row>
    <row r="141" spans="1:3" hidden="1">
      <c r="A141" s="36">
        <v>20308960782</v>
      </c>
      <c r="B141" t="s">
        <v>2049</v>
      </c>
      <c r="C141" s="35" t="s">
        <v>2688</v>
      </c>
    </row>
    <row r="142" spans="1:3" hidden="1">
      <c r="A142" s="36">
        <v>30714910694</v>
      </c>
      <c r="B142" t="s">
        <v>2073</v>
      </c>
      <c r="C142" s="35" t="s">
        <v>2688</v>
      </c>
    </row>
    <row r="143" spans="1:3" hidden="1">
      <c r="A143" s="36">
        <v>30709531960</v>
      </c>
      <c r="B143" t="s">
        <v>2198</v>
      </c>
      <c r="C143" s="35" t="s">
        <v>2688</v>
      </c>
    </row>
    <row r="144" spans="1:3" hidden="1">
      <c r="A144" s="36">
        <v>20341501009</v>
      </c>
      <c r="B144" t="s">
        <v>2222</v>
      </c>
      <c r="C144" s="35" t="s">
        <v>2688</v>
      </c>
    </row>
    <row r="145" spans="1:3" hidden="1">
      <c r="A145" s="36">
        <v>23045562379</v>
      </c>
      <c r="B145" t="s">
        <v>2225</v>
      </c>
      <c r="C145" s="35" t="s">
        <v>2688</v>
      </c>
    </row>
    <row r="146" spans="1:3" hidden="1">
      <c r="A146" s="526">
        <v>27324789044</v>
      </c>
      <c r="B146" t="s">
        <v>2284</v>
      </c>
      <c r="C146" s="35" t="s">
        <v>2688</v>
      </c>
    </row>
    <row r="147" spans="1:3" hidden="1">
      <c r="A147" s="36">
        <v>33714351309</v>
      </c>
      <c r="B147" t="s">
        <v>2426</v>
      </c>
      <c r="C147" s="35" t="s">
        <v>2688</v>
      </c>
    </row>
    <row r="148" spans="1:3" hidden="1">
      <c r="A148" s="36">
        <v>20139147724</v>
      </c>
      <c r="B148" t="s">
        <v>2509</v>
      </c>
      <c r="C148" s="35" t="s">
        <v>2688</v>
      </c>
    </row>
    <row r="149" spans="1:3" hidden="1">
      <c r="A149" s="36">
        <v>30709773522</v>
      </c>
      <c r="B149" t="s">
        <v>2511</v>
      </c>
      <c r="C149" s="35" t="s">
        <v>2688</v>
      </c>
    </row>
    <row r="150" spans="1:3" hidden="1">
      <c r="A150" s="36">
        <v>27164541202</v>
      </c>
      <c r="B150" t="s">
        <v>2551</v>
      </c>
      <c r="C150" s="35" t="s">
        <v>2688</v>
      </c>
    </row>
    <row r="151" spans="1:3" hidden="1">
      <c r="A151" s="36">
        <v>30711756406</v>
      </c>
      <c r="B151" t="s">
        <v>2553</v>
      </c>
      <c r="C151" s="35" t="s">
        <v>2688</v>
      </c>
    </row>
    <row r="152" spans="1:3" hidden="1">
      <c r="A152" s="36">
        <v>30709953482</v>
      </c>
      <c r="B152" t="s">
        <v>2555</v>
      </c>
      <c r="C152" s="35" t="s">
        <v>2688</v>
      </c>
    </row>
    <row r="153" spans="1:3" hidden="1">
      <c r="A153" s="36">
        <v>27333350403</v>
      </c>
      <c r="B153" t="s">
        <v>2563</v>
      </c>
      <c r="C153" s="35" t="s">
        <v>2688</v>
      </c>
    </row>
    <row r="154" spans="1:3" hidden="1">
      <c r="A154" s="36">
        <v>23147726619</v>
      </c>
      <c r="B154" t="s">
        <v>2641</v>
      </c>
      <c r="C154" s="35" t="s">
        <v>2688</v>
      </c>
    </row>
    <row r="155" spans="1:3" hidden="1">
      <c r="A155" s="36">
        <v>30717403866</v>
      </c>
      <c r="B155" t="s">
        <v>2647</v>
      </c>
      <c r="C155" s="35" t="s">
        <v>2688</v>
      </c>
    </row>
    <row r="156" spans="1:3" hidden="1">
      <c r="A156" s="36">
        <v>30710796838</v>
      </c>
      <c r="B156" t="s">
        <v>2651</v>
      </c>
      <c r="C156" s="35" t="s">
        <v>2688</v>
      </c>
    </row>
    <row r="157" spans="1:3" hidden="1">
      <c r="A157" s="36">
        <v>27203200523</v>
      </c>
      <c r="B157" t="s">
        <v>2666</v>
      </c>
      <c r="C157" s="35" t="s">
        <v>2688</v>
      </c>
    </row>
    <row r="158" spans="1:3" hidden="1">
      <c r="A158" s="36">
        <f>21779325</f>
        <v>21779325</v>
      </c>
      <c r="B158" t="s">
        <v>120</v>
      </c>
      <c r="C158" s="35" t="s">
        <v>78</v>
      </c>
    </row>
    <row r="159" spans="1:3" hidden="1">
      <c r="A159" s="36">
        <v>23940960509</v>
      </c>
      <c r="B159" t="s">
        <v>190</v>
      </c>
      <c r="C159" s="35" t="s">
        <v>78</v>
      </c>
    </row>
    <row r="160" spans="1:3" hidden="1">
      <c r="A160" s="36">
        <v>33714935009</v>
      </c>
      <c r="B160" t="s">
        <v>208</v>
      </c>
      <c r="C160" s="35" t="s">
        <v>78</v>
      </c>
    </row>
    <row r="161" spans="1:3" hidden="1">
      <c r="A161" s="36">
        <v>30517306866</v>
      </c>
      <c r="B161" t="s">
        <v>475</v>
      </c>
      <c r="C161" s="35" t="s">
        <v>78</v>
      </c>
    </row>
    <row r="162" spans="1:3" hidden="1">
      <c r="A162" s="36">
        <v>20113715538</v>
      </c>
      <c r="B162" t="s">
        <v>1134</v>
      </c>
      <c r="C162" s="35" t="s">
        <v>78</v>
      </c>
    </row>
    <row r="163" spans="1:3" hidden="1">
      <c r="A163" s="36">
        <v>20113715538</v>
      </c>
      <c r="B163" t="s">
        <v>1134</v>
      </c>
      <c r="C163" s="35" t="s">
        <v>78</v>
      </c>
    </row>
    <row r="164" spans="1:3" hidden="1">
      <c r="A164" s="36">
        <v>30714654701</v>
      </c>
      <c r="B164" t="s">
        <v>794</v>
      </c>
      <c r="C164" s="35" t="s">
        <v>78</v>
      </c>
    </row>
    <row r="165" spans="1:3" hidden="1">
      <c r="A165" s="36">
        <v>30645922715</v>
      </c>
      <c r="B165" t="s">
        <v>825</v>
      </c>
      <c r="C165" s="35" t="s">
        <v>78</v>
      </c>
    </row>
    <row r="166" spans="1:3" hidden="1">
      <c r="A166" s="36">
        <v>30710114176</v>
      </c>
      <c r="B166" t="s">
        <v>939</v>
      </c>
      <c r="C166" s="35" t="s">
        <v>78</v>
      </c>
    </row>
    <row r="167" spans="1:3" hidden="1">
      <c r="A167" s="36">
        <v>30710114176</v>
      </c>
      <c r="B167" t="s">
        <v>939</v>
      </c>
      <c r="C167" s="35" t="s">
        <v>78</v>
      </c>
    </row>
    <row r="168" spans="1:3" hidden="1">
      <c r="A168" s="36">
        <v>30708447036</v>
      </c>
      <c r="B168" t="s">
        <v>959</v>
      </c>
      <c r="C168" s="35" t="s">
        <v>78</v>
      </c>
    </row>
    <row r="169" spans="1:3" hidden="1">
      <c r="A169" s="36">
        <v>30708447036</v>
      </c>
      <c r="B169" t="s">
        <v>959</v>
      </c>
      <c r="C169" s="35" t="s">
        <v>78</v>
      </c>
    </row>
    <row r="170" spans="1:3" hidden="1">
      <c r="A170" s="36">
        <v>30715689045</v>
      </c>
      <c r="B170" t="s">
        <v>1022</v>
      </c>
      <c r="C170" s="35" t="s">
        <v>78</v>
      </c>
    </row>
    <row r="171" spans="1:3" hidden="1">
      <c r="A171" s="36">
        <v>30715689045</v>
      </c>
      <c r="B171" t="s">
        <v>1022</v>
      </c>
      <c r="C171" s="35" t="s">
        <v>78</v>
      </c>
    </row>
    <row r="172" spans="1:3" hidden="1">
      <c r="A172" s="36">
        <v>20105500336</v>
      </c>
      <c r="B172" t="s">
        <v>1069</v>
      </c>
      <c r="C172" s="35" t="s">
        <v>78</v>
      </c>
    </row>
    <row r="173" spans="1:3" hidden="1">
      <c r="A173" s="36">
        <v>20105500336</v>
      </c>
      <c r="B173" t="s">
        <v>1069</v>
      </c>
      <c r="C173" s="35" t="s">
        <v>78</v>
      </c>
    </row>
    <row r="174" spans="1:3" hidden="1">
      <c r="A174" s="36">
        <v>33709180849</v>
      </c>
      <c r="B174" t="s">
        <v>1823</v>
      </c>
      <c r="C174" s="35" t="s">
        <v>2670</v>
      </c>
    </row>
    <row r="175" spans="1:3" hidden="1">
      <c r="A175" s="36">
        <v>30678539712</v>
      </c>
      <c r="B175" t="s">
        <v>1903</v>
      </c>
      <c r="C175" s="35" t="s">
        <v>2665</v>
      </c>
    </row>
    <row r="176" spans="1:3" hidden="1">
      <c r="A176" s="36">
        <v>30695993761</v>
      </c>
      <c r="B176" t="s">
        <v>2128</v>
      </c>
      <c r="C176" s="35" t="s">
        <v>2665</v>
      </c>
    </row>
    <row r="177" spans="1:3" hidden="1">
      <c r="A177" s="36">
        <v>27224524043</v>
      </c>
      <c r="B177" t="s">
        <v>2160</v>
      </c>
      <c r="C177" s="35" t="s">
        <v>2665</v>
      </c>
    </row>
    <row r="178" spans="1:3" hidden="1">
      <c r="A178" s="36">
        <v>20283847765</v>
      </c>
      <c r="B178" t="s">
        <v>2199</v>
      </c>
      <c r="C178" s="35" t="s">
        <v>2665</v>
      </c>
    </row>
    <row r="179" spans="1:3" hidden="1">
      <c r="A179" s="36">
        <v>30717480666</v>
      </c>
      <c r="B179" t="s">
        <v>2649</v>
      </c>
      <c r="C179" s="35" t="s">
        <v>2665</v>
      </c>
    </row>
    <row r="180" spans="1:3" hidden="1">
      <c r="A180" s="36">
        <v>30696170580</v>
      </c>
      <c r="B180" t="s">
        <v>2667</v>
      </c>
      <c r="C180" s="35" t="s">
        <v>2665</v>
      </c>
    </row>
    <row r="181" spans="1:3" hidden="1">
      <c r="A181" s="36">
        <v>30716397544</v>
      </c>
      <c r="B181" t="s">
        <v>2676</v>
      </c>
      <c r="C181" s="35" t="s">
        <v>2665</v>
      </c>
    </row>
    <row r="182" spans="1:3" hidden="1">
      <c r="A182" s="36">
        <v>20181426846</v>
      </c>
      <c r="B182" t="s">
        <v>2547</v>
      </c>
      <c r="C182" s="35" t="s">
        <v>2679</v>
      </c>
    </row>
    <row r="183" spans="1:3" hidden="1">
      <c r="A183" s="36">
        <v>30716932245</v>
      </c>
      <c r="B183" t="s">
        <v>2548</v>
      </c>
      <c r="C183" s="35" t="s">
        <v>2679</v>
      </c>
    </row>
    <row r="184" spans="1:3" hidden="1">
      <c r="A184" s="36">
        <v>27380258884</v>
      </c>
      <c r="B184" t="s">
        <v>2549</v>
      </c>
      <c r="C184" s="35" t="s">
        <v>2679</v>
      </c>
    </row>
    <row r="185" spans="1:3" hidden="1">
      <c r="A185" s="36">
        <v>30639057999</v>
      </c>
      <c r="B185" t="s">
        <v>1989</v>
      </c>
      <c r="C185" s="35" t="s">
        <v>2668</v>
      </c>
    </row>
    <row r="186" spans="1:3" hidden="1">
      <c r="A186" s="36">
        <v>30646718151</v>
      </c>
      <c r="B186" t="s">
        <v>1531</v>
      </c>
      <c r="C186" s="35" t="s">
        <v>79</v>
      </c>
    </row>
    <row r="187" spans="1:3" hidden="1">
      <c r="A187" s="36">
        <v>23277121859</v>
      </c>
      <c r="B187" t="s">
        <v>1413</v>
      </c>
      <c r="C187" s="35" t="s">
        <v>79</v>
      </c>
    </row>
    <row r="188" spans="1:3" hidden="1">
      <c r="A188" s="36">
        <v>23277121859</v>
      </c>
      <c r="B188" t="s">
        <v>1413</v>
      </c>
      <c r="C188" s="35" t="s">
        <v>79</v>
      </c>
    </row>
    <row r="189" spans="1:3" hidden="1">
      <c r="A189" s="36">
        <v>27422248426</v>
      </c>
      <c r="B189" t="s">
        <v>1399</v>
      </c>
      <c r="C189" s="35" t="s">
        <v>79</v>
      </c>
    </row>
    <row r="190" spans="1:3" hidden="1">
      <c r="A190" s="36">
        <v>27422248426</v>
      </c>
      <c r="B190" t="s">
        <v>1399</v>
      </c>
      <c r="C190" s="35" t="s">
        <v>79</v>
      </c>
    </row>
    <row r="191" spans="1:3" hidden="1">
      <c r="A191" s="44">
        <v>30590360763</v>
      </c>
      <c r="B191" t="s">
        <v>1507</v>
      </c>
      <c r="C191" s="35" t="s">
        <v>79</v>
      </c>
    </row>
    <row r="192" spans="1:3" hidden="1">
      <c r="A192" s="36">
        <v>30548083156</v>
      </c>
      <c r="B192" t="s">
        <v>1369</v>
      </c>
      <c r="C192" s="35" t="s">
        <v>79</v>
      </c>
    </row>
    <row r="193" spans="1:4" hidden="1">
      <c r="A193" s="36">
        <v>33662613199</v>
      </c>
      <c r="B193" t="s">
        <v>1373</v>
      </c>
      <c r="C193" s="35" t="s">
        <v>79</v>
      </c>
    </row>
    <row r="194" spans="1:4" hidden="1">
      <c r="A194" s="36">
        <v>33662613199</v>
      </c>
      <c r="B194" t="s">
        <v>1373</v>
      </c>
      <c r="C194" s="35" t="s">
        <v>79</v>
      </c>
    </row>
    <row r="195" spans="1:4" hidden="1">
      <c r="A195" s="178">
        <v>20136536320</v>
      </c>
      <c r="B195" t="s">
        <v>1403</v>
      </c>
      <c r="C195" s="35" t="s">
        <v>79</v>
      </c>
      <c r="D195" t="s">
        <v>1754</v>
      </c>
    </row>
    <row r="196" spans="1:4" hidden="1">
      <c r="A196" s="36">
        <v>30685849751</v>
      </c>
      <c r="B196" t="s">
        <v>1356</v>
      </c>
      <c r="C196" s="35" t="s">
        <v>79</v>
      </c>
    </row>
    <row r="197" spans="1:4" hidden="1">
      <c r="A197" s="36">
        <v>30685849751</v>
      </c>
      <c r="B197" t="s">
        <v>1356</v>
      </c>
      <c r="C197" s="35" t="s">
        <v>79</v>
      </c>
    </row>
    <row r="198" spans="1:4" hidden="1">
      <c r="A198" s="36">
        <v>30578494185</v>
      </c>
      <c r="B198" t="s">
        <v>154</v>
      </c>
      <c r="C198" s="35" t="s">
        <v>79</v>
      </c>
    </row>
    <row r="199" spans="1:4" hidden="1">
      <c r="A199" s="36">
        <v>20275447057</v>
      </c>
      <c r="B199" t="s">
        <v>166</v>
      </c>
      <c r="C199" s="35" t="s">
        <v>79</v>
      </c>
    </row>
    <row r="200" spans="1:4" hidden="1">
      <c r="A200" s="36">
        <v>20134664518</v>
      </c>
      <c r="B200" t="s">
        <v>1141</v>
      </c>
      <c r="C200" s="35" t="s">
        <v>79</v>
      </c>
      <c r="D200" t="s">
        <v>1756</v>
      </c>
    </row>
    <row r="201" spans="1:4" hidden="1">
      <c r="A201" s="36">
        <v>30714730548</v>
      </c>
      <c r="B201" t="s">
        <v>198</v>
      </c>
      <c r="C201" s="35" t="s">
        <v>79</v>
      </c>
    </row>
    <row r="202" spans="1:4" hidden="1">
      <c r="A202" s="36">
        <v>30712289046</v>
      </c>
      <c r="B202" t="s">
        <v>1405</v>
      </c>
      <c r="C202" s="35" t="s">
        <v>79</v>
      </c>
    </row>
    <row r="203" spans="1:4" hidden="1">
      <c r="A203" s="36">
        <v>30712289046</v>
      </c>
      <c r="B203" t="s">
        <v>1405</v>
      </c>
      <c r="C203" s="35" t="s">
        <v>79</v>
      </c>
    </row>
    <row r="204" spans="1:4" hidden="1">
      <c r="A204" s="36">
        <v>30688241614</v>
      </c>
      <c r="B204" t="s">
        <v>223</v>
      </c>
      <c r="C204" s="35" t="s">
        <v>79</v>
      </c>
    </row>
    <row r="205" spans="1:4" hidden="1">
      <c r="A205" s="36">
        <v>20226549758</v>
      </c>
      <c r="B205" t="s">
        <v>1137</v>
      </c>
      <c r="C205" s="35" t="s">
        <v>79</v>
      </c>
    </row>
    <row r="206" spans="1:4" hidden="1">
      <c r="A206" s="36">
        <v>20226549758</v>
      </c>
      <c r="B206" t="s">
        <v>1137</v>
      </c>
      <c r="C206" s="35" t="s">
        <v>79</v>
      </c>
    </row>
    <row r="207" spans="1:4" hidden="1">
      <c r="A207" s="36">
        <v>20183380231</v>
      </c>
      <c r="B207" t="s">
        <v>271</v>
      </c>
      <c r="C207" s="35" t="s">
        <v>79</v>
      </c>
    </row>
    <row r="208" spans="1:4" hidden="1">
      <c r="A208" s="36">
        <v>33531122599</v>
      </c>
      <c r="B208" t="s">
        <v>304</v>
      </c>
      <c r="C208" s="35" t="s">
        <v>79</v>
      </c>
    </row>
    <row r="209" spans="1:4" hidden="1">
      <c r="A209" s="36">
        <v>30710374801</v>
      </c>
      <c r="B209" t="s">
        <v>336</v>
      </c>
      <c r="C209" s="35" t="s">
        <v>79</v>
      </c>
    </row>
    <row r="210" spans="1:4" hidden="1">
      <c r="A210" s="36">
        <v>20041802082</v>
      </c>
      <c r="B210" t="s">
        <v>346</v>
      </c>
      <c r="C210" s="35" t="s">
        <v>79</v>
      </c>
    </row>
    <row r="211" spans="1:4" hidden="1">
      <c r="A211" s="36">
        <v>30715723871</v>
      </c>
      <c r="B211" t="s">
        <v>353</v>
      </c>
      <c r="C211" s="35" t="s">
        <v>79</v>
      </c>
    </row>
    <row r="212" spans="1:4" hidden="1">
      <c r="A212" s="36">
        <v>20262808557</v>
      </c>
      <c r="B212" t="s">
        <v>358</v>
      </c>
      <c r="C212" s="35" t="s">
        <v>79</v>
      </c>
    </row>
    <row r="213" spans="1:4" hidden="1">
      <c r="A213" s="36">
        <v>20345836404</v>
      </c>
      <c r="B213" t="s">
        <v>379</v>
      </c>
      <c r="C213" s="35" t="s">
        <v>79</v>
      </c>
    </row>
    <row r="214" spans="1:4" hidden="1">
      <c r="A214" s="36">
        <v>20932821851</v>
      </c>
      <c r="B214" t="s">
        <v>389</v>
      </c>
      <c r="C214" s="35" t="s">
        <v>79</v>
      </c>
    </row>
    <row r="215" spans="1:4" hidden="1">
      <c r="A215" s="36">
        <v>30711561494</v>
      </c>
      <c r="B215" t="s">
        <v>396</v>
      </c>
      <c r="C215" s="35" t="s">
        <v>79</v>
      </c>
    </row>
    <row r="216" spans="1:4" hidden="1">
      <c r="A216" s="36">
        <v>20309264666</v>
      </c>
      <c r="B216" t="s">
        <v>401</v>
      </c>
      <c r="C216" s="35" t="s">
        <v>79</v>
      </c>
    </row>
    <row r="217" spans="1:4" hidden="1">
      <c r="A217" s="36">
        <v>30589621499</v>
      </c>
      <c r="B217" t="s">
        <v>91</v>
      </c>
      <c r="C217" s="35" t="s">
        <v>79</v>
      </c>
    </row>
    <row r="218" spans="1:4" hidden="1">
      <c r="A218" s="36">
        <v>33710167309</v>
      </c>
      <c r="B218" t="s">
        <v>1553</v>
      </c>
      <c r="C218" s="35" t="s">
        <v>79</v>
      </c>
    </row>
    <row r="219" spans="1:4" hidden="1">
      <c r="A219" s="36">
        <v>30612865333</v>
      </c>
      <c r="B219" t="s">
        <v>435</v>
      </c>
      <c r="C219" s="35" t="s">
        <v>79</v>
      </c>
    </row>
    <row r="220" spans="1:4" hidden="1">
      <c r="A220" s="36">
        <v>20173025557</v>
      </c>
      <c r="B220" t="s">
        <v>1129</v>
      </c>
      <c r="C220" s="35" t="s">
        <v>79</v>
      </c>
    </row>
    <row r="221" spans="1:4" hidden="1">
      <c r="A221" s="36">
        <v>20131581298</v>
      </c>
      <c r="B221" t="s">
        <v>441</v>
      </c>
      <c r="C221" s="35" t="s">
        <v>79</v>
      </c>
    </row>
    <row r="222" spans="1:4" hidden="1">
      <c r="A222" s="36">
        <v>20173025557</v>
      </c>
      <c r="B222" t="s">
        <v>1129</v>
      </c>
      <c r="C222" s="35" t="s">
        <v>79</v>
      </c>
    </row>
    <row r="223" spans="1:4" hidden="1">
      <c r="A223" s="36">
        <v>30602422174</v>
      </c>
      <c r="B223" t="s">
        <v>450</v>
      </c>
      <c r="C223" s="35" t="s">
        <v>79</v>
      </c>
    </row>
    <row r="224" spans="1:4" hidden="1">
      <c r="A224" s="36">
        <v>30703088534</v>
      </c>
      <c r="B224" t="s">
        <v>462</v>
      </c>
      <c r="C224" s="35" t="s">
        <v>79</v>
      </c>
      <c r="D224" t="s">
        <v>1754</v>
      </c>
    </row>
    <row r="225" spans="1:3" hidden="1">
      <c r="A225" s="36">
        <v>27101205733</v>
      </c>
      <c r="B225" t="s">
        <v>485</v>
      </c>
      <c r="C225" s="35" t="s">
        <v>79</v>
      </c>
    </row>
    <row r="226" spans="1:3" hidden="1">
      <c r="A226" s="36">
        <v>30652010489</v>
      </c>
      <c r="B226" t="s">
        <v>528</v>
      </c>
      <c r="C226" s="35" t="s">
        <v>79</v>
      </c>
    </row>
    <row r="227" spans="1:3" hidden="1">
      <c r="A227" s="36">
        <v>30546764040</v>
      </c>
      <c r="B227" t="s">
        <v>537</v>
      </c>
      <c r="C227" s="35" t="s">
        <v>79</v>
      </c>
    </row>
    <row r="228" spans="1:3" hidden="1">
      <c r="A228" s="36">
        <v>20171082464</v>
      </c>
      <c r="B228" t="s">
        <v>552</v>
      </c>
      <c r="C228" s="35" t="s">
        <v>79</v>
      </c>
    </row>
    <row r="229" spans="1:3" hidden="1">
      <c r="A229" s="36">
        <v>30707092781</v>
      </c>
      <c r="B229" t="s">
        <v>587</v>
      </c>
      <c r="C229" s="35" t="s">
        <v>79</v>
      </c>
    </row>
    <row r="230" spans="1:3" hidden="1">
      <c r="A230" s="36">
        <v>27937907473</v>
      </c>
      <c r="B230" t="s">
        <v>591</v>
      </c>
      <c r="C230" s="35" t="s">
        <v>79</v>
      </c>
    </row>
    <row r="231" spans="1:3" hidden="1">
      <c r="A231" s="36">
        <v>30603810550</v>
      </c>
      <c r="B231" t="s">
        <v>593</v>
      </c>
      <c r="C231" s="35" t="s">
        <v>79</v>
      </c>
    </row>
    <row r="232" spans="1:3" hidden="1">
      <c r="A232" s="36">
        <v>30536259194</v>
      </c>
      <c r="B232" t="s">
        <v>603</v>
      </c>
      <c r="C232" s="35" t="s">
        <v>79</v>
      </c>
    </row>
    <row r="233" spans="1:3" hidden="1">
      <c r="A233" s="36">
        <v>30605041287</v>
      </c>
      <c r="B233" t="s">
        <v>637</v>
      </c>
      <c r="C233" s="35" t="s">
        <v>79</v>
      </c>
    </row>
    <row r="234" spans="1:3" hidden="1">
      <c r="A234" s="36">
        <v>20113613646</v>
      </c>
      <c r="B234" t="s">
        <v>673</v>
      </c>
      <c r="C234" s="35" t="s">
        <v>79</v>
      </c>
    </row>
    <row r="235" spans="1:3" hidden="1">
      <c r="A235" s="36">
        <v>30601399446</v>
      </c>
      <c r="B235" t="s">
        <v>688</v>
      </c>
      <c r="C235" s="35" t="s">
        <v>79</v>
      </c>
    </row>
    <row r="236" spans="1:3" hidden="1">
      <c r="A236" s="36">
        <v>23177941034</v>
      </c>
      <c r="B236" t="s">
        <v>689</v>
      </c>
      <c r="C236" s="35" t="s">
        <v>79</v>
      </c>
    </row>
    <row r="237" spans="1:3" hidden="1">
      <c r="A237" s="36">
        <v>20174240125</v>
      </c>
      <c r="B237" t="s">
        <v>720</v>
      </c>
      <c r="C237" s="35" t="s">
        <v>79</v>
      </c>
    </row>
    <row r="238" spans="1:3" hidden="1">
      <c r="A238" s="36">
        <v>33708793219</v>
      </c>
      <c r="B238" t="s">
        <v>746</v>
      </c>
      <c r="C238" s="35" t="s">
        <v>79</v>
      </c>
    </row>
    <row r="239" spans="1:3" hidden="1">
      <c r="A239" s="36">
        <v>20162253310</v>
      </c>
      <c r="B239" t="s">
        <v>783</v>
      </c>
      <c r="C239" s="35" t="s">
        <v>79</v>
      </c>
    </row>
    <row r="240" spans="1:3" hidden="1">
      <c r="A240" s="36">
        <v>30715048066</v>
      </c>
      <c r="B240" t="s">
        <v>99</v>
      </c>
      <c r="C240" s="35" t="s">
        <v>79</v>
      </c>
    </row>
    <row r="241" spans="1:3" hidden="1">
      <c r="A241" s="36">
        <v>23180288899</v>
      </c>
      <c r="B241" t="s">
        <v>1172</v>
      </c>
      <c r="C241" s="35" t="s">
        <v>79</v>
      </c>
    </row>
    <row r="242" spans="1:3" hidden="1">
      <c r="A242" s="36">
        <v>23180288899</v>
      </c>
      <c r="B242" t="s">
        <v>1172</v>
      </c>
      <c r="C242" s="35" t="s">
        <v>79</v>
      </c>
    </row>
    <row r="243" spans="1:3" hidden="1">
      <c r="A243" s="36">
        <v>23180288899</v>
      </c>
      <c r="B243" t="s">
        <v>1172</v>
      </c>
      <c r="C243" s="35" t="s">
        <v>79</v>
      </c>
    </row>
    <row r="244" spans="1:3" hidden="1">
      <c r="A244" s="36">
        <v>23180288899</v>
      </c>
      <c r="B244" t="s">
        <v>1172</v>
      </c>
      <c r="C244" s="35" t="s">
        <v>79</v>
      </c>
    </row>
    <row r="245" spans="1:3" hidden="1">
      <c r="A245" s="36">
        <v>30710444877</v>
      </c>
      <c r="B245" t="s">
        <v>814</v>
      </c>
      <c r="C245" s="35" t="s">
        <v>79</v>
      </c>
    </row>
    <row r="246" spans="1:3" hidden="1">
      <c r="A246" s="36">
        <v>33709108129</v>
      </c>
      <c r="B246" t="s">
        <v>815</v>
      </c>
      <c r="C246" s="35" t="s">
        <v>79</v>
      </c>
    </row>
    <row r="247" spans="1:3" hidden="1">
      <c r="A247" s="36">
        <v>20123154445</v>
      </c>
      <c r="B247" t="s">
        <v>849</v>
      </c>
      <c r="C247" s="35" t="s">
        <v>79</v>
      </c>
    </row>
    <row r="248" spans="1:3" hidden="1">
      <c r="A248" s="36">
        <v>20123154445</v>
      </c>
      <c r="B248" t="s">
        <v>849</v>
      </c>
      <c r="C248" s="35" t="s">
        <v>79</v>
      </c>
    </row>
    <row r="249" spans="1:3" hidden="1">
      <c r="A249" s="36">
        <v>30699419245</v>
      </c>
      <c r="B249" t="s">
        <v>875</v>
      </c>
      <c r="C249" s="35" t="s">
        <v>79</v>
      </c>
    </row>
    <row r="250" spans="1:3" hidden="1">
      <c r="A250" s="36">
        <v>30699419245</v>
      </c>
      <c r="B250" t="s">
        <v>875</v>
      </c>
      <c r="C250" s="35" t="s">
        <v>79</v>
      </c>
    </row>
    <row r="251" spans="1:3" hidden="1">
      <c r="A251" s="36">
        <v>20926929128</v>
      </c>
      <c r="B251" t="s">
        <v>882</v>
      </c>
      <c r="C251" s="35" t="s">
        <v>79</v>
      </c>
    </row>
    <row r="252" spans="1:3" hidden="1">
      <c r="A252" s="36">
        <v>20926929128</v>
      </c>
      <c r="B252" t="s">
        <v>882</v>
      </c>
      <c r="C252" s="35" t="s">
        <v>79</v>
      </c>
    </row>
    <row r="253" spans="1:3" hidden="1">
      <c r="A253" s="36">
        <v>27940038931</v>
      </c>
      <c r="B253" t="s">
        <v>1567</v>
      </c>
      <c r="C253" s="35" t="s">
        <v>79</v>
      </c>
    </row>
    <row r="254" spans="1:3" hidden="1">
      <c r="A254" s="36">
        <v>30695303978</v>
      </c>
      <c r="B254" t="s">
        <v>932</v>
      </c>
      <c r="C254" s="35" t="s">
        <v>79</v>
      </c>
    </row>
    <row r="255" spans="1:3" hidden="1">
      <c r="A255" s="36">
        <v>30695303978</v>
      </c>
      <c r="B255" t="s">
        <v>932</v>
      </c>
      <c r="C255" s="35" t="s">
        <v>79</v>
      </c>
    </row>
    <row r="256" spans="1:3" hidden="1">
      <c r="A256" s="36">
        <v>30654855168</v>
      </c>
      <c r="B256" t="s">
        <v>938</v>
      </c>
      <c r="C256" s="35" t="s">
        <v>79</v>
      </c>
    </row>
    <row r="257" spans="1:3" hidden="1">
      <c r="A257" s="36">
        <v>30654855168</v>
      </c>
      <c r="B257" t="s">
        <v>938</v>
      </c>
      <c r="C257" s="35" t="s">
        <v>79</v>
      </c>
    </row>
    <row r="258" spans="1:3" hidden="1">
      <c r="A258" s="36">
        <v>27950873936</v>
      </c>
      <c r="B258" t="s">
        <v>1565</v>
      </c>
      <c r="C258" s="35" t="s">
        <v>79</v>
      </c>
    </row>
    <row r="259" spans="1:3" hidden="1">
      <c r="A259" s="36">
        <v>30676683867</v>
      </c>
      <c r="B259" t="s">
        <v>951</v>
      </c>
      <c r="C259" s="35" t="s">
        <v>79</v>
      </c>
    </row>
    <row r="260" spans="1:3" hidden="1">
      <c r="A260" s="36">
        <v>30676683867</v>
      </c>
      <c r="B260" t="s">
        <v>951</v>
      </c>
      <c r="C260" s="35" t="s">
        <v>79</v>
      </c>
    </row>
    <row r="261" spans="1:3" hidden="1">
      <c r="A261" s="36">
        <v>30694592526</v>
      </c>
      <c r="B261" t="s">
        <v>979</v>
      </c>
      <c r="C261" s="35" t="s">
        <v>79</v>
      </c>
    </row>
    <row r="262" spans="1:3" hidden="1">
      <c r="A262" s="36">
        <v>30694592526</v>
      </c>
      <c r="B262" t="s">
        <v>979</v>
      </c>
      <c r="C262" s="35" t="s">
        <v>79</v>
      </c>
    </row>
    <row r="263" spans="1:3" hidden="1">
      <c r="A263" s="36">
        <v>30708765356</v>
      </c>
      <c r="B263" t="s">
        <v>999</v>
      </c>
      <c r="C263" s="35" t="s">
        <v>79</v>
      </c>
    </row>
    <row r="264" spans="1:3" hidden="1">
      <c r="A264" s="36">
        <v>30708765356</v>
      </c>
      <c r="B264" t="s">
        <v>999</v>
      </c>
      <c r="C264" s="35" t="s">
        <v>79</v>
      </c>
    </row>
    <row r="265" spans="1:3" hidden="1">
      <c r="A265" s="36">
        <v>30611156045</v>
      </c>
      <c r="B265" t="s">
        <v>1020</v>
      </c>
      <c r="C265" s="35" t="s">
        <v>79</v>
      </c>
    </row>
    <row r="266" spans="1:3" hidden="1">
      <c r="A266" s="36">
        <v>30611156045</v>
      </c>
      <c r="B266" t="s">
        <v>1020</v>
      </c>
      <c r="C266" s="35" t="s">
        <v>79</v>
      </c>
    </row>
    <row r="267" spans="1:3" hidden="1">
      <c r="A267" s="36">
        <v>20262235212</v>
      </c>
      <c r="B267" t="s">
        <v>2556</v>
      </c>
      <c r="C267" s="35" t="s">
        <v>79</v>
      </c>
    </row>
    <row r="268" spans="1:3" hidden="1">
      <c r="A268" s="36">
        <v>30689759684</v>
      </c>
      <c r="B268" t="s">
        <v>1025</v>
      </c>
      <c r="C268" s="35" t="s">
        <v>79</v>
      </c>
    </row>
    <row r="269" spans="1:3" hidden="1">
      <c r="A269" s="36">
        <v>30689759684</v>
      </c>
      <c r="B269" t="s">
        <v>1025</v>
      </c>
      <c r="C269" s="35" t="s">
        <v>79</v>
      </c>
    </row>
    <row r="270" spans="1:3" hidden="1">
      <c r="A270" s="36">
        <v>27208252386</v>
      </c>
      <c r="B270" t="s">
        <v>1051</v>
      </c>
      <c r="C270" s="35" t="s">
        <v>79</v>
      </c>
    </row>
    <row r="271" spans="1:3" hidden="1">
      <c r="A271" s="36">
        <v>27208252386</v>
      </c>
      <c r="B271" t="s">
        <v>1051</v>
      </c>
      <c r="C271" s="35" t="s">
        <v>79</v>
      </c>
    </row>
    <row r="272" spans="1:3" hidden="1">
      <c r="A272" s="36">
        <v>20940173575</v>
      </c>
      <c r="B272" t="s">
        <v>1566</v>
      </c>
      <c r="C272" s="35" t="s">
        <v>79</v>
      </c>
    </row>
    <row r="273" spans="1:4" hidden="1">
      <c r="A273" s="36">
        <v>30712049886</v>
      </c>
      <c r="B273" t="s">
        <v>1572</v>
      </c>
      <c r="C273" s="35" t="s">
        <v>79</v>
      </c>
    </row>
    <row r="274" spans="1:4" hidden="1">
      <c r="A274" s="36">
        <v>30628212437</v>
      </c>
      <c r="B274" t="s">
        <v>1575</v>
      </c>
      <c r="C274" s="35" t="s">
        <v>79</v>
      </c>
    </row>
    <row r="275" spans="1:4" hidden="1">
      <c r="A275" s="36">
        <v>30658022349</v>
      </c>
      <c r="B275" t="s">
        <v>1578</v>
      </c>
      <c r="C275" s="35" t="s">
        <v>79</v>
      </c>
    </row>
    <row r="276" spans="1:4" hidden="1">
      <c r="A276" s="36">
        <v>30717024393</v>
      </c>
      <c r="B276" t="s">
        <v>1579</v>
      </c>
      <c r="C276" s="35" t="s">
        <v>79</v>
      </c>
    </row>
    <row r="277" spans="1:4" hidden="1">
      <c r="A277" s="36">
        <v>20206480409</v>
      </c>
      <c r="B277" t="s">
        <v>1580</v>
      </c>
      <c r="C277" s="35" t="s">
        <v>79</v>
      </c>
      <c r="D277" t="s">
        <v>1754</v>
      </c>
    </row>
    <row r="278" spans="1:4" hidden="1">
      <c r="A278" s="36">
        <v>30638485733</v>
      </c>
      <c r="B278" t="s">
        <v>1648</v>
      </c>
      <c r="C278" s="35" t="s">
        <v>79</v>
      </c>
    </row>
    <row r="279" spans="1:4" hidden="1">
      <c r="A279" s="36">
        <v>20141890159</v>
      </c>
      <c r="B279" t="s">
        <v>1635</v>
      </c>
      <c r="C279" s="35" t="s">
        <v>79</v>
      </c>
    </row>
    <row r="280" spans="1:4" hidden="1">
      <c r="A280" s="36">
        <v>33715993509</v>
      </c>
      <c r="B280" t="s">
        <v>1636</v>
      </c>
      <c r="C280" s="35" t="s">
        <v>79</v>
      </c>
    </row>
    <row r="281" spans="1:4" hidden="1">
      <c r="A281" s="36">
        <v>30660981736</v>
      </c>
      <c r="B281" t="s">
        <v>1644</v>
      </c>
      <c r="C281" s="35" t="s">
        <v>79</v>
      </c>
    </row>
    <row r="282" spans="1:4" hidden="1">
      <c r="A282" s="36">
        <v>20262815367</v>
      </c>
      <c r="B282" t="s">
        <v>1713</v>
      </c>
      <c r="C282" s="35" t="s">
        <v>79</v>
      </c>
    </row>
    <row r="283" spans="1:4" hidden="1">
      <c r="A283" s="36">
        <v>30717223299</v>
      </c>
      <c r="B283" t="s">
        <v>1657</v>
      </c>
      <c r="C283" s="35" t="s">
        <v>79</v>
      </c>
    </row>
    <row r="284" spans="1:4" hidden="1">
      <c r="A284" s="36">
        <v>23234730959</v>
      </c>
      <c r="B284" t="s">
        <v>1717</v>
      </c>
      <c r="C284" s="35" t="s">
        <v>79</v>
      </c>
    </row>
    <row r="285" spans="1:4" hidden="1">
      <c r="A285" s="36">
        <v>30643993089</v>
      </c>
      <c r="B285" t="s">
        <v>1731</v>
      </c>
      <c r="C285" s="35" t="s">
        <v>79</v>
      </c>
    </row>
    <row r="286" spans="1:4" hidden="1">
      <c r="A286" s="36">
        <v>30714275824</v>
      </c>
      <c r="B286" t="s">
        <v>1764</v>
      </c>
      <c r="C286" s="35" t="s">
        <v>79</v>
      </c>
    </row>
    <row r="287" spans="1:4" hidden="1">
      <c r="A287" s="36">
        <v>33715571639</v>
      </c>
      <c r="B287" t="s">
        <v>1735</v>
      </c>
      <c r="C287" s="35" t="s">
        <v>79</v>
      </c>
    </row>
    <row r="288" spans="1:4" hidden="1">
      <c r="A288" s="36">
        <v>20331496643</v>
      </c>
      <c r="B288" t="s">
        <v>1748</v>
      </c>
      <c r="C288" s="35" t="s">
        <v>79</v>
      </c>
    </row>
    <row r="289" spans="1:3" hidden="1">
      <c r="A289" s="36">
        <v>20338116978</v>
      </c>
      <c r="B289" t="s">
        <v>1765</v>
      </c>
      <c r="C289" s="35" t="s">
        <v>79</v>
      </c>
    </row>
    <row r="290" spans="1:3" hidden="1">
      <c r="A290" s="36">
        <v>30708558792</v>
      </c>
      <c r="B290" t="s">
        <v>1773</v>
      </c>
      <c r="C290" s="35" t="s">
        <v>79</v>
      </c>
    </row>
    <row r="291" spans="1:3" hidden="1">
      <c r="A291" s="36">
        <v>30717065359</v>
      </c>
      <c r="B291" t="s">
        <v>1766</v>
      </c>
      <c r="C291" s="35" t="s">
        <v>79</v>
      </c>
    </row>
    <row r="292" spans="1:3" hidden="1">
      <c r="A292" s="36">
        <v>20277381908</v>
      </c>
      <c r="B292" t="s">
        <v>1777</v>
      </c>
      <c r="C292" s="35" t="s">
        <v>79</v>
      </c>
    </row>
    <row r="293" spans="1:3" hidden="1">
      <c r="A293" s="36">
        <v>20277381908</v>
      </c>
      <c r="B293" t="s">
        <v>1777</v>
      </c>
      <c r="C293" s="35" t="s">
        <v>79</v>
      </c>
    </row>
    <row r="294" spans="1:3" hidden="1">
      <c r="A294" s="36">
        <v>23329455319</v>
      </c>
      <c r="B294" t="s">
        <v>1778</v>
      </c>
      <c r="C294" s="35" t="s">
        <v>79</v>
      </c>
    </row>
    <row r="295" spans="1:3" hidden="1">
      <c r="A295" s="36">
        <v>27135996373</v>
      </c>
      <c r="B295" t="s">
        <v>1795</v>
      </c>
      <c r="C295" s="35" t="s">
        <v>79</v>
      </c>
    </row>
    <row r="296" spans="1:3" hidden="1">
      <c r="A296" s="36">
        <v>20928324568</v>
      </c>
      <c r="B296" t="s">
        <v>1784</v>
      </c>
      <c r="C296" s="35" t="s">
        <v>79</v>
      </c>
    </row>
    <row r="297" spans="1:3" hidden="1">
      <c r="A297" s="36">
        <v>30718018311</v>
      </c>
      <c r="B297" t="s">
        <v>1812</v>
      </c>
      <c r="C297" s="35" t="s">
        <v>79</v>
      </c>
    </row>
    <row r="298" spans="1:3" hidden="1">
      <c r="A298" s="36">
        <v>20359718765</v>
      </c>
      <c r="B298" t="s">
        <v>1846</v>
      </c>
      <c r="C298" s="35" t="s">
        <v>79</v>
      </c>
    </row>
    <row r="299" spans="1:3" hidden="1">
      <c r="A299" s="36">
        <v>23177130079</v>
      </c>
      <c r="B299" t="s">
        <v>1841</v>
      </c>
      <c r="C299" s="35" t="s">
        <v>79</v>
      </c>
    </row>
    <row r="300" spans="1:3" hidden="1">
      <c r="A300" s="36">
        <v>27276370575</v>
      </c>
      <c r="B300" t="s">
        <v>1865</v>
      </c>
      <c r="C300" s="35" t="s">
        <v>79</v>
      </c>
    </row>
    <row r="301" spans="1:3" hidden="1">
      <c r="A301" s="36">
        <v>30715501348</v>
      </c>
      <c r="B301" t="s">
        <v>1866</v>
      </c>
      <c r="C301" s="35" t="s">
        <v>79</v>
      </c>
    </row>
    <row r="302" spans="1:3" hidden="1">
      <c r="A302" s="36">
        <v>20337162879</v>
      </c>
      <c r="B302" t="s">
        <v>1868</v>
      </c>
      <c r="C302" s="35" t="s">
        <v>79</v>
      </c>
    </row>
    <row r="303" spans="1:3" hidden="1">
      <c r="A303" s="36">
        <v>30717640175</v>
      </c>
      <c r="B303" t="s">
        <v>1916</v>
      </c>
      <c r="C303" s="35" t="s">
        <v>79</v>
      </c>
    </row>
    <row r="304" spans="1:3" hidden="1">
      <c r="A304" s="36">
        <v>20109830810</v>
      </c>
      <c r="B304" t="s">
        <v>1943</v>
      </c>
      <c r="C304" s="35" t="s">
        <v>79</v>
      </c>
    </row>
    <row r="305" spans="1:4" hidden="1">
      <c r="A305" s="36">
        <v>30708482680</v>
      </c>
      <c r="B305" t="s">
        <v>1947</v>
      </c>
      <c r="C305" s="35" t="s">
        <v>79</v>
      </c>
    </row>
    <row r="306" spans="1:4" hidden="1">
      <c r="A306" s="36">
        <v>30715168673</v>
      </c>
      <c r="B306" t="s">
        <v>1958</v>
      </c>
      <c r="C306" s="35" t="s">
        <v>79</v>
      </c>
    </row>
    <row r="307" spans="1:4" hidden="1">
      <c r="A307" s="36">
        <v>30686272032</v>
      </c>
      <c r="B307" t="s">
        <v>1948</v>
      </c>
      <c r="C307" s="35" t="s">
        <v>79</v>
      </c>
    </row>
    <row r="308" spans="1:4" hidden="1">
      <c r="A308" s="36">
        <v>30715060546</v>
      </c>
      <c r="B308" t="s">
        <v>1997</v>
      </c>
      <c r="C308" s="35" t="s">
        <v>79</v>
      </c>
    </row>
    <row r="309" spans="1:4" hidden="1">
      <c r="A309" s="36">
        <v>23242717589</v>
      </c>
      <c r="B309" t="s">
        <v>1965</v>
      </c>
      <c r="C309" s="35" t="s">
        <v>79</v>
      </c>
    </row>
    <row r="310" spans="1:4" hidden="1">
      <c r="A310" s="36">
        <v>20316849823</v>
      </c>
      <c r="B310" t="s">
        <v>1981</v>
      </c>
      <c r="C310" s="35" t="s">
        <v>79</v>
      </c>
    </row>
    <row r="311" spans="1:4" hidden="1">
      <c r="A311" s="36">
        <v>27247017491</v>
      </c>
      <c r="B311" t="s">
        <v>1998</v>
      </c>
      <c r="C311" s="35" t="s">
        <v>79</v>
      </c>
    </row>
    <row r="312" spans="1:4" hidden="1">
      <c r="A312" s="36">
        <v>30663891142</v>
      </c>
      <c r="B312" t="s">
        <v>2003</v>
      </c>
      <c r="C312" s="35" t="s">
        <v>79</v>
      </c>
    </row>
    <row r="313" spans="1:4" hidden="1">
      <c r="A313" s="36">
        <v>30717924548</v>
      </c>
      <c r="B313" t="s">
        <v>2011</v>
      </c>
      <c r="C313" s="35" t="s">
        <v>79</v>
      </c>
    </row>
    <row r="314" spans="1:4" hidden="1">
      <c r="A314" s="36">
        <v>30717906833</v>
      </c>
      <c r="B314" t="s">
        <v>2020</v>
      </c>
      <c r="C314" s="35" t="s">
        <v>79</v>
      </c>
    </row>
    <row r="315" spans="1:4" hidden="1">
      <c r="A315" s="36">
        <v>20226444956</v>
      </c>
      <c r="B315" t="s">
        <v>2059</v>
      </c>
      <c r="C315" s="35" t="s">
        <v>79</v>
      </c>
    </row>
    <row r="316" spans="1:4" hidden="1">
      <c r="A316" s="36">
        <v>30714454265</v>
      </c>
      <c r="B316" t="s">
        <v>2071</v>
      </c>
      <c r="C316" s="35" t="s">
        <v>79</v>
      </c>
    </row>
    <row r="317" spans="1:4" hidden="1">
      <c r="A317" s="36">
        <v>30707984208</v>
      </c>
      <c r="B317" t="s">
        <v>2076</v>
      </c>
      <c r="C317" s="35" t="s">
        <v>79</v>
      </c>
      <c r="D317" t="s">
        <v>1756</v>
      </c>
    </row>
    <row r="318" spans="1:4" hidden="1">
      <c r="A318" s="36">
        <v>30713842504</v>
      </c>
      <c r="B318" t="s">
        <v>2072</v>
      </c>
      <c r="C318" s="35" t="s">
        <v>79</v>
      </c>
    </row>
    <row r="319" spans="1:4" hidden="1">
      <c r="A319" s="36">
        <v>20954203817</v>
      </c>
      <c r="B319" t="s">
        <v>2075</v>
      </c>
      <c r="C319" s="35" t="s">
        <v>79</v>
      </c>
    </row>
    <row r="320" spans="1:4" hidden="1">
      <c r="A320" s="36">
        <v>30715294598</v>
      </c>
      <c r="B320" t="s">
        <v>2079</v>
      </c>
      <c r="C320" s="35" t="s">
        <v>79</v>
      </c>
    </row>
    <row r="321" spans="1:3" hidden="1">
      <c r="A321" s="36">
        <v>30714769290</v>
      </c>
      <c r="B321" t="s">
        <v>2099</v>
      </c>
      <c r="C321" s="35" t="s">
        <v>79</v>
      </c>
    </row>
    <row r="322" spans="1:3" hidden="1">
      <c r="A322" s="36">
        <v>27180890101</v>
      </c>
      <c r="B322" t="s">
        <v>2080</v>
      </c>
      <c r="C322" s="35" t="s">
        <v>79</v>
      </c>
    </row>
    <row r="323" spans="1:3" hidden="1">
      <c r="A323" s="36">
        <v>33716089059</v>
      </c>
      <c r="B323" t="s">
        <v>2101</v>
      </c>
      <c r="C323" s="35" t="s">
        <v>79</v>
      </c>
    </row>
    <row r="324" spans="1:3" hidden="1">
      <c r="A324" s="36">
        <v>30698029648</v>
      </c>
      <c r="B324" t="s">
        <v>2100</v>
      </c>
      <c r="C324" s="35" t="s">
        <v>79</v>
      </c>
    </row>
    <row r="325" spans="1:3" hidden="1">
      <c r="A325" s="36">
        <v>30714956147</v>
      </c>
      <c r="B325" t="s">
        <v>2111</v>
      </c>
      <c r="C325" s="35" t="s">
        <v>79</v>
      </c>
    </row>
    <row r="326" spans="1:3" hidden="1">
      <c r="A326" s="36">
        <v>20078298376</v>
      </c>
      <c r="B326" t="s">
        <v>2103</v>
      </c>
      <c r="C326" s="35" t="s">
        <v>79</v>
      </c>
    </row>
    <row r="327" spans="1:3" hidden="1">
      <c r="A327" s="36">
        <v>30717133613</v>
      </c>
      <c r="B327" t="s">
        <v>2106</v>
      </c>
      <c r="C327" s="35" t="s">
        <v>79</v>
      </c>
    </row>
    <row r="328" spans="1:3" hidden="1">
      <c r="A328" s="36">
        <v>30610333822</v>
      </c>
      <c r="B328" t="s">
        <v>2125</v>
      </c>
      <c r="C328" s="35" t="s">
        <v>79</v>
      </c>
    </row>
    <row r="329" spans="1:3" hidden="1">
      <c r="A329" s="36">
        <v>20249035433</v>
      </c>
      <c r="B329" t="s">
        <v>2122</v>
      </c>
      <c r="C329" s="35" t="s">
        <v>79</v>
      </c>
    </row>
    <row r="330" spans="1:3" hidden="1">
      <c r="A330" s="36">
        <v>30716944383</v>
      </c>
      <c r="B330" t="s">
        <v>2126</v>
      </c>
      <c r="C330" s="35" t="s">
        <v>79</v>
      </c>
    </row>
    <row r="331" spans="1:3" hidden="1">
      <c r="A331" s="36">
        <v>33718184989</v>
      </c>
      <c r="B331" t="s">
        <v>2127</v>
      </c>
      <c r="C331" s="35" t="s">
        <v>79</v>
      </c>
    </row>
    <row r="332" spans="1:3" hidden="1">
      <c r="A332" s="36">
        <v>20959588016</v>
      </c>
      <c r="B332" t="s">
        <v>2129</v>
      </c>
      <c r="C332" s="35" t="s">
        <v>79</v>
      </c>
    </row>
    <row r="333" spans="1:3" hidden="1">
      <c r="A333" s="36">
        <v>23323951594</v>
      </c>
      <c r="B333" t="s">
        <v>2161</v>
      </c>
      <c r="C333" s="35" t="s">
        <v>79</v>
      </c>
    </row>
    <row r="334" spans="1:3" hidden="1">
      <c r="A334" s="36">
        <v>23224326459</v>
      </c>
      <c r="B334" t="s">
        <v>2170</v>
      </c>
      <c r="C334" s="35" t="s">
        <v>79</v>
      </c>
    </row>
    <row r="335" spans="1:3" hidden="1">
      <c r="A335" s="36">
        <v>30716872463</v>
      </c>
      <c r="B335" t="s">
        <v>2186</v>
      </c>
      <c r="C335" s="35" t="s">
        <v>79</v>
      </c>
    </row>
    <row r="336" spans="1:3" hidden="1">
      <c r="A336" s="36">
        <v>20922189146</v>
      </c>
      <c r="B336" t="s">
        <v>2180</v>
      </c>
      <c r="C336" s="35" t="s">
        <v>79</v>
      </c>
    </row>
    <row r="337" spans="1:3" hidden="1">
      <c r="A337" s="36">
        <v>30717944883</v>
      </c>
      <c r="B337" t="s">
        <v>2193</v>
      </c>
      <c r="C337" s="35" t="s">
        <v>79</v>
      </c>
    </row>
    <row r="338" spans="1:3" hidden="1">
      <c r="A338" s="36">
        <v>20302234389</v>
      </c>
      <c r="B338" t="s">
        <v>2213</v>
      </c>
      <c r="C338" s="35" t="s">
        <v>79</v>
      </c>
    </row>
    <row r="339" spans="1:3" hidden="1">
      <c r="A339" s="36">
        <v>30715848232</v>
      </c>
      <c r="B339" t="s">
        <v>2215</v>
      </c>
      <c r="C339" s="35" t="s">
        <v>79</v>
      </c>
    </row>
    <row r="340" spans="1:3" hidden="1">
      <c r="A340" s="36">
        <v>30718503481</v>
      </c>
      <c r="B340" t="s">
        <v>2204</v>
      </c>
      <c r="C340" s="35" t="s">
        <v>79</v>
      </c>
    </row>
    <row r="341" spans="1:3" hidden="1">
      <c r="A341" s="36">
        <v>23161391999</v>
      </c>
      <c r="B341" t="s">
        <v>2208</v>
      </c>
      <c r="C341" s="35" t="s">
        <v>79</v>
      </c>
    </row>
    <row r="342" spans="1:3" hidden="1">
      <c r="A342" s="36">
        <v>30655186693</v>
      </c>
      <c r="B342" t="s">
        <v>2218</v>
      </c>
      <c r="C342" s="35" t="s">
        <v>79</v>
      </c>
    </row>
    <row r="343" spans="1:3" hidden="1">
      <c r="A343" s="36">
        <v>30601502085</v>
      </c>
      <c r="B343" t="s">
        <v>2214</v>
      </c>
      <c r="C343" s="35" t="s">
        <v>79</v>
      </c>
    </row>
    <row r="344" spans="1:3" hidden="1">
      <c r="A344" s="36">
        <v>30715658107</v>
      </c>
      <c r="B344" t="s">
        <v>2219</v>
      </c>
      <c r="C344" s="35" t="s">
        <v>79</v>
      </c>
    </row>
    <row r="345" spans="1:3" hidden="1">
      <c r="A345" s="36">
        <v>23428192419</v>
      </c>
      <c r="B345" t="s">
        <v>2226</v>
      </c>
      <c r="C345" s="35" t="s">
        <v>79</v>
      </c>
    </row>
    <row r="346" spans="1:3" hidden="1">
      <c r="A346" s="36">
        <v>20233146022</v>
      </c>
      <c r="B346" t="s">
        <v>2233</v>
      </c>
      <c r="C346" s="35" t="s">
        <v>79</v>
      </c>
    </row>
    <row r="347" spans="1:3" hidden="1">
      <c r="A347" s="36">
        <v>30712273174</v>
      </c>
      <c r="B347" t="s">
        <v>2223</v>
      </c>
      <c r="C347" s="35" t="s">
        <v>79</v>
      </c>
    </row>
    <row r="348" spans="1:3" hidden="1">
      <c r="A348" s="36">
        <v>30711237697</v>
      </c>
      <c r="B348" t="s">
        <v>2224</v>
      </c>
      <c r="C348" s="35" t="s">
        <v>79</v>
      </c>
    </row>
    <row r="349" spans="1:3" hidden="1">
      <c r="A349" s="36">
        <v>20120940628</v>
      </c>
      <c r="B349" t="s">
        <v>2240</v>
      </c>
      <c r="C349" s="35" t="s">
        <v>79</v>
      </c>
    </row>
    <row r="350" spans="1:3" hidden="1">
      <c r="A350" s="526">
        <v>20310102076</v>
      </c>
      <c r="B350" t="s">
        <v>2283</v>
      </c>
      <c r="C350" s="35" t="s">
        <v>79</v>
      </c>
    </row>
    <row r="351" spans="1:3" hidden="1">
      <c r="A351" s="36">
        <v>30540396295</v>
      </c>
      <c r="B351" t="s">
        <v>2234</v>
      </c>
      <c r="C351" s="35" t="s">
        <v>79</v>
      </c>
    </row>
    <row r="352" spans="1:3" hidden="1">
      <c r="A352" s="36">
        <v>30714017736</v>
      </c>
      <c r="B352" t="s">
        <v>2292</v>
      </c>
      <c r="C352" s="35" t="s">
        <v>79</v>
      </c>
    </row>
    <row r="353" spans="1:3" hidden="1">
      <c r="A353" s="36">
        <v>30697652694</v>
      </c>
      <c r="B353" t="s">
        <v>2278</v>
      </c>
      <c r="C353" s="35" t="s">
        <v>79</v>
      </c>
    </row>
    <row r="354" spans="1:3" hidden="1">
      <c r="A354" s="36">
        <v>30717777359</v>
      </c>
      <c r="B354" t="s">
        <v>2293</v>
      </c>
      <c r="C354" s="35" t="s">
        <v>79</v>
      </c>
    </row>
    <row r="355" spans="1:3" hidden="1">
      <c r="A355" s="36">
        <v>20214807808</v>
      </c>
      <c r="B355" t="s">
        <v>2296</v>
      </c>
      <c r="C355" s="35" t="s">
        <v>79</v>
      </c>
    </row>
    <row r="356" spans="1:3" hidden="1">
      <c r="A356" s="36">
        <v>30714064572</v>
      </c>
      <c r="B356" t="s">
        <v>2299</v>
      </c>
      <c r="C356" s="35" t="s">
        <v>79</v>
      </c>
    </row>
    <row r="357" spans="1:3" hidden="1">
      <c r="A357" s="36">
        <v>20373500241</v>
      </c>
      <c r="B357" t="s">
        <v>2303</v>
      </c>
      <c r="C357" s="35" t="s">
        <v>79</v>
      </c>
    </row>
    <row r="358" spans="1:3" hidden="1">
      <c r="A358" s="36">
        <v>20323945897</v>
      </c>
      <c r="B358" t="s">
        <v>2360</v>
      </c>
      <c r="C358" s="35" t="s">
        <v>79</v>
      </c>
    </row>
    <row r="359" spans="1:3" hidden="1">
      <c r="A359" s="36">
        <v>30716992663</v>
      </c>
      <c r="B359" t="s">
        <v>2300</v>
      </c>
      <c r="C359" s="35" t="s">
        <v>79</v>
      </c>
    </row>
    <row r="360" spans="1:3" hidden="1">
      <c r="A360" s="36">
        <v>20362888558</v>
      </c>
      <c r="B360" t="s">
        <v>2395</v>
      </c>
      <c r="C360" s="35" t="s">
        <v>79</v>
      </c>
    </row>
    <row r="361" spans="1:3" hidden="1">
      <c r="A361" s="36">
        <v>20936208690</v>
      </c>
      <c r="B361" t="s">
        <v>2422</v>
      </c>
      <c r="C361" s="35" t="s">
        <v>79</v>
      </c>
    </row>
    <row r="362" spans="1:3" hidden="1">
      <c r="A362" s="36">
        <v>20316477110</v>
      </c>
      <c r="B362" t="s">
        <v>2424</v>
      </c>
      <c r="C362" s="35" t="s">
        <v>79</v>
      </c>
    </row>
    <row r="363" spans="1:3" hidden="1">
      <c r="A363" s="36">
        <v>30718386515</v>
      </c>
      <c r="B363" t="s">
        <v>2427</v>
      </c>
      <c r="C363" s="35" t="s">
        <v>79</v>
      </c>
    </row>
    <row r="364" spans="1:3" hidden="1">
      <c r="A364" s="36">
        <v>30717193926</v>
      </c>
      <c r="B364" t="s">
        <v>2500</v>
      </c>
      <c r="C364" s="35" t="s">
        <v>79</v>
      </c>
    </row>
    <row r="365" spans="1:3" hidden="1">
      <c r="A365" s="36">
        <v>30718145534</v>
      </c>
      <c r="B365" t="s">
        <v>2425</v>
      </c>
      <c r="C365" s="35" t="s">
        <v>79</v>
      </c>
    </row>
    <row r="366" spans="1:3" hidden="1">
      <c r="A366" s="36">
        <v>30717790800</v>
      </c>
      <c r="B366" t="s">
        <v>2503</v>
      </c>
      <c r="C366" s="35" t="s">
        <v>79</v>
      </c>
    </row>
    <row r="367" spans="1:3" hidden="1">
      <c r="A367" s="36">
        <v>30715327712</v>
      </c>
      <c r="B367" t="s">
        <v>2429</v>
      </c>
      <c r="C367" s="35" t="s">
        <v>79</v>
      </c>
    </row>
    <row r="368" spans="1:3" hidden="1">
      <c r="A368" s="36">
        <v>20167931732</v>
      </c>
      <c r="B368" t="s">
        <v>2465</v>
      </c>
      <c r="C368" s="35" t="s">
        <v>79</v>
      </c>
    </row>
    <row r="369" spans="1:3" hidden="1">
      <c r="A369" s="36">
        <v>20367304007</v>
      </c>
      <c r="B369" t="s">
        <v>2485</v>
      </c>
      <c r="C369" s="35" t="s">
        <v>79</v>
      </c>
    </row>
    <row r="370" spans="1:3" hidden="1">
      <c r="A370" s="36">
        <v>27317740196</v>
      </c>
      <c r="B370" t="s">
        <v>2507</v>
      </c>
      <c r="C370" s="35" t="s">
        <v>79</v>
      </c>
    </row>
    <row r="371" spans="1:3" hidden="1">
      <c r="A371" s="36">
        <v>20269531062</v>
      </c>
      <c r="B371" t="s">
        <v>2502</v>
      </c>
      <c r="C371" s="35" t="s">
        <v>79</v>
      </c>
    </row>
    <row r="372" spans="1:3" hidden="1">
      <c r="A372" s="36">
        <v>30639111012</v>
      </c>
      <c r="B372" t="s">
        <v>2515</v>
      </c>
      <c r="C372" s="35" t="s">
        <v>79</v>
      </c>
    </row>
    <row r="373" spans="1:3" hidden="1">
      <c r="A373" s="36">
        <v>27136254990</v>
      </c>
      <c r="B373" t="s">
        <v>2519</v>
      </c>
      <c r="C373" s="35" t="s">
        <v>79</v>
      </c>
    </row>
    <row r="374" spans="1:3" hidden="1">
      <c r="A374" s="36">
        <v>30716627205</v>
      </c>
      <c r="B374" t="s">
        <v>2510</v>
      </c>
      <c r="C374" s="35" t="s">
        <v>79</v>
      </c>
    </row>
    <row r="375" spans="1:3" hidden="1">
      <c r="A375" s="36">
        <v>30707272038</v>
      </c>
      <c r="B375" t="s">
        <v>2561</v>
      </c>
      <c r="C375" s="35" t="s">
        <v>79</v>
      </c>
    </row>
    <row r="376" spans="1:3" hidden="1">
      <c r="A376" s="36">
        <v>20628358223</v>
      </c>
      <c r="B376" t="s">
        <v>2543</v>
      </c>
      <c r="C376" s="35" t="s">
        <v>79</v>
      </c>
    </row>
    <row r="377" spans="1:3" hidden="1">
      <c r="A377" s="36">
        <v>30532847547</v>
      </c>
      <c r="B377" t="s">
        <v>2552</v>
      </c>
      <c r="C377" s="35" t="s">
        <v>79</v>
      </c>
    </row>
    <row r="378" spans="1:3" hidden="1">
      <c r="A378" s="36">
        <v>30714745294</v>
      </c>
      <c r="B378" t="s">
        <v>2554</v>
      </c>
      <c r="C378" s="35" t="s">
        <v>79</v>
      </c>
    </row>
    <row r="379" spans="1:3" hidden="1">
      <c r="A379" s="36">
        <v>30718509552</v>
      </c>
      <c r="B379" t="s">
        <v>2560</v>
      </c>
      <c r="C379" s="35" t="s">
        <v>79</v>
      </c>
    </row>
    <row r="380" spans="1:3" hidden="1">
      <c r="A380" s="36">
        <v>27284231878</v>
      </c>
      <c r="B380" t="s">
        <v>2576</v>
      </c>
      <c r="C380" s="35" t="s">
        <v>79</v>
      </c>
    </row>
    <row r="381" spans="1:3" hidden="1">
      <c r="A381" s="36">
        <v>20347324559</v>
      </c>
      <c r="B381" t="s">
        <v>2597</v>
      </c>
      <c r="C381" s="35" t="s">
        <v>79</v>
      </c>
    </row>
    <row r="382" spans="1:3" hidden="1">
      <c r="A382" s="36">
        <v>23104796729</v>
      </c>
      <c r="B382" t="s">
        <v>2598</v>
      </c>
      <c r="C382" s="35" t="s">
        <v>79</v>
      </c>
    </row>
    <row r="383" spans="1:3" hidden="1">
      <c r="A383" s="36">
        <v>30695068286</v>
      </c>
      <c r="B383" t="s">
        <v>2601</v>
      </c>
      <c r="C383" s="35" t="s">
        <v>79</v>
      </c>
    </row>
    <row r="384" spans="1:3" hidden="1">
      <c r="A384" s="36">
        <v>20166808201</v>
      </c>
      <c r="B384" t="s">
        <v>2639</v>
      </c>
      <c r="C384" s="35" t="s">
        <v>79</v>
      </c>
    </row>
    <row r="385" spans="1:3" hidden="1">
      <c r="A385" s="36">
        <v>23173634749</v>
      </c>
      <c r="B385" t="s">
        <v>2643</v>
      </c>
      <c r="C385" s="35" t="s">
        <v>79</v>
      </c>
    </row>
    <row r="386" spans="1:3" hidden="1">
      <c r="A386" s="36">
        <v>30708985682</v>
      </c>
      <c r="B386" t="s">
        <v>2648</v>
      </c>
      <c r="C386" s="35" t="s">
        <v>79</v>
      </c>
    </row>
    <row r="387" spans="1:3" hidden="1">
      <c r="A387" s="36">
        <v>23957768849</v>
      </c>
      <c r="B387" t="s">
        <v>2543</v>
      </c>
      <c r="C387" s="35" t="s">
        <v>79</v>
      </c>
    </row>
    <row r="388" spans="1:3" ht="30" hidden="1">
      <c r="A388" s="36">
        <v>30710573308</v>
      </c>
      <c r="B388" s="2" t="s">
        <v>1571</v>
      </c>
      <c r="C388" s="35" t="s">
        <v>2697</v>
      </c>
    </row>
    <row r="389" spans="1:3" hidden="1">
      <c r="A389" s="36">
        <v>30713387009</v>
      </c>
      <c r="B389" t="s">
        <v>1573</v>
      </c>
      <c r="C389" s="35" t="s">
        <v>2697</v>
      </c>
    </row>
    <row r="390" spans="1:3" hidden="1">
      <c r="A390" s="36">
        <v>23238508789</v>
      </c>
      <c r="B390" t="s">
        <v>1574</v>
      </c>
      <c r="C390" s="35" t="s">
        <v>2697</v>
      </c>
    </row>
    <row r="391" spans="1:3" hidden="1">
      <c r="A391" s="36">
        <v>30714930490</v>
      </c>
      <c r="B391" t="s">
        <v>1576</v>
      </c>
      <c r="C391" s="35" t="s">
        <v>2697</v>
      </c>
    </row>
    <row r="392" spans="1:3" hidden="1">
      <c r="A392" s="36">
        <v>20298547822</v>
      </c>
      <c r="B392" t="s">
        <v>1582</v>
      </c>
      <c r="C392" s="35" t="s">
        <v>2697</v>
      </c>
    </row>
    <row r="393" spans="1:3" hidden="1">
      <c r="A393" s="194">
        <v>30911634</v>
      </c>
      <c r="B393" t="s">
        <v>1696</v>
      </c>
      <c r="C393" s="35" t="s">
        <v>2685</v>
      </c>
    </row>
    <row r="394" spans="1:3" hidden="1">
      <c r="A394" s="36">
        <v>27309116343</v>
      </c>
      <c r="B394" t="s">
        <v>1696</v>
      </c>
      <c r="C394" s="35" t="s">
        <v>2685</v>
      </c>
    </row>
    <row r="395" spans="1:3" hidden="1">
      <c r="A395" s="36">
        <v>20388476711</v>
      </c>
      <c r="B395" t="s">
        <v>2622</v>
      </c>
      <c r="C395" s="35" t="s">
        <v>2685</v>
      </c>
    </row>
    <row r="396" spans="1:3" hidden="1">
      <c r="A396" s="36">
        <v>27226409799</v>
      </c>
      <c r="B396" t="s">
        <v>2621</v>
      </c>
      <c r="C396" s="35" t="s">
        <v>2685</v>
      </c>
    </row>
    <row r="397" spans="1:3" hidden="1">
      <c r="A397" s="36">
        <v>24180692653</v>
      </c>
      <c r="B397" t="s">
        <v>2620</v>
      </c>
      <c r="C397" s="35" t="s">
        <v>2685</v>
      </c>
    </row>
    <row r="398" spans="1:3" hidden="1">
      <c r="A398" s="36">
        <v>20420115882</v>
      </c>
      <c r="B398" t="s">
        <v>2210</v>
      </c>
      <c r="C398" s="35" t="s">
        <v>2685</v>
      </c>
    </row>
    <row r="399" spans="1:3" hidden="1">
      <c r="A399" s="36">
        <v>20186965818</v>
      </c>
      <c r="B399" t="s">
        <v>1788</v>
      </c>
      <c r="C399" s="35" t="s">
        <v>2685</v>
      </c>
    </row>
    <row r="400" spans="1:3" hidden="1">
      <c r="A400" s="36">
        <v>20394167216</v>
      </c>
      <c r="B400" t="s">
        <v>2005</v>
      </c>
      <c r="C400" s="35" t="s">
        <v>2685</v>
      </c>
    </row>
    <row r="401" spans="1:3" hidden="1">
      <c r="A401" s="36">
        <v>20086277523</v>
      </c>
      <c r="B401" t="s">
        <v>1435</v>
      </c>
      <c r="C401" s="35" t="s">
        <v>2680</v>
      </c>
    </row>
    <row r="402" spans="1:3" hidden="1">
      <c r="A402" s="36">
        <v>20086277523</v>
      </c>
      <c r="B402" t="s">
        <v>1435</v>
      </c>
      <c r="C402" s="35" t="s">
        <v>2680</v>
      </c>
    </row>
    <row r="403" spans="1:3" hidden="1">
      <c r="A403" s="36">
        <v>23319210954</v>
      </c>
      <c r="B403" t="s">
        <v>1401</v>
      </c>
      <c r="C403" s="35" t="s">
        <v>2680</v>
      </c>
    </row>
    <row r="404" spans="1:3" hidden="1">
      <c r="A404" s="36">
        <v>20400104094</v>
      </c>
      <c r="B404" t="s">
        <v>1880</v>
      </c>
      <c r="C404" s="35" t="s">
        <v>2680</v>
      </c>
    </row>
    <row r="405" spans="1:3" hidden="1">
      <c r="A405" s="36">
        <v>27206941419</v>
      </c>
      <c r="B405" t="s">
        <v>2057</v>
      </c>
      <c r="C405" s="35" t="s">
        <v>2680</v>
      </c>
    </row>
    <row r="406" spans="1:3" hidden="1">
      <c r="A406" s="36">
        <v>20389908569</v>
      </c>
      <c r="B406" t="s">
        <v>2287</v>
      </c>
      <c r="C406" s="35" t="s">
        <v>2680</v>
      </c>
    </row>
    <row r="407" spans="1:3" hidden="1">
      <c r="A407" s="36">
        <v>23291131204</v>
      </c>
      <c r="B407" t="s">
        <v>1654</v>
      </c>
      <c r="C407" s="35" t="s">
        <v>111</v>
      </c>
    </row>
    <row r="408" spans="1:3" hidden="1">
      <c r="A408" s="36">
        <v>23080372469</v>
      </c>
      <c r="B408" t="s">
        <v>2183</v>
      </c>
      <c r="C408" s="35" t="s">
        <v>111</v>
      </c>
    </row>
    <row r="409" spans="1:3" hidden="1">
      <c r="A409" s="36">
        <v>23168773684</v>
      </c>
      <c r="B409" t="s">
        <v>2201</v>
      </c>
      <c r="C409" s="35" t="s">
        <v>111</v>
      </c>
    </row>
    <row r="410" spans="1:3" hidden="1">
      <c r="A410" s="36">
        <v>23259889359</v>
      </c>
      <c r="B410" t="s">
        <v>2211</v>
      </c>
      <c r="C410" s="35" t="s">
        <v>111</v>
      </c>
    </row>
    <row r="411" spans="1:3" hidden="1">
      <c r="A411" s="36">
        <v>20148722081</v>
      </c>
      <c r="B411" t="s">
        <v>2212</v>
      </c>
      <c r="C411" s="35" t="s">
        <v>111</v>
      </c>
    </row>
    <row r="412" spans="1:3" hidden="1">
      <c r="A412" s="36">
        <v>27057614051</v>
      </c>
      <c r="B412" t="s">
        <v>2291</v>
      </c>
      <c r="C412" s="35" t="s">
        <v>111</v>
      </c>
    </row>
    <row r="413" spans="1:3" hidden="1">
      <c r="A413" s="36">
        <v>20210551574</v>
      </c>
      <c r="B413" t="s">
        <v>1402</v>
      </c>
      <c r="C413" s="35" t="s">
        <v>111</v>
      </c>
    </row>
    <row r="414" spans="1:3" hidden="1">
      <c r="A414" s="36">
        <v>27065444777</v>
      </c>
      <c r="B414" t="s">
        <v>1879</v>
      </c>
      <c r="C414" s="35" t="s">
        <v>2690</v>
      </c>
    </row>
    <row r="415" spans="1:3" hidden="1">
      <c r="A415" s="36">
        <v>20278226922</v>
      </c>
      <c r="B415" t="s">
        <v>2445</v>
      </c>
      <c r="C415" s="35" t="s">
        <v>2690</v>
      </c>
    </row>
    <row r="416" spans="1:3" hidden="1">
      <c r="A416" s="36">
        <v>23222942934</v>
      </c>
      <c r="B416" t="s">
        <v>1851</v>
      </c>
      <c r="C416" s="35" t="s">
        <v>2690</v>
      </c>
    </row>
    <row r="417" spans="1:4" hidden="1">
      <c r="A417" s="36">
        <v>27414720450</v>
      </c>
      <c r="B417" t="s">
        <v>2105</v>
      </c>
      <c r="C417" s="35" t="s">
        <v>2690</v>
      </c>
    </row>
    <row r="418" spans="1:4" hidden="1">
      <c r="A418" s="36">
        <v>20134305283</v>
      </c>
      <c r="B418" t="s">
        <v>2121</v>
      </c>
      <c r="C418" s="35" t="s">
        <v>2690</v>
      </c>
    </row>
    <row r="419" spans="1:4" hidden="1">
      <c r="A419" s="36">
        <v>30574603788</v>
      </c>
      <c r="B419" t="s">
        <v>1354</v>
      </c>
      <c r="C419" s="35" t="s">
        <v>2662</v>
      </c>
      <c r="D419" t="s">
        <v>1756</v>
      </c>
    </row>
    <row r="420" spans="1:4" hidden="1">
      <c r="A420" s="36">
        <v>30717163296</v>
      </c>
      <c r="B420" t="s">
        <v>2046</v>
      </c>
      <c r="C420" s="35" t="s">
        <v>2662</v>
      </c>
    </row>
    <row r="421" spans="1:4" hidden="1">
      <c r="A421" s="36">
        <v>20240305128</v>
      </c>
      <c r="B421" t="s">
        <v>1162</v>
      </c>
      <c r="C421" s="35" t="s">
        <v>46</v>
      </c>
    </row>
    <row r="422" spans="1:4" hidden="1">
      <c r="A422" s="36">
        <v>20240305128</v>
      </c>
      <c r="B422" t="s">
        <v>1162</v>
      </c>
      <c r="C422" s="35" t="s">
        <v>46</v>
      </c>
    </row>
    <row r="423" spans="1:4" hidden="1">
      <c r="A423" s="36">
        <v>20240305128</v>
      </c>
      <c r="B423" t="s">
        <v>1378</v>
      </c>
      <c r="C423" s="35" t="s">
        <v>46</v>
      </c>
    </row>
    <row r="424" spans="1:4" hidden="1">
      <c r="A424" s="36">
        <v>20240305128</v>
      </c>
      <c r="B424" t="s">
        <v>1378</v>
      </c>
      <c r="C424" s="35" t="s">
        <v>46</v>
      </c>
    </row>
    <row r="425" spans="1:4" hidden="1">
      <c r="A425" s="36">
        <v>20240305128</v>
      </c>
      <c r="B425" t="s">
        <v>1162</v>
      </c>
      <c r="C425" s="35" t="s">
        <v>46</v>
      </c>
    </row>
    <row r="426" spans="1:4" hidden="1">
      <c r="A426" s="36">
        <v>20240305128</v>
      </c>
      <c r="B426" t="s">
        <v>1162</v>
      </c>
      <c r="C426" s="35" t="s">
        <v>46</v>
      </c>
    </row>
    <row r="427" spans="1:4" hidden="1">
      <c r="A427" s="36">
        <v>20240305128</v>
      </c>
      <c r="B427" t="s">
        <v>1378</v>
      </c>
      <c r="C427" s="35" t="s">
        <v>46</v>
      </c>
    </row>
    <row r="428" spans="1:4" hidden="1">
      <c r="A428" s="36">
        <v>20240305128</v>
      </c>
      <c r="B428" t="s">
        <v>1378</v>
      </c>
      <c r="C428" s="35" t="s">
        <v>46</v>
      </c>
    </row>
    <row r="429" spans="1:4" hidden="1">
      <c r="A429" s="36">
        <v>30707838260</v>
      </c>
      <c r="B429" t="s">
        <v>1387</v>
      </c>
      <c r="C429" s="35" t="s">
        <v>46</v>
      </c>
    </row>
    <row r="430" spans="1:4" hidden="1">
      <c r="A430" s="36">
        <v>30707838260</v>
      </c>
      <c r="B430" t="s">
        <v>1387</v>
      </c>
      <c r="C430" s="35" t="s">
        <v>46</v>
      </c>
    </row>
    <row r="431" spans="1:4" hidden="1">
      <c r="A431" s="36">
        <v>30712778403</v>
      </c>
      <c r="B431" t="s">
        <v>135</v>
      </c>
      <c r="C431" s="35" t="s">
        <v>46</v>
      </c>
    </row>
    <row r="432" spans="1:4" hidden="1">
      <c r="A432" s="36">
        <v>30710184816</v>
      </c>
      <c r="B432" t="s">
        <v>1956</v>
      </c>
      <c r="C432" s="35" t="s">
        <v>46</v>
      </c>
    </row>
    <row r="433" spans="1:3" hidden="1">
      <c r="A433" s="36">
        <v>20115545397</v>
      </c>
      <c r="B433" t="s">
        <v>354</v>
      </c>
      <c r="C433" s="35" t="s">
        <v>46</v>
      </c>
    </row>
    <row r="434" spans="1:3" hidden="1">
      <c r="A434" s="36">
        <v>30715148958</v>
      </c>
      <c r="B434" t="s">
        <v>355</v>
      </c>
      <c r="C434" s="35" t="s">
        <v>46</v>
      </c>
    </row>
    <row r="435" spans="1:3" hidden="1">
      <c r="A435" s="36">
        <v>30679067431</v>
      </c>
      <c r="B435" t="s">
        <v>356</v>
      </c>
      <c r="C435" s="35" t="s">
        <v>46</v>
      </c>
    </row>
    <row r="436" spans="1:3" hidden="1">
      <c r="A436" s="36">
        <v>20328816807</v>
      </c>
      <c r="B436" t="s">
        <v>1384</v>
      </c>
      <c r="C436" s="35" t="s">
        <v>46</v>
      </c>
    </row>
    <row r="437" spans="1:3" hidden="1">
      <c r="A437" s="36">
        <v>20328816807</v>
      </c>
      <c r="B437" t="s">
        <v>1384</v>
      </c>
      <c r="C437" s="35" t="s">
        <v>46</v>
      </c>
    </row>
    <row r="438" spans="1:3" hidden="1">
      <c r="A438" s="36">
        <v>30694547903</v>
      </c>
      <c r="B438" t="s">
        <v>1524</v>
      </c>
      <c r="C438" s="35" t="s">
        <v>46</v>
      </c>
    </row>
    <row r="439" spans="1:3" hidden="1">
      <c r="A439" s="36">
        <v>20172002448</v>
      </c>
      <c r="B439" t="s">
        <v>1724</v>
      </c>
      <c r="C439" s="35" t="s">
        <v>46</v>
      </c>
    </row>
    <row r="440" spans="1:3" hidden="1">
      <c r="A440" s="36">
        <v>30715683446</v>
      </c>
      <c r="B440" t="s">
        <v>1727</v>
      </c>
      <c r="C440" s="35" t="s">
        <v>46</v>
      </c>
    </row>
    <row r="441" spans="1:3" hidden="1">
      <c r="A441" s="36">
        <v>30717768511</v>
      </c>
      <c r="B441" t="s">
        <v>1763</v>
      </c>
      <c r="C441" s="35" t="s">
        <v>46</v>
      </c>
    </row>
    <row r="442" spans="1:3" hidden="1">
      <c r="A442" s="36">
        <v>30714120405</v>
      </c>
      <c r="B442" t="s">
        <v>1870</v>
      </c>
      <c r="C442" s="35" t="s">
        <v>46</v>
      </c>
    </row>
    <row r="443" spans="1:3" hidden="1">
      <c r="A443" s="36">
        <v>20104345221</v>
      </c>
      <c r="B443" t="s">
        <v>1890</v>
      </c>
      <c r="C443" s="35" t="s">
        <v>46</v>
      </c>
    </row>
    <row r="444" spans="1:3" hidden="1">
      <c r="A444" s="36">
        <v>30709487147</v>
      </c>
      <c r="B444" t="s">
        <v>1975</v>
      </c>
      <c r="C444" s="35" t="s">
        <v>46</v>
      </c>
    </row>
    <row r="445" spans="1:3" hidden="1">
      <c r="A445" s="36">
        <v>30710043562</v>
      </c>
      <c r="B445" t="s">
        <v>1995</v>
      </c>
      <c r="C445" s="35" t="s">
        <v>46</v>
      </c>
    </row>
    <row r="446" spans="1:3" hidden="1">
      <c r="A446" s="36">
        <v>30693293754</v>
      </c>
      <c r="B446" t="s">
        <v>2026</v>
      </c>
      <c r="C446" s="35" t="s">
        <v>46</v>
      </c>
    </row>
    <row r="447" spans="1:3" hidden="1">
      <c r="A447" s="36">
        <v>30718208692</v>
      </c>
      <c r="B447" t="s">
        <v>2027</v>
      </c>
      <c r="C447" s="35" t="s">
        <v>46</v>
      </c>
    </row>
    <row r="448" spans="1:3" hidden="1">
      <c r="A448" s="36">
        <v>30717202305</v>
      </c>
      <c r="B448" t="s">
        <v>2094</v>
      </c>
      <c r="C448" s="35" t="s">
        <v>46</v>
      </c>
    </row>
    <row r="449" spans="1:3" hidden="1">
      <c r="A449" s="36">
        <v>20138520391</v>
      </c>
      <c r="B449" t="s">
        <v>2171</v>
      </c>
      <c r="C449" s="35" t="s">
        <v>46</v>
      </c>
    </row>
    <row r="450" spans="1:3" hidden="1">
      <c r="A450" s="36">
        <v>20309749104</v>
      </c>
      <c r="B450" t="s">
        <v>2184</v>
      </c>
      <c r="C450" s="35" t="s">
        <v>46</v>
      </c>
    </row>
    <row r="451" spans="1:3" hidden="1">
      <c r="A451" s="36">
        <v>20274978350</v>
      </c>
      <c r="B451" t="s">
        <v>2185</v>
      </c>
      <c r="C451" s="35" t="s">
        <v>46</v>
      </c>
    </row>
    <row r="452" spans="1:3" hidden="1">
      <c r="A452" s="36">
        <v>30717210847</v>
      </c>
      <c r="B452" t="s">
        <v>2195</v>
      </c>
      <c r="C452" s="35" t="s">
        <v>46</v>
      </c>
    </row>
    <row r="453" spans="1:3" hidden="1">
      <c r="A453" s="36">
        <v>20351173913</v>
      </c>
      <c r="B453" t="s">
        <v>2232</v>
      </c>
      <c r="C453" s="35" t="s">
        <v>46</v>
      </c>
    </row>
    <row r="454" spans="1:3" hidden="1">
      <c r="A454" s="36">
        <v>20183053478</v>
      </c>
      <c r="B454" t="s">
        <v>2290</v>
      </c>
      <c r="C454" s="35" t="s">
        <v>46</v>
      </c>
    </row>
    <row r="455" spans="1:3" hidden="1">
      <c r="A455" s="36">
        <v>20236922880</v>
      </c>
      <c r="B455" t="s">
        <v>2419</v>
      </c>
      <c r="C455" s="35" t="s">
        <v>46</v>
      </c>
    </row>
    <row r="456" spans="1:3" hidden="1">
      <c r="A456" s="36">
        <v>20303568590</v>
      </c>
      <c r="B456" t="s">
        <v>2430</v>
      </c>
      <c r="C456" s="35" t="s">
        <v>46</v>
      </c>
    </row>
    <row r="457" spans="1:3" hidden="1">
      <c r="A457" s="36">
        <v>30718201760</v>
      </c>
      <c r="B457" t="s">
        <v>2432</v>
      </c>
      <c r="C457" s="35" t="s">
        <v>46</v>
      </c>
    </row>
    <row r="458" spans="1:3" hidden="1">
      <c r="A458" s="36">
        <v>30718329805</v>
      </c>
      <c r="B458" t="s">
        <v>2499</v>
      </c>
      <c r="C458" s="35" t="s">
        <v>46</v>
      </c>
    </row>
    <row r="459" spans="1:3" hidden="1">
      <c r="A459" s="36">
        <v>30715360256</v>
      </c>
      <c r="B459" t="s">
        <v>2501</v>
      </c>
      <c r="C459" s="35" t="s">
        <v>46</v>
      </c>
    </row>
    <row r="460" spans="1:3" hidden="1">
      <c r="A460" s="36">
        <v>30592097482</v>
      </c>
      <c r="B460" t="s">
        <v>2546</v>
      </c>
      <c r="C460" s="35" t="s">
        <v>46</v>
      </c>
    </row>
    <row r="461" spans="1:3" hidden="1">
      <c r="A461" s="36">
        <v>33716304669</v>
      </c>
      <c r="B461" t="s">
        <v>2550</v>
      </c>
      <c r="C461" s="35" t="s">
        <v>46</v>
      </c>
    </row>
    <row r="462" spans="1:3" hidden="1">
      <c r="A462" s="36">
        <v>30715279335</v>
      </c>
      <c r="B462" t="s">
        <v>1560</v>
      </c>
      <c r="C462" s="35" t="s">
        <v>2697</v>
      </c>
    </row>
    <row r="463" spans="1:3" hidden="1">
      <c r="A463" s="36">
        <v>30714995002</v>
      </c>
      <c r="B463" t="s">
        <v>1096</v>
      </c>
      <c r="C463" s="35" t="s">
        <v>2697</v>
      </c>
    </row>
    <row r="464" spans="1:3" hidden="1">
      <c r="A464" s="36">
        <v>30714995002</v>
      </c>
      <c r="B464" t="s">
        <v>1096</v>
      </c>
      <c r="C464" s="35" t="s">
        <v>2697</v>
      </c>
    </row>
    <row r="465" spans="1:3" hidden="1">
      <c r="A465" s="36">
        <v>30714867349</v>
      </c>
      <c r="B465" t="s">
        <v>1446</v>
      </c>
      <c r="C465" s="35" t="s">
        <v>2697</v>
      </c>
    </row>
    <row r="466" spans="1:3" hidden="1">
      <c r="A466" s="36">
        <v>30714867349</v>
      </c>
      <c r="B466" t="s">
        <v>1446</v>
      </c>
      <c r="C466" s="35" t="s">
        <v>2697</v>
      </c>
    </row>
    <row r="467" spans="1:3" hidden="1">
      <c r="A467" s="36">
        <v>30715173030</v>
      </c>
      <c r="B467" t="s">
        <v>1385</v>
      </c>
      <c r="C467" s="35" t="s">
        <v>2697</v>
      </c>
    </row>
    <row r="468" spans="1:3" hidden="1">
      <c r="A468" s="36">
        <v>30715173030</v>
      </c>
      <c r="B468" t="s">
        <v>1385</v>
      </c>
      <c r="C468" s="35" t="s">
        <v>2697</v>
      </c>
    </row>
    <row r="469" spans="1:3" hidden="1">
      <c r="A469" s="36">
        <v>30709131865</v>
      </c>
      <c r="B469" t="s">
        <v>1516</v>
      </c>
      <c r="C469" s="35" t="s">
        <v>2697</v>
      </c>
    </row>
    <row r="470" spans="1:3" hidden="1">
      <c r="A470" s="36">
        <v>30708263849</v>
      </c>
      <c r="B470" t="s">
        <v>789</v>
      </c>
      <c r="C470" s="35" t="s">
        <v>2697</v>
      </c>
    </row>
    <row r="471" spans="1:3" hidden="1">
      <c r="A471" s="36">
        <v>30710449178</v>
      </c>
      <c r="B471" t="s">
        <v>1838</v>
      </c>
      <c r="C471" s="35" t="s">
        <v>2697</v>
      </c>
    </row>
    <row r="472" spans="1:3" hidden="1">
      <c r="A472" s="36">
        <v>30519492136</v>
      </c>
      <c r="B472" t="s">
        <v>2069</v>
      </c>
      <c r="C472" s="35" t="s">
        <v>2697</v>
      </c>
    </row>
    <row r="473" spans="1:3" hidden="1">
      <c r="A473" s="36">
        <v>30708456329</v>
      </c>
      <c r="B473" t="s">
        <v>2077</v>
      </c>
      <c r="C473" s="35" t="s">
        <v>2697</v>
      </c>
    </row>
    <row r="474" spans="1:3" hidden="1">
      <c r="A474" s="36">
        <v>30640079378</v>
      </c>
      <c r="B474" t="s">
        <v>2174</v>
      </c>
      <c r="C474" s="35" t="s">
        <v>2697</v>
      </c>
    </row>
    <row r="475" spans="1:3" hidden="1">
      <c r="A475" s="36">
        <v>30640451331</v>
      </c>
      <c r="B475" t="s">
        <v>2190</v>
      </c>
      <c r="C475" s="35" t="s">
        <v>2697</v>
      </c>
    </row>
    <row r="476" spans="1:3" hidden="1">
      <c r="A476" s="36">
        <v>20372347296</v>
      </c>
      <c r="B476" t="s">
        <v>2192</v>
      </c>
      <c r="C476" s="35" t="s">
        <v>2697</v>
      </c>
    </row>
    <row r="477" spans="1:3" hidden="1">
      <c r="A477" s="36">
        <v>30709705268</v>
      </c>
      <c r="B477" t="s">
        <v>2217</v>
      </c>
      <c r="C477" s="35" t="s">
        <v>2697</v>
      </c>
    </row>
    <row r="478" spans="1:3" hidden="1">
      <c r="A478" s="36">
        <v>30708422300</v>
      </c>
      <c r="B478" t="s">
        <v>2359</v>
      </c>
      <c r="C478" s="35" t="s">
        <v>2697</v>
      </c>
    </row>
    <row r="479" spans="1:3" hidden="1">
      <c r="A479" s="36">
        <v>20939955322</v>
      </c>
      <c r="B479" t="s">
        <v>2640</v>
      </c>
      <c r="C479" s="35" t="s">
        <v>2697</v>
      </c>
    </row>
    <row r="480" spans="1:3" hidden="1">
      <c r="A480" s="36">
        <v>30716154102</v>
      </c>
      <c r="B480" t="s">
        <v>1558</v>
      </c>
      <c r="C480" s="35" t="s">
        <v>2661</v>
      </c>
    </row>
    <row r="481" spans="1:4" hidden="1">
      <c r="A481" s="36">
        <v>30679163317</v>
      </c>
      <c r="B481" t="s">
        <v>1643</v>
      </c>
      <c r="C481" s="35" t="s">
        <v>2661</v>
      </c>
    </row>
    <row r="482" spans="1:4" hidden="1">
      <c r="A482" s="36">
        <v>20183216725</v>
      </c>
      <c r="B482" t="s">
        <v>1752</v>
      </c>
      <c r="C482" s="35" t="s">
        <v>1755</v>
      </c>
      <c r="D482" t="s">
        <v>1756</v>
      </c>
    </row>
    <row r="483" spans="1:4" hidden="1">
      <c r="A483" s="36">
        <v>30717504824</v>
      </c>
      <c r="B483" t="s">
        <v>1783</v>
      </c>
      <c r="C483" s="35" t="s">
        <v>1755</v>
      </c>
    </row>
    <row r="484" spans="1:4" hidden="1">
      <c r="A484" s="36">
        <v>30715123483</v>
      </c>
      <c r="B484" t="s">
        <v>1961</v>
      </c>
      <c r="C484" s="35" t="s">
        <v>1755</v>
      </c>
    </row>
    <row r="485" spans="1:4" hidden="1">
      <c r="A485" s="36">
        <v>20101797180</v>
      </c>
      <c r="B485" t="s">
        <v>2172</v>
      </c>
      <c r="C485" s="35" t="s">
        <v>1755</v>
      </c>
    </row>
    <row r="486" spans="1:4" hidden="1">
      <c r="A486" s="36">
        <v>20121637864</v>
      </c>
      <c r="B486" t="s">
        <v>2191</v>
      </c>
      <c r="C486" s="35" t="s">
        <v>1755</v>
      </c>
    </row>
    <row r="487" spans="1:4" hidden="1">
      <c r="A487" s="36">
        <v>30694497701</v>
      </c>
      <c r="B487" t="s">
        <v>2205</v>
      </c>
      <c r="C487" s="35" t="s">
        <v>1755</v>
      </c>
    </row>
    <row r="488" spans="1:4" hidden="1">
      <c r="A488" s="36">
        <v>30645186083</v>
      </c>
      <c r="B488" t="s">
        <v>2221</v>
      </c>
      <c r="C488" s="35" t="s">
        <v>1755</v>
      </c>
    </row>
    <row r="489" spans="1:4" hidden="1">
      <c r="A489" s="36">
        <v>30711097518</v>
      </c>
      <c r="B489" t="s">
        <v>2557</v>
      </c>
      <c r="C489" s="35" t="s">
        <v>1755</v>
      </c>
    </row>
    <row r="490" spans="1:4" hidden="1">
      <c r="A490" s="36">
        <v>20247154753</v>
      </c>
      <c r="B490" t="s">
        <v>2558</v>
      </c>
      <c r="C490" s="35" t="s">
        <v>1755</v>
      </c>
    </row>
    <row r="491" spans="1:4" hidden="1">
      <c r="A491" s="36">
        <v>20932321816</v>
      </c>
      <c r="B491" t="s">
        <v>2594</v>
      </c>
      <c r="C491" s="35" t="s">
        <v>1755</v>
      </c>
    </row>
    <row r="492" spans="1:4" hidden="1">
      <c r="A492" s="36">
        <v>30717479641</v>
      </c>
      <c r="B492" t="s">
        <v>2596</v>
      </c>
      <c r="C492" s="35" t="s">
        <v>1755</v>
      </c>
    </row>
    <row r="493" spans="1:4" hidden="1">
      <c r="A493" s="36">
        <v>30708166673</v>
      </c>
      <c r="B493" t="s">
        <v>2646</v>
      </c>
      <c r="C493" s="35" t="s">
        <v>1755</v>
      </c>
    </row>
    <row r="494" spans="1:4" hidden="1">
      <c r="A494" s="36">
        <v>30646512952</v>
      </c>
      <c r="B494" t="s">
        <v>680</v>
      </c>
      <c r="C494" s="35" t="s">
        <v>2691</v>
      </c>
    </row>
    <row r="495" spans="1:4" hidden="1">
      <c r="A495" s="36">
        <v>30696106068</v>
      </c>
      <c r="B495" t="s">
        <v>1536</v>
      </c>
      <c r="C495" s="35" t="s">
        <v>2691</v>
      </c>
    </row>
    <row r="496" spans="1:4" hidden="1">
      <c r="A496" s="36">
        <v>30697754063</v>
      </c>
      <c r="B496" t="s">
        <v>681</v>
      </c>
      <c r="C496" s="35" t="s">
        <v>2691</v>
      </c>
    </row>
    <row r="497" spans="1:4" hidden="1">
      <c r="A497" s="36">
        <v>33716463899</v>
      </c>
      <c r="B497" t="s">
        <v>1808</v>
      </c>
      <c r="C497" s="35" t="s">
        <v>2691</v>
      </c>
    </row>
    <row r="498" spans="1:4" hidden="1">
      <c r="A498" s="36">
        <v>30716339757</v>
      </c>
      <c r="B498" t="s">
        <v>1834</v>
      </c>
      <c r="C498" s="35" t="s">
        <v>2691</v>
      </c>
    </row>
    <row r="499" spans="1:4" hidden="1">
      <c r="A499" s="36">
        <v>30577428618</v>
      </c>
      <c r="B499" t="s">
        <v>98</v>
      </c>
      <c r="C499" s="35" t="s">
        <v>2691</v>
      </c>
    </row>
    <row r="500" spans="1:4" hidden="1">
      <c r="A500" s="36" t="s">
        <v>1719</v>
      </c>
      <c r="B500" t="s">
        <v>1584</v>
      </c>
      <c r="C500" s="35" t="s">
        <v>2691</v>
      </c>
    </row>
    <row r="501" spans="1:4" hidden="1">
      <c r="A501" s="36">
        <v>30553547942</v>
      </c>
      <c r="B501" t="s">
        <v>2015</v>
      </c>
      <c r="C501" s="35" t="s">
        <v>2691</v>
      </c>
    </row>
    <row r="502" spans="1:4" hidden="1">
      <c r="A502" s="36">
        <v>30708560568</v>
      </c>
      <c r="B502" t="s">
        <v>2132</v>
      </c>
      <c r="C502" s="35" t="s">
        <v>2691</v>
      </c>
    </row>
    <row r="503" spans="1:4" hidden="1">
      <c r="A503" s="36">
        <v>30707528008</v>
      </c>
      <c r="B503" t="s">
        <v>2179</v>
      </c>
      <c r="C503" s="35" t="s">
        <v>2691</v>
      </c>
    </row>
    <row r="504" spans="1:4" hidden="1">
      <c r="A504" s="36">
        <v>30655261695</v>
      </c>
      <c r="B504" t="s">
        <v>2508</v>
      </c>
      <c r="C504" s="35" t="s">
        <v>2691</v>
      </c>
    </row>
    <row r="505" spans="1:4" hidden="1">
      <c r="A505" s="36">
        <v>30707463143</v>
      </c>
      <c r="B505" t="s">
        <v>1365</v>
      </c>
      <c r="C505" s="35" t="s">
        <v>2673</v>
      </c>
    </row>
    <row r="506" spans="1:4" hidden="1">
      <c r="A506" s="36">
        <v>30707463143</v>
      </c>
      <c r="B506" t="s">
        <v>1365</v>
      </c>
      <c r="C506" s="35" t="s">
        <v>2673</v>
      </c>
    </row>
    <row r="507" spans="1:4" hidden="1">
      <c r="A507" s="36">
        <v>30707463143</v>
      </c>
      <c r="B507" t="s">
        <v>1148</v>
      </c>
      <c r="C507" s="35" t="s">
        <v>2673</v>
      </c>
    </row>
    <row r="508" spans="1:4" hidden="1">
      <c r="A508" s="36">
        <v>30707463143</v>
      </c>
      <c r="B508" t="s">
        <v>1148</v>
      </c>
      <c r="C508" s="35" t="s">
        <v>2673</v>
      </c>
    </row>
    <row r="509" spans="1:4" hidden="1">
      <c r="A509" s="36">
        <v>30707924906</v>
      </c>
      <c r="B509" t="s">
        <v>1827</v>
      </c>
      <c r="C509" s="35" t="s">
        <v>2673</v>
      </c>
    </row>
    <row r="510" spans="1:4" hidden="1">
      <c r="A510" s="36">
        <v>30679907995</v>
      </c>
      <c r="B510" t="s">
        <v>1762</v>
      </c>
      <c r="C510" s="35" t="s">
        <v>2673</v>
      </c>
      <c r="D510" t="s">
        <v>1756</v>
      </c>
    </row>
    <row r="511" spans="1:4" hidden="1">
      <c r="A511" s="36">
        <v>30528214483</v>
      </c>
      <c r="B511" t="s">
        <v>1738</v>
      </c>
      <c r="C511" s="35" t="s">
        <v>2673</v>
      </c>
    </row>
    <row r="512" spans="1:4" hidden="1">
      <c r="A512" s="36">
        <v>30708779977</v>
      </c>
      <c r="B512" t="s">
        <v>2545</v>
      </c>
      <c r="C512" s="35" t="s">
        <v>2673</v>
      </c>
    </row>
    <row r="513" spans="1:3" hidden="1">
      <c r="A513" s="36">
        <v>30708402911</v>
      </c>
      <c r="B513" t="s">
        <v>2681</v>
      </c>
      <c r="C513" s="35" t="s">
        <v>2673</v>
      </c>
    </row>
    <row r="514" spans="1:3" hidden="1">
      <c r="A514" s="36">
        <v>3368716054</v>
      </c>
      <c r="B514" t="s">
        <v>125</v>
      </c>
      <c r="C514" s="35" t="s">
        <v>2673</v>
      </c>
    </row>
    <row r="515" spans="1:3" hidden="1">
      <c r="A515" s="36">
        <v>33687160539</v>
      </c>
      <c r="B515" t="s">
        <v>125</v>
      </c>
      <c r="C515" s="35" t="s">
        <v>2673</v>
      </c>
    </row>
    <row r="516" spans="1:3" hidden="1">
      <c r="A516" s="36">
        <v>30707867325</v>
      </c>
      <c r="B516" t="s">
        <v>126</v>
      </c>
      <c r="C516" s="35" t="s">
        <v>2673</v>
      </c>
    </row>
    <row r="517" spans="1:3" hidden="1">
      <c r="A517" s="36">
        <v>30711694281</v>
      </c>
      <c r="B517" t="s">
        <v>137</v>
      </c>
      <c r="C517" s="35" t="s">
        <v>2673</v>
      </c>
    </row>
    <row r="518" spans="1:3" hidden="1">
      <c r="A518" s="36">
        <v>30715225618</v>
      </c>
      <c r="B518" t="s">
        <v>143</v>
      </c>
      <c r="C518" s="35" t="s">
        <v>2673</v>
      </c>
    </row>
    <row r="519" spans="1:3" hidden="1">
      <c r="A519" s="36">
        <v>30541849307</v>
      </c>
      <c r="B519" t="s">
        <v>153</v>
      </c>
      <c r="C519" s="35" t="s">
        <v>2673</v>
      </c>
    </row>
    <row r="520" spans="1:3" hidden="1">
      <c r="A520" s="36">
        <v>20270084304</v>
      </c>
      <c r="B520" t="s">
        <v>156</v>
      </c>
      <c r="C520" s="35" t="s">
        <v>2673</v>
      </c>
    </row>
    <row r="521" spans="1:3" hidden="1">
      <c r="A521" s="36">
        <v>20108381508</v>
      </c>
      <c r="B521" t="s">
        <v>159</v>
      </c>
      <c r="C521" s="35" t="s">
        <v>2673</v>
      </c>
    </row>
    <row r="522" spans="1:3" hidden="1">
      <c r="A522" s="36">
        <v>20253264390</v>
      </c>
      <c r="B522" t="s">
        <v>162</v>
      </c>
      <c r="C522" s="35" t="s">
        <v>2673</v>
      </c>
    </row>
    <row r="523" spans="1:3" hidden="1">
      <c r="A523" s="36">
        <v>23219640269</v>
      </c>
      <c r="B523" t="s">
        <v>168</v>
      </c>
      <c r="C523" s="35" t="s">
        <v>2673</v>
      </c>
    </row>
    <row r="524" spans="1:3" hidden="1">
      <c r="A524" s="36">
        <v>30699407476</v>
      </c>
      <c r="B524" t="s">
        <v>169</v>
      </c>
      <c r="C524" s="35" t="s">
        <v>2673</v>
      </c>
    </row>
    <row r="525" spans="1:3" hidden="1">
      <c r="A525" s="36">
        <v>30551450445</v>
      </c>
      <c r="B525" t="s">
        <v>171</v>
      </c>
      <c r="C525" s="35" t="s">
        <v>2673</v>
      </c>
    </row>
    <row r="526" spans="1:3" hidden="1">
      <c r="A526" s="36">
        <v>30631285038</v>
      </c>
      <c r="B526" t="s">
        <v>174</v>
      </c>
      <c r="C526" s="35" t="s">
        <v>2673</v>
      </c>
    </row>
    <row r="527" spans="1:3" hidden="1">
      <c r="A527" s="36">
        <v>30714254533</v>
      </c>
      <c r="B527" t="s">
        <v>175</v>
      </c>
      <c r="C527" s="35" t="s">
        <v>2673</v>
      </c>
    </row>
    <row r="528" spans="1:3" hidden="1">
      <c r="A528" s="36">
        <v>30712354409</v>
      </c>
      <c r="B528" t="s">
        <v>176</v>
      </c>
      <c r="C528" s="35" t="s">
        <v>2673</v>
      </c>
    </row>
    <row r="529" spans="1:3" hidden="1">
      <c r="A529" s="36">
        <v>30576631665</v>
      </c>
      <c r="B529" t="s">
        <v>177</v>
      </c>
      <c r="C529" s="35" t="s">
        <v>2673</v>
      </c>
    </row>
    <row r="530" spans="1:3" hidden="1">
      <c r="A530" s="36">
        <v>30714696153</v>
      </c>
      <c r="B530" t="s">
        <v>184</v>
      </c>
      <c r="C530" s="35" t="s">
        <v>2673</v>
      </c>
    </row>
    <row r="531" spans="1:3" hidden="1">
      <c r="A531" s="36">
        <v>30709443220</v>
      </c>
      <c r="B531" t="s">
        <v>201</v>
      </c>
      <c r="C531" s="35" t="s">
        <v>2673</v>
      </c>
    </row>
    <row r="532" spans="1:3" hidden="1">
      <c r="A532" s="36">
        <v>30651822021</v>
      </c>
      <c r="B532" t="s">
        <v>216</v>
      </c>
      <c r="C532" s="35" t="s">
        <v>2673</v>
      </c>
    </row>
    <row r="533" spans="1:3" hidden="1">
      <c r="A533" s="36">
        <v>30709273465</v>
      </c>
      <c r="B533" t="s">
        <v>220</v>
      </c>
      <c r="C533" s="35" t="s">
        <v>2673</v>
      </c>
    </row>
    <row r="534" spans="1:3" hidden="1">
      <c r="A534" s="36">
        <v>30710149468</v>
      </c>
      <c r="B534" t="s">
        <v>222</v>
      </c>
      <c r="C534" s="35" t="s">
        <v>2673</v>
      </c>
    </row>
    <row r="535" spans="1:3" hidden="1">
      <c r="A535" s="36">
        <v>30709863076</v>
      </c>
      <c r="B535" t="s">
        <v>1352</v>
      </c>
      <c r="C535" s="35" t="s">
        <v>2673</v>
      </c>
    </row>
    <row r="536" spans="1:3" hidden="1">
      <c r="A536" s="36">
        <v>30709863076</v>
      </c>
      <c r="B536" t="s">
        <v>1352</v>
      </c>
      <c r="C536" s="35" t="s">
        <v>2673</v>
      </c>
    </row>
    <row r="537" spans="1:3" hidden="1">
      <c r="A537" s="36">
        <v>33689726009</v>
      </c>
      <c r="B537" t="s">
        <v>2189</v>
      </c>
      <c r="C537" s="35" t="s">
        <v>2673</v>
      </c>
    </row>
    <row r="538" spans="1:3" hidden="1">
      <c r="A538" s="36">
        <v>30697770069</v>
      </c>
      <c r="B538" t="s">
        <v>239</v>
      </c>
      <c r="C538" s="35" t="s">
        <v>2673</v>
      </c>
    </row>
    <row r="539" spans="1:3" hidden="1">
      <c r="A539" s="36">
        <v>33715678689</v>
      </c>
      <c r="B539" t="s">
        <v>242</v>
      </c>
      <c r="C539" s="35" t="s">
        <v>2673</v>
      </c>
    </row>
    <row r="540" spans="1:3" hidden="1">
      <c r="A540" s="36">
        <v>30559807970</v>
      </c>
      <c r="B540" t="s">
        <v>249</v>
      </c>
      <c r="C540" s="35" t="s">
        <v>2673</v>
      </c>
    </row>
    <row r="541" spans="1:3" hidden="1">
      <c r="A541" s="36">
        <v>30708214813</v>
      </c>
      <c r="B541" t="s">
        <v>251</v>
      </c>
      <c r="C541" s="35" t="s">
        <v>2673</v>
      </c>
    </row>
    <row r="542" spans="1:3" hidden="1">
      <c r="A542" s="36">
        <v>30709267821</v>
      </c>
      <c r="B542" t="s">
        <v>255</v>
      </c>
      <c r="C542" s="35" t="s">
        <v>2673</v>
      </c>
    </row>
    <row r="543" spans="1:3" hidden="1">
      <c r="A543" s="36">
        <v>30707249001</v>
      </c>
      <c r="B543" t="s">
        <v>258</v>
      </c>
      <c r="C543" s="35" t="s">
        <v>2673</v>
      </c>
    </row>
    <row r="544" spans="1:3" hidden="1">
      <c r="A544" s="36">
        <v>20929018347</v>
      </c>
      <c r="B544" t="s">
        <v>270</v>
      </c>
      <c r="C544" s="35" t="s">
        <v>2673</v>
      </c>
    </row>
    <row r="545" spans="1:3" hidden="1">
      <c r="A545" s="36">
        <v>20236755526</v>
      </c>
      <c r="B545" t="s">
        <v>272</v>
      </c>
      <c r="C545" s="35" t="s">
        <v>2673</v>
      </c>
    </row>
    <row r="546" spans="1:3" hidden="1">
      <c r="A546" s="36">
        <v>30678264969</v>
      </c>
      <c r="B546" t="s">
        <v>279</v>
      </c>
      <c r="C546" s="35" t="s">
        <v>2673</v>
      </c>
    </row>
    <row r="547" spans="1:3" hidden="1">
      <c r="A547" s="36">
        <v>30707682279</v>
      </c>
      <c r="B547" t="s">
        <v>280</v>
      </c>
      <c r="C547" s="35" t="s">
        <v>2673</v>
      </c>
    </row>
    <row r="548" spans="1:3" hidden="1">
      <c r="A548" s="36">
        <v>20958560177</v>
      </c>
      <c r="B548" t="s">
        <v>2207</v>
      </c>
      <c r="C548" s="35" t="s">
        <v>2673</v>
      </c>
    </row>
    <row r="549" spans="1:3" hidden="1">
      <c r="A549" s="36">
        <v>30500805222</v>
      </c>
      <c r="B549" t="s">
        <v>283</v>
      </c>
      <c r="C549" s="35" t="s">
        <v>2673</v>
      </c>
    </row>
    <row r="550" spans="1:3" hidden="1">
      <c r="A550" s="36">
        <v>33709050589</v>
      </c>
      <c r="B550" t="s">
        <v>286</v>
      </c>
      <c r="C550" s="35" t="s">
        <v>2673</v>
      </c>
    </row>
    <row r="551" spans="1:3" hidden="1">
      <c r="A551" s="36">
        <v>30709153095</v>
      </c>
      <c r="B551" t="s">
        <v>334</v>
      </c>
      <c r="C551" s="35" t="s">
        <v>2673</v>
      </c>
    </row>
    <row r="552" spans="1:3" hidden="1">
      <c r="A552" s="36">
        <v>30710386559</v>
      </c>
      <c r="B552" t="s">
        <v>337</v>
      </c>
      <c r="C552" s="35" t="s">
        <v>2673</v>
      </c>
    </row>
    <row r="553" spans="1:3" hidden="1">
      <c r="A553" s="36">
        <v>20162031326</v>
      </c>
      <c r="B553" t="s">
        <v>344</v>
      </c>
      <c r="C553" s="35" t="s">
        <v>2673</v>
      </c>
    </row>
    <row r="554" spans="1:3" hidden="1">
      <c r="A554" s="36">
        <v>30500833781</v>
      </c>
      <c r="B554" t="s">
        <v>374</v>
      </c>
      <c r="C554" s="35" t="s">
        <v>2673</v>
      </c>
    </row>
    <row r="555" spans="1:3" hidden="1">
      <c r="A555" s="36">
        <v>27345827841</v>
      </c>
      <c r="B555" t="s">
        <v>377</v>
      </c>
      <c r="C555" s="35" t="s">
        <v>2673</v>
      </c>
    </row>
    <row r="556" spans="1:3" hidden="1">
      <c r="A556" s="36">
        <v>30712512241</v>
      </c>
      <c r="B556" t="s">
        <v>397</v>
      </c>
      <c r="C556" s="35" t="s">
        <v>2673</v>
      </c>
    </row>
    <row r="557" spans="1:3" hidden="1">
      <c r="A557" s="36">
        <v>30651861299</v>
      </c>
      <c r="B557" t="s">
        <v>403</v>
      </c>
      <c r="C557" s="35" t="s">
        <v>2673</v>
      </c>
    </row>
    <row r="558" spans="1:3" hidden="1">
      <c r="A558" s="36">
        <v>30702997352</v>
      </c>
      <c r="B558" t="s">
        <v>413</v>
      </c>
      <c r="C558" s="35" t="s">
        <v>2673</v>
      </c>
    </row>
    <row r="559" spans="1:3" hidden="1">
      <c r="A559" s="36">
        <v>20182873277</v>
      </c>
      <c r="B559" t="s">
        <v>414</v>
      </c>
      <c r="C559" s="35" t="s">
        <v>2673</v>
      </c>
    </row>
    <row r="560" spans="1:3" hidden="1">
      <c r="A560" s="36">
        <v>27101420391</v>
      </c>
      <c r="B560" t="s">
        <v>417</v>
      </c>
      <c r="C560" s="35" t="s">
        <v>2673</v>
      </c>
    </row>
    <row r="561" spans="1:3" hidden="1">
      <c r="A561" s="36">
        <v>20044447437</v>
      </c>
      <c r="B561" t="s">
        <v>422</v>
      </c>
      <c r="C561" s="35" t="s">
        <v>2673</v>
      </c>
    </row>
    <row r="562" spans="1:3" hidden="1">
      <c r="A562" s="36">
        <v>20239529772</v>
      </c>
      <c r="B562" t="s">
        <v>426</v>
      </c>
      <c r="C562" s="35" t="s">
        <v>2673</v>
      </c>
    </row>
    <row r="563" spans="1:3" hidden="1">
      <c r="A563" s="36">
        <v>23233422029</v>
      </c>
      <c r="B563" t="s">
        <v>432</v>
      </c>
      <c r="C563" s="35" t="s">
        <v>2673</v>
      </c>
    </row>
    <row r="564" spans="1:3" hidden="1">
      <c r="A564" s="36">
        <v>30707518541</v>
      </c>
      <c r="B564" t="s">
        <v>439</v>
      </c>
      <c r="C564" s="35" t="s">
        <v>2673</v>
      </c>
    </row>
    <row r="565" spans="1:3" hidden="1">
      <c r="A565" s="36">
        <v>30715672290</v>
      </c>
      <c r="B565" t="s">
        <v>443</v>
      </c>
      <c r="C565" s="35" t="s">
        <v>2673</v>
      </c>
    </row>
    <row r="566" spans="1:3" hidden="1">
      <c r="A566" s="36">
        <v>30707042679</v>
      </c>
      <c r="B566" t="s">
        <v>444</v>
      </c>
      <c r="C566" s="35" t="s">
        <v>2673</v>
      </c>
    </row>
    <row r="567" spans="1:3" hidden="1">
      <c r="A567" s="36">
        <v>20077901370</v>
      </c>
      <c r="B567" t="s">
        <v>451</v>
      </c>
      <c r="C567" s="35" t="s">
        <v>2673</v>
      </c>
    </row>
    <row r="568" spans="1:3" hidden="1">
      <c r="A568" s="36">
        <v>30710816049</v>
      </c>
      <c r="B568" t="s">
        <v>456</v>
      </c>
      <c r="C568" s="35" t="s">
        <v>2673</v>
      </c>
    </row>
    <row r="569" spans="1:3" hidden="1">
      <c r="A569" s="36">
        <v>30679139122</v>
      </c>
      <c r="B569" t="s">
        <v>465</v>
      </c>
      <c r="C569" s="35" t="s">
        <v>2673</v>
      </c>
    </row>
    <row r="570" spans="1:3" hidden="1">
      <c r="A570" s="36">
        <v>30549180783</v>
      </c>
      <c r="B570" t="s">
        <v>467</v>
      </c>
      <c r="C570" s="35" t="s">
        <v>2673</v>
      </c>
    </row>
    <row r="571" spans="1:3" hidden="1">
      <c r="A571" s="36">
        <v>30708469986</v>
      </c>
      <c r="B571" t="s">
        <v>472</v>
      </c>
      <c r="C571" s="35" t="s">
        <v>2673</v>
      </c>
    </row>
    <row r="572" spans="1:3" hidden="1">
      <c r="A572" s="36">
        <v>30702073657</v>
      </c>
      <c r="B572" t="s">
        <v>2288</v>
      </c>
      <c r="C572" s="35" t="s">
        <v>2673</v>
      </c>
    </row>
    <row r="573" spans="1:3" hidden="1">
      <c r="A573" s="36">
        <v>30715772783</v>
      </c>
      <c r="B573" t="s">
        <v>487</v>
      </c>
      <c r="C573" s="35" t="s">
        <v>2673</v>
      </c>
    </row>
    <row r="574" spans="1:3" hidden="1">
      <c r="A574" s="36">
        <v>20269013746</v>
      </c>
      <c r="B574" t="s">
        <v>491</v>
      </c>
      <c r="C574" s="35" t="s">
        <v>2673</v>
      </c>
    </row>
    <row r="575" spans="1:3" hidden="1">
      <c r="A575" s="36">
        <v>20291935401</v>
      </c>
      <c r="B575" t="s">
        <v>493</v>
      </c>
      <c r="C575" s="35" t="s">
        <v>2673</v>
      </c>
    </row>
    <row r="576" spans="1:3" hidden="1">
      <c r="A576" s="36">
        <v>20081262897</v>
      </c>
      <c r="B576" t="s">
        <v>497</v>
      </c>
      <c r="C576" s="35" t="s">
        <v>2673</v>
      </c>
    </row>
    <row r="577" spans="1:4" hidden="1">
      <c r="A577" s="36">
        <v>30640804463</v>
      </c>
      <c r="B577" t="s">
        <v>1959</v>
      </c>
      <c r="C577" s="35" t="s">
        <v>2673</v>
      </c>
    </row>
    <row r="578" spans="1:4" hidden="1">
      <c r="A578" s="36">
        <v>30713979704</v>
      </c>
      <c r="B578" t="s">
        <v>525</v>
      </c>
      <c r="C578" s="35" t="s">
        <v>2673</v>
      </c>
    </row>
    <row r="579" spans="1:4" hidden="1">
      <c r="A579" s="36">
        <v>20181837617</v>
      </c>
      <c r="B579" t="s">
        <v>527</v>
      </c>
      <c r="C579" s="35" t="s">
        <v>2673</v>
      </c>
    </row>
    <row r="580" spans="1:4" hidden="1">
      <c r="A580" s="36">
        <v>20232991527</v>
      </c>
      <c r="B580" t="s">
        <v>538</v>
      </c>
      <c r="C580" s="35" t="s">
        <v>2673</v>
      </c>
    </row>
    <row r="581" spans="1:4" hidden="1">
      <c r="A581" s="36">
        <v>20372789507</v>
      </c>
      <c r="B581" t="s">
        <v>1936</v>
      </c>
      <c r="C581" s="35" t="s">
        <v>2673</v>
      </c>
      <c r="D581" t="s">
        <v>1756</v>
      </c>
    </row>
    <row r="582" spans="1:4" hidden="1">
      <c r="A582" s="36">
        <v>27243890484</v>
      </c>
      <c r="B582" t="s">
        <v>1792</v>
      </c>
      <c r="C582" s="35" t="s">
        <v>2673</v>
      </c>
    </row>
    <row r="583" spans="1:4" hidden="1">
      <c r="A583" s="36">
        <v>30707838384</v>
      </c>
      <c r="B583" t="s">
        <v>549</v>
      </c>
      <c r="C583" s="35" t="s">
        <v>2673</v>
      </c>
    </row>
    <row r="584" spans="1:4" hidden="1">
      <c r="A584" s="36">
        <v>30715564749</v>
      </c>
      <c r="B584" t="s">
        <v>560</v>
      </c>
      <c r="C584" s="35" t="s">
        <v>2673</v>
      </c>
    </row>
    <row r="585" spans="1:4" hidden="1">
      <c r="A585" s="36">
        <v>30625911334</v>
      </c>
      <c r="B585" t="s">
        <v>561</v>
      </c>
      <c r="C585" s="35" t="s">
        <v>2673</v>
      </c>
    </row>
    <row r="586" spans="1:4" hidden="1">
      <c r="A586" s="36">
        <v>30714187658</v>
      </c>
      <c r="B586" t="s">
        <v>566</v>
      </c>
      <c r="C586" s="35" t="s">
        <v>2673</v>
      </c>
    </row>
    <row r="587" spans="1:4" hidden="1">
      <c r="A587" s="36">
        <v>30504854023</v>
      </c>
      <c r="B587" t="s">
        <v>571</v>
      </c>
      <c r="C587" s="35" t="s">
        <v>2673</v>
      </c>
    </row>
    <row r="588" spans="1:4" hidden="1">
      <c r="A588" s="36">
        <v>30712162682</v>
      </c>
      <c r="B588" t="s">
        <v>2133</v>
      </c>
      <c r="C588" s="35" t="s">
        <v>2673</v>
      </c>
    </row>
    <row r="589" spans="1:4" hidden="1">
      <c r="A589" s="36">
        <v>30714911976</v>
      </c>
      <c r="B589" t="s">
        <v>582</v>
      </c>
      <c r="C589" s="35" t="s">
        <v>2673</v>
      </c>
    </row>
    <row r="590" spans="1:4" hidden="1">
      <c r="A590" s="36">
        <v>30712543120</v>
      </c>
      <c r="B590" t="s">
        <v>2176</v>
      </c>
      <c r="C590" s="35" t="s">
        <v>2673</v>
      </c>
    </row>
    <row r="591" spans="1:4" hidden="1">
      <c r="A591" s="36">
        <v>30708387114</v>
      </c>
      <c r="B591" t="s">
        <v>584</v>
      </c>
      <c r="C591" s="35" t="s">
        <v>2673</v>
      </c>
    </row>
    <row r="592" spans="1:4" hidden="1">
      <c r="A592" s="36">
        <v>30709059471</v>
      </c>
      <c r="B592" t="s">
        <v>585</v>
      </c>
      <c r="C592" s="35" t="s">
        <v>2673</v>
      </c>
    </row>
    <row r="593" spans="1:3" hidden="1">
      <c r="A593" s="36">
        <v>30702843576</v>
      </c>
      <c r="B593" t="s">
        <v>586</v>
      </c>
      <c r="C593" s="35" t="s">
        <v>2673</v>
      </c>
    </row>
    <row r="594" spans="1:3" hidden="1">
      <c r="A594" s="36">
        <v>30710444273</v>
      </c>
      <c r="B594" t="s">
        <v>2595</v>
      </c>
      <c r="C594" s="35" t="s">
        <v>2673</v>
      </c>
    </row>
    <row r="595" spans="1:3" hidden="1">
      <c r="A595" s="36">
        <v>30598946694</v>
      </c>
      <c r="B595" t="s">
        <v>535</v>
      </c>
      <c r="C595" s="35" t="s">
        <v>2673</v>
      </c>
    </row>
    <row r="596" spans="1:3" hidden="1">
      <c r="A596" s="36">
        <v>30500597557</v>
      </c>
      <c r="B596" t="s">
        <v>601</v>
      </c>
      <c r="C596" s="35" t="s">
        <v>2673</v>
      </c>
    </row>
    <row r="597" spans="1:3" hidden="1">
      <c r="A597" s="36">
        <v>30611371213</v>
      </c>
      <c r="B597" t="s">
        <v>602</v>
      </c>
      <c r="C597" s="35" t="s">
        <v>2673</v>
      </c>
    </row>
    <row r="598" spans="1:3" hidden="1">
      <c r="A598" s="36">
        <v>30661498575</v>
      </c>
      <c r="B598" t="s">
        <v>606</v>
      </c>
      <c r="C598" s="35" t="s">
        <v>2673</v>
      </c>
    </row>
    <row r="599" spans="1:3" hidden="1">
      <c r="A599" s="36">
        <v>33709738459</v>
      </c>
      <c r="B599" t="s">
        <v>607</v>
      </c>
      <c r="C599" s="35" t="s">
        <v>2673</v>
      </c>
    </row>
    <row r="600" spans="1:3" hidden="1">
      <c r="A600" s="36">
        <v>30696246234</v>
      </c>
      <c r="B600" t="s">
        <v>608</v>
      </c>
      <c r="C600" s="35" t="s">
        <v>2673</v>
      </c>
    </row>
    <row r="601" spans="1:3" hidden="1">
      <c r="A601" s="36">
        <v>30707080198</v>
      </c>
      <c r="B601" t="s">
        <v>617</v>
      </c>
      <c r="C601" s="35" t="s">
        <v>2673</v>
      </c>
    </row>
    <row r="602" spans="1:3" hidden="1">
      <c r="A602" s="36">
        <v>30643862928</v>
      </c>
      <c r="B602" t="s">
        <v>618</v>
      </c>
      <c r="C602" s="35" t="s">
        <v>2673</v>
      </c>
    </row>
    <row r="603" spans="1:3" hidden="1">
      <c r="A603" s="36">
        <v>20225106151</v>
      </c>
      <c r="B603" t="s">
        <v>629</v>
      </c>
      <c r="C603" s="35" t="s">
        <v>2673</v>
      </c>
    </row>
    <row r="604" spans="1:3" hidden="1">
      <c r="A604" s="36">
        <v>30591633984</v>
      </c>
      <c r="B604" t="s">
        <v>631</v>
      </c>
      <c r="C604" s="35" t="s">
        <v>2673</v>
      </c>
    </row>
    <row r="605" spans="1:3" hidden="1">
      <c r="A605" s="36">
        <v>30588917157</v>
      </c>
      <c r="B605" t="s">
        <v>635</v>
      </c>
      <c r="C605" s="35" t="s">
        <v>2673</v>
      </c>
    </row>
    <row r="606" spans="1:3" hidden="1">
      <c r="A606" s="36">
        <v>30715401114</v>
      </c>
      <c r="B606" t="s">
        <v>638</v>
      </c>
      <c r="C606" s="35" t="s">
        <v>2673</v>
      </c>
    </row>
    <row r="607" spans="1:3" hidden="1">
      <c r="A607" s="36">
        <v>20101144152</v>
      </c>
      <c r="B607" t="s">
        <v>2392</v>
      </c>
      <c r="C607" s="35" t="s">
        <v>2673</v>
      </c>
    </row>
    <row r="608" spans="1:3" hidden="1">
      <c r="A608" s="36">
        <v>20277890306</v>
      </c>
      <c r="B608" t="s">
        <v>665</v>
      </c>
      <c r="C608" s="35" t="s">
        <v>2673</v>
      </c>
    </row>
    <row r="609" spans="1:4" hidden="1">
      <c r="A609" s="36">
        <v>30502174904</v>
      </c>
      <c r="B609" t="s">
        <v>674</v>
      </c>
      <c r="C609" s="35" t="s">
        <v>2673</v>
      </c>
    </row>
    <row r="610" spans="1:4" hidden="1">
      <c r="A610" s="36">
        <v>20304493039</v>
      </c>
      <c r="B610" t="s">
        <v>687</v>
      </c>
      <c r="C610" s="35" t="s">
        <v>2673</v>
      </c>
    </row>
    <row r="611" spans="1:4" hidden="1">
      <c r="A611" s="36">
        <v>33517024819</v>
      </c>
      <c r="B611" t="s">
        <v>694</v>
      </c>
      <c r="C611" s="35" t="s">
        <v>2673</v>
      </c>
    </row>
    <row r="612" spans="1:4" hidden="1">
      <c r="A612" s="36">
        <v>30709568260</v>
      </c>
      <c r="B612" t="s">
        <v>705</v>
      </c>
      <c r="C612" s="35" t="s">
        <v>2673</v>
      </c>
    </row>
    <row r="613" spans="1:4" hidden="1">
      <c r="A613" s="36">
        <v>30503940147</v>
      </c>
      <c r="B613" t="s">
        <v>725</v>
      </c>
      <c r="C613" s="35" t="s">
        <v>2673</v>
      </c>
    </row>
    <row r="614" spans="1:4" hidden="1">
      <c r="A614" s="36">
        <v>27163348190</v>
      </c>
      <c r="B614" t="s">
        <v>727</v>
      </c>
      <c r="C614" s="35" t="s">
        <v>2673</v>
      </c>
    </row>
    <row r="615" spans="1:4" hidden="1">
      <c r="A615" s="36">
        <v>30714863815</v>
      </c>
      <c r="B615" t="s">
        <v>1556</v>
      </c>
      <c r="C615" s="35" t="s">
        <v>2673</v>
      </c>
    </row>
    <row r="616" spans="1:4" hidden="1">
      <c r="A616" s="36">
        <v>30517345039</v>
      </c>
      <c r="B616" t="s">
        <v>729</v>
      </c>
      <c r="C616" s="35" t="s">
        <v>2673</v>
      </c>
    </row>
    <row r="617" spans="1:4" hidden="1">
      <c r="A617" s="36">
        <v>20082988786</v>
      </c>
      <c r="B617" t="s">
        <v>736</v>
      </c>
      <c r="C617" s="35" t="s">
        <v>2673</v>
      </c>
    </row>
    <row r="618" spans="1:4" hidden="1">
      <c r="A618" s="36">
        <v>30707370552</v>
      </c>
      <c r="B618" t="s">
        <v>739</v>
      </c>
      <c r="C618" s="35" t="s">
        <v>2673</v>
      </c>
    </row>
    <row r="619" spans="1:4" hidden="1">
      <c r="A619" s="36">
        <v>20231009524</v>
      </c>
      <c r="B619" t="s">
        <v>1436</v>
      </c>
      <c r="C619" s="35" t="s">
        <v>2673</v>
      </c>
      <c r="D619" t="s">
        <v>1756</v>
      </c>
    </row>
    <row r="620" spans="1:4" hidden="1">
      <c r="A620" s="36">
        <v>30715645579</v>
      </c>
      <c r="B620" t="s">
        <v>744</v>
      </c>
      <c r="C620" s="35" t="s">
        <v>2673</v>
      </c>
    </row>
    <row r="621" spans="1:4" hidden="1">
      <c r="A621" s="36">
        <v>30709836230</v>
      </c>
      <c r="B621" t="s">
        <v>748</v>
      </c>
      <c r="C621" s="35" t="s">
        <v>2673</v>
      </c>
    </row>
    <row r="622" spans="1:4" hidden="1">
      <c r="A622" s="36">
        <v>23181104589</v>
      </c>
      <c r="B622" t="s">
        <v>751</v>
      </c>
      <c r="C622" s="35" t="s">
        <v>2673</v>
      </c>
    </row>
    <row r="623" spans="1:4" hidden="1">
      <c r="A623" s="36">
        <v>30711713138</v>
      </c>
      <c r="B623" t="s">
        <v>752</v>
      </c>
      <c r="C623" s="35" t="s">
        <v>2673</v>
      </c>
    </row>
    <row r="624" spans="1:4" hidden="1">
      <c r="A624" s="36">
        <v>30663944939</v>
      </c>
      <c r="B624" t="s">
        <v>754</v>
      </c>
      <c r="C624" s="35" t="s">
        <v>2673</v>
      </c>
    </row>
    <row r="625" spans="1:3" hidden="1">
      <c r="A625" s="36">
        <v>30715141201</v>
      </c>
      <c r="B625" t="s">
        <v>755</v>
      </c>
      <c r="C625" s="35" t="s">
        <v>2673</v>
      </c>
    </row>
    <row r="626" spans="1:3" hidden="1">
      <c r="A626" s="36">
        <v>30709214078</v>
      </c>
      <c r="B626" t="s">
        <v>756</v>
      </c>
      <c r="C626" s="35" t="s">
        <v>2673</v>
      </c>
    </row>
    <row r="627" spans="1:3" hidden="1">
      <c r="A627" s="36">
        <v>30708376554</v>
      </c>
      <c r="B627" t="s">
        <v>766</v>
      </c>
      <c r="C627" s="35" t="s">
        <v>2673</v>
      </c>
    </row>
    <row r="628" spans="1:3" hidden="1">
      <c r="A628" s="36">
        <v>30612958528</v>
      </c>
      <c r="B628" t="s">
        <v>767</v>
      </c>
      <c r="C628" s="35" t="s">
        <v>2673</v>
      </c>
    </row>
    <row r="629" spans="1:3" hidden="1">
      <c r="A629" s="36">
        <v>23106878269</v>
      </c>
      <c r="B629" t="s">
        <v>779</v>
      </c>
      <c r="C629" s="35" t="s">
        <v>2673</v>
      </c>
    </row>
    <row r="630" spans="1:3" hidden="1">
      <c r="A630" s="36">
        <v>20367393042</v>
      </c>
      <c r="B630" t="s">
        <v>1124</v>
      </c>
      <c r="C630" s="35" t="s">
        <v>2673</v>
      </c>
    </row>
    <row r="631" spans="1:3" hidden="1">
      <c r="A631" s="36">
        <v>20367393042</v>
      </c>
      <c r="B631" t="s">
        <v>1124</v>
      </c>
      <c r="C631" s="35" t="s">
        <v>2673</v>
      </c>
    </row>
    <row r="632" spans="1:3" hidden="1">
      <c r="A632" s="36">
        <v>20078690284</v>
      </c>
      <c r="B632" t="s">
        <v>784</v>
      </c>
      <c r="C632" s="35" t="s">
        <v>2673</v>
      </c>
    </row>
    <row r="633" spans="1:3" hidden="1">
      <c r="A633" s="36">
        <v>33715567089</v>
      </c>
      <c r="B633" t="s">
        <v>786</v>
      </c>
      <c r="C633" s="35" t="s">
        <v>2673</v>
      </c>
    </row>
    <row r="634" spans="1:3" hidden="1">
      <c r="A634" s="36">
        <v>20120875141</v>
      </c>
      <c r="B634" t="s">
        <v>787</v>
      </c>
      <c r="C634" s="35" t="s">
        <v>2673</v>
      </c>
    </row>
    <row r="635" spans="1:3" hidden="1">
      <c r="A635" s="36">
        <v>20110668733</v>
      </c>
      <c r="B635" t="s">
        <v>791</v>
      </c>
      <c r="C635" s="35" t="s">
        <v>2673</v>
      </c>
    </row>
    <row r="636" spans="1:3" hidden="1">
      <c r="A636" s="36">
        <v>20282332303</v>
      </c>
      <c r="B636" t="s">
        <v>795</v>
      </c>
      <c r="C636" s="35" t="s">
        <v>2673</v>
      </c>
    </row>
    <row r="637" spans="1:3" hidden="1">
      <c r="A637" s="36">
        <v>20233320294</v>
      </c>
      <c r="B637" t="s">
        <v>796</v>
      </c>
      <c r="C637" s="35" t="s">
        <v>2673</v>
      </c>
    </row>
    <row r="638" spans="1:3" hidden="1">
      <c r="A638" s="36">
        <v>20043702611</v>
      </c>
      <c r="B638" t="s">
        <v>798</v>
      </c>
      <c r="C638" s="35" t="s">
        <v>2673</v>
      </c>
    </row>
    <row r="639" spans="1:3" hidden="1">
      <c r="A639" s="36">
        <v>20229507525</v>
      </c>
      <c r="B639" t="s">
        <v>799</v>
      </c>
      <c r="C639" s="35" t="s">
        <v>2673</v>
      </c>
    </row>
    <row r="640" spans="1:3" hidden="1">
      <c r="A640" s="36">
        <v>30521596135</v>
      </c>
      <c r="B640" t="s">
        <v>800</v>
      </c>
      <c r="C640" s="35" t="s">
        <v>2673</v>
      </c>
    </row>
    <row r="641" spans="1:3" hidden="1">
      <c r="A641" s="36">
        <v>30540721722</v>
      </c>
      <c r="B641" t="s">
        <v>808</v>
      </c>
      <c r="C641" s="35" t="s">
        <v>2673</v>
      </c>
    </row>
    <row r="642" spans="1:3" hidden="1">
      <c r="A642" s="36">
        <v>30558706836</v>
      </c>
      <c r="B642" t="s">
        <v>820</v>
      </c>
      <c r="C642" s="35" t="s">
        <v>2673</v>
      </c>
    </row>
    <row r="643" spans="1:3" hidden="1">
      <c r="A643" s="36">
        <v>30500529071</v>
      </c>
      <c r="B643" t="s">
        <v>823</v>
      </c>
      <c r="C643" s="35" t="s">
        <v>2673</v>
      </c>
    </row>
    <row r="644" spans="1:3" hidden="1">
      <c r="A644" s="36">
        <v>30711553564</v>
      </c>
      <c r="B644" t="s">
        <v>830</v>
      </c>
      <c r="C644" s="35" t="s">
        <v>2673</v>
      </c>
    </row>
    <row r="645" spans="1:3" hidden="1">
      <c r="A645" s="36">
        <v>30716499126</v>
      </c>
      <c r="B645" t="s">
        <v>839</v>
      </c>
      <c r="C645" s="35" t="s">
        <v>2673</v>
      </c>
    </row>
    <row r="646" spans="1:3" hidden="1">
      <c r="A646" s="36">
        <v>30716499126</v>
      </c>
      <c r="B646" t="s">
        <v>839</v>
      </c>
      <c r="C646" s="35" t="s">
        <v>2673</v>
      </c>
    </row>
    <row r="647" spans="1:3" hidden="1">
      <c r="A647" s="36">
        <v>30714079405</v>
      </c>
      <c r="B647" t="s">
        <v>844</v>
      </c>
      <c r="C647" s="35" t="s">
        <v>2673</v>
      </c>
    </row>
    <row r="648" spans="1:3" hidden="1">
      <c r="A648" s="36">
        <v>30714079405</v>
      </c>
      <c r="B648" t="s">
        <v>844</v>
      </c>
      <c r="C648" s="35" t="s">
        <v>2673</v>
      </c>
    </row>
    <row r="649" spans="1:3" hidden="1">
      <c r="A649" s="36">
        <v>30631047145</v>
      </c>
      <c r="B649" t="s">
        <v>863</v>
      </c>
      <c r="C649" s="35" t="s">
        <v>2673</v>
      </c>
    </row>
    <row r="650" spans="1:3" hidden="1">
      <c r="A650" s="36">
        <v>30631047145</v>
      </c>
      <c r="B650" t="s">
        <v>863</v>
      </c>
      <c r="C650" s="35" t="s">
        <v>2673</v>
      </c>
    </row>
    <row r="651" spans="1:3" hidden="1">
      <c r="A651" s="36">
        <v>30578456909</v>
      </c>
      <c r="B651" t="s">
        <v>2188</v>
      </c>
      <c r="C651" s="35" t="s">
        <v>2673</v>
      </c>
    </row>
    <row r="652" spans="1:3" hidden="1">
      <c r="A652" s="36">
        <v>30598960093</v>
      </c>
      <c r="B652" t="s">
        <v>885</v>
      </c>
      <c r="C652" s="35" t="s">
        <v>2673</v>
      </c>
    </row>
    <row r="653" spans="1:3" hidden="1">
      <c r="A653" s="36">
        <v>30598960093</v>
      </c>
      <c r="B653" t="s">
        <v>885</v>
      </c>
      <c r="C653" s="35" t="s">
        <v>2673</v>
      </c>
    </row>
    <row r="654" spans="1:3" hidden="1">
      <c r="A654" s="36">
        <v>30715504037</v>
      </c>
      <c r="B654" t="s">
        <v>891</v>
      </c>
      <c r="C654" s="35" t="s">
        <v>2673</v>
      </c>
    </row>
    <row r="655" spans="1:3" hidden="1">
      <c r="A655" s="36">
        <v>30715504037</v>
      </c>
      <c r="B655" t="s">
        <v>891</v>
      </c>
      <c r="C655" s="35" t="s">
        <v>2673</v>
      </c>
    </row>
    <row r="656" spans="1:3" hidden="1">
      <c r="A656" s="36">
        <v>30688387201</v>
      </c>
      <c r="B656" t="s">
        <v>904</v>
      </c>
      <c r="C656" s="35" t="s">
        <v>2673</v>
      </c>
    </row>
    <row r="657" spans="1:3" hidden="1">
      <c r="A657" s="36">
        <v>30688387201</v>
      </c>
      <c r="B657" t="s">
        <v>904</v>
      </c>
      <c r="C657" s="35" t="s">
        <v>2673</v>
      </c>
    </row>
    <row r="658" spans="1:3" hidden="1">
      <c r="A658" s="36">
        <v>27066622997</v>
      </c>
      <c r="B658" t="s">
        <v>906</v>
      </c>
      <c r="C658" s="35" t="s">
        <v>2673</v>
      </c>
    </row>
    <row r="659" spans="1:3" hidden="1">
      <c r="A659" s="36">
        <v>27066622997</v>
      </c>
      <c r="B659" t="s">
        <v>906</v>
      </c>
      <c r="C659" s="35" t="s">
        <v>2673</v>
      </c>
    </row>
    <row r="660" spans="1:3" hidden="1">
      <c r="A660" s="36">
        <v>33711882729</v>
      </c>
      <c r="B660" t="s">
        <v>907</v>
      </c>
      <c r="C660" s="35" t="s">
        <v>2673</v>
      </c>
    </row>
    <row r="661" spans="1:3" hidden="1">
      <c r="A661" s="36">
        <v>33711882729</v>
      </c>
      <c r="B661" t="s">
        <v>907</v>
      </c>
      <c r="C661" s="35" t="s">
        <v>2673</v>
      </c>
    </row>
    <row r="662" spans="1:3" hidden="1">
      <c r="A662" s="36">
        <v>30643416375</v>
      </c>
      <c r="B662" t="s">
        <v>908</v>
      </c>
      <c r="C662" s="35" t="s">
        <v>2673</v>
      </c>
    </row>
    <row r="663" spans="1:3" hidden="1">
      <c r="A663" s="36">
        <v>30643416375</v>
      </c>
      <c r="B663" t="s">
        <v>908</v>
      </c>
      <c r="C663" s="35" t="s">
        <v>2673</v>
      </c>
    </row>
    <row r="664" spans="1:3" hidden="1">
      <c r="A664" s="36">
        <v>30714710652</v>
      </c>
      <c r="B664" t="s">
        <v>910</v>
      </c>
      <c r="C664" s="35" t="s">
        <v>2673</v>
      </c>
    </row>
    <row r="665" spans="1:3" hidden="1">
      <c r="A665" s="36">
        <v>30714710652</v>
      </c>
      <c r="B665" t="s">
        <v>910</v>
      </c>
      <c r="C665" s="35" t="s">
        <v>2673</v>
      </c>
    </row>
    <row r="666" spans="1:3" hidden="1">
      <c r="A666" s="36">
        <v>23185808963</v>
      </c>
      <c r="B666" t="s">
        <v>911</v>
      </c>
      <c r="C666" s="35" t="s">
        <v>2673</v>
      </c>
    </row>
    <row r="667" spans="1:3" hidden="1">
      <c r="A667" s="36">
        <v>23185808963</v>
      </c>
      <c r="B667" t="s">
        <v>911</v>
      </c>
      <c r="C667" s="35" t="s">
        <v>2673</v>
      </c>
    </row>
    <row r="668" spans="1:3" hidden="1">
      <c r="A668" s="36">
        <v>20325751453</v>
      </c>
      <c r="B668" t="s">
        <v>920</v>
      </c>
      <c r="C668" s="35" t="s">
        <v>2673</v>
      </c>
    </row>
    <row r="669" spans="1:3" hidden="1">
      <c r="A669" s="36">
        <v>20325751453</v>
      </c>
      <c r="B669" t="s">
        <v>920</v>
      </c>
      <c r="C669" s="35" t="s">
        <v>2673</v>
      </c>
    </row>
    <row r="670" spans="1:3" hidden="1">
      <c r="A670" s="36">
        <v>30699425520</v>
      </c>
      <c r="B670" t="s">
        <v>923</v>
      </c>
      <c r="C670" s="35" t="s">
        <v>2673</v>
      </c>
    </row>
    <row r="671" spans="1:3" hidden="1">
      <c r="A671" s="36">
        <v>30699425520</v>
      </c>
      <c r="B671" t="s">
        <v>923</v>
      </c>
      <c r="C671" s="35" t="s">
        <v>2673</v>
      </c>
    </row>
    <row r="672" spans="1:3" hidden="1">
      <c r="A672" s="36">
        <v>30715701932</v>
      </c>
      <c r="B672" t="s">
        <v>929</v>
      </c>
      <c r="C672" s="35" t="s">
        <v>2673</v>
      </c>
    </row>
    <row r="673" spans="1:3" hidden="1">
      <c r="A673" s="36">
        <v>30715701932</v>
      </c>
      <c r="B673" t="s">
        <v>929</v>
      </c>
      <c r="C673" s="35" t="s">
        <v>2673</v>
      </c>
    </row>
    <row r="674" spans="1:3" hidden="1">
      <c r="A674" s="36">
        <v>30505459179</v>
      </c>
      <c r="B674" t="s">
        <v>936</v>
      </c>
      <c r="C674" s="35" t="s">
        <v>2673</v>
      </c>
    </row>
    <row r="675" spans="1:3" hidden="1">
      <c r="A675" s="36">
        <v>30505459179</v>
      </c>
      <c r="B675" t="s">
        <v>936</v>
      </c>
      <c r="C675" s="35" t="s">
        <v>2673</v>
      </c>
    </row>
    <row r="676" spans="1:3" hidden="1">
      <c r="A676" s="36">
        <v>30707057587</v>
      </c>
      <c r="B676" t="s">
        <v>944</v>
      </c>
      <c r="C676" s="35" t="s">
        <v>2673</v>
      </c>
    </row>
    <row r="677" spans="1:3" hidden="1">
      <c r="A677" s="36">
        <v>30707057587</v>
      </c>
      <c r="B677" t="s">
        <v>944</v>
      </c>
      <c r="C677" s="35" t="s">
        <v>2673</v>
      </c>
    </row>
    <row r="678" spans="1:3" hidden="1">
      <c r="A678" s="36">
        <v>30710177658</v>
      </c>
      <c r="B678" t="s">
        <v>945</v>
      </c>
      <c r="C678" s="35" t="s">
        <v>2673</v>
      </c>
    </row>
    <row r="679" spans="1:3" hidden="1">
      <c r="A679" s="36">
        <v>30710177658</v>
      </c>
      <c r="B679" t="s">
        <v>945</v>
      </c>
      <c r="C679" s="35" t="s">
        <v>2673</v>
      </c>
    </row>
    <row r="680" spans="1:3" hidden="1">
      <c r="A680" s="36">
        <v>30711451567</v>
      </c>
      <c r="B680" t="s">
        <v>947</v>
      </c>
      <c r="C680" s="35" t="s">
        <v>2673</v>
      </c>
    </row>
    <row r="681" spans="1:3" hidden="1">
      <c r="A681" s="36">
        <v>30711451567</v>
      </c>
      <c r="B681" t="s">
        <v>947</v>
      </c>
      <c r="C681" s="35" t="s">
        <v>2673</v>
      </c>
    </row>
    <row r="682" spans="1:3" hidden="1">
      <c r="A682" s="36">
        <v>30710725116</v>
      </c>
      <c r="B682" t="s">
        <v>952</v>
      </c>
      <c r="C682" s="35" t="s">
        <v>2673</v>
      </c>
    </row>
    <row r="683" spans="1:3" hidden="1">
      <c r="A683" s="36">
        <v>30710725116</v>
      </c>
      <c r="B683" t="s">
        <v>952</v>
      </c>
      <c r="C683" s="35" t="s">
        <v>2673</v>
      </c>
    </row>
    <row r="684" spans="1:3" hidden="1">
      <c r="A684" s="36">
        <v>30716710684</v>
      </c>
      <c r="B684" t="s">
        <v>958</v>
      </c>
      <c r="C684" s="35" t="s">
        <v>2673</v>
      </c>
    </row>
    <row r="685" spans="1:3" hidden="1">
      <c r="A685" s="36">
        <v>30715259784</v>
      </c>
      <c r="B685" t="s">
        <v>972</v>
      </c>
      <c r="C685" s="35" t="s">
        <v>2673</v>
      </c>
    </row>
    <row r="686" spans="1:3" hidden="1">
      <c r="A686" s="36">
        <v>30715259784</v>
      </c>
      <c r="B686" t="s">
        <v>972</v>
      </c>
      <c r="C686" s="35" t="s">
        <v>2673</v>
      </c>
    </row>
    <row r="687" spans="1:3" hidden="1">
      <c r="A687" s="36">
        <v>30709305618</v>
      </c>
      <c r="B687" t="s">
        <v>973</v>
      </c>
      <c r="C687" s="35" t="s">
        <v>2673</v>
      </c>
    </row>
    <row r="688" spans="1:3" hidden="1">
      <c r="A688" s="36">
        <v>30709305618</v>
      </c>
      <c r="B688" t="s">
        <v>973</v>
      </c>
      <c r="C688" s="35" t="s">
        <v>2673</v>
      </c>
    </row>
    <row r="689" spans="1:3" hidden="1">
      <c r="A689" s="36">
        <v>30714118389</v>
      </c>
      <c r="B689" t="s">
        <v>974</v>
      </c>
      <c r="C689" s="35" t="s">
        <v>2673</v>
      </c>
    </row>
    <row r="690" spans="1:3" hidden="1">
      <c r="A690" s="36">
        <v>30714118389</v>
      </c>
      <c r="B690" t="s">
        <v>974</v>
      </c>
      <c r="C690" s="35" t="s">
        <v>2673</v>
      </c>
    </row>
    <row r="691" spans="1:3" hidden="1">
      <c r="A691" s="36">
        <v>30712317872</v>
      </c>
      <c r="B691" t="s">
        <v>992</v>
      </c>
      <c r="C691" s="35" t="s">
        <v>2673</v>
      </c>
    </row>
    <row r="692" spans="1:3" hidden="1">
      <c r="A692" s="36">
        <v>30712317872</v>
      </c>
      <c r="B692" t="s">
        <v>992</v>
      </c>
      <c r="C692" s="35" t="s">
        <v>2673</v>
      </c>
    </row>
    <row r="693" spans="1:3" hidden="1">
      <c r="A693" s="36">
        <v>30717140725</v>
      </c>
      <c r="B693" t="s">
        <v>2067</v>
      </c>
      <c r="C693" s="35" t="s">
        <v>2673</v>
      </c>
    </row>
    <row r="694" spans="1:3" hidden="1">
      <c r="A694" s="36">
        <v>30519102826</v>
      </c>
      <c r="B694" t="s">
        <v>994</v>
      </c>
      <c r="C694" s="35" t="s">
        <v>2673</v>
      </c>
    </row>
    <row r="695" spans="1:3" hidden="1">
      <c r="A695" s="36">
        <v>30519102826</v>
      </c>
      <c r="B695" t="s">
        <v>994</v>
      </c>
      <c r="C695" s="35" t="s">
        <v>2673</v>
      </c>
    </row>
    <row r="696" spans="1:3" hidden="1">
      <c r="A696" s="36">
        <v>30616031143</v>
      </c>
      <c r="B696" t="s">
        <v>1001</v>
      </c>
      <c r="C696" s="35" t="s">
        <v>2673</v>
      </c>
    </row>
    <row r="697" spans="1:3" hidden="1">
      <c r="A697" s="36">
        <v>30616031143</v>
      </c>
      <c r="B697" t="s">
        <v>1001</v>
      </c>
      <c r="C697" s="35" t="s">
        <v>2673</v>
      </c>
    </row>
    <row r="698" spans="1:3" hidden="1">
      <c r="A698" s="36">
        <v>33682571239</v>
      </c>
      <c r="B698" t="s">
        <v>1013</v>
      </c>
      <c r="C698" s="35" t="s">
        <v>2673</v>
      </c>
    </row>
    <row r="699" spans="1:3" hidden="1">
      <c r="A699" s="36">
        <v>33682571239</v>
      </c>
      <c r="B699" t="s">
        <v>1013</v>
      </c>
      <c r="C699" s="35" t="s">
        <v>2673</v>
      </c>
    </row>
    <row r="700" spans="1:3" hidden="1">
      <c r="A700" s="36">
        <v>20330855038</v>
      </c>
      <c r="B700" t="s">
        <v>1016</v>
      </c>
      <c r="C700" s="35" t="s">
        <v>2673</v>
      </c>
    </row>
    <row r="701" spans="1:3" hidden="1">
      <c r="A701" s="36">
        <v>20330855038</v>
      </c>
      <c r="B701" t="s">
        <v>1016</v>
      </c>
      <c r="C701" s="35" t="s">
        <v>2673</v>
      </c>
    </row>
    <row r="702" spans="1:3" hidden="1">
      <c r="A702" s="36">
        <v>20936626549</v>
      </c>
      <c r="B702" t="s">
        <v>2178</v>
      </c>
      <c r="C702" s="35" t="s">
        <v>2673</v>
      </c>
    </row>
    <row r="703" spans="1:3" hidden="1">
      <c r="A703" s="36">
        <v>30646150406</v>
      </c>
      <c r="B703" t="s">
        <v>1019</v>
      </c>
      <c r="C703" s="35" t="s">
        <v>2673</v>
      </c>
    </row>
    <row r="704" spans="1:3" hidden="1">
      <c r="A704" s="36">
        <v>30646150406</v>
      </c>
      <c r="B704" t="s">
        <v>1019</v>
      </c>
      <c r="C704" s="35" t="s">
        <v>2673</v>
      </c>
    </row>
    <row r="705" spans="1:3" hidden="1">
      <c r="A705" s="36">
        <v>30699097884</v>
      </c>
      <c r="B705" t="s">
        <v>1021</v>
      </c>
      <c r="C705" s="35" t="s">
        <v>2673</v>
      </c>
    </row>
    <row r="706" spans="1:3" hidden="1">
      <c r="A706" s="36">
        <v>30699097884</v>
      </c>
      <c r="B706" t="s">
        <v>1021</v>
      </c>
      <c r="C706" s="35" t="s">
        <v>2673</v>
      </c>
    </row>
    <row r="707" spans="1:3" hidden="1">
      <c r="A707" s="36">
        <v>30715893416</v>
      </c>
      <c r="B707" t="s">
        <v>1024</v>
      </c>
      <c r="C707" s="35" t="s">
        <v>2673</v>
      </c>
    </row>
    <row r="708" spans="1:3" hidden="1">
      <c r="A708" s="36">
        <v>30715893416</v>
      </c>
      <c r="B708" t="s">
        <v>1024</v>
      </c>
      <c r="C708" s="35" t="s">
        <v>2673</v>
      </c>
    </row>
    <row r="709" spans="1:3" hidden="1">
      <c r="A709" s="36">
        <v>30708992301</v>
      </c>
      <c r="B709" t="s">
        <v>1026</v>
      </c>
      <c r="C709" s="35" t="s">
        <v>2673</v>
      </c>
    </row>
    <row r="710" spans="1:3" hidden="1">
      <c r="A710" s="36">
        <v>30708992301</v>
      </c>
      <c r="B710" t="s">
        <v>1026</v>
      </c>
      <c r="C710" s="35" t="s">
        <v>2673</v>
      </c>
    </row>
    <row r="711" spans="1:3" hidden="1">
      <c r="A711" s="36">
        <v>30658325104</v>
      </c>
      <c r="B711" t="s">
        <v>1034</v>
      </c>
      <c r="C711" s="35" t="s">
        <v>2673</v>
      </c>
    </row>
    <row r="712" spans="1:3" hidden="1">
      <c r="A712" s="36">
        <v>30658325104</v>
      </c>
      <c r="B712" t="s">
        <v>1034</v>
      </c>
      <c r="C712" s="35" t="s">
        <v>2673</v>
      </c>
    </row>
    <row r="713" spans="1:3" hidden="1">
      <c r="A713" s="36">
        <v>20259693609</v>
      </c>
      <c r="B713" t="s">
        <v>1036</v>
      </c>
      <c r="C713" s="35" t="s">
        <v>2673</v>
      </c>
    </row>
    <row r="714" spans="1:3" hidden="1">
      <c r="A714" s="36">
        <v>20308004865</v>
      </c>
      <c r="B714" t="s">
        <v>2045</v>
      </c>
      <c r="C714" s="35" t="s">
        <v>2673</v>
      </c>
    </row>
    <row r="715" spans="1:3" hidden="1">
      <c r="A715" s="36">
        <v>20247225243</v>
      </c>
      <c r="B715" t="s">
        <v>1058</v>
      </c>
      <c r="C715" s="35" t="s">
        <v>2673</v>
      </c>
    </row>
    <row r="716" spans="1:3" hidden="1">
      <c r="A716" s="36">
        <v>20247225243</v>
      </c>
      <c r="B716" t="s">
        <v>1058</v>
      </c>
      <c r="C716" s="35" t="s">
        <v>2673</v>
      </c>
    </row>
    <row r="717" spans="1:3" hidden="1">
      <c r="A717" s="36">
        <v>20077107186</v>
      </c>
      <c r="B717" t="s">
        <v>1064</v>
      </c>
      <c r="C717" s="35" t="s">
        <v>2673</v>
      </c>
    </row>
    <row r="718" spans="1:3" hidden="1">
      <c r="A718" s="36">
        <v>20077107186</v>
      </c>
      <c r="B718" t="s">
        <v>1064</v>
      </c>
      <c r="C718" s="35" t="s">
        <v>2673</v>
      </c>
    </row>
    <row r="719" spans="1:3" hidden="1">
      <c r="A719" s="36">
        <v>20287832649</v>
      </c>
      <c r="B719" t="s">
        <v>1070</v>
      </c>
      <c r="C719" s="35" t="s">
        <v>2673</v>
      </c>
    </row>
    <row r="720" spans="1:3" hidden="1">
      <c r="A720" s="36">
        <v>20287832649</v>
      </c>
      <c r="B720" t="s">
        <v>1070</v>
      </c>
      <c r="C720" s="35" t="s">
        <v>2673</v>
      </c>
    </row>
    <row r="721" spans="1:3" hidden="1">
      <c r="A721" s="36">
        <v>27211421202</v>
      </c>
      <c r="B721" t="s">
        <v>1073</v>
      </c>
      <c r="C721" s="35" t="s">
        <v>2673</v>
      </c>
    </row>
    <row r="722" spans="1:3" hidden="1">
      <c r="A722" s="36">
        <v>30714848034</v>
      </c>
      <c r="B722" t="s">
        <v>685</v>
      </c>
      <c r="C722" s="35" t="s">
        <v>2673</v>
      </c>
    </row>
    <row r="723" spans="1:3" hidden="1">
      <c r="A723" s="36">
        <v>27211421202</v>
      </c>
      <c r="B723" t="s">
        <v>1073</v>
      </c>
      <c r="C723" s="35" t="s">
        <v>2673</v>
      </c>
    </row>
    <row r="724" spans="1:3" hidden="1">
      <c r="A724" s="36">
        <v>30708648414</v>
      </c>
      <c r="B724" t="s">
        <v>1084</v>
      </c>
      <c r="C724" s="35" t="s">
        <v>2673</v>
      </c>
    </row>
    <row r="725" spans="1:3" hidden="1">
      <c r="A725" s="36">
        <v>30708648414</v>
      </c>
      <c r="B725" t="s">
        <v>1084</v>
      </c>
      <c r="C725" s="35" t="s">
        <v>2673</v>
      </c>
    </row>
    <row r="726" spans="1:3" hidden="1">
      <c r="A726" s="36">
        <v>30715609807</v>
      </c>
      <c r="B726" t="s">
        <v>1086</v>
      </c>
      <c r="C726" s="35" t="s">
        <v>2673</v>
      </c>
    </row>
    <row r="727" spans="1:3" hidden="1">
      <c r="A727" s="36">
        <v>30715609807</v>
      </c>
      <c r="B727" t="s">
        <v>1086</v>
      </c>
      <c r="C727" s="35" t="s">
        <v>2673</v>
      </c>
    </row>
    <row r="728" spans="1:3" hidden="1">
      <c r="A728" s="36">
        <v>30680297408</v>
      </c>
      <c r="B728" t="s">
        <v>1090</v>
      </c>
      <c r="C728" s="35" t="s">
        <v>2673</v>
      </c>
    </row>
    <row r="729" spans="1:3" hidden="1">
      <c r="A729" s="36">
        <v>30680297408</v>
      </c>
      <c r="B729" t="s">
        <v>1090</v>
      </c>
      <c r="C729" s="35" t="s">
        <v>2673</v>
      </c>
    </row>
    <row r="730" spans="1:3" hidden="1">
      <c r="A730" s="36">
        <v>20165292929</v>
      </c>
      <c r="B730" t="s">
        <v>1092</v>
      </c>
      <c r="C730" s="35" t="s">
        <v>2673</v>
      </c>
    </row>
    <row r="731" spans="1:3" hidden="1">
      <c r="A731" s="36">
        <v>20165292929</v>
      </c>
      <c r="B731" t="s">
        <v>1092</v>
      </c>
      <c r="C731" s="35" t="s">
        <v>2673</v>
      </c>
    </row>
    <row r="732" spans="1:3" hidden="1">
      <c r="A732" s="36">
        <v>20231247239</v>
      </c>
      <c r="B732" t="s">
        <v>1097</v>
      </c>
      <c r="C732" s="35" t="s">
        <v>2673</v>
      </c>
    </row>
    <row r="733" spans="1:3" hidden="1">
      <c r="A733" s="36">
        <v>20231247239</v>
      </c>
      <c r="B733" t="s">
        <v>1097</v>
      </c>
      <c r="C733" s="35" t="s">
        <v>2673</v>
      </c>
    </row>
    <row r="734" spans="1:3" hidden="1">
      <c r="A734" s="36">
        <v>30585558733</v>
      </c>
      <c r="B734" t="s">
        <v>1105</v>
      </c>
      <c r="C734" s="35" t="s">
        <v>2673</v>
      </c>
    </row>
    <row r="735" spans="1:3" hidden="1">
      <c r="A735" s="36">
        <v>30585558733</v>
      </c>
      <c r="B735" t="s">
        <v>1105</v>
      </c>
      <c r="C735" s="35" t="s">
        <v>2673</v>
      </c>
    </row>
    <row r="736" spans="1:3" hidden="1">
      <c r="A736" s="36">
        <v>30715459368</v>
      </c>
      <c r="B736" t="s">
        <v>2202</v>
      </c>
      <c r="C736" s="35" t="s">
        <v>2673</v>
      </c>
    </row>
    <row r="737" spans="1:3" hidden="1">
      <c r="A737" s="36">
        <v>30578204713</v>
      </c>
      <c r="B737" t="s">
        <v>1109</v>
      </c>
      <c r="C737" s="35" t="s">
        <v>2673</v>
      </c>
    </row>
    <row r="738" spans="1:3" hidden="1">
      <c r="A738" s="36">
        <v>30578204713</v>
      </c>
      <c r="B738" t="s">
        <v>1109</v>
      </c>
      <c r="C738" s="35" t="s">
        <v>2673</v>
      </c>
    </row>
    <row r="739" spans="1:3" hidden="1">
      <c r="A739" s="36">
        <v>30707512454</v>
      </c>
      <c r="B739" t="s">
        <v>1113</v>
      </c>
      <c r="C739" s="35" t="s">
        <v>2673</v>
      </c>
    </row>
    <row r="740" spans="1:3" hidden="1">
      <c r="A740" s="36">
        <v>30707512454</v>
      </c>
      <c r="B740" t="s">
        <v>1113</v>
      </c>
      <c r="C740" s="35" t="s">
        <v>2673</v>
      </c>
    </row>
    <row r="741" spans="1:3" hidden="1">
      <c r="A741" s="36">
        <v>33640878679</v>
      </c>
      <c r="B741" t="s">
        <v>1361</v>
      </c>
      <c r="C741" s="35" t="s">
        <v>2673</v>
      </c>
    </row>
    <row r="742" spans="1:3" hidden="1">
      <c r="A742" s="36">
        <v>30708041722</v>
      </c>
      <c r="B742" t="s">
        <v>1428</v>
      </c>
      <c r="C742" s="35" t="s">
        <v>2673</v>
      </c>
    </row>
    <row r="743" spans="1:3" hidden="1">
      <c r="A743" s="36">
        <v>30534051049</v>
      </c>
      <c r="B743" t="s">
        <v>2683</v>
      </c>
      <c r="C743" s="35" t="s">
        <v>2673</v>
      </c>
    </row>
    <row r="744" spans="1:3" hidden="1">
      <c r="A744" s="36">
        <v>30504507870</v>
      </c>
      <c r="B744" t="s">
        <v>1767</v>
      </c>
      <c r="C744" s="35" t="s">
        <v>2673</v>
      </c>
    </row>
    <row r="745" spans="1:3" hidden="1">
      <c r="A745" s="36">
        <v>30658667374</v>
      </c>
      <c r="B745" t="s">
        <v>2512</v>
      </c>
      <c r="C745" s="35" t="s">
        <v>2673</v>
      </c>
    </row>
    <row r="746" spans="1:3" hidden="1">
      <c r="A746" s="36">
        <v>30716757249</v>
      </c>
      <c r="B746" t="s">
        <v>2518</v>
      </c>
      <c r="C746" s="35" t="s">
        <v>2673</v>
      </c>
    </row>
    <row r="747" spans="1:3" hidden="1">
      <c r="A747" s="36">
        <v>27409592487</v>
      </c>
      <c r="B747" t="s">
        <v>1143</v>
      </c>
      <c r="C747" s="35" t="s">
        <v>2684</v>
      </c>
    </row>
    <row r="748" spans="1:3" hidden="1">
      <c r="A748" s="36">
        <v>27409592487</v>
      </c>
      <c r="B748" t="s">
        <v>1143</v>
      </c>
      <c r="C748" s="35" t="s">
        <v>2684</v>
      </c>
    </row>
    <row r="749" spans="1:3" hidden="1">
      <c r="A749" s="36">
        <v>30710446047</v>
      </c>
      <c r="B749" t="s">
        <v>1160</v>
      </c>
      <c r="C749" s="35" t="s">
        <v>2684</v>
      </c>
    </row>
    <row r="750" spans="1:3" hidden="1">
      <c r="A750" s="36">
        <v>20300814094</v>
      </c>
      <c r="B750" t="s">
        <v>1146</v>
      </c>
      <c r="C750" s="35" t="s">
        <v>2684</v>
      </c>
    </row>
    <row r="751" spans="1:3" hidden="1">
      <c r="A751" s="36">
        <v>30585948817</v>
      </c>
      <c r="B751" t="s">
        <v>1174</v>
      </c>
      <c r="C751" s="35" t="s">
        <v>2684</v>
      </c>
    </row>
    <row r="752" spans="1:3" hidden="1">
      <c r="A752" s="36">
        <v>30585948817</v>
      </c>
      <c r="B752" t="s">
        <v>1174</v>
      </c>
      <c r="C752" s="35" t="s">
        <v>2684</v>
      </c>
    </row>
    <row r="753" spans="1:3" hidden="1">
      <c r="A753" s="36">
        <v>30585948817</v>
      </c>
      <c r="B753" t="s">
        <v>1132</v>
      </c>
      <c r="C753" s="35" t="s">
        <v>2684</v>
      </c>
    </row>
    <row r="754" spans="1:3" hidden="1">
      <c r="A754" s="36">
        <v>30585948817</v>
      </c>
      <c r="B754" t="s">
        <v>1132</v>
      </c>
      <c r="C754" s="35" t="s">
        <v>2684</v>
      </c>
    </row>
    <row r="755" spans="1:3" hidden="1">
      <c r="A755" s="36">
        <v>20172319743</v>
      </c>
      <c r="B755" t="s">
        <v>1522</v>
      </c>
      <c r="C755" s="35" t="s">
        <v>2684</v>
      </c>
    </row>
    <row r="756" spans="1:3" hidden="1">
      <c r="A756" s="36">
        <v>30708669306</v>
      </c>
      <c r="B756" t="s">
        <v>1518</v>
      </c>
      <c r="C756" s="35" t="s">
        <v>2684</v>
      </c>
    </row>
    <row r="757" spans="1:3" hidden="1">
      <c r="A757" s="36">
        <v>30718359526</v>
      </c>
      <c r="B757" t="s">
        <v>2090</v>
      </c>
      <c r="C757" s="35" t="s">
        <v>2684</v>
      </c>
    </row>
    <row r="758" spans="1:3" hidden="1">
      <c r="A758" s="36">
        <v>30663937975</v>
      </c>
      <c r="B758" t="s">
        <v>2092</v>
      </c>
      <c r="C758" s="35" t="s">
        <v>2684</v>
      </c>
    </row>
    <row r="759" spans="1:3" hidden="1">
      <c r="A759" s="36">
        <v>30715296000</v>
      </c>
      <c r="B759" t="s">
        <v>2095</v>
      </c>
      <c r="C759" s="35" t="s">
        <v>2684</v>
      </c>
    </row>
    <row r="760" spans="1:3" hidden="1">
      <c r="A760" s="36">
        <v>30709932876</v>
      </c>
      <c r="B760" t="s">
        <v>1169</v>
      </c>
      <c r="C760" s="35" t="s">
        <v>2684</v>
      </c>
    </row>
    <row r="761" spans="1:3" hidden="1">
      <c r="A761" s="36">
        <v>30709932876</v>
      </c>
      <c r="B761" t="s">
        <v>1169</v>
      </c>
      <c r="C761" s="35" t="s">
        <v>2684</v>
      </c>
    </row>
    <row r="762" spans="1:3" hidden="1">
      <c r="A762" s="36">
        <v>30709932876</v>
      </c>
      <c r="B762" t="s">
        <v>1169</v>
      </c>
      <c r="C762" s="35" t="s">
        <v>2684</v>
      </c>
    </row>
    <row r="763" spans="1:3" hidden="1">
      <c r="A763" s="36">
        <v>30709932876</v>
      </c>
      <c r="B763" t="s">
        <v>1169</v>
      </c>
      <c r="C763" s="35" t="s">
        <v>2684</v>
      </c>
    </row>
    <row r="764" spans="1:3" hidden="1">
      <c r="A764" s="36">
        <v>30708017759</v>
      </c>
      <c r="B764" t="s">
        <v>1418</v>
      </c>
      <c r="C764" s="35" t="s">
        <v>2684</v>
      </c>
    </row>
    <row r="765" spans="1:3" hidden="1">
      <c r="A765" s="36">
        <v>30708017759</v>
      </c>
      <c r="B765" t="s">
        <v>1418</v>
      </c>
      <c r="C765" s="35" t="s">
        <v>2684</v>
      </c>
    </row>
    <row r="766" spans="1:3" hidden="1">
      <c r="A766" s="36">
        <v>20077604627</v>
      </c>
      <c r="B766" t="s">
        <v>1353</v>
      </c>
      <c r="C766" s="35" t="s">
        <v>2684</v>
      </c>
    </row>
    <row r="767" spans="1:3" hidden="1">
      <c r="A767" s="36">
        <v>20077604627</v>
      </c>
      <c r="B767" t="s">
        <v>1353</v>
      </c>
      <c r="C767" s="35" t="s">
        <v>2684</v>
      </c>
    </row>
    <row r="768" spans="1:3" hidden="1">
      <c r="A768" s="36">
        <v>20077604627</v>
      </c>
      <c r="B768" t="s">
        <v>1353</v>
      </c>
      <c r="C768" s="35" t="s">
        <v>2684</v>
      </c>
    </row>
    <row r="769" spans="1:3" hidden="1">
      <c r="A769" s="36">
        <v>20077604627</v>
      </c>
      <c r="B769" t="s">
        <v>1353</v>
      </c>
      <c r="C769" s="35" t="s">
        <v>2684</v>
      </c>
    </row>
    <row r="770" spans="1:3" hidden="1">
      <c r="A770" s="36">
        <v>20077604627</v>
      </c>
      <c r="B770" t="s">
        <v>1353</v>
      </c>
      <c r="C770" s="35" t="s">
        <v>2684</v>
      </c>
    </row>
    <row r="771" spans="1:3" hidden="1">
      <c r="A771" s="36">
        <v>20077604627</v>
      </c>
      <c r="B771" t="s">
        <v>1353</v>
      </c>
      <c r="C771" s="35" t="s">
        <v>2684</v>
      </c>
    </row>
    <row r="772" spans="1:3" hidden="1">
      <c r="A772" s="36">
        <v>20077604627</v>
      </c>
      <c r="B772" t="s">
        <v>1353</v>
      </c>
      <c r="C772" s="35" t="s">
        <v>2684</v>
      </c>
    </row>
    <row r="773" spans="1:3" hidden="1">
      <c r="A773" s="36">
        <v>20077604627</v>
      </c>
      <c r="B773" t="s">
        <v>1353</v>
      </c>
      <c r="C773" s="35" t="s">
        <v>2684</v>
      </c>
    </row>
    <row r="774" spans="1:3" hidden="1">
      <c r="A774" s="36">
        <v>20077604627</v>
      </c>
      <c r="B774" t="s">
        <v>1353</v>
      </c>
      <c r="C774" s="35" t="s">
        <v>2684</v>
      </c>
    </row>
    <row r="775" spans="1:3" hidden="1">
      <c r="A775" s="36">
        <v>20077604627</v>
      </c>
      <c r="B775" t="s">
        <v>1353</v>
      </c>
      <c r="C775" s="35" t="s">
        <v>2684</v>
      </c>
    </row>
    <row r="776" spans="1:3" hidden="1">
      <c r="A776" s="36">
        <v>20077604627</v>
      </c>
      <c r="B776" t="s">
        <v>1178</v>
      </c>
      <c r="C776" s="35" t="s">
        <v>2684</v>
      </c>
    </row>
    <row r="777" spans="1:3" hidden="1">
      <c r="A777" s="36">
        <v>20077604627</v>
      </c>
      <c r="B777" t="s">
        <v>1178</v>
      </c>
      <c r="C777" s="35" t="s">
        <v>2684</v>
      </c>
    </row>
    <row r="778" spans="1:3" hidden="1">
      <c r="A778" s="36">
        <v>30707603123</v>
      </c>
      <c r="B778" t="s">
        <v>1652</v>
      </c>
      <c r="C778" s="35" t="s">
        <v>2684</v>
      </c>
    </row>
    <row r="779" spans="1:3" hidden="1">
      <c r="A779" s="36">
        <v>30709863076</v>
      </c>
      <c r="B779" t="s">
        <v>1151</v>
      </c>
      <c r="C779" s="35" t="s">
        <v>2684</v>
      </c>
    </row>
    <row r="780" spans="1:3" hidden="1">
      <c r="A780" s="36">
        <v>30552433595</v>
      </c>
      <c r="B780" t="s">
        <v>1139</v>
      </c>
      <c r="C780" s="35" t="s">
        <v>2684</v>
      </c>
    </row>
    <row r="781" spans="1:3" hidden="1">
      <c r="A781" s="36">
        <v>27181689183</v>
      </c>
      <c r="B781" t="s">
        <v>1375</v>
      </c>
      <c r="C781" s="35" t="s">
        <v>2684</v>
      </c>
    </row>
    <row r="782" spans="1:3" hidden="1">
      <c r="A782" s="36">
        <v>27181689183</v>
      </c>
      <c r="B782" t="s">
        <v>1375</v>
      </c>
      <c r="C782" s="35" t="s">
        <v>2684</v>
      </c>
    </row>
    <row r="783" spans="1:3" hidden="1">
      <c r="A783" s="36">
        <v>27181689183</v>
      </c>
      <c r="B783" t="s">
        <v>1158</v>
      </c>
      <c r="C783" s="35" t="s">
        <v>2684</v>
      </c>
    </row>
    <row r="784" spans="1:3" hidden="1">
      <c r="A784" s="36">
        <v>27181689183</v>
      </c>
      <c r="B784" t="s">
        <v>1158</v>
      </c>
      <c r="C784" s="35" t="s">
        <v>2684</v>
      </c>
    </row>
    <row r="785" spans="1:3" hidden="1">
      <c r="A785" s="36">
        <v>20232507978</v>
      </c>
      <c r="B785" t="s">
        <v>1444</v>
      </c>
      <c r="C785" s="35" t="s">
        <v>2684</v>
      </c>
    </row>
    <row r="786" spans="1:3" hidden="1">
      <c r="A786" s="36">
        <v>20232507978</v>
      </c>
      <c r="B786" t="s">
        <v>1444</v>
      </c>
      <c r="C786" s="35" t="s">
        <v>2684</v>
      </c>
    </row>
    <row r="787" spans="1:3" hidden="1">
      <c r="A787" s="36">
        <v>27218204053</v>
      </c>
      <c r="B787" t="s">
        <v>2431</v>
      </c>
      <c r="C787" s="35" t="s">
        <v>2684</v>
      </c>
    </row>
    <row r="788" spans="1:3" hidden="1">
      <c r="A788" s="36">
        <v>20217646414</v>
      </c>
      <c r="B788" t="s">
        <v>1634</v>
      </c>
      <c r="C788" s="35" t="s">
        <v>2684</v>
      </c>
    </row>
    <row r="789" spans="1:3" hidden="1">
      <c r="A789" s="36">
        <v>30715434276</v>
      </c>
      <c r="B789" t="s">
        <v>1650</v>
      </c>
      <c r="C789" s="35" t="s">
        <v>2684</v>
      </c>
    </row>
    <row r="790" spans="1:3" hidden="1">
      <c r="A790" s="36">
        <v>30708157755</v>
      </c>
      <c r="B790" t="s">
        <v>1832</v>
      </c>
      <c r="C790" s="35" t="s">
        <v>2684</v>
      </c>
    </row>
    <row r="791" spans="1:3" hidden="1">
      <c r="A791" s="36">
        <v>30624066827</v>
      </c>
      <c r="B791" t="s">
        <v>1992</v>
      </c>
      <c r="C791" s="35" t="s">
        <v>2684</v>
      </c>
    </row>
    <row r="792" spans="1:3" hidden="1">
      <c r="A792" s="36">
        <v>20103069832</v>
      </c>
      <c r="B792" t="s">
        <v>1993</v>
      </c>
      <c r="C792" s="35" t="s">
        <v>2684</v>
      </c>
    </row>
    <row r="793" spans="1:3" hidden="1">
      <c r="A793" s="36">
        <v>20310796736</v>
      </c>
      <c r="B793" t="s">
        <v>2035</v>
      </c>
      <c r="C793" s="35" t="s">
        <v>2684</v>
      </c>
    </row>
    <row r="794" spans="1:3" hidden="1">
      <c r="A794" s="36">
        <v>20299505430</v>
      </c>
      <c r="B794" t="s">
        <v>2060</v>
      </c>
      <c r="C794" s="35" t="s">
        <v>2684</v>
      </c>
    </row>
    <row r="795" spans="1:3" hidden="1">
      <c r="A795" s="36">
        <v>20145686459</v>
      </c>
      <c r="B795" t="s">
        <v>2097</v>
      </c>
      <c r="C795" s="35" t="s">
        <v>2684</v>
      </c>
    </row>
    <row r="796" spans="1:3" hidden="1">
      <c r="A796" s="36">
        <v>30714946389</v>
      </c>
      <c r="B796" t="s">
        <v>2131</v>
      </c>
      <c r="C796" s="35" t="s">
        <v>2684</v>
      </c>
    </row>
    <row r="797" spans="1:3" hidden="1">
      <c r="A797" s="36">
        <v>30715865188</v>
      </c>
      <c r="B797" t="s">
        <v>2194</v>
      </c>
      <c r="C797" s="35" t="s">
        <v>2684</v>
      </c>
    </row>
    <row r="798" spans="1:3" hidden="1">
      <c r="A798" s="36">
        <v>20255726103</v>
      </c>
      <c r="B798" t="s">
        <v>2196</v>
      </c>
      <c r="C798" s="35" t="s">
        <v>2684</v>
      </c>
    </row>
    <row r="799" spans="1:3" hidden="1">
      <c r="A799" s="36">
        <v>30644997258</v>
      </c>
      <c r="B799" t="s">
        <v>2230</v>
      </c>
      <c r="C799" s="35" t="s">
        <v>2684</v>
      </c>
    </row>
    <row r="800" spans="1:3" hidden="1">
      <c r="A800" s="36">
        <v>20320262195</v>
      </c>
      <c r="B800" t="s">
        <v>2420</v>
      </c>
      <c r="C800" s="35" t="s">
        <v>2684</v>
      </c>
    </row>
    <row r="801" spans="1:3" hidden="1">
      <c r="A801" s="36">
        <v>30717486826</v>
      </c>
      <c r="B801" t="s">
        <v>2428</v>
      </c>
      <c r="C801" s="35" t="s">
        <v>2684</v>
      </c>
    </row>
    <row r="802" spans="1:3" hidden="1">
      <c r="A802" s="36">
        <v>30717381242</v>
      </c>
      <c r="B802" t="s">
        <v>2516</v>
      </c>
      <c r="C802" s="35" t="s">
        <v>2684</v>
      </c>
    </row>
    <row r="803" spans="1:3" hidden="1">
      <c r="A803" s="36">
        <v>30709382019</v>
      </c>
      <c r="B803" t="s">
        <v>2600</v>
      </c>
      <c r="C803" s="35" t="s">
        <v>2684</v>
      </c>
    </row>
    <row r="804" spans="1:3" hidden="1">
      <c r="A804" s="36">
        <v>20381035221</v>
      </c>
      <c r="B804" t="s">
        <v>2203</v>
      </c>
      <c r="C804" s="35" t="s">
        <v>2672</v>
      </c>
    </row>
    <row r="805" spans="1:3" hidden="1">
      <c r="A805" s="36">
        <v>30582876661</v>
      </c>
      <c r="B805" t="s">
        <v>155</v>
      </c>
      <c r="C805" s="35" t="s">
        <v>83</v>
      </c>
    </row>
    <row r="806" spans="1:3" hidden="1">
      <c r="A806" s="36">
        <v>30506357841</v>
      </c>
      <c r="B806" t="s">
        <v>261</v>
      </c>
      <c r="C806" s="35" t="s">
        <v>83</v>
      </c>
    </row>
    <row r="807" spans="1:3" hidden="1">
      <c r="A807" s="36">
        <v>30712480358</v>
      </c>
      <c r="B807" t="s">
        <v>411</v>
      </c>
      <c r="C807" s="35" t="s">
        <v>83</v>
      </c>
    </row>
    <row r="808" spans="1:3" hidden="1">
      <c r="A808" s="36">
        <v>33716493119</v>
      </c>
      <c r="B808" t="s">
        <v>519</v>
      </c>
      <c r="C808" s="35" t="s">
        <v>83</v>
      </c>
    </row>
    <row r="809" spans="1:3" hidden="1">
      <c r="A809" s="36">
        <v>30714543357</v>
      </c>
      <c r="B809" t="s">
        <v>628</v>
      </c>
      <c r="C809" s="35" t="s">
        <v>83</v>
      </c>
    </row>
    <row r="810" spans="1:3" hidden="1">
      <c r="A810" s="36">
        <v>20275363279</v>
      </c>
      <c r="B810" t="s">
        <v>661</v>
      </c>
      <c r="C810" s="35" t="s">
        <v>83</v>
      </c>
    </row>
    <row r="811" spans="1:3" hidden="1">
      <c r="A811" s="36"/>
      <c r="B811" t="s">
        <v>688</v>
      </c>
      <c r="C811" s="35" t="s">
        <v>83</v>
      </c>
    </row>
    <row r="812" spans="1:3" hidden="1">
      <c r="A812" s="36">
        <v>30709981141</v>
      </c>
      <c r="B812" t="s">
        <v>935</v>
      </c>
      <c r="C812" s="35" t="s">
        <v>83</v>
      </c>
    </row>
    <row r="813" spans="1:3" hidden="1">
      <c r="A813" s="36">
        <v>30709981141</v>
      </c>
      <c r="B813" t="s">
        <v>935</v>
      </c>
      <c r="C813" s="35" t="s">
        <v>83</v>
      </c>
    </row>
    <row r="814" spans="1:3" hidden="1">
      <c r="A814" s="36">
        <v>30715354213</v>
      </c>
      <c r="B814" t="s">
        <v>1045</v>
      </c>
      <c r="C814" s="35" t="s">
        <v>83</v>
      </c>
    </row>
    <row r="815" spans="1:3" hidden="1">
      <c r="A815" s="36">
        <v>30715354213</v>
      </c>
      <c r="B815" t="s">
        <v>1045</v>
      </c>
      <c r="C815" s="35" t="s">
        <v>83</v>
      </c>
    </row>
    <row r="816" spans="1:3" hidden="1">
      <c r="A816" s="36">
        <v>27135545436</v>
      </c>
      <c r="B816" t="s">
        <v>1118</v>
      </c>
      <c r="C816" s="35" t="s">
        <v>83</v>
      </c>
    </row>
    <row r="817" spans="1:4" hidden="1">
      <c r="A817" s="36">
        <v>27135545436</v>
      </c>
      <c r="B817" t="s">
        <v>1118</v>
      </c>
      <c r="C817" s="35" t="s">
        <v>83</v>
      </c>
    </row>
    <row r="818" spans="1:4" hidden="1">
      <c r="A818" s="36">
        <v>30708574836</v>
      </c>
      <c r="B818" t="s">
        <v>1368</v>
      </c>
      <c r="C818" s="35" t="s">
        <v>1856</v>
      </c>
    </row>
    <row r="819" spans="1:4" hidden="1">
      <c r="A819" s="36">
        <v>30711877386</v>
      </c>
      <c r="B819" t="s">
        <v>741</v>
      </c>
      <c r="C819" s="35" t="s">
        <v>742</v>
      </c>
    </row>
    <row r="820" spans="1:4" hidden="1">
      <c r="A820" s="36">
        <v>30712273158</v>
      </c>
      <c r="B820" t="s">
        <v>776</v>
      </c>
      <c r="C820" s="35" t="s">
        <v>86</v>
      </c>
    </row>
    <row r="821" spans="1:4" hidden="1">
      <c r="A821" s="36">
        <v>30715585215</v>
      </c>
      <c r="B821" t="s">
        <v>1007</v>
      </c>
      <c r="C821" s="35" t="s">
        <v>86</v>
      </c>
    </row>
    <row r="822" spans="1:4" hidden="1">
      <c r="A822" s="36">
        <v>30715585215</v>
      </c>
      <c r="B822" t="s">
        <v>1007</v>
      </c>
      <c r="C822" s="35" t="s">
        <v>86</v>
      </c>
    </row>
    <row r="823" spans="1:4" hidden="1">
      <c r="A823" s="36">
        <v>30708425237</v>
      </c>
      <c r="B823" t="s">
        <v>1753</v>
      </c>
      <c r="C823" s="35" t="s">
        <v>86</v>
      </c>
      <c r="D823" t="s">
        <v>1754</v>
      </c>
    </row>
    <row r="824" spans="1:4" hidden="1">
      <c r="A824" s="36">
        <v>30708610999</v>
      </c>
      <c r="B824" t="s">
        <v>1758</v>
      </c>
      <c r="C824" s="35" t="s">
        <v>86</v>
      </c>
      <c r="D824" t="s">
        <v>1756</v>
      </c>
    </row>
    <row r="825" spans="1:4" hidden="1">
      <c r="A825" s="36">
        <v>30522581506</v>
      </c>
      <c r="B825" t="s">
        <v>1942</v>
      </c>
      <c r="C825" s="35" t="s">
        <v>86</v>
      </c>
    </row>
    <row r="826" spans="1:4" hidden="1">
      <c r="A826" s="36">
        <v>30714112836</v>
      </c>
      <c r="B826" t="s">
        <v>1126</v>
      </c>
      <c r="C826" s="35" t="s">
        <v>2660</v>
      </c>
    </row>
    <row r="827" spans="1:4" hidden="1">
      <c r="A827" s="36">
        <v>30714112836</v>
      </c>
      <c r="B827" t="s">
        <v>1126</v>
      </c>
      <c r="C827" s="35" t="s">
        <v>2660</v>
      </c>
    </row>
    <row r="828" spans="1:4" hidden="1">
      <c r="A828" s="36">
        <v>30714112836</v>
      </c>
      <c r="B828" t="s">
        <v>1359</v>
      </c>
      <c r="C828" s="35" t="s">
        <v>2660</v>
      </c>
    </row>
    <row r="829" spans="1:4" hidden="1">
      <c r="A829" s="36">
        <v>30714112836</v>
      </c>
      <c r="B829" t="s">
        <v>1359</v>
      </c>
      <c r="C829" s="35" t="s">
        <v>2660</v>
      </c>
    </row>
    <row r="830" spans="1:4" hidden="1">
      <c r="A830" s="36">
        <v>30677237119</v>
      </c>
      <c r="B830" t="s">
        <v>1370</v>
      </c>
      <c r="C830" s="35" t="s">
        <v>2660</v>
      </c>
    </row>
    <row r="831" spans="1:4" hidden="1">
      <c r="A831" s="36">
        <v>30677237119</v>
      </c>
      <c r="B831" t="s">
        <v>1370</v>
      </c>
      <c r="C831" s="35" t="s">
        <v>2660</v>
      </c>
    </row>
    <row r="832" spans="1:4" hidden="1">
      <c r="A832" s="36">
        <v>30677237119</v>
      </c>
      <c r="B832" t="s">
        <v>1370</v>
      </c>
      <c r="C832" s="35" t="s">
        <v>2660</v>
      </c>
    </row>
    <row r="833" spans="1:3" hidden="1">
      <c r="A833" s="36">
        <v>30677237119</v>
      </c>
      <c r="B833" t="s">
        <v>1370</v>
      </c>
      <c r="C833" s="35" t="s">
        <v>2660</v>
      </c>
    </row>
    <row r="834" spans="1:3" hidden="1">
      <c r="A834" s="36">
        <v>30574876474</v>
      </c>
      <c r="B834" t="s">
        <v>1366</v>
      </c>
      <c r="C834" s="35" t="s">
        <v>2660</v>
      </c>
    </row>
    <row r="835" spans="1:3" hidden="1">
      <c r="A835" s="36">
        <v>30574876474</v>
      </c>
      <c r="B835" t="s">
        <v>1366</v>
      </c>
      <c r="C835" s="35" t="s">
        <v>2660</v>
      </c>
    </row>
    <row r="836" spans="1:3" hidden="1">
      <c r="A836" s="36">
        <v>30574876474</v>
      </c>
      <c r="B836" t="s">
        <v>1366</v>
      </c>
      <c r="C836" s="35" t="s">
        <v>2660</v>
      </c>
    </row>
    <row r="837" spans="1:3" hidden="1">
      <c r="A837" s="36">
        <v>30574876474</v>
      </c>
      <c r="B837" t="s">
        <v>1366</v>
      </c>
      <c r="C837" s="35" t="s">
        <v>2660</v>
      </c>
    </row>
    <row r="838" spans="1:3" hidden="1">
      <c r="A838" s="36">
        <v>30715804812</v>
      </c>
      <c r="B838" t="s">
        <v>1398</v>
      </c>
      <c r="C838" s="35" t="s">
        <v>2660</v>
      </c>
    </row>
    <row r="839" spans="1:3" hidden="1">
      <c r="A839" s="36">
        <v>30715804812</v>
      </c>
      <c r="B839" t="s">
        <v>1398</v>
      </c>
      <c r="C839" s="35" t="s">
        <v>2660</v>
      </c>
    </row>
    <row r="840" spans="1:3" hidden="1">
      <c r="A840" s="36">
        <v>30663498513</v>
      </c>
      <c r="B840" t="s">
        <v>141</v>
      </c>
      <c r="C840" s="35" t="s">
        <v>2660</v>
      </c>
    </row>
    <row r="841" spans="1:3" hidden="1">
      <c r="A841" s="36">
        <v>30663498513</v>
      </c>
      <c r="B841" t="s">
        <v>1364</v>
      </c>
      <c r="C841" s="35" t="s">
        <v>2660</v>
      </c>
    </row>
    <row r="842" spans="1:3" hidden="1">
      <c r="A842" s="36">
        <v>30663498513</v>
      </c>
      <c r="B842" t="s">
        <v>1364</v>
      </c>
      <c r="C842" s="35" t="s">
        <v>2660</v>
      </c>
    </row>
    <row r="843" spans="1:3" hidden="1">
      <c r="A843" s="36">
        <v>30663498513</v>
      </c>
      <c r="B843" t="s">
        <v>1364</v>
      </c>
      <c r="C843" s="35" t="s">
        <v>2660</v>
      </c>
    </row>
    <row r="844" spans="1:3" hidden="1">
      <c r="A844" s="36">
        <v>30663498513</v>
      </c>
      <c r="B844" t="s">
        <v>1364</v>
      </c>
      <c r="C844" s="35" t="s">
        <v>2660</v>
      </c>
    </row>
    <row r="845" spans="1:3" hidden="1">
      <c r="A845" s="36">
        <v>30639935872</v>
      </c>
      <c r="B845" t="s">
        <v>2093</v>
      </c>
      <c r="C845" s="35" t="s">
        <v>2660</v>
      </c>
    </row>
    <row r="846" spans="1:3" hidden="1">
      <c r="A846" s="36">
        <v>30714783129</v>
      </c>
      <c r="B846" t="s">
        <v>2123</v>
      </c>
      <c r="C846" s="35" t="s">
        <v>2660</v>
      </c>
    </row>
    <row r="847" spans="1:3" hidden="1">
      <c r="A847" s="36">
        <v>20222798397</v>
      </c>
      <c r="B847" t="s">
        <v>2227</v>
      </c>
      <c r="C847" s="35" t="s">
        <v>2674</v>
      </c>
    </row>
    <row r="848" spans="1:3" hidden="1">
      <c r="A848" s="36">
        <v>20219190469</v>
      </c>
      <c r="B848" t="s">
        <v>1395</v>
      </c>
      <c r="C848" s="35" t="s">
        <v>2662</v>
      </c>
    </row>
    <row r="849" spans="1:3" hidden="1">
      <c r="A849" s="36">
        <v>20219190469</v>
      </c>
      <c r="B849" t="s">
        <v>1395</v>
      </c>
      <c r="C849" s="35" t="s">
        <v>2662</v>
      </c>
    </row>
    <row r="850" spans="1:3" hidden="1">
      <c r="A850" s="36">
        <v>20219190469</v>
      </c>
      <c r="B850" t="s">
        <v>1154</v>
      </c>
      <c r="C850" s="35" t="s">
        <v>2662</v>
      </c>
    </row>
    <row r="851" spans="1:3" hidden="1">
      <c r="A851" s="36">
        <v>20219190469</v>
      </c>
      <c r="B851" t="s">
        <v>1154</v>
      </c>
      <c r="C851" s="35" t="s">
        <v>2662</v>
      </c>
    </row>
    <row r="852" spans="1:3" hidden="1">
      <c r="A852" s="36">
        <v>20291527575</v>
      </c>
      <c r="B852" t="s">
        <v>2187</v>
      </c>
      <c r="C852" s="35" t="s">
        <v>2662</v>
      </c>
    </row>
    <row r="853" spans="1:3" hidden="1">
      <c r="A853" s="36">
        <v>33714677239</v>
      </c>
      <c r="B853" t="s">
        <v>1152</v>
      </c>
      <c r="C853" s="35" t="s">
        <v>2662</v>
      </c>
    </row>
    <row r="854" spans="1:3" hidden="1">
      <c r="A854" s="36">
        <v>30714618977</v>
      </c>
      <c r="B854" t="s">
        <v>1530</v>
      </c>
      <c r="C854" s="35" t="s">
        <v>2662</v>
      </c>
    </row>
    <row r="855" spans="1:3" hidden="1">
      <c r="A855" s="36">
        <v>30616146447</v>
      </c>
      <c r="B855" t="s">
        <v>1525</v>
      </c>
      <c r="C855" s="35" t="s">
        <v>2662</v>
      </c>
    </row>
    <row r="856" spans="1:3" hidden="1">
      <c r="A856" s="36">
        <v>20946785300</v>
      </c>
      <c r="B856" t="s">
        <v>1431</v>
      </c>
      <c r="C856" s="35" t="s">
        <v>2662</v>
      </c>
    </row>
    <row r="857" spans="1:3" hidden="1">
      <c r="A857" s="36">
        <v>20102638086</v>
      </c>
      <c r="B857" t="s">
        <v>1543</v>
      </c>
      <c r="C857" s="35" t="s">
        <v>2662</v>
      </c>
    </row>
    <row r="858" spans="1:3" hidden="1">
      <c r="A858" s="36">
        <v>30629863571</v>
      </c>
      <c r="B858" t="s">
        <v>1357</v>
      </c>
      <c r="C858" s="35" t="s">
        <v>2662</v>
      </c>
    </row>
    <row r="859" spans="1:3" hidden="1">
      <c r="A859" s="36">
        <v>20946785300</v>
      </c>
      <c r="B859" t="s">
        <v>1431</v>
      </c>
      <c r="C859" s="35" t="s">
        <v>2662</v>
      </c>
    </row>
    <row r="860" spans="1:3" hidden="1">
      <c r="A860" s="36">
        <v>30708006420</v>
      </c>
      <c r="B860" t="s">
        <v>1149</v>
      </c>
      <c r="C860" s="35" t="s">
        <v>2662</v>
      </c>
    </row>
    <row r="861" spans="1:3" hidden="1">
      <c r="A861" s="36">
        <v>30708006420</v>
      </c>
      <c r="B861" t="s">
        <v>1149</v>
      </c>
      <c r="C861" s="35" t="s">
        <v>2662</v>
      </c>
    </row>
    <row r="862" spans="1:3" hidden="1">
      <c r="A862" s="36">
        <v>30708006420</v>
      </c>
      <c r="B862" t="s">
        <v>1149</v>
      </c>
      <c r="C862" s="35" t="s">
        <v>2662</v>
      </c>
    </row>
    <row r="863" spans="1:3" hidden="1">
      <c r="A863" s="36">
        <v>30708006420</v>
      </c>
      <c r="B863" t="s">
        <v>1149</v>
      </c>
      <c r="C863" s="35" t="s">
        <v>2662</v>
      </c>
    </row>
    <row r="864" spans="1:3" hidden="1">
      <c r="A864" s="36">
        <v>30715811622</v>
      </c>
      <c r="B864" t="s">
        <v>1559</v>
      </c>
      <c r="C864" s="35" t="s">
        <v>2662</v>
      </c>
    </row>
    <row r="865" spans="1:3" hidden="1">
      <c r="A865" s="36">
        <v>30718148207</v>
      </c>
      <c r="B865" t="s">
        <v>1905</v>
      </c>
      <c r="C865" s="35" t="s">
        <v>2662</v>
      </c>
    </row>
    <row r="866" spans="1:3" hidden="1">
      <c r="A866" s="36">
        <v>30718189388</v>
      </c>
      <c r="B866" t="s">
        <v>2119</v>
      </c>
      <c r="C866" s="35" t="s">
        <v>2662</v>
      </c>
    </row>
    <row r="867" spans="1:3" hidden="1">
      <c r="A867" s="36">
        <v>20263486464</v>
      </c>
      <c r="B867" t="s">
        <v>2229</v>
      </c>
      <c r="C867" s="35" t="s">
        <v>2662</v>
      </c>
    </row>
    <row r="868" spans="1:3" hidden="1">
      <c r="A868" s="36">
        <v>30711234191</v>
      </c>
      <c r="B868" t="s">
        <v>2514</v>
      </c>
      <c r="C868" s="35" t="s">
        <v>2662</v>
      </c>
    </row>
    <row r="869" spans="1:3" hidden="1">
      <c r="A869" s="36">
        <v>30718531736</v>
      </c>
      <c r="B869" t="s">
        <v>2520</v>
      </c>
      <c r="C869" s="35" t="s">
        <v>2662</v>
      </c>
    </row>
    <row r="870" spans="1:3" hidden="1">
      <c r="A870" s="36">
        <v>30711091552</v>
      </c>
      <c r="B870" t="s">
        <v>2642</v>
      </c>
      <c r="C870" s="35" t="s">
        <v>75</v>
      </c>
    </row>
    <row r="871" spans="1:3" hidden="1">
      <c r="A871" s="36">
        <v>23934601289</v>
      </c>
      <c r="B871" t="s">
        <v>2130</v>
      </c>
      <c r="C871" s="35" t="s">
        <v>79</v>
      </c>
    </row>
    <row r="872" spans="1:3" hidden="1">
      <c r="A872" s="36">
        <v>30707997679</v>
      </c>
      <c r="B872" t="s">
        <v>2137</v>
      </c>
      <c r="C872" s="35" t="s">
        <v>79</v>
      </c>
    </row>
    <row r="873" spans="1:3" hidden="1">
      <c r="A873" s="36">
        <v>30707014756</v>
      </c>
      <c r="B873" t="s">
        <v>2169</v>
      </c>
      <c r="C873" s="35" t="s">
        <v>79</v>
      </c>
    </row>
    <row r="874" spans="1:3" hidden="1">
      <c r="A874" s="36">
        <v>30500795804</v>
      </c>
      <c r="B874" t="s">
        <v>2175</v>
      </c>
      <c r="C874" s="35" t="s">
        <v>79</v>
      </c>
    </row>
    <row r="875" spans="1:3" hidden="1">
      <c r="A875" s="36">
        <v>30602291487</v>
      </c>
      <c r="B875" t="s">
        <v>2279</v>
      </c>
      <c r="C875" s="35" t="s">
        <v>79</v>
      </c>
    </row>
    <row r="876" spans="1:3" hidden="1">
      <c r="A876" s="36">
        <v>30687725766</v>
      </c>
      <c r="B876" t="s">
        <v>2289</v>
      </c>
      <c r="C876" s="35" t="s">
        <v>79</v>
      </c>
    </row>
    <row r="877" spans="1:3" hidden="1">
      <c r="A877" s="36">
        <v>30717197409</v>
      </c>
      <c r="B877" t="s">
        <v>2298</v>
      </c>
      <c r="C877" s="35" t="s">
        <v>79</v>
      </c>
    </row>
    <row r="878" spans="1:3" hidden="1">
      <c r="A878" s="36">
        <v>30677372717</v>
      </c>
      <c r="B878" t="s">
        <v>2302</v>
      </c>
      <c r="C878" s="35" t="s">
        <v>79</v>
      </c>
    </row>
    <row r="879" spans="1:3" hidden="1">
      <c r="A879" s="36">
        <v>20317427361</v>
      </c>
      <c r="B879" t="s">
        <v>2421</v>
      </c>
      <c r="C879" s="35" t="s">
        <v>79</v>
      </c>
    </row>
    <row r="880" spans="1:3" hidden="1">
      <c r="A880" s="36">
        <v>27286944588</v>
      </c>
      <c r="B880" t="s">
        <v>2466</v>
      </c>
      <c r="C880" s="35" t="s">
        <v>79</v>
      </c>
    </row>
    <row r="881" spans="1:3" hidden="1">
      <c r="A881" s="36">
        <v>30714440779</v>
      </c>
      <c r="B881" t="s">
        <v>2506</v>
      </c>
      <c r="C881" s="35" t="s">
        <v>79</v>
      </c>
    </row>
    <row r="882" spans="1:3" hidden="1">
      <c r="A882" s="36">
        <v>20165282974</v>
      </c>
      <c r="B882" t="s">
        <v>2652</v>
      </c>
      <c r="C882" s="35" t="s">
        <v>79</v>
      </c>
    </row>
    <row r="883" spans="1:3" hidden="1">
      <c r="A883" s="36">
        <v>20134116251</v>
      </c>
      <c r="B883" t="s">
        <v>1881</v>
      </c>
      <c r="C883" s="35" t="s">
        <v>2678</v>
      </c>
    </row>
    <row r="884" spans="1:3" hidden="1">
      <c r="A884" s="36">
        <v>30620779748</v>
      </c>
      <c r="B884" t="s">
        <v>2645</v>
      </c>
      <c r="C884" s="35" t="s">
        <v>2678</v>
      </c>
    </row>
    <row r="885" spans="1:3" hidden="1">
      <c r="A885" s="36">
        <v>23234730959</v>
      </c>
      <c r="B885" t="s">
        <v>1412</v>
      </c>
      <c r="C885" s="35" t="s">
        <v>117</v>
      </c>
    </row>
    <row r="886" spans="1:3" hidden="1">
      <c r="A886" s="36">
        <v>23234730959</v>
      </c>
      <c r="B886" t="s">
        <v>1412</v>
      </c>
      <c r="C886" s="35" t="s">
        <v>117</v>
      </c>
    </row>
    <row r="887" spans="1:3" hidden="1">
      <c r="A887" s="36">
        <v>30709565075</v>
      </c>
      <c r="B887" t="s">
        <v>1176</v>
      </c>
      <c r="C887" s="35" t="s">
        <v>80</v>
      </c>
    </row>
    <row r="888" spans="1:3" hidden="1">
      <c r="A888" s="36">
        <v>30709565075</v>
      </c>
      <c r="B888" t="s">
        <v>1176</v>
      </c>
      <c r="C888" s="35" t="s">
        <v>80</v>
      </c>
    </row>
    <row r="889" spans="1:3" hidden="1">
      <c r="A889" s="36">
        <v>30655116202</v>
      </c>
      <c r="B889" t="s">
        <v>1170</v>
      </c>
      <c r="C889" s="35" t="s">
        <v>80</v>
      </c>
    </row>
    <row r="890" spans="1:3" hidden="1">
      <c r="A890" s="36">
        <v>30655116202</v>
      </c>
      <c r="B890" t="s">
        <v>1170</v>
      </c>
      <c r="C890" s="35" t="s">
        <v>80</v>
      </c>
    </row>
    <row r="891" spans="1:3" hidden="1">
      <c r="A891" s="36">
        <v>30655116512</v>
      </c>
      <c r="B891" t="s">
        <v>1161</v>
      </c>
      <c r="C891" s="35" t="s">
        <v>80</v>
      </c>
    </row>
    <row r="892" spans="1:3" hidden="1">
      <c r="A892" s="36">
        <v>30655116512</v>
      </c>
      <c r="B892" t="s">
        <v>1161</v>
      </c>
      <c r="C892" s="35" t="s">
        <v>80</v>
      </c>
    </row>
    <row r="893" spans="1:3" hidden="1">
      <c r="A893" s="36">
        <v>30655116512</v>
      </c>
      <c r="B893" t="s">
        <v>1161</v>
      </c>
      <c r="C893" s="35" t="s">
        <v>80</v>
      </c>
    </row>
    <row r="894" spans="1:3" hidden="1">
      <c r="A894" s="36">
        <v>30655116512</v>
      </c>
      <c r="B894" t="s">
        <v>1161</v>
      </c>
      <c r="C894" s="35" t="s">
        <v>80</v>
      </c>
    </row>
    <row r="895" spans="1:3" hidden="1">
      <c r="A895" s="36">
        <v>30702652975</v>
      </c>
      <c r="B895" t="s">
        <v>114</v>
      </c>
      <c r="C895" s="35" t="s">
        <v>80</v>
      </c>
    </row>
    <row r="896" spans="1:3" hidden="1">
      <c r="A896" s="36">
        <v>30576393381</v>
      </c>
      <c r="B896" t="s">
        <v>792</v>
      </c>
      <c r="C896" s="35" t="s">
        <v>80</v>
      </c>
    </row>
    <row r="897" spans="1:3" hidden="1">
      <c r="A897" s="36">
        <v>30640897267</v>
      </c>
      <c r="B897" t="s">
        <v>1175</v>
      </c>
      <c r="C897" s="35" t="s">
        <v>80</v>
      </c>
    </row>
    <row r="898" spans="1:3" hidden="1">
      <c r="A898" s="36">
        <v>30640897267</v>
      </c>
      <c r="B898" t="s">
        <v>1175</v>
      </c>
      <c r="C898" s="35" t="s">
        <v>80</v>
      </c>
    </row>
    <row r="899" spans="1:3" hidden="1">
      <c r="A899" s="36">
        <v>30640897267</v>
      </c>
      <c r="B899" t="s">
        <v>1175</v>
      </c>
      <c r="C899" s="35" t="s">
        <v>80</v>
      </c>
    </row>
    <row r="900" spans="1:3" hidden="1">
      <c r="A900" s="36">
        <v>30640897267</v>
      </c>
      <c r="B900" t="s">
        <v>1175</v>
      </c>
      <c r="C900" s="35" t="s">
        <v>80</v>
      </c>
    </row>
    <row r="901" spans="1:3" hidden="1">
      <c r="A901" s="36">
        <v>30640897267</v>
      </c>
      <c r="B901" t="s">
        <v>101</v>
      </c>
      <c r="C901" s="35" t="s">
        <v>80</v>
      </c>
    </row>
    <row r="902" spans="1:3" hidden="1">
      <c r="A902" s="36">
        <v>30640897267</v>
      </c>
      <c r="B902" t="s">
        <v>101</v>
      </c>
      <c r="C902" s="35" t="s">
        <v>80</v>
      </c>
    </row>
    <row r="903" spans="1:3" hidden="1">
      <c r="A903" s="36">
        <v>30639453738</v>
      </c>
      <c r="B903" t="s">
        <v>960</v>
      </c>
      <c r="C903" s="35" t="s">
        <v>80</v>
      </c>
    </row>
    <row r="904" spans="1:3" hidden="1">
      <c r="A904" s="36">
        <v>30639453738</v>
      </c>
      <c r="B904" t="s">
        <v>960</v>
      </c>
      <c r="C904" s="35" t="s">
        <v>80</v>
      </c>
    </row>
    <row r="905" spans="1:3" hidden="1">
      <c r="A905" s="36">
        <v>30639453738</v>
      </c>
      <c r="B905" t="s">
        <v>1167</v>
      </c>
      <c r="C905" s="35" t="s">
        <v>80</v>
      </c>
    </row>
    <row r="906" spans="1:3" hidden="1">
      <c r="A906" s="36">
        <v>30639453738</v>
      </c>
      <c r="B906" t="s">
        <v>1167</v>
      </c>
      <c r="C906" s="35" t="s">
        <v>80</v>
      </c>
    </row>
    <row r="907" spans="1:3" hidden="1">
      <c r="A907" s="36">
        <v>30639453738</v>
      </c>
      <c r="B907" t="s">
        <v>1392</v>
      </c>
      <c r="C907" s="35" t="s">
        <v>80</v>
      </c>
    </row>
    <row r="908" spans="1:3" hidden="1">
      <c r="A908" s="36">
        <v>30639453738</v>
      </c>
      <c r="B908" t="s">
        <v>1392</v>
      </c>
      <c r="C908" s="35" t="s">
        <v>80</v>
      </c>
    </row>
    <row r="909" spans="1:3" hidden="1">
      <c r="A909" s="36">
        <v>30639453975</v>
      </c>
      <c r="B909" t="s">
        <v>961</v>
      </c>
      <c r="C909" s="35" t="s">
        <v>80</v>
      </c>
    </row>
    <row r="910" spans="1:3" hidden="1">
      <c r="A910" s="36">
        <v>30639453975</v>
      </c>
      <c r="B910" t="s">
        <v>961</v>
      </c>
      <c r="C910" s="35" t="s">
        <v>80</v>
      </c>
    </row>
    <row r="911" spans="1:3" hidden="1">
      <c r="A911" s="36">
        <v>30678814357</v>
      </c>
      <c r="B911" t="s">
        <v>962</v>
      </c>
      <c r="C911" s="35" t="s">
        <v>80</v>
      </c>
    </row>
    <row r="912" spans="1:3" hidden="1">
      <c r="A912" s="36">
        <v>30678814357</v>
      </c>
      <c r="B912" t="s">
        <v>962</v>
      </c>
      <c r="C912" s="35" t="s">
        <v>80</v>
      </c>
    </row>
    <row r="913" spans="1:3" hidden="1">
      <c r="A913" s="36">
        <v>33640077609</v>
      </c>
      <c r="B913" t="s">
        <v>1797</v>
      </c>
      <c r="C913" s="35" t="s">
        <v>80</v>
      </c>
    </row>
    <row r="914" spans="1:3" hidden="1">
      <c r="A914" s="36">
        <v>33707953549</v>
      </c>
      <c r="B914" t="s">
        <v>1951</v>
      </c>
      <c r="C914" s="35" t="s">
        <v>80</v>
      </c>
    </row>
    <row r="915" spans="1:3" hidden="1">
      <c r="A915" s="36">
        <v>23265923909</v>
      </c>
      <c r="B915" t="s">
        <v>2102</v>
      </c>
      <c r="C915" s="35" t="s">
        <v>80</v>
      </c>
    </row>
    <row r="916" spans="1:3" hidden="1">
      <c r="A916" s="36">
        <v>30717096068</v>
      </c>
      <c r="B916" t="s">
        <v>2276</v>
      </c>
      <c r="C916" s="35" t="s">
        <v>80</v>
      </c>
    </row>
    <row r="917" spans="1:3" hidden="1">
      <c r="A917" s="242">
        <v>30657863676</v>
      </c>
      <c r="B917" t="s">
        <v>2282</v>
      </c>
      <c r="C917" s="35" t="s">
        <v>80</v>
      </c>
    </row>
    <row r="918" spans="1:3" hidden="1">
      <c r="A918" s="36">
        <v>33708975309</v>
      </c>
      <c r="B918" t="s">
        <v>2301</v>
      </c>
      <c r="C918" s="35" t="s">
        <v>80</v>
      </c>
    </row>
    <row r="919" spans="1:3" hidden="1">
      <c r="A919" s="36">
        <v>30678186445</v>
      </c>
      <c r="B919" t="s">
        <v>2423</v>
      </c>
      <c r="C919" s="35" t="s">
        <v>80</v>
      </c>
    </row>
    <row r="920" spans="1:3" hidden="1">
      <c r="A920" s="36">
        <v>30711651779</v>
      </c>
      <c r="B920" t="s">
        <v>1371</v>
      </c>
      <c r="C920" s="35" t="s">
        <v>2663</v>
      </c>
    </row>
    <row r="921" spans="1:3" hidden="1">
      <c r="A921" s="36">
        <v>30711651779</v>
      </c>
      <c r="B921" t="s">
        <v>1371</v>
      </c>
      <c r="C921" s="35" t="s">
        <v>2663</v>
      </c>
    </row>
    <row r="922" spans="1:3" hidden="1">
      <c r="A922" s="36">
        <v>30711651779</v>
      </c>
      <c r="B922" t="s">
        <v>1155</v>
      </c>
      <c r="C922" s="35" t="s">
        <v>2663</v>
      </c>
    </row>
    <row r="923" spans="1:3" hidden="1">
      <c r="A923" s="36">
        <v>30711651779</v>
      </c>
      <c r="B923" t="s">
        <v>1155</v>
      </c>
      <c r="C923" s="35" t="s">
        <v>2663</v>
      </c>
    </row>
    <row r="924" spans="1:3" hidden="1">
      <c r="A924" s="36">
        <v>30709457523</v>
      </c>
      <c r="B924" t="s">
        <v>2023</v>
      </c>
      <c r="C924" s="35" t="s">
        <v>2663</v>
      </c>
    </row>
    <row r="925" spans="1:3" hidden="1">
      <c r="A925" s="36">
        <v>30714749206</v>
      </c>
      <c r="B925" t="s">
        <v>2182</v>
      </c>
      <c r="C925" s="35" t="s">
        <v>2663</v>
      </c>
    </row>
    <row r="926" spans="1:3" hidden="1">
      <c r="A926" s="36">
        <v>30525525046</v>
      </c>
      <c r="B926" t="s">
        <v>2206</v>
      </c>
      <c r="C926" s="35" t="s">
        <v>2663</v>
      </c>
    </row>
    <row r="927" spans="1:3" hidden="1">
      <c r="A927" s="36">
        <v>30707830960</v>
      </c>
      <c r="B927" t="s">
        <v>2517</v>
      </c>
      <c r="C927" s="35" t="s">
        <v>2663</v>
      </c>
    </row>
    <row r="928" spans="1:3" hidden="1">
      <c r="A928" s="36">
        <v>27218690160</v>
      </c>
      <c r="B928" t="s">
        <v>2444</v>
      </c>
      <c r="C928" s="35" t="s">
        <v>2690</v>
      </c>
    </row>
    <row r="929" spans="1:3" hidden="1">
      <c r="A929" s="36">
        <v>27165595861</v>
      </c>
      <c r="B929" t="s">
        <v>1789</v>
      </c>
      <c r="C929" s="35" t="s">
        <v>1790</v>
      </c>
    </row>
    <row r="930" spans="1:3" hidden="1">
      <c r="A930" s="36">
        <v>20234632613</v>
      </c>
      <c r="B930" t="s">
        <v>2505</v>
      </c>
      <c r="C930" s="35" t="s">
        <v>1790</v>
      </c>
    </row>
    <row r="931" spans="1:3" hidden="1">
      <c r="A931" s="36">
        <v>20205368826</v>
      </c>
      <c r="B931" t="s">
        <v>2513</v>
      </c>
      <c r="C931" s="35" t="s">
        <v>1790</v>
      </c>
    </row>
    <row r="932" spans="1:3" hidden="1">
      <c r="A932" s="36">
        <v>30656515224</v>
      </c>
      <c r="B932" t="s">
        <v>2200</v>
      </c>
      <c r="C932" s="35" t="s">
        <v>2671</v>
      </c>
    </row>
    <row r="933" spans="1:3" hidden="1">
      <c r="A933" s="36">
        <v>30714284963</v>
      </c>
      <c r="B933" t="s">
        <v>1422</v>
      </c>
      <c r="C933" s="35" t="s">
        <v>79</v>
      </c>
    </row>
    <row r="934" spans="1:3" hidden="1">
      <c r="A934" s="36">
        <v>30714284963</v>
      </c>
      <c r="B934" t="s">
        <v>1422</v>
      </c>
      <c r="C934" s="35" t="s">
        <v>79</v>
      </c>
    </row>
    <row r="935" spans="1:3" hidden="1">
      <c r="A935" s="36">
        <v>20280299686</v>
      </c>
      <c r="B935" t="s">
        <v>1770</v>
      </c>
      <c r="C935" s="35" t="s">
        <v>2669</v>
      </c>
    </row>
    <row r="936" spans="1:3">
      <c r="A936" s="36">
        <v>33708907869</v>
      </c>
      <c r="B936" t="s">
        <v>1921</v>
      </c>
      <c r="C936" s="35" t="s">
        <v>79</v>
      </c>
    </row>
    <row r="937" spans="1:3" hidden="1">
      <c r="A937" s="36">
        <v>20176922363</v>
      </c>
      <c r="B937" t="s">
        <v>1532</v>
      </c>
      <c r="C937" s="35" t="s">
        <v>2690</v>
      </c>
    </row>
    <row r="938" spans="1:3" hidden="1">
      <c r="A938" s="36">
        <v>20284304048</v>
      </c>
      <c r="B938" t="s">
        <v>2181</v>
      </c>
      <c r="C938" s="35" t="s">
        <v>2669</v>
      </c>
    </row>
    <row r="939" spans="1:3" hidden="1">
      <c r="A939" s="36">
        <v>27412102431</v>
      </c>
      <c r="B939" t="s">
        <v>2231</v>
      </c>
      <c r="C939" s="35" t="s">
        <v>2669</v>
      </c>
    </row>
    <row r="940" spans="1:3" hidden="1">
      <c r="A940" s="242">
        <v>30716352451</v>
      </c>
      <c r="B940" t="s">
        <v>2280</v>
      </c>
      <c r="C940" s="35" t="s">
        <v>2669</v>
      </c>
    </row>
    <row r="941" spans="1:3" hidden="1">
      <c r="A941" s="36">
        <f>12999779</f>
        <v>12999779</v>
      </c>
      <c r="B941" t="s">
        <v>121</v>
      </c>
    </row>
    <row r="942" spans="1:3" hidden="1">
      <c r="A942" s="36">
        <f>475785</f>
        <v>475785</v>
      </c>
      <c r="B942" t="s">
        <v>122</v>
      </c>
    </row>
    <row r="943" spans="1:3" hidden="1">
      <c r="A943" s="36">
        <f>32052462</f>
        <v>32052462</v>
      </c>
      <c r="B943" t="s">
        <v>123</v>
      </c>
    </row>
    <row r="944" spans="1:3" hidden="1">
      <c r="A944" s="36">
        <v>36065190</v>
      </c>
      <c r="B944" t="s">
        <v>1310</v>
      </c>
    </row>
    <row r="945" spans="1:2" hidden="1">
      <c r="A945" s="36">
        <v>36065190</v>
      </c>
      <c r="B945" t="s">
        <v>1310</v>
      </c>
    </row>
    <row r="946" spans="1:2" hidden="1">
      <c r="A946" s="36">
        <v>35357420</v>
      </c>
      <c r="B946" t="s">
        <v>1255</v>
      </c>
    </row>
    <row r="947" spans="1:2" hidden="1">
      <c r="A947" s="36">
        <v>35357420</v>
      </c>
      <c r="B947" t="s">
        <v>1255</v>
      </c>
    </row>
    <row r="948" spans="1:2" hidden="1">
      <c r="A948" s="36">
        <v>35357420</v>
      </c>
      <c r="B948" t="s">
        <v>1255</v>
      </c>
    </row>
    <row r="949" spans="1:2" hidden="1">
      <c r="A949" s="36">
        <v>35357420</v>
      </c>
      <c r="B949" t="s">
        <v>1255</v>
      </c>
    </row>
    <row r="950" spans="1:2" hidden="1">
      <c r="A950" s="36">
        <v>26927710</v>
      </c>
      <c r="B950" t="s">
        <v>1256</v>
      </c>
    </row>
    <row r="951" spans="1:2" hidden="1">
      <c r="A951" s="36">
        <v>26927710</v>
      </c>
      <c r="B951" t="s">
        <v>1256</v>
      </c>
    </row>
    <row r="952" spans="1:2" hidden="1">
      <c r="A952" s="36">
        <v>25231635</v>
      </c>
      <c r="B952" t="s">
        <v>1271</v>
      </c>
    </row>
    <row r="953" spans="1:2" hidden="1">
      <c r="A953" s="36">
        <v>25231635</v>
      </c>
      <c r="B953" t="s">
        <v>1271</v>
      </c>
    </row>
    <row r="954" spans="1:2" hidden="1">
      <c r="A954" s="36">
        <v>25231635</v>
      </c>
      <c r="B954" t="s">
        <v>1271</v>
      </c>
    </row>
    <row r="955" spans="1:2" hidden="1">
      <c r="A955" s="36">
        <v>25231635</v>
      </c>
      <c r="B955" t="s">
        <v>1271</v>
      </c>
    </row>
    <row r="956" spans="1:2" hidden="1">
      <c r="A956" s="36">
        <v>20621121</v>
      </c>
      <c r="B956" t="s">
        <v>1245</v>
      </c>
    </row>
    <row r="957" spans="1:2" hidden="1">
      <c r="A957" s="36">
        <v>20621121</v>
      </c>
      <c r="B957" t="s">
        <v>1245</v>
      </c>
    </row>
    <row r="958" spans="1:2" hidden="1">
      <c r="A958" s="36">
        <v>20621121</v>
      </c>
      <c r="B958" t="s">
        <v>1245</v>
      </c>
    </row>
    <row r="959" spans="1:2" hidden="1">
      <c r="A959" s="36">
        <v>20621121</v>
      </c>
      <c r="B959" t="s">
        <v>1245</v>
      </c>
    </row>
    <row r="960" spans="1:2" hidden="1">
      <c r="A960" s="36">
        <v>20621121</v>
      </c>
      <c r="B960" t="s">
        <v>1245</v>
      </c>
    </row>
    <row r="961" spans="1:2" hidden="1">
      <c r="A961" s="36">
        <v>20621121</v>
      </c>
      <c r="B961" t="s">
        <v>1245</v>
      </c>
    </row>
    <row r="962" spans="1:2" hidden="1">
      <c r="A962" s="36">
        <v>22479614</v>
      </c>
      <c r="B962" t="s">
        <v>1289</v>
      </c>
    </row>
    <row r="963" spans="1:2" hidden="1">
      <c r="A963" s="36">
        <v>22479614</v>
      </c>
      <c r="B963" t="s">
        <v>1289</v>
      </c>
    </row>
    <row r="964" spans="1:2" hidden="1">
      <c r="A964" s="36">
        <v>22479614</v>
      </c>
      <c r="B964" t="s">
        <v>1289</v>
      </c>
    </row>
    <row r="965" spans="1:2" hidden="1">
      <c r="A965" s="36">
        <v>22479614</v>
      </c>
      <c r="B965" t="s">
        <v>1289</v>
      </c>
    </row>
    <row r="966" spans="1:2" hidden="1">
      <c r="A966" s="36">
        <v>26670209</v>
      </c>
      <c r="B966" t="s">
        <v>1229</v>
      </c>
    </row>
    <row r="967" spans="1:2" hidden="1">
      <c r="A967" s="36">
        <v>26670209</v>
      </c>
      <c r="B967" t="s">
        <v>1229</v>
      </c>
    </row>
    <row r="968" spans="1:2" hidden="1">
      <c r="A968" s="36">
        <v>18396100</v>
      </c>
      <c r="B968" t="s">
        <v>1285</v>
      </c>
    </row>
    <row r="969" spans="1:2" hidden="1">
      <c r="A969" s="36">
        <v>18396100</v>
      </c>
      <c r="B969" t="s">
        <v>1285</v>
      </c>
    </row>
    <row r="970" spans="1:2" hidden="1">
      <c r="A970" s="36">
        <v>18396100</v>
      </c>
      <c r="B970" t="s">
        <v>1285</v>
      </c>
    </row>
    <row r="971" spans="1:2" hidden="1">
      <c r="A971" s="36">
        <v>18396100</v>
      </c>
      <c r="B971" t="s">
        <v>1285</v>
      </c>
    </row>
    <row r="972" spans="1:2" hidden="1">
      <c r="A972" s="36">
        <v>26456987</v>
      </c>
      <c r="B972" t="s">
        <v>1267</v>
      </c>
    </row>
    <row r="973" spans="1:2" hidden="1">
      <c r="A973" s="36">
        <v>22238457</v>
      </c>
      <c r="B973" t="s">
        <v>1267</v>
      </c>
    </row>
    <row r="974" spans="1:2" hidden="1">
      <c r="A974" s="36">
        <v>26456987</v>
      </c>
      <c r="B974" t="s">
        <v>1267</v>
      </c>
    </row>
    <row r="975" spans="1:2" hidden="1">
      <c r="A975" s="36">
        <v>22238457</v>
      </c>
      <c r="B975" t="s">
        <v>1267</v>
      </c>
    </row>
    <row r="976" spans="1:2" hidden="1">
      <c r="A976" s="36">
        <v>29381165</v>
      </c>
      <c r="B976" t="s">
        <v>1194</v>
      </c>
    </row>
    <row r="977" spans="1:2" hidden="1">
      <c r="A977" s="36">
        <v>29381165</v>
      </c>
      <c r="B977" t="s">
        <v>1194</v>
      </c>
    </row>
    <row r="978" spans="1:2" hidden="1">
      <c r="A978" s="36">
        <v>42683175</v>
      </c>
      <c r="B978" t="s">
        <v>1272</v>
      </c>
    </row>
    <row r="979" spans="1:2" hidden="1">
      <c r="A979" s="36">
        <v>42683175</v>
      </c>
      <c r="B979" t="s">
        <v>1272</v>
      </c>
    </row>
    <row r="980" spans="1:2" hidden="1">
      <c r="A980" s="36">
        <v>27059572666</v>
      </c>
      <c r="B980" t="s">
        <v>1460</v>
      </c>
    </row>
    <row r="981" spans="1:2" hidden="1">
      <c r="A981" s="36">
        <v>27059572666</v>
      </c>
      <c r="B981" t="s">
        <v>1460</v>
      </c>
    </row>
    <row r="982" spans="1:2" hidden="1">
      <c r="A982" s="36">
        <v>28170300</v>
      </c>
      <c r="B982" t="s">
        <v>1305</v>
      </c>
    </row>
    <row r="983" spans="1:2" hidden="1">
      <c r="A983" s="36">
        <v>28170300</v>
      </c>
      <c r="B983" t="s">
        <v>1305</v>
      </c>
    </row>
    <row r="984" spans="1:2" hidden="1">
      <c r="A984" s="36">
        <v>27256969802</v>
      </c>
      <c r="B984" t="s">
        <v>1459</v>
      </c>
    </row>
    <row r="985" spans="1:2" hidden="1">
      <c r="A985" s="36">
        <v>27256969802</v>
      </c>
      <c r="B985" t="s">
        <v>1459</v>
      </c>
    </row>
    <row r="986" spans="1:2" hidden="1">
      <c r="A986" s="36">
        <v>30267269</v>
      </c>
      <c r="B986" t="s">
        <v>1338</v>
      </c>
    </row>
    <row r="987" spans="1:2" hidden="1">
      <c r="A987" s="36">
        <v>30267269</v>
      </c>
      <c r="B987" t="s">
        <v>1338</v>
      </c>
    </row>
    <row r="988" spans="1:2" hidden="1">
      <c r="A988" s="36">
        <v>30527225988</v>
      </c>
      <c r="B988" t="s">
        <v>1494</v>
      </c>
    </row>
    <row r="989" spans="1:2" hidden="1">
      <c r="A989" s="36">
        <v>23166393574</v>
      </c>
      <c r="B989" t="s">
        <v>1451</v>
      </c>
    </row>
    <row r="990" spans="1:2" hidden="1">
      <c r="A990" s="36">
        <v>23166393574</v>
      </c>
      <c r="B990" t="s">
        <v>1451</v>
      </c>
    </row>
    <row r="991" spans="1:2" hidden="1">
      <c r="A991" s="36">
        <v>18462045</v>
      </c>
      <c r="B991" t="s">
        <v>1280</v>
      </c>
    </row>
    <row r="992" spans="1:2" hidden="1">
      <c r="A992" s="36">
        <v>18462045</v>
      </c>
      <c r="B992" t="s">
        <v>1280</v>
      </c>
    </row>
    <row r="993" spans="1:2" hidden="1">
      <c r="A993" s="36">
        <v>30714069639</v>
      </c>
      <c r="B993" t="s">
        <v>1123</v>
      </c>
    </row>
    <row r="994" spans="1:2" hidden="1">
      <c r="A994" s="36">
        <v>30714069639</v>
      </c>
      <c r="B994" t="s">
        <v>1123</v>
      </c>
    </row>
    <row r="995" spans="1:2" hidden="1">
      <c r="A995" s="36">
        <v>27302111346</v>
      </c>
      <c r="B995" t="s">
        <v>1397</v>
      </c>
    </row>
    <row r="996" spans="1:2" hidden="1">
      <c r="A996" s="36">
        <v>27302111346</v>
      </c>
      <c r="B996" t="s">
        <v>1397</v>
      </c>
    </row>
    <row r="997" spans="1:2" hidden="1">
      <c r="A997" s="36">
        <v>29734146</v>
      </c>
      <c r="B997" t="s">
        <v>1214</v>
      </c>
    </row>
    <row r="998" spans="1:2" hidden="1">
      <c r="A998" s="36">
        <v>29734146</v>
      </c>
      <c r="B998" t="s">
        <v>1214</v>
      </c>
    </row>
    <row r="999" spans="1:2" hidden="1">
      <c r="A999" s="36">
        <v>27816221</v>
      </c>
      <c r="B999" t="s">
        <v>1246</v>
      </c>
    </row>
    <row r="1000" spans="1:2" hidden="1">
      <c r="A1000" s="36">
        <v>27816221</v>
      </c>
      <c r="B1000" t="s">
        <v>1246</v>
      </c>
    </row>
    <row r="1001" spans="1:2" hidden="1">
      <c r="A1001" s="36">
        <v>27816221</v>
      </c>
      <c r="B1001" t="s">
        <v>1246</v>
      </c>
    </row>
    <row r="1002" spans="1:2" hidden="1">
      <c r="A1002" s="36">
        <v>27816221</v>
      </c>
      <c r="B1002" t="s">
        <v>1246</v>
      </c>
    </row>
    <row r="1003" spans="1:2" hidden="1">
      <c r="A1003" s="36">
        <v>27816221</v>
      </c>
      <c r="B1003" t="s">
        <v>1246</v>
      </c>
    </row>
    <row r="1004" spans="1:2" hidden="1">
      <c r="A1004" s="36">
        <v>27816221</v>
      </c>
      <c r="B1004" t="s">
        <v>1246</v>
      </c>
    </row>
    <row r="1005" spans="1:2" hidden="1">
      <c r="A1005" s="36">
        <v>30308030</v>
      </c>
      <c r="B1005" t="s">
        <v>1232</v>
      </c>
    </row>
    <row r="1006" spans="1:2" hidden="1">
      <c r="A1006" s="36">
        <v>30308030</v>
      </c>
      <c r="B1006" t="s">
        <v>1232</v>
      </c>
    </row>
    <row r="1007" spans="1:2" hidden="1">
      <c r="A1007" s="36">
        <v>30308030</v>
      </c>
      <c r="B1007" t="s">
        <v>1232</v>
      </c>
    </row>
    <row r="1008" spans="1:2" hidden="1">
      <c r="A1008" s="36">
        <v>30308030</v>
      </c>
      <c r="B1008" t="s">
        <v>1232</v>
      </c>
    </row>
    <row r="1009" spans="1:2" hidden="1">
      <c r="A1009" s="36">
        <v>20109190110</v>
      </c>
      <c r="B1009" t="s">
        <v>1515</v>
      </c>
    </row>
    <row r="1010" spans="1:2" hidden="1">
      <c r="A1010" s="36">
        <v>22879936</v>
      </c>
      <c r="B1010" t="s">
        <v>1213</v>
      </c>
    </row>
    <row r="1011" spans="1:2" hidden="1">
      <c r="A1011" s="36">
        <v>22879936</v>
      </c>
      <c r="B1011" t="s">
        <v>1213</v>
      </c>
    </row>
    <row r="1012" spans="1:2" hidden="1">
      <c r="A1012" s="36">
        <v>22879936</v>
      </c>
      <c r="B1012" t="s">
        <v>1213</v>
      </c>
    </row>
    <row r="1013" spans="1:2" hidden="1">
      <c r="A1013" s="36">
        <v>22879936</v>
      </c>
      <c r="B1013" t="s">
        <v>1213</v>
      </c>
    </row>
    <row r="1014" spans="1:2" hidden="1">
      <c r="A1014" s="36">
        <v>22879936</v>
      </c>
      <c r="B1014" t="s">
        <v>1213</v>
      </c>
    </row>
    <row r="1015" spans="1:2" hidden="1">
      <c r="A1015" s="36">
        <v>22879936</v>
      </c>
      <c r="B1015" t="s">
        <v>1213</v>
      </c>
    </row>
    <row r="1016" spans="1:2" hidden="1">
      <c r="A1016" s="36">
        <v>30538688793</v>
      </c>
      <c r="B1016" t="s">
        <v>1499</v>
      </c>
    </row>
    <row r="1017" spans="1:2" hidden="1">
      <c r="A1017" s="36">
        <v>40512917</v>
      </c>
      <c r="B1017" t="s">
        <v>1224</v>
      </c>
    </row>
    <row r="1018" spans="1:2" hidden="1">
      <c r="A1018" s="36">
        <v>40512917</v>
      </c>
      <c r="B1018" t="s">
        <v>1224</v>
      </c>
    </row>
    <row r="1019" spans="1:2" hidden="1">
      <c r="A1019" s="36">
        <v>33716348569</v>
      </c>
      <c r="B1019" t="s">
        <v>1506</v>
      </c>
    </row>
    <row r="1020" spans="1:2" hidden="1">
      <c r="A1020" s="36">
        <v>26162942</v>
      </c>
      <c r="B1020" t="s">
        <v>1309</v>
      </c>
    </row>
    <row r="1021" spans="1:2" hidden="1">
      <c r="A1021" s="36">
        <v>26162942</v>
      </c>
      <c r="B1021" t="s">
        <v>1309</v>
      </c>
    </row>
    <row r="1022" spans="1:2" hidden="1">
      <c r="A1022" s="36">
        <v>35969790</v>
      </c>
      <c r="B1022" t="s">
        <v>1231</v>
      </c>
    </row>
    <row r="1023" spans="1:2" hidden="1">
      <c r="A1023" s="36">
        <v>35969790</v>
      </c>
      <c r="B1023" t="s">
        <v>1231</v>
      </c>
    </row>
    <row r="1024" spans="1:2" hidden="1">
      <c r="A1024" s="36">
        <v>26272486</v>
      </c>
      <c r="B1024" t="s">
        <v>1302</v>
      </c>
    </row>
    <row r="1025" spans="1:2" hidden="1">
      <c r="A1025" s="36">
        <v>26272486</v>
      </c>
      <c r="B1025" t="s">
        <v>1302</v>
      </c>
    </row>
    <row r="1026" spans="1:2" hidden="1">
      <c r="A1026" s="36">
        <v>26272486</v>
      </c>
      <c r="B1026" t="s">
        <v>1302</v>
      </c>
    </row>
    <row r="1027" spans="1:2" hidden="1">
      <c r="A1027" s="36">
        <v>26272486</v>
      </c>
      <c r="B1027" t="s">
        <v>1302</v>
      </c>
    </row>
    <row r="1028" spans="1:2" hidden="1">
      <c r="A1028" s="36">
        <v>35041832</v>
      </c>
      <c r="B1028" t="s">
        <v>1297</v>
      </c>
    </row>
    <row r="1029" spans="1:2" hidden="1">
      <c r="A1029" s="36">
        <v>35041832</v>
      </c>
      <c r="B1029" t="s">
        <v>1297</v>
      </c>
    </row>
    <row r="1030" spans="1:2" hidden="1">
      <c r="A1030" s="36">
        <v>35041832</v>
      </c>
      <c r="B1030" t="s">
        <v>1297</v>
      </c>
    </row>
    <row r="1031" spans="1:2" hidden="1">
      <c r="A1031" s="36">
        <v>35041832</v>
      </c>
      <c r="B1031" t="s">
        <v>1297</v>
      </c>
    </row>
    <row r="1032" spans="1:2" hidden="1">
      <c r="A1032" s="36">
        <v>35041832</v>
      </c>
      <c r="B1032" t="s">
        <v>1297</v>
      </c>
    </row>
    <row r="1033" spans="1:2" hidden="1">
      <c r="A1033" s="36">
        <v>35041832</v>
      </c>
      <c r="B1033" t="s">
        <v>1297</v>
      </c>
    </row>
    <row r="1034" spans="1:2" hidden="1">
      <c r="A1034" s="36">
        <v>30715847023</v>
      </c>
      <c r="B1034" t="s">
        <v>1520</v>
      </c>
    </row>
    <row r="1035" spans="1:2" hidden="1">
      <c r="A1035" s="36">
        <v>26886918</v>
      </c>
      <c r="B1035" t="s">
        <v>1252</v>
      </c>
    </row>
    <row r="1036" spans="1:2" hidden="1">
      <c r="A1036" s="36">
        <v>26886918</v>
      </c>
      <c r="B1036" t="s">
        <v>1252</v>
      </c>
    </row>
    <row r="1037" spans="1:2" hidden="1">
      <c r="A1037" s="36">
        <v>27172834189</v>
      </c>
      <c r="B1037" t="s">
        <v>1495</v>
      </c>
    </row>
    <row r="1038" spans="1:2" hidden="1">
      <c r="A1038" s="36">
        <v>30644823276</v>
      </c>
      <c r="B1038" t="s">
        <v>1512</v>
      </c>
    </row>
    <row r="1039" spans="1:2" hidden="1">
      <c r="A1039" s="36">
        <v>23357502209</v>
      </c>
      <c r="B1039" t="s">
        <v>1477</v>
      </c>
    </row>
    <row r="1040" spans="1:2" hidden="1">
      <c r="A1040" s="36">
        <v>30711069360</v>
      </c>
      <c r="B1040" t="s">
        <v>1546</v>
      </c>
    </row>
    <row r="1041" spans="1:2" hidden="1">
      <c r="A1041" s="36">
        <v>27142831339</v>
      </c>
      <c r="B1041" t="s">
        <v>1189</v>
      </c>
    </row>
    <row r="1042" spans="1:2" hidden="1">
      <c r="A1042" s="36">
        <v>27142831339</v>
      </c>
      <c r="B1042" t="s">
        <v>1189</v>
      </c>
    </row>
    <row r="1043" spans="1:2" hidden="1">
      <c r="A1043" s="36">
        <v>30714012734</v>
      </c>
      <c r="B1043" t="s">
        <v>1426</v>
      </c>
    </row>
    <row r="1044" spans="1:2" hidden="1">
      <c r="A1044" s="36">
        <v>30714012734</v>
      </c>
      <c r="B1044" t="s">
        <v>1426</v>
      </c>
    </row>
    <row r="1045" spans="1:2" hidden="1">
      <c r="A1045" s="36">
        <v>26819759</v>
      </c>
      <c r="B1045" t="s">
        <v>1248</v>
      </c>
    </row>
    <row r="1046" spans="1:2" hidden="1">
      <c r="A1046" s="36">
        <v>26819759</v>
      </c>
      <c r="B1046" t="s">
        <v>1248</v>
      </c>
    </row>
    <row r="1047" spans="1:2" hidden="1">
      <c r="A1047" s="36">
        <v>42117899</v>
      </c>
      <c r="B1047" t="s">
        <v>1288</v>
      </c>
    </row>
    <row r="1048" spans="1:2" hidden="1">
      <c r="A1048" s="36">
        <v>42117899</v>
      </c>
      <c r="B1048" t="s">
        <v>1288</v>
      </c>
    </row>
    <row r="1049" spans="1:2" hidden="1">
      <c r="A1049" s="36">
        <v>36373638</v>
      </c>
      <c r="B1049" t="s">
        <v>1247</v>
      </c>
    </row>
    <row r="1050" spans="1:2" hidden="1">
      <c r="A1050" s="36">
        <v>36373638</v>
      </c>
      <c r="B1050" t="s">
        <v>1247</v>
      </c>
    </row>
    <row r="1051" spans="1:2" hidden="1">
      <c r="A1051" s="36">
        <v>36373638</v>
      </c>
      <c r="B1051" t="s">
        <v>1247</v>
      </c>
    </row>
    <row r="1052" spans="1:2" hidden="1">
      <c r="A1052" s="36">
        <v>36373638</v>
      </c>
      <c r="B1052" t="s">
        <v>1247</v>
      </c>
    </row>
    <row r="1053" spans="1:2" hidden="1">
      <c r="A1053" s="36">
        <v>18800655</v>
      </c>
      <c r="B1053" t="s">
        <v>1254</v>
      </c>
    </row>
    <row r="1054" spans="1:2" hidden="1">
      <c r="A1054" s="36">
        <v>18800655</v>
      </c>
      <c r="B1054" t="s">
        <v>1254</v>
      </c>
    </row>
    <row r="1055" spans="1:2" hidden="1">
      <c r="A1055" s="36">
        <v>18800655</v>
      </c>
      <c r="B1055" t="s">
        <v>1254</v>
      </c>
    </row>
    <row r="1056" spans="1:2" hidden="1">
      <c r="A1056" s="36">
        <v>18800655</v>
      </c>
      <c r="B1056" t="s">
        <v>1254</v>
      </c>
    </row>
    <row r="1057" spans="1:2" hidden="1">
      <c r="A1057" s="36">
        <v>30716367432</v>
      </c>
      <c r="B1057" t="s">
        <v>1541</v>
      </c>
    </row>
    <row r="1058" spans="1:2" hidden="1">
      <c r="A1058" s="36">
        <v>11368071</v>
      </c>
      <c r="B1058" t="s">
        <v>1250</v>
      </c>
    </row>
    <row r="1059" spans="1:2" hidden="1">
      <c r="A1059" s="36">
        <v>11368071</v>
      </c>
      <c r="B1059" t="s">
        <v>1250</v>
      </c>
    </row>
    <row r="1060" spans="1:2" hidden="1">
      <c r="A1060" s="36">
        <v>11368071</v>
      </c>
      <c r="B1060" t="s">
        <v>1250</v>
      </c>
    </row>
    <row r="1061" spans="1:2" hidden="1">
      <c r="A1061" s="36">
        <v>11368071</v>
      </c>
      <c r="B1061" t="s">
        <v>1250</v>
      </c>
    </row>
    <row r="1062" spans="1:2" hidden="1">
      <c r="A1062" s="36">
        <v>11368071</v>
      </c>
      <c r="B1062" t="s">
        <v>1250</v>
      </c>
    </row>
    <row r="1063" spans="1:2" hidden="1">
      <c r="A1063" s="36">
        <v>11368071</v>
      </c>
      <c r="B1063" t="s">
        <v>1250</v>
      </c>
    </row>
    <row r="1064" spans="1:2" hidden="1">
      <c r="A1064" s="36">
        <v>33528637</v>
      </c>
      <c r="B1064" t="s">
        <v>1342</v>
      </c>
    </row>
    <row r="1065" spans="1:2" hidden="1">
      <c r="A1065" s="36">
        <v>33528637</v>
      </c>
      <c r="B1065" t="s">
        <v>1342</v>
      </c>
    </row>
    <row r="1066" spans="1:2" hidden="1">
      <c r="A1066" s="36">
        <v>34624335</v>
      </c>
      <c r="B1066" t="s">
        <v>1196</v>
      </c>
    </row>
    <row r="1067" spans="1:2" hidden="1">
      <c r="A1067" s="36">
        <v>94046946</v>
      </c>
      <c r="B1067" t="s">
        <v>1235</v>
      </c>
    </row>
    <row r="1068" spans="1:2" hidden="1">
      <c r="A1068" s="36">
        <v>17466985</v>
      </c>
      <c r="B1068" t="s">
        <v>1220</v>
      </c>
    </row>
    <row r="1069" spans="1:2" hidden="1">
      <c r="A1069" s="36">
        <v>17466985</v>
      </c>
      <c r="B1069" t="s">
        <v>1220</v>
      </c>
    </row>
    <row r="1070" spans="1:2" hidden="1">
      <c r="A1070" s="36">
        <v>33206249</v>
      </c>
      <c r="B1070" t="s">
        <v>1251</v>
      </c>
    </row>
    <row r="1071" spans="1:2" hidden="1">
      <c r="A1071" s="36">
        <v>33206249</v>
      </c>
      <c r="B1071" t="s">
        <v>1251</v>
      </c>
    </row>
    <row r="1072" spans="1:2" hidden="1">
      <c r="A1072" s="36">
        <v>31684880</v>
      </c>
      <c r="B1072" t="s">
        <v>1240</v>
      </c>
    </row>
    <row r="1073" spans="1:2" hidden="1">
      <c r="A1073" s="36">
        <v>31684880</v>
      </c>
      <c r="B1073" t="s">
        <v>1240</v>
      </c>
    </row>
    <row r="1074" spans="1:2" hidden="1">
      <c r="A1074" s="36">
        <v>32094010</v>
      </c>
      <c r="B1074" t="s">
        <v>1233</v>
      </c>
    </row>
    <row r="1075" spans="1:2" hidden="1">
      <c r="A1075" s="36">
        <v>32094010</v>
      </c>
      <c r="B1075" t="s">
        <v>1233</v>
      </c>
    </row>
    <row r="1076" spans="1:2" hidden="1">
      <c r="A1076" s="36">
        <v>23319210954</v>
      </c>
      <c r="B1076" t="s">
        <v>1401</v>
      </c>
    </row>
    <row r="1077" spans="1:2" hidden="1">
      <c r="A1077" s="36">
        <v>27175380146</v>
      </c>
      <c r="B1077" t="s">
        <v>1468</v>
      </c>
    </row>
    <row r="1078" spans="1:2" hidden="1">
      <c r="A1078" s="36">
        <v>18039953</v>
      </c>
      <c r="B1078" t="s">
        <v>1324</v>
      </c>
    </row>
    <row r="1079" spans="1:2" hidden="1">
      <c r="A1079" s="36">
        <v>18039953</v>
      </c>
      <c r="B1079" t="s">
        <v>1324</v>
      </c>
    </row>
    <row r="1080" spans="1:2" hidden="1">
      <c r="A1080" s="36">
        <v>26843489</v>
      </c>
      <c r="B1080" t="s">
        <v>1334</v>
      </c>
    </row>
    <row r="1081" spans="1:2" hidden="1">
      <c r="A1081" s="36">
        <v>26843489</v>
      </c>
      <c r="B1081" t="s">
        <v>1334</v>
      </c>
    </row>
    <row r="1082" spans="1:2" hidden="1">
      <c r="A1082" s="36">
        <v>30709163503</v>
      </c>
      <c r="B1082" t="s">
        <v>1448</v>
      </c>
    </row>
    <row r="1083" spans="1:2" hidden="1">
      <c r="A1083" s="36">
        <v>30709163503</v>
      </c>
      <c r="B1083" t="s">
        <v>1448</v>
      </c>
    </row>
    <row r="1084" spans="1:2" hidden="1">
      <c r="A1084" s="36">
        <v>12980812</v>
      </c>
      <c r="B1084" t="s">
        <v>1347</v>
      </c>
    </row>
    <row r="1085" spans="1:2" hidden="1">
      <c r="A1085" s="36">
        <v>12980812</v>
      </c>
      <c r="B1085" t="s">
        <v>1347</v>
      </c>
    </row>
    <row r="1086" spans="1:2" hidden="1">
      <c r="A1086" s="36">
        <v>31508290</v>
      </c>
      <c r="B1086" t="s">
        <v>1228</v>
      </c>
    </row>
    <row r="1087" spans="1:2" hidden="1">
      <c r="A1087" s="36">
        <v>31508290</v>
      </c>
      <c r="B1087" t="s">
        <v>1228</v>
      </c>
    </row>
    <row r="1088" spans="1:2" hidden="1">
      <c r="A1088" s="36">
        <v>31508290</v>
      </c>
      <c r="B1088" t="s">
        <v>1228</v>
      </c>
    </row>
    <row r="1089" spans="1:2" hidden="1">
      <c r="A1089" s="36">
        <v>31508290</v>
      </c>
      <c r="B1089" t="s">
        <v>1228</v>
      </c>
    </row>
    <row r="1090" spans="1:2" hidden="1">
      <c r="A1090" s="36">
        <v>30716654105</v>
      </c>
      <c r="B1090" t="s">
        <v>1388</v>
      </c>
    </row>
    <row r="1091" spans="1:2" hidden="1">
      <c r="A1091" s="36">
        <v>30716654105</v>
      </c>
      <c r="B1091" t="s">
        <v>1388</v>
      </c>
    </row>
    <row r="1092" spans="1:2" hidden="1">
      <c r="A1092" s="36">
        <v>22209881</v>
      </c>
      <c r="B1092" t="s">
        <v>1242</v>
      </c>
    </row>
    <row r="1093" spans="1:2" hidden="1">
      <c r="A1093" s="36">
        <v>22209881</v>
      </c>
      <c r="B1093" t="s">
        <v>1242</v>
      </c>
    </row>
    <row r="1094" spans="1:2" hidden="1">
      <c r="A1094" s="36">
        <v>27280796552</v>
      </c>
      <c r="B1094" t="s">
        <v>1449</v>
      </c>
    </row>
    <row r="1095" spans="1:2" hidden="1">
      <c r="A1095" s="36">
        <v>27280796552</v>
      </c>
      <c r="B1095" t="s">
        <v>1449</v>
      </c>
    </row>
    <row r="1096" spans="1:2" hidden="1">
      <c r="A1096" s="36">
        <v>43018540</v>
      </c>
      <c r="B1096" t="s">
        <v>1192</v>
      </c>
    </row>
    <row r="1097" spans="1:2" hidden="1">
      <c r="A1097" s="36">
        <v>43018540</v>
      </c>
      <c r="B1097" t="s">
        <v>1192</v>
      </c>
    </row>
    <row r="1098" spans="1:2" hidden="1">
      <c r="A1098" s="36">
        <v>43018540</v>
      </c>
      <c r="B1098" t="s">
        <v>1192</v>
      </c>
    </row>
    <row r="1099" spans="1:2" hidden="1">
      <c r="A1099" s="36">
        <v>43018540</v>
      </c>
      <c r="B1099" t="s">
        <v>1192</v>
      </c>
    </row>
    <row r="1100" spans="1:2" hidden="1">
      <c r="A1100" s="36">
        <v>30541213860</v>
      </c>
      <c r="B1100" t="s">
        <v>1491</v>
      </c>
    </row>
    <row r="1101" spans="1:2" hidden="1">
      <c r="A1101" s="36">
        <v>27327364567</v>
      </c>
      <c r="B1101" t="s">
        <v>1180</v>
      </c>
    </row>
    <row r="1102" spans="1:2" hidden="1">
      <c r="A1102" s="36">
        <v>27327364567</v>
      </c>
      <c r="B1102" t="s">
        <v>1180</v>
      </c>
    </row>
    <row r="1103" spans="1:2" hidden="1">
      <c r="A1103" s="36">
        <v>30716010739</v>
      </c>
      <c r="B1103" t="s">
        <v>1514</v>
      </c>
    </row>
    <row r="1104" spans="1:2" hidden="1">
      <c r="A1104" s="36">
        <v>36291697</v>
      </c>
      <c r="B1104" t="s">
        <v>1204</v>
      </c>
    </row>
    <row r="1105" spans="1:2" hidden="1">
      <c r="A1105" s="36">
        <v>36291697</v>
      </c>
      <c r="B1105" t="s">
        <v>1204</v>
      </c>
    </row>
    <row r="1106" spans="1:2" hidden="1">
      <c r="A1106" s="36">
        <v>30716160889</v>
      </c>
      <c r="B1106" t="s">
        <v>1135</v>
      </c>
    </row>
    <row r="1107" spans="1:2" hidden="1">
      <c r="A1107" s="36">
        <v>17834265</v>
      </c>
      <c r="B1107" t="s">
        <v>1210</v>
      </c>
    </row>
    <row r="1108" spans="1:2" hidden="1">
      <c r="A1108" s="36">
        <v>17834265</v>
      </c>
      <c r="B1108" t="s">
        <v>1210</v>
      </c>
    </row>
    <row r="1109" spans="1:2" hidden="1">
      <c r="A1109" s="36">
        <v>30717219232</v>
      </c>
      <c r="B1109" t="s">
        <v>1526</v>
      </c>
    </row>
    <row r="1110" spans="1:2" hidden="1">
      <c r="A1110" s="36">
        <v>22333444</v>
      </c>
      <c r="B1110" t="s">
        <v>1259</v>
      </c>
    </row>
    <row r="1111" spans="1:2" hidden="1">
      <c r="A1111" s="36">
        <v>22333444</v>
      </c>
      <c r="B1111" t="s">
        <v>1259</v>
      </c>
    </row>
    <row r="1112" spans="1:2" hidden="1">
      <c r="A1112" s="36">
        <v>30708574836</v>
      </c>
      <c r="B1112" t="s">
        <v>1368</v>
      </c>
    </row>
    <row r="1113" spans="1:2" hidden="1">
      <c r="A1113" s="36">
        <v>40423390</v>
      </c>
      <c r="B1113" t="s">
        <v>1313</v>
      </c>
    </row>
    <row r="1114" spans="1:2" hidden="1">
      <c r="A1114" s="36">
        <v>40423390</v>
      </c>
      <c r="B1114" t="s">
        <v>1313</v>
      </c>
    </row>
    <row r="1115" spans="1:2" hidden="1">
      <c r="A1115" s="36">
        <v>30633139144</v>
      </c>
      <c r="B1115" t="s">
        <v>1554</v>
      </c>
    </row>
    <row r="1116" spans="1:2" hidden="1">
      <c r="A1116" s="36">
        <v>23134689</v>
      </c>
      <c r="B1116" t="s">
        <v>1236</v>
      </c>
    </row>
    <row r="1117" spans="1:2" hidden="1">
      <c r="A1117" s="36">
        <v>23134689</v>
      </c>
      <c r="B1117" t="s">
        <v>1236</v>
      </c>
    </row>
    <row r="1118" spans="1:2" hidden="1">
      <c r="A1118" s="36">
        <v>23134689</v>
      </c>
      <c r="B1118" t="s">
        <v>1236</v>
      </c>
    </row>
    <row r="1119" spans="1:2" hidden="1">
      <c r="A1119" s="36">
        <v>23134689</v>
      </c>
      <c r="B1119" t="s">
        <v>1236</v>
      </c>
    </row>
    <row r="1120" spans="1:2" hidden="1">
      <c r="A1120" s="36">
        <v>23134689</v>
      </c>
      <c r="B1120" t="s">
        <v>1236</v>
      </c>
    </row>
    <row r="1121" spans="1:2" hidden="1">
      <c r="A1121" s="36">
        <v>23134689</v>
      </c>
      <c r="B1121" t="s">
        <v>1236</v>
      </c>
    </row>
    <row r="1122" spans="1:2" hidden="1">
      <c r="A1122" s="36">
        <v>20206005042</v>
      </c>
      <c r="B1122" t="s">
        <v>1458</v>
      </c>
    </row>
    <row r="1123" spans="1:2" hidden="1">
      <c r="A1123" s="36">
        <v>20206005042</v>
      </c>
      <c r="B1123" t="s">
        <v>1458</v>
      </c>
    </row>
    <row r="1124" spans="1:2" hidden="1">
      <c r="A1124" s="36">
        <v>32461525</v>
      </c>
      <c r="B1124" t="s">
        <v>1282</v>
      </c>
    </row>
    <row r="1125" spans="1:2" hidden="1">
      <c r="A1125" s="36">
        <v>32461525</v>
      </c>
      <c r="B1125" t="s">
        <v>1282</v>
      </c>
    </row>
    <row r="1126" spans="1:2" hidden="1">
      <c r="A1126" s="36">
        <v>23168212429</v>
      </c>
      <c r="B1126" t="s">
        <v>1513</v>
      </c>
    </row>
    <row r="1127" spans="1:2" hidden="1">
      <c r="A1127" s="36">
        <v>37034742</v>
      </c>
      <c r="B1127" t="s">
        <v>1315</v>
      </c>
    </row>
    <row r="1128" spans="1:2" hidden="1">
      <c r="A1128" s="36">
        <v>37034742</v>
      </c>
      <c r="B1128" t="s">
        <v>1315</v>
      </c>
    </row>
    <row r="1129" spans="1:2" hidden="1">
      <c r="A1129" s="36">
        <v>23782857</v>
      </c>
      <c r="B1129" t="s">
        <v>1241</v>
      </c>
    </row>
    <row r="1130" spans="1:2" hidden="1">
      <c r="A1130" s="36">
        <v>23782857</v>
      </c>
      <c r="B1130" t="s">
        <v>1241</v>
      </c>
    </row>
    <row r="1131" spans="1:2" hidden="1">
      <c r="A1131" s="36">
        <v>20938867179</v>
      </c>
      <c r="B1131" t="s">
        <v>1552</v>
      </c>
    </row>
    <row r="1132" spans="1:2" hidden="1">
      <c r="A1132" s="36">
        <v>5150827</v>
      </c>
      <c r="B1132" t="s">
        <v>1322</v>
      </c>
    </row>
    <row r="1133" spans="1:2" hidden="1">
      <c r="A1133" s="36">
        <v>5150827</v>
      </c>
      <c r="B1133" t="s">
        <v>1322</v>
      </c>
    </row>
    <row r="1134" spans="1:2" hidden="1">
      <c r="A1134" s="36">
        <v>20403969886</v>
      </c>
      <c r="B1134" t="s">
        <v>1533</v>
      </c>
    </row>
    <row r="1135" spans="1:2" hidden="1">
      <c r="A1135" s="36">
        <v>30699166673</v>
      </c>
      <c r="B1135" t="s">
        <v>1539</v>
      </c>
    </row>
    <row r="1136" spans="1:2" hidden="1">
      <c r="A1136" s="36">
        <v>27047880241</v>
      </c>
      <c r="B1136" t="s">
        <v>1482</v>
      </c>
    </row>
    <row r="1137" spans="1:2" hidden="1">
      <c r="A1137" s="36">
        <v>30717072592</v>
      </c>
      <c r="B1137" t="s">
        <v>1496</v>
      </c>
    </row>
    <row r="1138" spans="1:2" hidden="1">
      <c r="A1138" s="36">
        <v>30701307115</v>
      </c>
      <c r="B1138" t="s">
        <v>1427</v>
      </c>
    </row>
    <row r="1139" spans="1:2" hidden="1">
      <c r="A1139" s="36">
        <v>30701307115</v>
      </c>
      <c r="B1139" t="s">
        <v>1427</v>
      </c>
    </row>
    <row r="1140" spans="1:2" hidden="1">
      <c r="A1140" s="36">
        <v>23206465</v>
      </c>
      <c r="B1140" t="s">
        <v>1219</v>
      </c>
    </row>
    <row r="1141" spans="1:2" hidden="1">
      <c r="A1141" s="36"/>
    </row>
    <row r="1142" spans="1:2" hidden="1">
      <c r="A1142" s="36">
        <v>12737020</v>
      </c>
      <c r="B1142" t="s">
        <v>1321</v>
      </c>
    </row>
    <row r="1143" spans="1:2" hidden="1">
      <c r="A1143" s="36">
        <v>12737020</v>
      </c>
      <c r="B1143" t="s">
        <v>1321</v>
      </c>
    </row>
    <row r="1144" spans="1:2" hidden="1">
      <c r="A1144" s="36">
        <v>26818017</v>
      </c>
      <c r="B1144" t="s">
        <v>1195</v>
      </c>
    </row>
    <row r="1145" spans="1:2" hidden="1">
      <c r="A1145" s="36">
        <v>26818017</v>
      </c>
      <c r="B1145" t="s">
        <v>1195</v>
      </c>
    </row>
    <row r="1146" spans="1:2" hidden="1">
      <c r="A1146" s="36">
        <v>28573689</v>
      </c>
      <c r="B1146" t="s">
        <v>1293</v>
      </c>
    </row>
    <row r="1147" spans="1:2" hidden="1">
      <c r="A1147" s="36">
        <v>28573689</v>
      </c>
      <c r="B1147" t="s">
        <v>1293</v>
      </c>
    </row>
    <row r="1148" spans="1:2" hidden="1">
      <c r="A1148" s="36">
        <v>31245859</v>
      </c>
      <c r="B1148" t="s">
        <v>1336</v>
      </c>
    </row>
    <row r="1149" spans="1:2" hidden="1">
      <c r="A1149" s="36">
        <v>31245859</v>
      </c>
      <c r="B1149" t="s">
        <v>1336</v>
      </c>
    </row>
    <row r="1150" spans="1:2" hidden="1">
      <c r="A1150" s="36">
        <v>23127284369</v>
      </c>
      <c r="B1150" t="s">
        <v>1153</v>
      </c>
    </row>
    <row r="1151" spans="1:2" hidden="1">
      <c r="A1151" s="36">
        <v>23127284369</v>
      </c>
      <c r="B1151" t="s">
        <v>1153</v>
      </c>
    </row>
    <row r="1152" spans="1:2" hidden="1">
      <c r="A1152" s="36">
        <v>30910546</v>
      </c>
      <c r="B1152" t="s">
        <v>1237</v>
      </c>
    </row>
    <row r="1153" spans="1:2" hidden="1">
      <c r="A1153" s="36">
        <v>30910546</v>
      </c>
      <c r="B1153" t="s">
        <v>1237</v>
      </c>
    </row>
    <row r="1154" spans="1:2" hidden="1">
      <c r="A1154" s="36">
        <v>30714082066</v>
      </c>
      <c r="B1154" t="s">
        <v>1548</v>
      </c>
    </row>
    <row r="1155" spans="1:2" hidden="1">
      <c r="A1155" s="36">
        <v>30708247770</v>
      </c>
      <c r="B1155" t="s">
        <v>1523</v>
      </c>
    </row>
    <row r="1156" spans="1:2" hidden="1">
      <c r="A1156" s="36">
        <v>30551016117</v>
      </c>
      <c r="B1156" t="s">
        <v>1407</v>
      </c>
    </row>
    <row r="1157" spans="1:2" hidden="1">
      <c r="A1157" s="36">
        <v>30551016117</v>
      </c>
      <c r="B1157" t="s">
        <v>1407</v>
      </c>
    </row>
    <row r="1158" spans="1:2" hidden="1">
      <c r="A1158" s="36">
        <v>30610474604</v>
      </c>
      <c r="B1158" t="s">
        <v>1542</v>
      </c>
    </row>
    <row r="1159" spans="1:2" hidden="1">
      <c r="A1159" s="36"/>
    </row>
    <row r="1160" spans="1:2" hidden="1">
      <c r="A1160" s="36"/>
    </row>
    <row r="1161" spans="1:2" hidden="1">
      <c r="A1161" s="36"/>
    </row>
    <row r="1162" spans="1:2" hidden="1">
      <c r="A1162" s="36"/>
    </row>
    <row r="1163" spans="1:2" hidden="1">
      <c r="A1163" s="36"/>
    </row>
    <row r="1164" spans="1:2" hidden="1">
      <c r="A1164" s="36">
        <v>20120844386</v>
      </c>
      <c r="B1164" t="s">
        <v>1500</v>
      </c>
    </row>
    <row r="1165" spans="1:2" hidden="1">
      <c r="A1165" s="36">
        <v>20022890</v>
      </c>
      <c r="B1165" t="s">
        <v>1257</v>
      </c>
    </row>
    <row r="1166" spans="1:2" hidden="1">
      <c r="A1166" s="36">
        <v>20022890</v>
      </c>
      <c r="B1166" t="s">
        <v>1257</v>
      </c>
    </row>
    <row r="1167" spans="1:2" hidden="1">
      <c r="A1167" s="36">
        <v>3942773277</v>
      </c>
      <c r="B1167" t="s">
        <v>1318</v>
      </c>
    </row>
    <row r="1168" spans="1:2" hidden="1">
      <c r="A1168" s="36">
        <v>3942773277</v>
      </c>
      <c r="B1168" t="s">
        <v>1318</v>
      </c>
    </row>
    <row r="1169" spans="1:2" hidden="1">
      <c r="A1169" s="36">
        <v>27280036698</v>
      </c>
      <c r="B1169" t="s">
        <v>1188</v>
      </c>
    </row>
    <row r="1170" spans="1:2" hidden="1">
      <c r="A1170" s="36">
        <v>27280036698</v>
      </c>
      <c r="B1170" t="s">
        <v>1188</v>
      </c>
    </row>
    <row r="1171" spans="1:2" hidden="1">
      <c r="A1171" s="36">
        <v>20397562469</v>
      </c>
      <c r="B1171" t="s">
        <v>1562</v>
      </c>
    </row>
    <row r="1172" spans="1:2" hidden="1">
      <c r="A1172" s="36">
        <v>36740584</v>
      </c>
      <c r="B1172" t="s">
        <v>1225</v>
      </c>
    </row>
    <row r="1173" spans="1:2" hidden="1">
      <c r="A1173" s="36">
        <v>36740584</v>
      </c>
      <c r="B1173" t="s">
        <v>1225</v>
      </c>
    </row>
    <row r="1174" spans="1:2" hidden="1">
      <c r="A1174" s="36">
        <v>36740584</v>
      </c>
      <c r="B1174" t="s">
        <v>1225</v>
      </c>
    </row>
    <row r="1175" spans="1:2" hidden="1">
      <c r="A1175" s="36">
        <v>36740584</v>
      </c>
      <c r="B1175" t="s">
        <v>1225</v>
      </c>
    </row>
    <row r="1176" spans="1:2" hidden="1">
      <c r="A1176" s="36">
        <v>36740584</v>
      </c>
      <c r="B1176" t="s">
        <v>1225</v>
      </c>
    </row>
    <row r="1177" spans="1:2" hidden="1">
      <c r="A1177" s="36">
        <v>36740584</v>
      </c>
      <c r="B1177" t="s">
        <v>1225</v>
      </c>
    </row>
    <row r="1178" spans="1:2" hidden="1">
      <c r="A1178" s="36">
        <v>36740584</v>
      </c>
      <c r="B1178" t="s">
        <v>1225</v>
      </c>
    </row>
    <row r="1179" spans="1:2" hidden="1">
      <c r="A1179" s="36">
        <v>36740584</v>
      </c>
      <c r="B1179" t="s">
        <v>1225</v>
      </c>
    </row>
    <row r="1180" spans="1:2" hidden="1">
      <c r="A1180" s="36">
        <v>34651132</v>
      </c>
      <c r="B1180" t="s">
        <v>1298</v>
      </c>
    </row>
    <row r="1181" spans="1:2" hidden="1">
      <c r="A1181" s="36">
        <v>34651132</v>
      </c>
      <c r="B1181" t="s">
        <v>1298</v>
      </c>
    </row>
    <row r="1182" spans="1:2" hidden="1">
      <c r="A1182" s="36">
        <v>30712104550</v>
      </c>
      <c r="B1182" t="s">
        <v>1186</v>
      </c>
    </row>
    <row r="1183" spans="1:2" hidden="1">
      <c r="A1183" s="36">
        <v>30712104550</v>
      </c>
      <c r="B1183" t="s">
        <v>1186</v>
      </c>
    </row>
    <row r="1184" spans="1:2" hidden="1">
      <c r="A1184" s="36">
        <v>30712104550</v>
      </c>
      <c r="B1184" t="s">
        <v>1186</v>
      </c>
    </row>
    <row r="1185" spans="1:2" hidden="1">
      <c r="A1185" s="36">
        <v>30712104550</v>
      </c>
      <c r="B1185" t="s">
        <v>1186</v>
      </c>
    </row>
    <row r="1186" spans="1:2" hidden="1">
      <c r="A1186" s="36">
        <v>30715023497</v>
      </c>
      <c r="B1186" t="s">
        <v>1557</v>
      </c>
    </row>
    <row r="1187" spans="1:2" hidden="1">
      <c r="A1187" s="36">
        <v>30715889486</v>
      </c>
      <c r="B1187" t="s">
        <v>1177</v>
      </c>
    </row>
    <row r="1188" spans="1:2" hidden="1">
      <c r="A1188" s="36">
        <v>30715889486</v>
      </c>
      <c r="B1188" t="s">
        <v>1136</v>
      </c>
    </row>
    <row r="1189" spans="1:2" hidden="1">
      <c r="A1189" s="36">
        <v>30715889486</v>
      </c>
      <c r="B1189" t="s">
        <v>1136</v>
      </c>
    </row>
    <row r="1190" spans="1:2" hidden="1">
      <c r="A1190" s="36">
        <v>30715889486</v>
      </c>
      <c r="B1190" t="s">
        <v>1177</v>
      </c>
    </row>
    <row r="1191" spans="1:2" hidden="1">
      <c r="A1191" s="36">
        <v>30715889486</v>
      </c>
      <c r="B1191" t="s">
        <v>1136</v>
      </c>
    </row>
    <row r="1192" spans="1:2" hidden="1">
      <c r="A1192" s="36">
        <v>30715553321</v>
      </c>
      <c r="B1192" t="s">
        <v>1545</v>
      </c>
    </row>
    <row r="1193" spans="1:2" hidden="1">
      <c r="A1193" s="36">
        <v>29199061</v>
      </c>
      <c r="B1193" t="s">
        <v>1291</v>
      </c>
    </row>
    <row r="1194" spans="1:2" hidden="1">
      <c r="A1194" s="36">
        <v>29199061</v>
      </c>
      <c r="B1194" t="s">
        <v>1291</v>
      </c>
    </row>
    <row r="1195" spans="1:2" hidden="1">
      <c r="A1195" s="36">
        <v>29199061</v>
      </c>
      <c r="B1195" t="s">
        <v>1291</v>
      </c>
    </row>
    <row r="1196" spans="1:2" hidden="1">
      <c r="A1196" s="36">
        <v>29199061</v>
      </c>
      <c r="B1196" t="s">
        <v>1291</v>
      </c>
    </row>
    <row r="1197" spans="1:2" hidden="1">
      <c r="A1197" s="36">
        <v>28778142</v>
      </c>
      <c r="B1197" t="s">
        <v>1295</v>
      </c>
    </row>
    <row r="1198" spans="1:2" hidden="1">
      <c r="A1198" s="36">
        <v>28778142</v>
      </c>
      <c r="B1198" t="s">
        <v>1295</v>
      </c>
    </row>
    <row r="1199" spans="1:2" hidden="1">
      <c r="A1199" s="36">
        <v>17710578</v>
      </c>
      <c r="B1199" t="s">
        <v>1284</v>
      </c>
    </row>
    <row r="1200" spans="1:2" hidden="1">
      <c r="A1200" s="36">
        <v>17710578</v>
      </c>
      <c r="B1200" t="s">
        <v>1284</v>
      </c>
    </row>
    <row r="1201" spans="1:2" hidden="1">
      <c r="A1201" s="36">
        <v>17710578</v>
      </c>
      <c r="B1201" t="s">
        <v>1284</v>
      </c>
    </row>
    <row r="1202" spans="1:2" hidden="1">
      <c r="A1202" s="36">
        <v>17710578</v>
      </c>
      <c r="B1202" t="s">
        <v>1284</v>
      </c>
    </row>
    <row r="1203" spans="1:2" hidden="1">
      <c r="A1203" s="36">
        <v>30641221771</v>
      </c>
      <c r="B1203" t="s">
        <v>1549</v>
      </c>
    </row>
    <row r="1204" spans="1:2" hidden="1">
      <c r="A1204" s="36"/>
    </row>
    <row r="1205" spans="1:2" hidden="1">
      <c r="A1205" s="36">
        <v>16736509</v>
      </c>
      <c r="B1205" t="s">
        <v>1239</v>
      </c>
    </row>
    <row r="1206" spans="1:2" hidden="1">
      <c r="A1206" s="36">
        <v>16736509</v>
      </c>
      <c r="B1206" t="s">
        <v>1239</v>
      </c>
    </row>
    <row r="1207" spans="1:2" hidden="1">
      <c r="A1207" s="36">
        <v>16736509</v>
      </c>
      <c r="B1207" t="s">
        <v>1239</v>
      </c>
    </row>
    <row r="1208" spans="1:2" hidden="1">
      <c r="A1208" s="36">
        <v>16736509</v>
      </c>
      <c r="B1208" t="s">
        <v>1239</v>
      </c>
    </row>
    <row r="1209" spans="1:2" hidden="1">
      <c r="A1209" s="36">
        <v>16736509</v>
      </c>
      <c r="B1209" t="s">
        <v>1239</v>
      </c>
    </row>
    <row r="1210" spans="1:2" hidden="1">
      <c r="A1210" s="36">
        <v>16736509</v>
      </c>
      <c r="B1210" t="s">
        <v>1239</v>
      </c>
    </row>
    <row r="1211" spans="1:2" hidden="1">
      <c r="A1211" s="36">
        <v>24871779</v>
      </c>
      <c r="B1211" t="s">
        <v>1223</v>
      </c>
    </row>
    <row r="1212" spans="1:2" hidden="1">
      <c r="A1212" s="36">
        <v>24871779</v>
      </c>
      <c r="B1212" t="s">
        <v>1223</v>
      </c>
    </row>
    <row r="1213" spans="1:2" hidden="1">
      <c r="A1213" s="36">
        <v>24871779</v>
      </c>
      <c r="B1213" t="s">
        <v>1223</v>
      </c>
    </row>
    <row r="1214" spans="1:2" hidden="1">
      <c r="A1214" s="36">
        <v>24871779</v>
      </c>
      <c r="B1214" t="s">
        <v>1223</v>
      </c>
    </row>
    <row r="1215" spans="1:2" hidden="1">
      <c r="A1215" s="36">
        <v>30573652084</v>
      </c>
      <c r="B1215" t="s">
        <v>1156</v>
      </c>
    </row>
    <row r="1216" spans="1:2" hidden="1">
      <c r="A1216" s="36">
        <v>30573652084</v>
      </c>
      <c r="B1216" t="s">
        <v>1156</v>
      </c>
    </row>
    <row r="1217" spans="1:2" hidden="1">
      <c r="A1217" s="36">
        <v>30573652084</v>
      </c>
      <c r="B1217" t="s">
        <v>1156</v>
      </c>
    </row>
    <row r="1218" spans="1:2" hidden="1">
      <c r="A1218" s="36">
        <v>30573652084</v>
      </c>
      <c r="B1218" t="s">
        <v>1156</v>
      </c>
    </row>
    <row r="1219" spans="1:2" hidden="1">
      <c r="A1219" s="36">
        <v>30573652084</v>
      </c>
      <c r="B1219" t="s">
        <v>1156</v>
      </c>
    </row>
    <row r="1220" spans="1:2" hidden="1">
      <c r="A1220" s="36">
        <v>30573652084</v>
      </c>
      <c r="B1220" t="s">
        <v>1156</v>
      </c>
    </row>
    <row r="1221" spans="1:2" hidden="1">
      <c r="A1221" s="36">
        <v>27141689296</v>
      </c>
      <c r="B1221" t="s">
        <v>1452</v>
      </c>
    </row>
    <row r="1222" spans="1:2" hidden="1">
      <c r="A1222" s="36">
        <v>27141689296</v>
      </c>
      <c r="B1222" t="s">
        <v>1452</v>
      </c>
    </row>
    <row r="1223" spans="1:2" hidden="1">
      <c r="A1223" s="36">
        <v>95775679</v>
      </c>
      <c r="B1223" t="s">
        <v>1330</v>
      </c>
    </row>
    <row r="1224" spans="1:2" hidden="1">
      <c r="A1224" s="36">
        <v>95775679</v>
      </c>
      <c r="B1224" t="s">
        <v>1330</v>
      </c>
    </row>
    <row r="1225" spans="1:2" hidden="1">
      <c r="A1225" s="36"/>
    </row>
    <row r="1226" spans="1:2" hidden="1">
      <c r="A1226" s="36">
        <v>20136536320</v>
      </c>
      <c r="B1226" t="s">
        <v>1403</v>
      </c>
    </row>
    <row r="1227" spans="1:2" hidden="1">
      <c r="A1227" s="36">
        <v>17282007</v>
      </c>
      <c r="B1227" t="s">
        <v>1208</v>
      </c>
    </row>
    <row r="1228" spans="1:2" hidden="1">
      <c r="A1228" s="36">
        <v>17282007</v>
      </c>
      <c r="B1228" t="s">
        <v>1208</v>
      </c>
    </row>
    <row r="1229" spans="1:2" hidden="1">
      <c r="A1229" s="36">
        <v>27247999766</v>
      </c>
      <c r="B1229" t="s">
        <v>1493</v>
      </c>
    </row>
    <row r="1230" spans="1:2" hidden="1">
      <c r="A1230" s="36">
        <v>23920485979</v>
      </c>
      <c r="B1230" t="s">
        <v>1464</v>
      </c>
    </row>
    <row r="1231" spans="1:2" hidden="1">
      <c r="A1231" s="36">
        <v>22489713</v>
      </c>
      <c r="B1231" t="s">
        <v>1217</v>
      </c>
    </row>
    <row r="1232" spans="1:2" hidden="1">
      <c r="A1232" s="36">
        <v>22489713</v>
      </c>
      <c r="B1232" t="s">
        <v>1217</v>
      </c>
    </row>
    <row r="1233" spans="1:2" hidden="1">
      <c r="A1233" s="36">
        <v>22489713</v>
      </c>
      <c r="B1233" t="s">
        <v>1217</v>
      </c>
    </row>
    <row r="1234" spans="1:2" hidden="1">
      <c r="A1234" s="36">
        <v>22489713</v>
      </c>
      <c r="B1234" t="s">
        <v>1217</v>
      </c>
    </row>
    <row r="1235" spans="1:2" hidden="1">
      <c r="A1235" s="36">
        <v>27223495317</v>
      </c>
      <c r="B1235" t="s">
        <v>1479</v>
      </c>
    </row>
    <row r="1236" spans="1:2" hidden="1">
      <c r="A1236" s="36">
        <v>30714734446</v>
      </c>
      <c r="B1236" t="s">
        <v>1420</v>
      </c>
    </row>
    <row r="1237" spans="1:2" hidden="1">
      <c r="A1237" s="36">
        <v>30714734446</v>
      </c>
      <c r="B1237" t="s">
        <v>1420</v>
      </c>
    </row>
    <row r="1238" spans="1:2" hidden="1">
      <c r="A1238" s="36">
        <v>20214540291</v>
      </c>
      <c r="B1238" t="s">
        <v>1488</v>
      </c>
    </row>
    <row r="1239" spans="1:2" hidden="1">
      <c r="A1239" s="36">
        <v>33708495129</v>
      </c>
      <c r="B1239" t="s">
        <v>1404</v>
      </c>
    </row>
    <row r="1240" spans="1:2" hidden="1">
      <c r="A1240" s="36">
        <v>33708495129</v>
      </c>
      <c r="B1240" t="s">
        <v>1404</v>
      </c>
    </row>
    <row r="1241" spans="1:2" hidden="1">
      <c r="A1241" s="36">
        <v>30715188674</v>
      </c>
      <c r="B1241" t="s">
        <v>1421</v>
      </c>
    </row>
    <row r="1242" spans="1:2" hidden="1">
      <c r="A1242" s="36">
        <v>30715188674</v>
      </c>
      <c r="B1242" t="s">
        <v>1421</v>
      </c>
    </row>
    <row r="1243" spans="1:2" hidden="1">
      <c r="A1243" s="36">
        <v>30709539295</v>
      </c>
      <c r="B1243" t="s">
        <v>1498</v>
      </c>
    </row>
    <row r="1244" spans="1:2" hidden="1">
      <c r="A1244" s="36">
        <v>13262270</v>
      </c>
      <c r="B1244" t="s">
        <v>1300</v>
      </c>
    </row>
    <row r="1245" spans="1:2" hidden="1">
      <c r="A1245" s="36">
        <v>13262270</v>
      </c>
      <c r="B1245" t="s">
        <v>1300</v>
      </c>
    </row>
    <row r="1246" spans="1:2" hidden="1">
      <c r="A1246" s="36">
        <v>13262270</v>
      </c>
      <c r="B1246" t="s">
        <v>1300</v>
      </c>
    </row>
    <row r="1247" spans="1:2" hidden="1">
      <c r="A1247" s="36">
        <v>13262270</v>
      </c>
      <c r="B1247" t="s">
        <v>1300</v>
      </c>
    </row>
    <row r="1248" spans="1:2" hidden="1">
      <c r="A1248" s="36">
        <v>30715621866</v>
      </c>
      <c r="B1248" t="s">
        <v>1430</v>
      </c>
    </row>
    <row r="1249" spans="1:2" hidden="1">
      <c r="A1249" s="36">
        <v>30715621866</v>
      </c>
      <c r="B1249" t="s">
        <v>1430</v>
      </c>
    </row>
    <row r="1250" spans="1:2" hidden="1">
      <c r="A1250" s="36">
        <v>30713628804</v>
      </c>
      <c r="B1250" t="s">
        <v>1130</v>
      </c>
    </row>
    <row r="1251" spans="1:2" hidden="1">
      <c r="A1251" s="36">
        <v>30713628804</v>
      </c>
      <c r="B1251" t="s">
        <v>1130</v>
      </c>
    </row>
    <row r="1252" spans="1:2" hidden="1">
      <c r="A1252" s="36">
        <v>20076169579</v>
      </c>
      <c r="B1252" t="s">
        <v>1487</v>
      </c>
    </row>
    <row r="1253" spans="1:2" hidden="1">
      <c r="A1253" s="36">
        <v>17852963</v>
      </c>
      <c r="B1253" t="s">
        <v>1299</v>
      </c>
    </row>
    <row r="1254" spans="1:2" hidden="1">
      <c r="A1254" s="36">
        <v>17852963</v>
      </c>
      <c r="B1254" t="s">
        <v>1299</v>
      </c>
    </row>
    <row r="1255" spans="1:2" hidden="1">
      <c r="A1255" s="36">
        <v>25671318</v>
      </c>
      <c r="B1255" t="s">
        <v>1269</v>
      </c>
    </row>
    <row r="1256" spans="1:2" hidden="1">
      <c r="A1256" s="36">
        <v>25671318</v>
      </c>
      <c r="B1256" t="s">
        <v>1269</v>
      </c>
    </row>
    <row r="1257" spans="1:2" hidden="1">
      <c r="A1257" s="36">
        <v>25671318</v>
      </c>
      <c r="B1257" t="s">
        <v>1269</v>
      </c>
    </row>
    <row r="1258" spans="1:2" hidden="1">
      <c r="A1258" s="36">
        <v>25671318</v>
      </c>
      <c r="B1258" t="s">
        <v>1269</v>
      </c>
    </row>
    <row r="1259" spans="1:2" hidden="1">
      <c r="A1259" s="36">
        <v>25671318</v>
      </c>
      <c r="B1259" t="s">
        <v>1269</v>
      </c>
    </row>
    <row r="1260" spans="1:2" hidden="1">
      <c r="A1260" s="36">
        <v>25671318</v>
      </c>
      <c r="B1260" t="s">
        <v>1269</v>
      </c>
    </row>
    <row r="1261" spans="1:2" hidden="1">
      <c r="A1261" s="36">
        <v>10514389</v>
      </c>
      <c r="B1261" t="s">
        <v>1277</v>
      </c>
    </row>
    <row r="1262" spans="1:2" hidden="1">
      <c r="A1262" s="36">
        <v>10514389</v>
      </c>
      <c r="B1262" t="s">
        <v>1277</v>
      </c>
    </row>
    <row r="1263" spans="1:2" hidden="1">
      <c r="A1263" s="36">
        <v>20206063239</v>
      </c>
      <c r="B1263" t="s">
        <v>1505</v>
      </c>
    </row>
    <row r="1264" spans="1:2" hidden="1">
      <c r="A1264" s="36">
        <v>11001660</v>
      </c>
      <c r="B1264" t="s">
        <v>1221</v>
      </c>
    </row>
    <row r="1265" spans="1:2" hidden="1">
      <c r="A1265" s="36">
        <v>11001660</v>
      </c>
      <c r="B1265" t="s">
        <v>1221</v>
      </c>
    </row>
    <row r="1266" spans="1:2" hidden="1">
      <c r="A1266" s="36">
        <v>11001660</v>
      </c>
      <c r="B1266" t="s">
        <v>1221</v>
      </c>
    </row>
    <row r="1267" spans="1:2" hidden="1">
      <c r="A1267" s="36">
        <v>11001660</v>
      </c>
      <c r="B1267" t="s">
        <v>1221</v>
      </c>
    </row>
    <row r="1268" spans="1:2" hidden="1">
      <c r="A1268" s="36">
        <v>2143749</v>
      </c>
      <c r="B1268" t="s">
        <v>1212</v>
      </c>
    </row>
    <row r="1269" spans="1:2" hidden="1">
      <c r="A1269" s="36">
        <v>2143749</v>
      </c>
      <c r="B1269" t="s">
        <v>1212</v>
      </c>
    </row>
    <row r="1270" spans="1:2" hidden="1">
      <c r="A1270" s="36">
        <v>2143749</v>
      </c>
      <c r="B1270" t="s">
        <v>1212</v>
      </c>
    </row>
    <row r="1271" spans="1:2" hidden="1">
      <c r="A1271" s="36">
        <v>2143749</v>
      </c>
      <c r="B1271" t="s">
        <v>1212</v>
      </c>
    </row>
    <row r="1272" spans="1:2" hidden="1">
      <c r="A1272" s="36">
        <v>2143749</v>
      </c>
      <c r="B1272" t="s">
        <v>1212</v>
      </c>
    </row>
    <row r="1273" spans="1:2" hidden="1">
      <c r="A1273" s="36">
        <v>2143749</v>
      </c>
      <c r="B1273" t="s">
        <v>1212</v>
      </c>
    </row>
    <row r="1274" spans="1:2" hidden="1">
      <c r="A1274" s="36">
        <v>30715303791</v>
      </c>
      <c r="B1274" t="s">
        <v>124</v>
      </c>
    </row>
    <row r="1275" spans="1:2" hidden="1">
      <c r="A1275" s="36">
        <v>23159787</v>
      </c>
      <c r="B1275" t="s">
        <v>1316</v>
      </c>
    </row>
    <row r="1276" spans="1:2" hidden="1">
      <c r="A1276" s="36">
        <v>23159787</v>
      </c>
      <c r="B1276" t="s">
        <v>1316</v>
      </c>
    </row>
    <row r="1277" spans="1:2" hidden="1">
      <c r="A1277" s="36">
        <v>30638969</v>
      </c>
      <c r="B1277" t="s">
        <v>1326</v>
      </c>
    </row>
    <row r="1278" spans="1:2" hidden="1">
      <c r="A1278" s="36">
        <v>30638969</v>
      </c>
      <c r="B1278" t="s">
        <v>1326</v>
      </c>
    </row>
    <row r="1279" spans="1:2" hidden="1">
      <c r="A1279" s="36">
        <v>30638969</v>
      </c>
      <c r="B1279" t="s">
        <v>1326</v>
      </c>
    </row>
    <row r="1280" spans="1:2" hidden="1">
      <c r="A1280" s="36">
        <v>30638969</v>
      </c>
      <c r="B1280" t="s">
        <v>1326</v>
      </c>
    </row>
    <row r="1281" spans="1:2" hidden="1">
      <c r="A1281" s="36">
        <v>30707397256</v>
      </c>
      <c r="B1281" t="s">
        <v>1383</v>
      </c>
    </row>
    <row r="1282" spans="1:2" hidden="1">
      <c r="A1282" s="36">
        <v>30707397256</v>
      </c>
      <c r="B1282" t="s">
        <v>1383</v>
      </c>
    </row>
    <row r="1283" spans="1:2" hidden="1">
      <c r="A1283" s="36">
        <v>30707397256</v>
      </c>
      <c r="B1283" t="s">
        <v>1165</v>
      </c>
    </row>
    <row r="1284" spans="1:2" hidden="1">
      <c r="A1284" s="36">
        <v>30707397256</v>
      </c>
      <c r="B1284" t="s">
        <v>1165</v>
      </c>
    </row>
    <row r="1285" spans="1:2" hidden="1">
      <c r="A1285" s="36"/>
    </row>
    <row r="1286" spans="1:2" hidden="1">
      <c r="A1286" s="36"/>
    </row>
    <row r="1287" spans="1:2" hidden="1">
      <c r="A1287" s="36"/>
    </row>
    <row r="1288" spans="1:2" hidden="1">
      <c r="A1288" s="36">
        <v>30554704189</v>
      </c>
      <c r="B1288" t="s">
        <v>127</v>
      </c>
    </row>
    <row r="1289" spans="1:2" hidden="1">
      <c r="A1289" s="36">
        <v>30715734407</v>
      </c>
      <c r="B1289" t="s">
        <v>128</v>
      </c>
    </row>
    <row r="1290" spans="1:2" hidden="1">
      <c r="A1290" s="36">
        <v>23284527534</v>
      </c>
      <c r="B1290" t="s">
        <v>129</v>
      </c>
    </row>
    <row r="1291" spans="1:2" hidden="1">
      <c r="A1291" s="36">
        <v>20275934217</v>
      </c>
      <c r="B1291" t="s">
        <v>130</v>
      </c>
    </row>
    <row r="1292" spans="1:2" hidden="1">
      <c r="A1292" s="36">
        <v>20050719864</v>
      </c>
      <c r="B1292" t="s">
        <v>131</v>
      </c>
    </row>
    <row r="1293" spans="1:2" hidden="1">
      <c r="A1293" s="36">
        <v>30633217803</v>
      </c>
      <c r="B1293" t="s">
        <v>132</v>
      </c>
    </row>
    <row r="1294" spans="1:2" hidden="1">
      <c r="A1294" s="36">
        <v>30715688871</v>
      </c>
      <c r="B1294" t="s">
        <v>133</v>
      </c>
    </row>
    <row r="1295" spans="1:2" hidden="1">
      <c r="A1295" s="36">
        <v>30712776403</v>
      </c>
      <c r="B1295" t="s">
        <v>134</v>
      </c>
    </row>
    <row r="1296" spans="1:2" hidden="1">
      <c r="A1296" s="36">
        <v>30715642197</v>
      </c>
      <c r="B1296" t="s">
        <v>136</v>
      </c>
    </row>
    <row r="1297" spans="1:2" hidden="1">
      <c r="A1297" s="36">
        <v>33695089789</v>
      </c>
      <c r="B1297" t="s">
        <v>138</v>
      </c>
    </row>
    <row r="1298" spans="1:2" hidden="1">
      <c r="A1298" s="36">
        <v>20148857696</v>
      </c>
      <c r="B1298" t="s">
        <v>1471</v>
      </c>
    </row>
    <row r="1299" spans="1:2" hidden="1">
      <c r="A1299" s="36">
        <v>26458741</v>
      </c>
      <c r="B1299" t="s">
        <v>1273</v>
      </c>
    </row>
    <row r="1300" spans="1:2" hidden="1">
      <c r="A1300" s="36">
        <v>26458741</v>
      </c>
      <c r="B1300" t="s">
        <v>1273</v>
      </c>
    </row>
    <row r="1301" spans="1:2" hidden="1">
      <c r="A1301" s="36">
        <v>30717035018</v>
      </c>
      <c r="B1301" t="s">
        <v>1534</v>
      </c>
    </row>
    <row r="1302" spans="1:2" hidden="1">
      <c r="A1302" s="36">
        <v>33717503789</v>
      </c>
      <c r="B1302" t="s">
        <v>139</v>
      </c>
    </row>
    <row r="1303" spans="1:2" hidden="1">
      <c r="A1303" s="36">
        <v>30715745980</v>
      </c>
      <c r="B1303" t="s">
        <v>140</v>
      </c>
    </row>
    <row r="1304" spans="1:2" hidden="1">
      <c r="A1304" s="36">
        <v>30716389088</v>
      </c>
      <c r="B1304" t="s">
        <v>142</v>
      </c>
    </row>
    <row r="1305" spans="1:2" hidden="1">
      <c r="A1305" s="36">
        <v>30715775014</v>
      </c>
      <c r="B1305" t="s">
        <v>144</v>
      </c>
    </row>
    <row r="1306" spans="1:2" hidden="1">
      <c r="A1306" s="36">
        <v>30714905534</v>
      </c>
      <c r="B1306" t="s">
        <v>145</v>
      </c>
    </row>
    <row r="1307" spans="1:2" hidden="1">
      <c r="A1307" s="36">
        <v>30709227161</v>
      </c>
      <c r="B1307" t="s">
        <v>146</v>
      </c>
    </row>
    <row r="1308" spans="1:2" hidden="1">
      <c r="A1308" s="36">
        <v>30711809739</v>
      </c>
      <c r="B1308" t="s">
        <v>147</v>
      </c>
    </row>
    <row r="1309" spans="1:2" hidden="1">
      <c r="A1309" s="36">
        <v>20268494155</v>
      </c>
      <c r="B1309" t="s">
        <v>148</v>
      </c>
    </row>
    <row r="1310" spans="1:2" hidden="1">
      <c r="A1310" s="36">
        <v>30714466689</v>
      </c>
      <c r="B1310" t="s">
        <v>149</v>
      </c>
    </row>
    <row r="1311" spans="1:2" hidden="1">
      <c r="A1311" s="36">
        <v>20045519709</v>
      </c>
      <c r="B1311" t="s">
        <v>150</v>
      </c>
    </row>
    <row r="1312" spans="1:2" hidden="1">
      <c r="A1312" s="36">
        <v>20358014330</v>
      </c>
      <c r="B1312" t="s">
        <v>151</v>
      </c>
    </row>
    <row r="1313" spans="1:2" hidden="1">
      <c r="A1313" s="36">
        <v>20940658609</v>
      </c>
      <c r="B1313" t="s">
        <v>152</v>
      </c>
    </row>
    <row r="1314" spans="1:2" hidden="1">
      <c r="A1314" s="36">
        <v>27058716508</v>
      </c>
      <c r="B1314" t="s">
        <v>157</v>
      </c>
    </row>
    <row r="1315" spans="1:2" hidden="1">
      <c r="A1315" s="36">
        <v>20144078188</v>
      </c>
      <c r="B1315" t="s">
        <v>158</v>
      </c>
    </row>
    <row r="1316" spans="1:2" hidden="1">
      <c r="A1316" s="36"/>
    </row>
    <row r="1317" spans="1:2" hidden="1">
      <c r="A1317" s="36"/>
    </row>
    <row r="1318" spans="1:2" hidden="1">
      <c r="A1318" s="36"/>
    </row>
    <row r="1319" spans="1:2" hidden="1">
      <c r="A1319" s="36">
        <v>16172630</v>
      </c>
      <c r="B1319" t="s">
        <v>1339</v>
      </c>
    </row>
    <row r="1320" spans="1:2" hidden="1">
      <c r="A1320" s="36">
        <v>16172630</v>
      </c>
      <c r="B1320" t="s">
        <v>1339</v>
      </c>
    </row>
    <row r="1321" spans="1:2" hidden="1">
      <c r="A1321" s="36">
        <v>30708244208</v>
      </c>
      <c r="B1321" t="s">
        <v>160</v>
      </c>
    </row>
    <row r="1322" spans="1:2" hidden="1">
      <c r="A1322" s="36">
        <v>20161304086</v>
      </c>
      <c r="B1322" t="s">
        <v>161</v>
      </c>
    </row>
    <row r="1323" spans="1:2" hidden="1">
      <c r="A1323" s="36">
        <v>30570945285</v>
      </c>
      <c r="B1323" t="s">
        <v>163</v>
      </c>
    </row>
    <row r="1324" spans="1:2" hidden="1">
      <c r="A1324" s="36">
        <v>30714233560</v>
      </c>
      <c r="B1324" t="s">
        <v>164</v>
      </c>
    </row>
    <row r="1325" spans="1:2" hidden="1">
      <c r="A1325" s="36">
        <v>30593410354</v>
      </c>
      <c r="B1325" t="s">
        <v>165</v>
      </c>
    </row>
    <row r="1326" spans="1:2" hidden="1">
      <c r="A1326" s="36">
        <v>20245638486</v>
      </c>
      <c r="B1326" t="s">
        <v>167</v>
      </c>
    </row>
    <row r="1327" spans="1:2" hidden="1">
      <c r="A1327" s="36">
        <v>30708508221</v>
      </c>
      <c r="B1327" t="s">
        <v>170</v>
      </c>
    </row>
    <row r="1328" spans="1:2" hidden="1">
      <c r="A1328" s="36">
        <v>27171152610</v>
      </c>
      <c r="B1328" t="s">
        <v>172</v>
      </c>
    </row>
    <row r="1329" spans="1:2" hidden="1">
      <c r="A1329" s="36">
        <v>20255683595</v>
      </c>
      <c r="B1329" t="s">
        <v>173</v>
      </c>
    </row>
    <row r="1330" spans="1:2" hidden="1">
      <c r="A1330" s="36">
        <v>30539122793</v>
      </c>
      <c r="B1330" t="s">
        <v>178</v>
      </c>
    </row>
    <row r="1331" spans="1:2" hidden="1">
      <c r="A1331" s="36">
        <v>30691712350</v>
      </c>
      <c r="B1331" t="s">
        <v>179</v>
      </c>
    </row>
    <row r="1332" spans="1:2" hidden="1">
      <c r="A1332" s="36">
        <v>30655300186</v>
      </c>
      <c r="B1332" t="s">
        <v>180</v>
      </c>
    </row>
    <row r="1333" spans="1:2" hidden="1">
      <c r="A1333" s="36">
        <v>30686155893</v>
      </c>
      <c r="B1333" t="s">
        <v>181</v>
      </c>
    </row>
    <row r="1334" spans="1:2" hidden="1">
      <c r="A1334" s="36">
        <v>30686155893</v>
      </c>
      <c r="B1334" t="s">
        <v>181</v>
      </c>
    </row>
    <row r="1335" spans="1:2" hidden="1">
      <c r="A1335" s="36">
        <v>30686155893</v>
      </c>
      <c r="B1335" t="s">
        <v>181</v>
      </c>
    </row>
    <row r="1336" spans="1:2" hidden="1">
      <c r="A1336" s="36">
        <v>30710102593</v>
      </c>
      <c r="B1336" t="s">
        <v>181</v>
      </c>
    </row>
    <row r="1337" spans="1:2" hidden="1">
      <c r="A1337" s="36">
        <v>30711035075</v>
      </c>
      <c r="B1337" t="s">
        <v>182</v>
      </c>
    </row>
    <row r="1338" spans="1:2" hidden="1">
      <c r="A1338" s="36">
        <v>30716168731</v>
      </c>
      <c r="B1338" t="s">
        <v>183</v>
      </c>
    </row>
    <row r="1339" spans="1:2" hidden="1">
      <c r="A1339" s="36">
        <v>30714859168</v>
      </c>
      <c r="B1339" t="s">
        <v>185</v>
      </c>
    </row>
    <row r="1340" spans="1:2" hidden="1">
      <c r="A1340" s="36">
        <v>30697605785</v>
      </c>
      <c r="B1340" t="s">
        <v>186</v>
      </c>
    </row>
    <row r="1341" spans="1:2" hidden="1">
      <c r="A1341" s="36">
        <v>30709217832</v>
      </c>
      <c r="B1341" t="s">
        <v>187</v>
      </c>
    </row>
    <row r="1342" spans="1:2" hidden="1">
      <c r="A1342" s="36">
        <v>30709217832</v>
      </c>
      <c r="B1342" t="s">
        <v>187</v>
      </c>
    </row>
    <row r="1343" spans="1:2" hidden="1">
      <c r="A1343" s="36">
        <v>27174758854</v>
      </c>
      <c r="B1343" t="s">
        <v>188</v>
      </c>
    </row>
    <row r="1344" spans="1:2" hidden="1">
      <c r="A1344" s="36">
        <v>30711017697</v>
      </c>
      <c r="B1344" t="s">
        <v>189</v>
      </c>
    </row>
    <row r="1345" spans="1:2" hidden="1">
      <c r="A1345" s="36">
        <v>30716974436</v>
      </c>
      <c r="B1345" t="s">
        <v>191</v>
      </c>
    </row>
    <row r="1346" spans="1:2" hidden="1">
      <c r="A1346" s="36">
        <v>20114286150</v>
      </c>
      <c r="B1346" t="s">
        <v>192</v>
      </c>
    </row>
    <row r="1347" spans="1:2" hidden="1">
      <c r="A1347" s="36">
        <v>30710682557</v>
      </c>
      <c r="B1347" t="s">
        <v>193</v>
      </c>
    </row>
    <row r="1348" spans="1:2" hidden="1">
      <c r="A1348" s="36">
        <v>30715681133</v>
      </c>
      <c r="B1348" t="s">
        <v>194</v>
      </c>
    </row>
    <row r="1349" spans="1:2" hidden="1">
      <c r="A1349" s="36">
        <v>30715578154</v>
      </c>
      <c r="B1349" t="s">
        <v>195</v>
      </c>
    </row>
    <row r="1350" spans="1:2" hidden="1">
      <c r="A1350" s="36">
        <v>23298673614</v>
      </c>
      <c r="B1350" t="s">
        <v>197</v>
      </c>
    </row>
    <row r="1351" spans="1:2" hidden="1">
      <c r="A1351" s="36">
        <v>30717649490</v>
      </c>
      <c r="B1351" t="s">
        <v>1377</v>
      </c>
    </row>
    <row r="1352" spans="1:2" hidden="1">
      <c r="A1352" s="36">
        <v>30717649490</v>
      </c>
      <c r="B1352" t="s">
        <v>1377</v>
      </c>
    </row>
    <row r="1353" spans="1:2" hidden="1">
      <c r="A1353" s="36">
        <v>30667805283</v>
      </c>
      <c r="B1353" t="s">
        <v>199</v>
      </c>
    </row>
    <row r="1354" spans="1:2" hidden="1">
      <c r="A1354" s="36">
        <v>20248515741</v>
      </c>
      <c r="B1354" t="s">
        <v>200</v>
      </c>
    </row>
    <row r="1355" spans="1:2" hidden="1">
      <c r="A1355" s="36">
        <v>30711676402</v>
      </c>
      <c r="B1355" t="s">
        <v>202</v>
      </c>
    </row>
    <row r="1356" spans="1:2" hidden="1">
      <c r="A1356" s="36">
        <v>30710457162</v>
      </c>
      <c r="B1356" t="s">
        <v>89</v>
      </c>
    </row>
    <row r="1357" spans="1:2" hidden="1">
      <c r="A1357" s="36">
        <v>27228084862</v>
      </c>
      <c r="B1357" t="s">
        <v>1550</v>
      </c>
    </row>
    <row r="1358" spans="1:2" hidden="1">
      <c r="A1358" s="36">
        <v>27161304439</v>
      </c>
      <c r="B1358" t="s">
        <v>203</v>
      </c>
    </row>
    <row r="1359" spans="1:2" hidden="1">
      <c r="A1359" s="36">
        <v>27236871946</v>
      </c>
      <c r="B1359" t="s">
        <v>204</v>
      </c>
    </row>
    <row r="1360" spans="1:2" hidden="1">
      <c r="A1360" s="36">
        <v>30711633371</v>
      </c>
      <c r="B1360" t="s">
        <v>205</v>
      </c>
    </row>
    <row r="1361" spans="1:2" hidden="1">
      <c r="A1361" s="36">
        <v>30716421151</v>
      </c>
      <c r="B1361" t="s">
        <v>1455</v>
      </c>
    </row>
    <row r="1362" spans="1:2" hidden="1">
      <c r="A1362" s="36">
        <v>30716421151</v>
      </c>
      <c r="B1362" t="s">
        <v>1455</v>
      </c>
    </row>
    <row r="1363" spans="1:2" hidden="1">
      <c r="A1363" s="36">
        <v>30709647047</v>
      </c>
      <c r="B1363" t="s">
        <v>206</v>
      </c>
    </row>
    <row r="1364" spans="1:2" hidden="1">
      <c r="A1364" s="36">
        <v>30697598266</v>
      </c>
      <c r="B1364" t="s">
        <v>207</v>
      </c>
    </row>
    <row r="1365" spans="1:2" hidden="1">
      <c r="A1365" s="36">
        <v>33500262899</v>
      </c>
      <c r="B1365" t="s">
        <v>209</v>
      </c>
    </row>
    <row r="1366" spans="1:2" hidden="1">
      <c r="A1366" s="36">
        <v>30662982454</v>
      </c>
      <c r="B1366" t="s">
        <v>210</v>
      </c>
    </row>
    <row r="1367" spans="1:2" hidden="1">
      <c r="A1367" s="36">
        <v>33711366909</v>
      </c>
      <c r="B1367" t="s">
        <v>211</v>
      </c>
    </row>
    <row r="1368" spans="1:2" hidden="1">
      <c r="A1368" s="36">
        <v>30710137710</v>
      </c>
      <c r="B1368" t="s">
        <v>212</v>
      </c>
    </row>
    <row r="1369" spans="1:2" hidden="1">
      <c r="A1369" s="36">
        <v>20264361304</v>
      </c>
      <c r="B1369" t="s">
        <v>213</v>
      </c>
    </row>
    <row r="1370" spans="1:2" hidden="1">
      <c r="A1370" s="36">
        <v>30715237071</v>
      </c>
      <c r="B1370" t="s">
        <v>214</v>
      </c>
    </row>
    <row r="1371" spans="1:2" hidden="1">
      <c r="A1371" s="36">
        <v>20104571507</v>
      </c>
      <c r="B1371" t="s">
        <v>215</v>
      </c>
    </row>
    <row r="1372" spans="1:2" hidden="1">
      <c r="A1372" s="36">
        <v>30656675140</v>
      </c>
      <c r="B1372" t="s">
        <v>217</v>
      </c>
    </row>
    <row r="1373" spans="1:2" hidden="1">
      <c r="A1373" s="36">
        <v>33715207619</v>
      </c>
      <c r="B1373" t="s">
        <v>218</v>
      </c>
    </row>
    <row r="1374" spans="1:2" hidden="1">
      <c r="A1374" s="36">
        <v>30627739571</v>
      </c>
      <c r="B1374" t="s">
        <v>219</v>
      </c>
    </row>
    <row r="1375" spans="1:2" hidden="1">
      <c r="A1375" s="36">
        <v>30657735899</v>
      </c>
      <c r="B1375" t="s">
        <v>221</v>
      </c>
    </row>
    <row r="1376" spans="1:2" hidden="1">
      <c r="A1376" s="36">
        <v>30598312377</v>
      </c>
      <c r="B1376" t="s">
        <v>224</v>
      </c>
    </row>
    <row r="1377" spans="1:2" hidden="1">
      <c r="A1377" s="36">
        <v>30715959484</v>
      </c>
      <c r="B1377" t="s">
        <v>225</v>
      </c>
    </row>
    <row r="1378" spans="1:2" hidden="1">
      <c r="A1378" s="36">
        <v>30715959484</v>
      </c>
      <c r="B1378" t="s">
        <v>225</v>
      </c>
    </row>
    <row r="1379" spans="1:2" hidden="1">
      <c r="A1379" s="36">
        <v>30642468339</v>
      </c>
      <c r="B1379" t="s">
        <v>226</v>
      </c>
    </row>
    <row r="1380" spans="1:2" hidden="1">
      <c r="A1380" s="36">
        <v>30618978121</v>
      </c>
      <c r="B1380" t="s">
        <v>227</v>
      </c>
    </row>
    <row r="1381" spans="1:2" hidden="1">
      <c r="A1381" s="36">
        <v>20125768920</v>
      </c>
      <c r="B1381" t="s">
        <v>228</v>
      </c>
    </row>
    <row r="1382" spans="1:2" hidden="1">
      <c r="A1382" s="36">
        <v>30712223703</v>
      </c>
      <c r="B1382" t="s">
        <v>229</v>
      </c>
    </row>
    <row r="1383" spans="1:2" hidden="1">
      <c r="A1383" s="36">
        <v>20259438552</v>
      </c>
      <c r="B1383" t="s">
        <v>1144</v>
      </c>
    </row>
    <row r="1384" spans="1:2" hidden="1">
      <c r="A1384" s="36">
        <v>20259438552</v>
      </c>
      <c r="B1384" t="s">
        <v>1168</v>
      </c>
    </row>
    <row r="1385" spans="1:2" hidden="1">
      <c r="A1385" s="36">
        <v>20259438552</v>
      </c>
      <c r="B1385" t="s">
        <v>1144</v>
      </c>
    </row>
    <row r="1386" spans="1:2" hidden="1">
      <c r="A1386" s="36">
        <v>20259438552</v>
      </c>
      <c r="B1386" t="s">
        <v>1144</v>
      </c>
    </row>
    <row r="1387" spans="1:2" hidden="1">
      <c r="A1387" s="36">
        <v>20259438552</v>
      </c>
      <c r="B1387" t="s">
        <v>1168</v>
      </c>
    </row>
    <row r="1388" spans="1:2" hidden="1">
      <c r="A1388" s="36">
        <v>20259438552</v>
      </c>
      <c r="B1388" t="s">
        <v>1144</v>
      </c>
    </row>
    <row r="1389" spans="1:2" hidden="1">
      <c r="A1389" s="36">
        <v>30618674378</v>
      </c>
      <c r="B1389" t="s">
        <v>230</v>
      </c>
    </row>
    <row r="1390" spans="1:2" hidden="1">
      <c r="A1390" s="36">
        <v>30619552535</v>
      </c>
      <c r="B1390" t="s">
        <v>231</v>
      </c>
    </row>
    <row r="1391" spans="1:2" hidden="1">
      <c r="A1391" s="36">
        <v>30712479945</v>
      </c>
      <c r="B1391" t="s">
        <v>232</v>
      </c>
    </row>
    <row r="1392" spans="1:2" hidden="1">
      <c r="A1392" s="36">
        <v>30573417611</v>
      </c>
      <c r="B1392" t="s">
        <v>233</v>
      </c>
    </row>
    <row r="1393" spans="1:2" hidden="1">
      <c r="A1393" s="36">
        <v>30711738130</v>
      </c>
      <c r="B1393" t="s">
        <v>234</v>
      </c>
    </row>
    <row r="1394" spans="1:2" hidden="1">
      <c r="A1394" s="36">
        <v>33711252229</v>
      </c>
      <c r="B1394" t="s">
        <v>235</v>
      </c>
    </row>
    <row r="1395" spans="1:2" hidden="1">
      <c r="A1395" s="36">
        <v>30525920034</v>
      </c>
      <c r="B1395" t="s">
        <v>236</v>
      </c>
    </row>
    <row r="1396" spans="1:2" hidden="1">
      <c r="A1396" s="36">
        <v>30610211638</v>
      </c>
      <c r="B1396" t="s">
        <v>237</v>
      </c>
    </row>
    <row r="1397" spans="1:2" hidden="1">
      <c r="A1397" s="36">
        <v>30585134534</v>
      </c>
      <c r="B1397" t="s">
        <v>238</v>
      </c>
    </row>
    <row r="1398" spans="1:2" hidden="1">
      <c r="A1398" s="36">
        <v>30707491058</v>
      </c>
      <c r="B1398" t="s">
        <v>240</v>
      </c>
    </row>
    <row r="1399" spans="1:2" hidden="1">
      <c r="A1399" s="36">
        <v>30715363239</v>
      </c>
      <c r="B1399" t="s">
        <v>241</v>
      </c>
    </row>
    <row r="1400" spans="1:2" hidden="1">
      <c r="A1400" s="36">
        <v>30697558868</v>
      </c>
      <c r="B1400" t="s">
        <v>243</v>
      </c>
    </row>
    <row r="1401" spans="1:2" hidden="1">
      <c r="A1401" s="36">
        <v>30699010983</v>
      </c>
      <c r="B1401" t="s">
        <v>244</v>
      </c>
    </row>
    <row r="1402" spans="1:2" hidden="1">
      <c r="A1402" s="36">
        <v>30595476557</v>
      </c>
      <c r="B1402" t="s">
        <v>245</v>
      </c>
    </row>
    <row r="1403" spans="1:2" hidden="1">
      <c r="A1403" s="36">
        <v>30711949573</v>
      </c>
      <c r="B1403" t="s">
        <v>246</v>
      </c>
    </row>
    <row r="1404" spans="1:2" hidden="1">
      <c r="A1404" s="36">
        <v>30710787731</v>
      </c>
      <c r="B1404" t="s">
        <v>247</v>
      </c>
    </row>
    <row r="1405" spans="1:2" hidden="1">
      <c r="A1405" s="36">
        <v>30635770917</v>
      </c>
      <c r="B1405" t="s">
        <v>248</v>
      </c>
    </row>
    <row r="1406" spans="1:2" hidden="1">
      <c r="A1406" s="36">
        <v>30681484635</v>
      </c>
      <c r="B1406" t="s">
        <v>1432</v>
      </c>
    </row>
    <row r="1407" spans="1:2" hidden="1">
      <c r="A1407" s="36">
        <v>30681484635</v>
      </c>
      <c r="B1407" t="s">
        <v>1432</v>
      </c>
    </row>
    <row r="1408" spans="1:2" hidden="1">
      <c r="A1408" s="36">
        <v>30708023910</v>
      </c>
      <c r="B1408" t="s">
        <v>1457</v>
      </c>
    </row>
    <row r="1409" spans="1:2" hidden="1">
      <c r="A1409" s="36">
        <v>30708023910</v>
      </c>
      <c r="B1409" t="s">
        <v>1457</v>
      </c>
    </row>
    <row r="1410" spans="1:2" hidden="1">
      <c r="A1410" s="36">
        <v>20118371047</v>
      </c>
      <c r="B1410" t="s">
        <v>250</v>
      </c>
    </row>
    <row r="1411" spans="1:2" hidden="1">
      <c r="A1411" s="36">
        <v>30716193671</v>
      </c>
      <c r="B1411" t="s">
        <v>252</v>
      </c>
    </row>
    <row r="1412" spans="1:2" hidden="1">
      <c r="A1412" s="36">
        <v>30712187316</v>
      </c>
      <c r="B1412" t="s">
        <v>253</v>
      </c>
    </row>
    <row r="1413" spans="1:2" hidden="1">
      <c r="A1413" s="36">
        <v>30547076679</v>
      </c>
      <c r="B1413" t="s">
        <v>254</v>
      </c>
    </row>
    <row r="1414" spans="1:2" hidden="1">
      <c r="A1414" s="36">
        <v>30517221933</v>
      </c>
      <c r="B1414" t="s">
        <v>256</v>
      </c>
    </row>
    <row r="1415" spans="1:2" hidden="1">
      <c r="A1415" s="36">
        <v>30714474657</v>
      </c>
      <c r="B1415" t="s">
        <v>257</v>
      </c>
    </row>
    <row r="1416" spans="1:2" hidden="1">
      <c r="A1416" s="36">
        <v>30714474657</v>
      </c>
      <c r="B1416" t="s">
        <v>257</v>
      </c>
    </row>
    <row r="1417" spans="1:2" hidden="1">
      <c r="A1417" s="36">
        <v>27162860866</v>
      </c>
      <c r="B1417" t="s">
        <v>1508</v>
      </c>
    </row>
    <row r="1418" spans="1:2" hidden="1">
      <c r="A1418" s="36">
        <v>30711428514</v>
      </c>
      <c r="B1418" t="s">
        <v>1447</v>
      </c>
    </row>
    <row r="1419" spans="1:2" hidden="1">
      <c r="A1419" s="36">
        <v>30711428514</v>
      </c>
      <c r="B1419" t="s">
        <v>1447</v>
      </c>
    </row>
    <row r="1420" spans="1:2" hidden="1">
      <c r="A1420" s="36">
        <v>30636074280</v>
      </c>
      <c r="B1420" t="s">
        <v>259</v>
      </c>
    </row>
    <row r="1421" spans="1:2" hidden="1">
      <c r="A1421" s="36">
        <v>30714306355</v>
      </c>
      <c r="B1421" t="s">
        <v>260</v>
      </c>
    </row>
    <row r="1422" spans="1:2" hidden="1">
      <c r="A1422" s="36">
        <v>30715318195</v>
      </c>
      <c r="B1422" t="s">
        <v>262</v>
      </c>
    </row>
    <row r="1423" spans="1:2" hidden="1">
      <c r="A1423" s="36">
        <v>30715318195</v>
      </c>
      <c r="B1423" t="s">
        <v>262</v>
      </c>
    </row>
    <row r="1424" spans="1:2" hidden="1">
      <c r="A1424" s="36">
        <v>95697506</v>
      </c>
      <c r="B1424" t="s">
        <v>1332</v>
      </c>
    </row>
    <row r="1425" spans="1:2" hidden="1">
      <c r="A1425" s="36">
        <v>95697506</v>
      </c>
      <c r="B1425" t="s">
        <v>1332</v>
      </c>
    </row>
    <row r="1426" spans="1:2" hidden="1">
      <c r="A1426" s="36">
        <v>24931553247</v>
      </c>
      <c r="B1426" t="s">
        <v>263</v>
      </c>
    </row>
    <row r="1427" spans="1:2" hidden="1">
      <c r="A1427" s="36">
        <v>30714902152</v>
      </c>
      <c r="B1427" t="s">
        <v>264</v>
      </c>
    </row>
    <row r="1428" spans="1:2" hidden="1">
      <c r="A1428" s="36">
        <v>20109841286</v>
      </c>
      <c r="B1428" t="s">
        <v>265</v>
      </c>
    </row>
    <row r="1429" spans="1:2" hidden="1">
      <c r="A1429" s="36">
        <v>20216458940</v>
      </c>
      <c r="B1429" t="s">
        <v>266</v>
      </c>
    </row>
    <row r="1430" spans="1:2" hidden="1">
      <c r="A1430" s="36">
        <v>33649669029</v>
      </c>
      <c r="B1430" t="s">
        <v>268</v>
      </c>
    </row>
    <row r="1431" spans="1:2" hidden="1">
      <c r="A1431" s="36">
        <v>33649669029</v>
      </c>
      <c r="B1431" t="s">
        <v>268</v>
      </c>
    </row>
    <row r="1432" spans="1:2" hidden="1">
      <c r="A1432" s="36">
        <v>33649669029</v>
      </c>
      <c r="B1432" t="s">
        <v>268</v>
      </c>
    </row>
    <row r="1433" spans="1:2" hidden="1">
      <c r="A1433" s="36">
        <v>20165471491</v>
      </c>
      <c r="B1433" t="s">
        <v>273</v>
      </c>
    </row>
    <row r="1434" spans="1:2" hidden="1">
      <c r="A1434" s="36">
        <v>30715735713</v>
      </c>
      <c r="B1434" t="s">
        <v>274</v>
      </c>
    </row>
    <row r="1435" spans="1:2" hidden="1">
      <c r="A1435" s="36">
        <v>30005896</v>
      </c>
      <c r="B1435" t="s">
        <v>1215</v>
      </c>
    </row>
    <row r="1436" spans="1:2" hidden="1">
      <c r="A1436" s="36">
        <v>30005896</v>
      </c>
      <c r="B1436" t="s">
        <v>1215</v>
      </c>
    </row>
    <row r="1437" spans="1:2" hidden="1">
      <c r="A1437" s="36">
        <v>30707172769</v>
      </c>
      <c r="B1437" t="s">
        <v>275</v>
      </c>
    </row>
    <row r="1438" spans="1:2" hidden="1">
      <c r="A1438" s="36">
        <v>30712246428</v>
      </c>
      <c r="B1438" t="s">
        <v>1424</v>
      </c>
    </row>
    <row r="1439" spans="1:2" hidden="1">
      <c r="A1439" s="36">
        <v>30712246428</v>
      </c>
      <c r="B1439" t="s">
        <v>1424</v>
      </c>
    </row>
    <row r="1440" spans="1:2" hidden="1">
      <c r="A1440" s="36">
        <v>30715884026</v>
      </c>
      <c r="B1440" t="s">
        <v>276</v>
      </c>
    </row>
    <row r="1441" spans="1:2" hidden="1">
      <c r="A1441" s="36">
        <v>33635997929</v>
      </c>
      <c r="B1441" t="s">
        <v>277</v>
      </c>
    </row>
    <row r="1442" spans="1:2" hidden="1">
      <c r="A1442" s="36">
        <v>30708540141</v>
      </c>
      <c r="B1442" t="s">
        <v>278</v>
      </c>
    </row>
    <row r="1443" spans="1:2" hidden="1">
      <c r="A1443" s="36">
        <v>30631965284</v>
      </c>
      <c r="B1443" t="s">
        <v>281</v>
      </c>
    </row>
    <row r="1444" spans="1:2" hidden="1">
      <c r="A1444" s="36">
        <v>33685799559</v>
      </c>
      <c r="B1444" t="s">
        <v>282</v>
      </c>
    </row>
    <row r="1445" spans="1:2" hidden="1">
      <c r="A1445" s="36">
        <v>30717334090</v>
      </c>
      <c r="B1445" t="s">
        <v>284</v>
      </c>
    </row>
    <row r="1446" spans="1:2" hidden="1">
      <c r="A1446" s="36">
        <v>26206162</v>
      </c>
      <c r="B1446" t="s">
        <v>1331</v>
      </c>
    </row>
    <row r="1447" spans="1:2" hidden="1">
      <c r="A1447" s="36">
        <v>26206162</v>
      </c>
      <c r="B1447" t="s">
        <v>1331</v>
      </c>
    </row>
    <row r="1448" spans="1:2" hidden="1">
      <c r="A1448" s="36">
        <v>20223654151</v>
      </c>
      <c r="B1448" t="s">
        <v>285</v>
      </c>
    </row>
    <row r="1449" spans="1:2" hidden="1">
      <c r="A1449" s="36">
        <v>20085058321</v>
      </c>
      <c r="B1449" t="s">
        <v>287</v>
      </c>
    </row>
    <row r="1450" spans="1:2" hidden="1">
      <c r="A1450" s="36">
        <v>27266689875</v>
      </c>
      <c r="B1450" t="s">
        <v>1181</v>
      </c>
    </row>
    <row r="1451" spans="1:2" hidden="1">
      <c r="A1451" s="36">
        <v>27266689875</v>
      </c>
      <c r="B1451" t="s">
        <v>1181</v>
      </c>
    </row>
    <row r="1452" spans="1:2" hidden="1">
      <c r="A1452" s="36">
        <v>27266689875</v>
      </c>
      <c r="B1452" t="s">
        <v>1181</v>
      </c>
    </row>
    <row r="1453" spans="1:2" hidden="1">
      <c r="A1453" s="36">
        <v>27266689875</v>
      </c>
      <c r="B1453" t="s">
        <v>1181</v>
      </c>
    </row>
    <row r="1454" spans="1:2" hidden="1">
      <c r="A1454" s="36">
        <v>30707763864</v>
      </c>
      <c r="B1454" t="s">
        <v>288</v>
      </c>
    </row>
    <row r="1455" spans="1:2" hidden="1">
      <c r="A1455" s="36">
        <v>30711720169</v>
      </c>
      <c r="B1455" t="s">
        <v>1478</v>
      </c>
    </row>
    <row r="1456" spans="1:2" hidden="1">
      <c r="A1456" s="36">
        <v>30702232046</v>
      </c>
      <c r="B1456" t="s">
        <v>289</v>
      </c>
    </row>
    <row r="1457" spans="1:2" hidden="1">
      <c r="A1457" s="36">
        <v>23220104389</v>
      </c>
      <c r="B1457" t="s">
        <v>290</v>
      </c>
    </row>
    <row r="1458" spans="1:2" hidden="1">
      <c r="A1458" s="36">
        <v>30714185574</v>
      </c>
      <c r="B1458" t="s">
        <v>291</v>
      </c>
    </row>
    <row r="1459" spans="1:2" hidden="1">
      <c r="A1459" s="36">
        <v>30715219014</v>
      </c>
      <c r="B1459" t="s">
        <v>1472</v>
      </c>
    </row>
    <row r="1460" spans="1:2" hidden="1">
      <c r="A1460" s="36">
        <v>30710802404</v>
      </c>
      <c r="B1460" t="s">
        <v>1438</v>
      </c>
    </row>
    <row r="1461" spans="1:2" hidden="1">
      <c r="A1461" s="36">
        <v>30710802404</v>
      </c>
      <c r="B1461" t="s">
        <v>1438</v>
      </c>
    </row>
    <row r="1462" spans="1:2" hidden="1">
      <c r="A1462" s="36">
        <v>30715433245</v>
      </c>
      <c r="B1462" t="s">
        <v>292</v>
      </c>
    </row>
    <row r="1463" spans="1:2" hidden="1">
      <c r="A1463" s="36">
        <v>30707918914</v>
      </c>
      <c r="B1463" t="s">
        <v>293</v>
      </c>
    </row>
    <row r="1464" spans="1:2" hidden="1">
      <c r="A1464" s="36">
        <v>30716365162</v>
      </c>
      <c r="B1464" t="s">
        <v>294</v>
      </c>
    </row>
    <row r="1465" spans="1:2" hidden="1">
      <c r="A1465" s="36">
        <v>30711604703</v>
      </c>
      <c r="B1465" t="s">
        <v>1184</v>
      </c>
    </row>
    <row r="1466" spans="1:2" hidden="1">
      <c r="A1466" s="36">
        <v>30711604703</v>
      </c>
      <c r="B1466" t="s">
        <v>1184</v>
      </c>
    </row>
    <row r="1467" spans="1:2" hidden="1">
      <c r="A1467" s="36">
        <v>30686216019</v>
      </c>
      <c r="B1467" t="s">
        <v>295</v>
      </c>
    </row>
    <row r="1468" spans="1:2" hidden="1">
      <c r="A1468" s="36">
        <v>20188295526</v>
      </c>
      <c r="B1468" t="s">
        <v>1484</v>
      </c>
    </row>
    <row r="1469" spans="1:2" hidden="1">
      <c r="A1469" s="36">
        <v>20161920291</v>
      </c>
      <c r="B1469" t="s">
        <v>296</v>
      </c>
    </row>
    <row r="1470" spans="1:2" hidden="1">
      <c r="A1470" s="36">
        <v>20082440314</v>
      </c>
      <c r="B1470" t="s">
        <v>297</v>
      </c>
    </row>
    <row r="1471" spans="1:2" hidden="1">
      <c r="A1471" s="36">
        <v>27181038727</v>
      </c>
      <c r="B1471" t="s">
        <v>298</v>
      </c>
    </row>
    <row r="1472" spans="1:2" hidden="1">
      <c r="A1472" s="36">
        <v>30688476360</v>
      </c>
      <c r="B1472" t="s">
        <v>299</v>
      </c>
    </row>
    <row r="1473" spans="1:2" hidden="1">
      <c r="A1473" s="36">
        <v>30709664227</v>
      </c>
      <c r="B1473" t="s">
        <v>300</v>
      </c>
    </row>
    <row r="1474" spans="1:2" hidden="1">
      <c r="A1474" s="36">
        <v>20925719677</v>
      </c>
      <c r="B1474" t="s">
        <v>301</v>
      </c>
    </row>
    <row r="1475" spans="1:2" hidden="1">
      <c r="A1475" s="36">
        <v>30710859465</v>
      </c>
      <c r="B1475" t="s">
        <v>302</v>
      </c>
    </row>
    <row r="1476" spans="1:2" hidden="1">
      <c r="A1476" s="36">
        <v>30707538437</v>
      </c>
      <c r="B1476" t="s">
        <v>303</v>
      </c>
    </row>
    <row r="1477" spans="1:2" hidden="1">
      <c r="A1477" s="36">
        <v>30714481343</v>
      </c>
      <c r="B1477" t="s">
        <v>305</v>
      </c>
    </row>
    <row r="1478" spans="1:2" hidden="1">
      <c r="A1478" s="36">
        <v>33654138589</v>
      </c>
      <c r="B1478" t="s">
        <v>306</v>
      </c>
    </row>
    <row r="1479" spans="1:2" hidden="1">
      <c r="A1479" s="36">
        <v>30645614735</v>
      </c>
      <c r="B1479" t="s">
        <v>307</v>
      </c>
    </row>
    <row r="1480" spans="1:2" hidden="1">
      <c r="A1480" s="36">
        <v>30709459399</v>
      </c>
      <c r="B1480" t="s">
        <v>308</v>
      </c>
    </row>
    <row r="1481" spans="1:2" hidden="1">
      <c r="A1481" s="36">
        <v>30682653406</v>
      </c>
      <c r="B1481" t="s">
        <v>309</v>
      </c>
    </row>
    <row r="1482" spans="1:2" hidden="1">
      <c r="A1482" s="36">
        <v>30707439579</v>
      </c>
      <c r="B1482" t="s">
        <v>310</v>
      </c>
    </row>
    <row r="1483" spans="1:2" hidden="1">
      <c r="A1483" s="36">
        <v>30500051163</v>
      </c>
      <c r="B1483" t="s">
        <v>311</v>
      </c>
    </row>
    <row r="1484" spans="1:2" hidden="1">
      <c r="A1484" s="36">
        <v>30715305093</v>
      </c>
      <c r="B1484" t="s">
        <v>312</v>
      </c>
    </row>
    <row r="1485" spans="1:2" hidden="1">
      <c r="A1485" s="177">
        <v>30663213748</v>
      </c>
      <c r="B1485" t="s">
        <v>313</v>
      </c>
    </row>
    <row r="1486" spans="1:2" hidden="1">
      <c r="A1486" s="36">
        <v>30663213748</v>
      </c>
      <c r="B1486" t="s">
        <v>314</v>
      </c>
    </row>
    <row r="1487" spans="1:2" hidden="1">
      <c r="A1487" s="36">
        <v>30663213748</v>
      </c>
      <c r="B1487" t="s">
        <v>314</v>
      </c>
    </row>
    <row r="1488" spans="1:2" hidden="1">
      <c r="A1488" s="36">
        <v>30663213748</v>
      </c>
      <c r="B1488" t="s">
        <v>314</v>
      </c>
    </row>
    <row r="1489" spans="1:2" hidden="1">
      <c r="A1489" s="36">
        <v>30714871729</v>
      </c>
      <c r="B1489" t="s">
        <v>315</v>
      </c>
    </row>
    <row r="1490" spans="1:2" hidden="1">
      <c r="A1490" s="36">
        <v>30697583048</v>
      </c>
      <c r="B1490" t="s">
        <v>316</v>
      </c>
    </row>
    <row r="1491" spans="1:2" hidden="1">
      <c r="A1491" s="36">
        <v>30711005966</v>
      </c>
      <c r="B1491" t="s">
        <v>1414</v>
      </c>
    </row>
    <row r="1492" spans="1:2" hidden="1">
      <c r="A1492" s="36">
        <v>30606475558</v>
      </c>
      <c r="B1492" t="s">
        <v>317</v>
      </c>
    </row>
    <row r="1493" spans="1:2" hidden="1">
      <c r="A1493" s="36">
        <v>33717012319</v>
      </c>
      <c r="B1493" t="s">
        <v>318</v>
      </c>
    </row>
    <row r="1494" spans="1:2" hidden="1">
      <c r="A1494" s="36">
        <v>23225375364</v>
      </c>
      <c r="B1494" t="s">
        <v>319</v>
      </c>
    </row>
    <row r="1495" spans="1:2" hidden="1">
      <c r="A1495" s="36">
        <v>30687091295</v>
      </c>
      <c r="B1495" t="s">
        <v>1537</v>
      </c>
    </row>
    <row r="1496" spans="1:2" hidden="1">
      <c r="A1496" s="36">
        <v>30585254297</v>
      </c>
      <c r="B1496" t="s">
        <v>320</v>
      </c>
    </row>
    <row r="1497" spans="1:2" hidden="1">
      <c r="A1497" s="36">
        <v>23062664444</v>
      </c>
      <c r="B1497" t="s">
        <v>321</v>
      </c>
    </row>
    <row r="1498" spans="1:2" hidden="1">
      <c r="A1498" s="36">
        <v>30714212628</v>
      </c>
      <c r="B1498" t="s">
        <v>322</v>
      </c>
    </row>
    <row r="1499" spans="1:2" hidden="1">
      <c r="A1499" s="36">
        <v>33708818319</v>
      </c>
      <c r="B1499" t="s">
        <v>323</v>
      </c>
    </row>
    <row r="1500" spans="1:2" hidden="1">
      <c r="A1500" s="36">
        <v>20183150740</v>
      </c>
      <c r="B1500" t="s">
        <v>324</v>
      </c>
    </row>
    <row r="1501" spans="1:2" hidden="1">
      <c r="A1501" s="36">
        <v>30708784067</v>
      </c>
      <c r="B1501" t="s">
        <v>1350</v>
      </c>
    </row>
    <row r="1502" spans="1:2" hidden="1">
      <c r="A1502" s="36">
        <v>30708784067</v>
      </c>
      <c r="B1502" t="s">
        <v>1350</v>
      </c>
    </row>
    <row r="1503" spans="1:2" hidden="1">
      <c r="A1503" s="36">
        <v>20043924312</v>
      </c>
      <c r="B1503" t="s">
        <v>325</v>
      </c>
    </row>
    <row r="1504" spans="1:2" hidden="1">
      <c r="A1504" s="36">
        <v>20304751569</v>
      </c>
      <c r="B1504" t="s">
        <v>326</v>
      </c>
    </row>
    <row r="1505" spans="1:2" hidden="1">
      <c r="A1505" s="36">
        <v>20121778042</v>
      </c>
      <c r="B1505" t="s">
        <v>327</v>
      </c>
    </row>
    <row r="1506" spans="1:2" hidden="1">
      <c r="A1506" s="36">
        <v>30691251191</v>
      </c>
      <c r="B1506" t="s">
        <v>328</v>
      </c>
    </row>
    <row r="1507" spans="1:2" hidden="1">
      <c r="A1507" s="36">
        <v>27249631413</v>
      </c>
      <c r="B1507" t="s">
        <v>329</v>
      </c>
    </row>
    <row r="1508" spans="1:2" hidden="1">
      <c r="A1508" s="36">
        <v>30676666253</v>
      </c>
      <c r="B1508" t="s">
        <v>330</v>
      </c>
    </row>
    <row r="1509" spans="1:2" hidden="1">
      <c r="A1509" s="36">
        <v>30708378425</v>
      </c>
      <c r="B1509" t="s">
        <v>331</v>
      </c>
    </row>
    <row r="1510" spans="1:2" hidden="1">
      <c r="A1510" s="36">
        <v>30679107220</v>
      </c>
      <c r="B1510" t="s">
        <v>332</v>
      </c>
    </row>
    <row r="1511" spans="1:2" hidden="1">
      <c r="A1511" s="36">
        <v>30716150042</v>
      </c>
      <c r="B1511" t="s">
        <v>333</v>
      </c>
    </row>
    <row r="1512" spans="1:2" hidden="1">
      <c r="A1512" s="36">
        <v>20307580862</v>
      </c>
      <c r="B1512" t="s">
        <v>1502</v>
      </c>
    </row>
    <row r="1513" spans="1:2" hidden="1">
      <c r="A1513" s="36">
        <v>20043978366</v>
      </c>
      <c r="B1513" t="s">
        <v>335</v>
      </c>
    </row>
    <row r="1514" spans="1:2" hidden="1">
      <c r="A1514" s="36">
        <v>30653022774</v>
      </c>
      <c r="B1514" t="s">
        <v>338</v>
      </c>
    </row>
    <row r="1515" spans="1:2" hidden="1">
      <c r="A1515" s="36">
        <v>20222524564</v>
      </c>
      <c r="B1515" t="s">
        <v>1419</v>
      </c>
    </row>
    <row r="1516" spans="1:2" hidden="1">
      <c r="A1516" s="36">
        <v>20222524564</v>
      </c>
      <c r="B1516" t="s">
        <v>1419</v>
      </c>
    </row>
    <row r="1517" spans="1:2" hidden="1">
      <c r="A1517" s="36">
        <v>3079881767</v>
      </c>
      <c r="B1517" t="s">
        <v>339</v>
      </c>
    </row>
    <row r="1518" spans="1:2" hidden="1">
      <c r="A1518" s="36">
        <v>30715668862</v>
      </c>
      <c r="B1518" t="s">
        <v>340</v>
      </c>
    </row>
    <row r="1519" spans="1:2" hidden="1">
      <c r="A1519" s="36">
        <v>26410585</v>
      </c>
      <c r="B1519" t="s">
        <v>1268</v>
      </c>
    </row>
    <row r="1520" spans="1:2" hidden="1">
      <c r="A1520" s="36">
        <v>26410585</v>
      </c>
      <c r="B1520" t="s">
        <v>1268</v>
      </c>
    </row>
    <row r="1521" spans="1:2" hidden="1">
      <c r="A1521" s="36">
        <v>30712255249</v>
      </c>
      <c r="B1521" t="s">
        <v>341</v>
      </c>
    </row>
    <row r="1522" spans="1:2" hidden="1">
      <c r="A1522" s="36">
        <v>30678617926</v>
      </c>
      <c r="B1522" t="s">
        <v>342</v>
      </c>
    </row>
    <row r="1523" spans="1:2" hidden="1">
      <c r="A1523" s="36">
        <v>27946127588</v>
      </c>
      <c r="B1523" t="s">
        <v>343</v>
      </c>
    </row>
    <row r="1524" spans="1:2" hidden="1">
      <c r="A1524" s="36">
        <v>20945139855</v>
      </c>
      <c r="B1524" t="s">
        <v>345</v>
      </c>
    </row>
    <row r="1525" spans="1:2" hidden="1">
      <c r="A1525" s="36">
        <v>20277189071</v>
      </c>
      <c r="B1525" t="s">
        <v>347</v>
      </c>
    </row>
    <row r="1526" spans="1:2" hidden="1">
      <c r="A1526" s="36">
        <v>23223377734</v>
      </c>
      <c r="B1526" t="s">
        <v>348</v>
      </c>
    </row>
    <row r="1527" spans="1:2" hidden="1">
      <c r="A1527" s="36">
        <v>30661041486</v>
      </c>
      <c r="B1527" t="s">
        <v>349</v>
      </c>
    </row>
    <row r="1528" spans="1:2" hidden="1">
      <c r="A1528" s="36">
        <v>20145266522</v>
      </c>
      <c r="B1528" t="s">
        <v>350</v>
      </c>
    </row>
    <row r="1529" spans="1:2" hidden="1">
      <c r="A1529" s="36">
        <v>27933367237</v>
      </c>
      <c r="B1529" t="s">
        <v>351</v>
      </c>
    </row>
    <row r="1530" spans="1:2" hidden="1">
      <c r="A1530" s="36">
        <v>30612929455</v>
      </c>
      <c r="B1530" t="s">
        <v>1433</v>
      </c>
    </row>
    <row r="1531" spans="1:2" hidden="1">
      <c r="A1531" s="36">
        <v>30612929455</v>
      </c>
      <c r="B1531" t="s">
        <v>1433</v>
      </c>
    </row>
    <row r="1532" spans="1:2" hidden="1">
      <c r="A1532" s="36">
        <v>30710295529</v>
      </c>
      <c r="B1532" t="s">
        <v>352</v>
      </c>
    </row>
    <row r="1533" spans="1:2" hidden="1">
      <c r="A1533" s="36">
        <v>23120106953</v>
      </c>
      <c r="B1533" t="s">
        <v>1140</v>
      </c>
    </row>
    <row r="1534" spans="1:2" hidden="1">
      <c r="A1534" s="36">
        <v>23120106953</v>
      </c>
      <c r="B1534" t="s">
        <v>1140</v>
      </c>
    </row>
    <row r="1535" spans="1:2" hidden="1">
      <c r="A1535" s="36">
        <v>20402302462</v>
      </c>
      <c r="B1535" t="s">
        <v>357</v>
      </c>
    </row>
    <row r="1536" spans="1:2" hidden="1">
      <c r="A1536" s="36">
        <v>27129657710</v>
      </c>
      <c r="B1536" t="s">
        <v>359</v>
      </c>
    </row>
    <row r="1537" spans="1:2" hidden="1">
      <c r="A1537" s="36">
        <v>30715028480</v>
      </c>
      <c r="B1537" t="s">
        <v>360</v>
      </c>
    </row>
    <row r="1538" spans="1:2" hidden="1">
      <c r="A1538" s="36">
        <v>30716473682</v>
      </c>
      <c r="B1538" t="s">
        <v>361</v>
      </c>
    </row>
    <row r="1539" spans="1:2" hidden="1">
      <c r="A1539" s="36">
        <v>30708326794</v>
      </c>
      <c r="B1539" t="s">
        <v>362</v>
      </c>
    </row>
    <row r="1540" spans="1:2" hidden="1">
      <c r="A1540" s="36">
        <v>20124975035</v>
      </c>
      <c r="B1540" t="s">
        <v>363</v>
      </c>
    </row>
    <row r="1541" spans="1:2" hidden="1">
      <c r="A1541" s="36">
        <v>30708035633</v>
      </c>
      <c r="B1541" t="s">
        <v>364</v>
      </c>
    </row>
    <row r="1542" spans="1:2" hidden="1">
      <c r="A1542" s="36">
        <v>27061737230</v>
      </c>
      <c r="B1542" t="s">
        <v>1503</v>
      </c>
    </row>
    <row r="1543" spans="1:2" hidden="1">
      <c r="A1543" s="36">
        <v>30711515727</v>
      </c>
      <c r="B1543" t="s">
        <v>365</v>
      </c>
    </row>
    <row r="1544" spans="1:2" hidden="1">
      <c r="A1544" s="36">
        <v>30714647594</v>
      </c>
      <c r="B1544" t="s">
        <v>366</v>
      </c>
    </row>
    <row r="1545" spans="1:2" hidden="1">
      <c r="A1545" s="36">
        <v>30687280438</v>
      </c>
      <c r="B1545" t="s">
        <v>367</v>
      </c>
    </row>
    <row r="1546" spans="1:2" hidden="1">
      <c r="A1546" s="36">
        <v>30687280438</v>
      </c>
      <c r="B1546" t="s">
        <v>368</v>
      </c>
    </row>
    <row r="1547" spans="1:2" hidden="1">
      <c r="A1547" s="36">
        <v>30708168366</v>
      </c>
      <c r="B1547" t="s">
        <v>369</v>
      </c>
    </row>
    <row r="1548" spans="1:2" hidden="1">
      <c r="A1548" s="36">
        <v>30618850133</v>
      </c>
      <c r="B1548" t="s">
        <v>370</v>
      </c>
    </row>
    <row r="1549" spans="1:2" hidden="1">
      <c r="A1549" s="36">
        <v>30675994915</v>
      </c>
      <c r="B1549" t="s">
        <v>1538</v>
      </c>
    </row>
    <row r="1550" spans="1:2" hidden="1">
      <c r="A1550" s="36">
        <v>23113845554</v>
      </c>
      <c r="B1550" t="s">
        <v>371</v>
      </c>
    </row>
    <row r="1551" spans="1:2" hidden="1">
      <c r="A1551" s="36">
        <v>30710265425</v>
      </c>
      <c r="B1551" t="s">
        <v>372</v>
      </c>
    </row>
    <row r="1552" spans="1:2" hidden="1">
      <c r="A1552" s="36">
        <v>30547188760</v>
      </c>
      <c r="B1552" t="s">
        <v>373</v>
      </c>
    </row>
    <row r="1553" spans="1:2" hidden="1">
      <c r="A1553" s="36">
        <v>20266711671</v>
      </c>
      <c r="B1553" t="s">
        <v>375</v>
      </c>
    </row>
    <row r="1554" spans="1:2" hidden="1">
      <c r="A1554" s="36">
        <v>27048813181</v>
      </c>
      <c r="B1554" t="s">
        <v>376</v>
      </c>
    </row>
    <row r="1555" spans="1:2" hidden="1">
      <c r="A1555" s="36">
        <v>20162408888</v>
      </c>
      <c r="B1555" t="s">
        <v>378</v>
      </c>
    </row>
    <row r="1556" spans="1:2" hidden="1">
      <c r="A1556" s="36">
        <v>23277121859</v>
      </c>
      <c r="B1556" t="s">
        <v>1434</v>
      </c>
    </row>
    <row r="1557" spans="1:2" hidden="1">
      <c r="A1557" s="36">
        <v>23277121859</v>
      </c>
      <c r="B1557" t="s">
        <v>1434</v>
      </c>
    </row>
    <row r="1558" spans="1:2" hidden="1">
      <c r="A1558" s="36">
        <v>20256826470</v>
      </c>
      <c r="B1558" t="s">
        <v>380</v>
      </c>
    </row>
    <row r="1559" spans="1:2" hidden="1">
      <c r="A1559" s="36">
        <v>35186493</v>
      </c>
      <c r="B1559" t="s">
        <v>1197</v>
      </c>
    </row>
    <row r="1560" spans="1:2" hidden="1">
      <c r="A1560" s="36">
        <v>35186493</v>
      </c>
      <c r="B1560" t="s">
        <v>1197</v>
      </c>
    </row>
    <row r="1561" spans="1:2" hidden="1">
      <c r="A1561" s="36">
        <v>37596714</v>
      </c>
      <c r="B1561" t="s">
        <v>1307</v>
      </c>
    </row>
    <row r="1562" spans="1:2" hidden="1">
      <c r="A1562" s="36">
        <v>37596714</v>
      </c>
      <c r="B1562" t="s">
        <v>1307</v>
      </c>
    </row>
    <row r="1563" spans="1:2" hidden="1">
      <c r="A1563" s="36">
        <v>37937689</v>
      </c>
      <c r="B1563" t="s">
        <v>1270</v>
      </c>
    </row>
    <row r="1564" spans="1:2" hidden="1">
      <c r="A1564" s="36">
        <v>37937689</v>
      </c>
      <c r="B1564" t="s">
        <v>1270</v>
      </c>
    </row>
    <row r="1565" spans="1:2" hidden="1">
      <c r="A1565" s="36">
        <v>37937689</v>
      </c>
      <c r="B1565" t="s">
        <v>1270</v>
      </c>
    </row>
    <row r="1566" spans="1:2" hidden="1">
      <c r="A1566" s="36">
        <v>37937689</v>
      </c>
      <c r="B1566" t="s">
        <v>1270</v>
      </c>
    </row>
    <row r="1567" spans="1:2" hidden="1">
      <c r="A1567" s="36">
        <v>111</v>
      </c>
      <c r="B1567" t="s">
        <v>1287</v>
      </c>
    </row>
    <row r="1568" spans="1:2" hidden="1">
      <c r="A1568" s="36">
        <v>111</v>
      </c>
      <c r="B1568" t="s">
        <v>1287</v>
      </c>
    </row>
    <row r="1569" spans="1:2" hidden="1">
      <c r="A1569" s="36">
        <v>30596572711</v>
      </c>
      <c r="B1569" t="s">
        <v>381</v>
      </c>
    </row>
    <row r="1570" spans="1:2" hidden="1">
      <c r="A1570" s="36">
        <v>27258239577</v>
      </c>
      <c r="B1570" t="s">
        <v>1182</v>
      </c>
    </row>
    <row r="1571" spans="1:2" hidden="1">
      <c r="A1571" s="36">
        <v>27258239577</v>
      </c>
      <c r="B1571" t="s">
        <v>1182</v>
      </c>
    </row>
    <row r="1572" spans="1:2" hidden="1">
      <c r="A1572" s="36">
        <v>27321118084</v>
      </c>
      <c r="B1572" t="s">
        <v>1485</v>
      </c>
    </row>
    <row r="1573" spans="1:2" hidden="1">
      <c r="A1573" s="36">
        <v>30716008440</v>
      </c>
      <c r="B1573" t="s">
        <v>382</v>
      </c>
    </row>
    <row r="1574" spans="1:2" hidden="1">
      <c r="A1574" s="36">
        <v>30712222499</v>
      </c>
      <c r="B1574" t="s">
        <v>1551</v>
      </c>
    </row>
    <row r="1575" spans="1:2" hidden="1">
      <c r="A1575" s="36">
        <v>20137542855</v>
      </c>
      <c r="B1575" t="s">
        <v>383</v>
      </c>
    </row>
    <row r="1576" spans="1:2" hidden="1">
      <c r="A1576" s="36">
        <v>33879446</v>
      </c>
      <c r="B1576" t="s">
        <v>1314</v>
      </c>
    </row>
    <row r="1577" spans="1:2" hidden="1">
      <c r="A1577" s="36">
        <v>33879446</v>
      </c>
      <c r="B1577" t="s">
        <v>1314</v>
      </c>
    </row>
    <row r="1578" spans="1:2" hidden="1">
      <c r="A1578" s="36">
        <v>30714725358</v>
      </c>
      <c r="B1578" t="s">
        <v>384</v>
      </c>
    </row>
    <row r="1579" spans="1:2" hidden="1">
      <c r="A1579" s="36">
        <v>30715952773</v>
      </c>
      <c r="B1579" t="s">
        <v>385</v>
      </c>
    </row>
    <row r="1580" spans="1:2" hidden="1">
      <c r="A1580" s="36">
        <v>30711022461</v>
      </c>
      <c r="B1580" t="s">
        <v>386</v>
      </c>
    </row>
    <row r="1581" spans="1:2" hidden="1">
      <c r="A1581" s="36">
        <v>20604520348</v>
      </c>
      <c r="B1581" t="s">
        <v>387</v>
      </c>
    </row>
    <row r="1582" spans="1:2" hidden="1">
      <c r="A1582" s="36">
        <v>30694562392</v>
      </c>
      <c r="B1582" t="s">
        <v>388</v>
      </c>
    </row>
    <row r="1583" spans="1:2" hidden="1">
      <c r="A1583" s="36">
        <v>23126017189</v>
      </c>
      <c r="B1583" t="s">
        <v>390</v>
      </c>
    </row>
    <row r="1584" spans="1:2" hidden="1">
      <c r="A1584" s="36">
        <v>30707523839</v>
      </c>
      <c r="B1584" t="s">
        <v>391</v>
      </c>
    </row>
    <row r="1585" spans="1:2" hidden="1">
      <c r="A1585" s="36">
        <v>27139133523</v>
      </c>
      <c r="B1585" t="s">
        <v>392</v>
      </c>
    </row>
    <row r="1586" spans="1:2" hidden="1">
      <c r="A1586" s="36">
        <v>23084885029</v>
      </c>
      <c r="B1586" t="s">
        <v>393</v>
      </c>
    </row>
    <row r="1587" spans="1:2" hidden="1">
      <c r="A1587" s="36">
        <v>30690082019</v>
      </c>
      <c r="B1587" t="s">
        <v>394</v>
      </c>
    </row>
    <row r="1588" spans="1:2" hidden="1">
      <c r="A1588" s="36">
        <v>33710560299</v>
      </c>
      <c r="B1588" t="s">
        <v>395</v>
      </c>
    </row>
    <row r="1589" spans="1:2" hidden="1">
      <c r="A1589" s="36">
        <v>30714597066</v>
      </c>
      <c r="B1589" t="s">
        <v>398</v>
      </c>
    </row>
    <row r="1590" spans="1:2" hidden="1">
      <c r="A1590" s="36">
        <v>30700902532</v>
      </c>
      <c r="B1590" t="s">
        <v>399</v>
      </c>
    </row>
    <row r="1591" spans="1:2" hidden="1">
      <c r="A1591" s="36">
        <v>30715685457</v>
      </c>
      <c r="B1591" t="s">
        <v>400</v>
      </c>
    </row>
    <row r="1592" spans="1:2" hidden="1">
      <c r="A1592" s="36">
        <v>30713134704</v>
      </c>
      <c r="B1592" t="s">
        <v>402</v>
      </c>
    </row>
    <row r="1593" spans="1:2" hidden="1">
      <c r="A1593" s="36">
        <v>30714155225</v>
      </c>
      <c r="B1593" t="s">
        <v>404</v>
      </c>
    </row>
    <row r="1594" spans="1:2" hidden="1">
      <c r="A1594" s="36">
        <v>30714155225</v>
      </c>
      <c r="B1594" t="s">
        <v>404</v>
      </c>
    </row>
    <row r="1595" spans="1:2" hidden="1">
      <c r="A1595" s="36">
        <v>20222545383</v>
      </c>
      <c r="B1595" t="s">
        <v>405</v>
      </c>
    </row>
    <row r="1596" spans="1:2" hidden="1">
      <c r="A1596" s="36">
        <v>20251522899</v>
      </c>
      <c r="B1596" t="s">
        <v>1423</v>
      </c>
    </row>
    <row r="1597" spans="1:2" hidden="1">
      <c r="A1597" s="36">
        <v>20251522899</v>
      </c>
      <c r="B1597" t="s">
        <v>1423</v>
      </c>
    </row>
    <row r="1598" spans="1:2" hidden="1">
      <c r="A1598" s="36">
        <v>20120338529</v>
      </c>
      <c r="B1598" t="s">
        <v>406</v>
      </c>
    </row>
    <row r="1599" spans="1:2" hidden="1">
      <c r="A1599" s="36">
        <v>20251542229</v>
      </c>
      <c r="B1599" t="s">
        <v>407</v>
      </c>
    </row>
    <row r="1600" spans="1:2" hidden="1">
      <c r="A1600" s="36">
        <v>30715418130</v>
      </c>
      <c r="B1600" t="s">
        <v>408</v>
      </c>
    </row>
    <row r="1601" spans="1:2" hidden="1">
      <c r="A1601" s="36">
        <v>44824322</v>
      </c>
      <c r="B1601" t="s">
        <v>1343</v>
      </c>
    </row>
    <row r="1602" spans="1:2" hidden="1">
      <c r="A1602" s="36">
        <v>44824322</v>
      </c>
      <c r="B1602" t="s">
        <v>1343</v>
      </c>
    </row>
    <row r="1603" spans="1:2" hidden="1">
      <c r="A1603" s="36">
        <v>30716829649</v>
      </c>
      <c r="B1603" t="s">
        <v>409</v>
      </c>
    </row>
    <row r="1604" spans="1:2" hidden="1">
      <c r="A1604" s="36">
        <v>33710682599</v>
      </c>
      <c r="B1604" t="s">
        <v>410</v>
      </c>
    </row>
    <row r="1605" spans="1:2" hidden="1">
      <c r="A1605" s="36">
        <v>30716288346</v>
      </c>
      <c r="B1605" t="s">
        <v>412</v>
      </c>
    </row>
    <row r="1606" spans="1:2" hidden="1">
      <c r="A1606" s="36">
        <v>30709496294</v>
      </c>
      <c r="B1606" t="s">
        <v>1511</v>
      </c>
    </row>
    <row r="1607" spans="1:2" hidden="1">
      <c r="A1607" s="36">
        <v>20172008241</v>
      </c>
      <c r="B1607" t="s">
        <v>415</v>
      </c>
    </row>
    <row r="1608" spans="1:2" hidden="1">
      <c r="A1608" s="36">
        <v>20044258898</v>
      </c>
      <c r="B1608" t="s">
        <v>416</v>
      </c>
    </row>
    <row r="1609" spans="1:2" hidden="1">
      <c r="A1609" s="36">
        <v>30715893963</v>
      </c>
      <c r="B1609" t="s">
        <v>1441</v>
      </c>
    </row>
    <row r="1610" spans="1:2" hidden="1">
      <c r="A1610" s="36">
        <v>30715893963</v>
      </c>
      <c r="B1610" t="s">
        <v>1441</v>
      </c>
    </row>
    <row r="1611" spans="1:2" hidden="1">
      <c r="A1611" s="36">
        <v>23265885594</v>
      </c>
      <c r="B1611" t="s">
        <v>1463</v>
      </c>
    </row>
    <row r="1612" spans="1:2" hidden="1">
      <c r="A1612" s="36">
        <v>23265885594</v>
      </c>
      <c r="B1612" t="s">
        <v>1463</v>
      </c>
    </row>
    <row r="1613" spans="1:2" hidden="1">
      <c r="A1613" s="36">
        <v>27328481788</v>
      </c>
      <c r="B1613" t="s">
        <v>418</v>
      </c>
    </row>
    <row r="1614" spans="1:2" hidden="1">
      <c r="A1614" s="36">
        <v>27228778937</v>
      </c>
      <c r="B1614" t="s">
        <v>419</v>
      </c>
    </row>
    <row r="1615" spans="1:2" hidden="1">
      <c r="A1615" s="36">
        <v>20295036460</v>
      </c>
      <c r="B1615" t="s">
        <v>420</v>
      </c>
    </row>
    <row r="1616" spans="1:2" hidden="1">
      <c r="A1616" s="36">
        <v>27277172874</v>
      </c>
      <c r="B1616" t="s">
        <v>1475</v>
      </c>
    </row>
    <row r="1617" spans="1:2" hidden="1">
      <c r="A1617" s="36">
        <v>20202134700</v>
      </c>
      <c r="B1617" t="s">
        <v>421</v>
      </c>
    </row>
    <row r="1618" spans="1:2" hidden="1">
      <c r="A1618" s="36">
        <v>20125492763</v>
      </c>
      <c r="B1618" t="s">
        <v>423</v>
      </c>
    </row>
    <row r="1619" spans="1:2" hidden="1">
      <c r="A1619" s="36">
        <v>30707963065</v>
      </c>
      <c r="B1619" t="s">
        <v>424</v>
      </c>
    </row>
    <row r="1620" spans="1:2" hidden="1">
      <c r="A1620" s="36">
        <v>30715009826</v>
      </c>
      <c r="B1620" t="s">
        <v>425</v>
      </c>
    </row>
    <row r="1621" spans="1:2" hidden="1">
      <c r="A1621" s="36">
        <v>30687282279</v>
      </c>
      <c r="B1621" t="s">
        <v>1416</v>
      </c>
    </row>
    <row r="1622" spans="1:2" hidden="1">
      <c r="A1622" s="36">
        <v>30687282279</v>
      </c>
      <c r="B1622" t="s">
        <v>1416</v>
      </c>
    </row>
    <row r="1623" spans="1:2" hidden="1">
      <c r="A1623" s="36">
        <v>38268441</v>
      </c>
      <c r="B1623" t="s">
        <v>1261</v>
      </c>
    </row>
    <row r="1624" spans="1:2" hidden="1">
      <c r="A1624" s="36">
        <v>38268441</v>
      </c>
      <c r="B1624" t="s">
        <v>1261</v>
      </c>
    </row>
    <row r="1625" spans="1:2" hidden="1">
      <c r="A1625" s="36">
        <v>38268441</v>
      </c>
      <c r="B1625" t="s">
        <v>1261</v>
      </c>
    </row>
    <row r="1626" spans="1:2" hidden="1">
      <c r="A1626" s="36">
        <v>38268441</v>
      </c>
      <c r="B1626" t="s">
        <v>1261</v>
      </c>
    </row>
    <row r="1627" spans="1:2" hidden="1">
      <c r="A1627" s="36">
        <v>38268441</v>
      </c>
      <c r="B1627" t="s">
        <v>1261</v>
      </c>
    </row>
    <row r="1628" spans="1:2" hidden="1">
      <c r="A1628" s="36">
        <v>38268441</v>
      </c>
      <c r="B1628" t="s">
        <v>1261</v>
      </c>
    </row>
    <row r="1629" spans="1:2" hidden="1">
      <c r="A1629" s="36">
        <v>30568557464</v>
      </c>
      <c r="B1629" t="s">
        <v>427</v>
      </c>
    </row>
    <row r="1630" spans="1:2" hidden="1">
      <c r="A1630" s="36">
        <v>29561228</v>
      </c>
      <c r="B1630" t="s">
        <v>1311</v>
      </c>
    </row>
    <row r="1631" spans="1:2" hidden="1">
      <c r="A1631" s="36">
        <v>29561228</v>
      </c>
      <c r="B1631" t="s">
        <v>1311</v>
      </c>
    </row>
    <row r="1632" spans="1:2" hidden="1">
      <c r="A1632" s="36">
        <v>20217508992</v>
      </c>
      <c r="B1632" t="s">
        <v>428</v>
      </c>
    </row>
    <row r="1633" spans="1:2" hidden="1">
      <c r="A1633" s="36">
        <v>40233550</v>
      </c>
      <c r="B1633" t="s">
        <v>1243</v>
      </c>
    </row>
    <row r="1634" spans="1:2" hidden="1">
      <c r="A1634" s="36">
        <v>40233550</v>
      </c>
      <c r="B1634" t="s">
        <v>1243</v>
      </c>
    </row>
    <row r="1635" spans="1:2" hidden="1">
      <c r="A1635" s="36">
        <v>40233550</v>
      </c>
      <c r="B1635" t="s">
        <v>1243</v>
      </c>
    </row>
    <row r="1636" spans="1:2" hidden="1">
      <c r="A1636" s="36">
        <v>40233550</v>
      </c>
      <c r="B1636" t="s">
        <v>1243</v>
      </c>
    </row>
    <row r="1637" spans="1:2" hidden="1">
      <c r="A1637" s="36">
        <v>26195323</v>
      </c>
      <c r="B1637" t="s">
        <v>1319</v>
      </c>
    </row>
    <row r="1638" spans="1:2" hidden="1">
      <c r="A1638" s="36">
        <v>26195323</v>
      </c>
      <c r="B1638" t="s">
        <v>1319</v>
      </c>
    </row>
    <row r="1639" spans="1:2" hidden="1">
      <c r="A1639" s="36">
        <v>111</v>
      </c>
      <c r="B1639" t="s">
        <v>1292</v>
      </c>
    </row>
    <row r="1640" spans="1:2" hidden="1">
      <c r="A1640" s="36">
        <v>111</v>
      </c>
      <c r="B1640" t="s">
        <v>1292</v>
      </c>
    </row>
    <row r="1641" spans="1:2" hidden="1">
      <c r="A1641" s="36">
        <v>20206464519</v>
      </c>
      <c r="B1641" t="s">
        <v>430</v>
      </c>
    </row>
    <row r="1642" spans="1:2" hidden="1">
      <c r="A1642" s="36">
        <v>30714625892</v>
      </c>
      <c r="B1642" t="s">
        <v>431</v>
      </c>
    </row>
    <row r="1643" spans="1:2" hidden="1">
      <c r="A1643" s="36">
        <v>20361558228</v>
      </c>
      <c r="B1643" t="s">
        <v>433</v>
      </c>
    </row>
    <row r="1644" spans="1:2" hidden="1">
      <c r="A1644" s="36">
        <v>30710377223</v>
      </c>
      <c r="B1644" t="s">
        <v>434</v>
      </c>
    </row>
    <row r="1645" spans="1:2" hidden="1">
      <c r="A1645" s="36">
        <v>30617095463</v>
      </c>
      <c r="B1645" t="s">
        <v>436</v>
      </c>
    </row>
    <row r="1646" spans="1:2" hidden="1">
      <c r="A1646" s="36">
        <v>20256122333</v>
      </c>
      <c r="B1646" t="s">
        <v>437</v>
      </c>
    </row>
    <row r="1647" spans="1:2" hidden="1">
      <c r="A1647" s="36">
        <v>30709982326</v>
      </c>
      <c r="B1647" t="s">
        <v>438</v>
      </c>
    </row>
    <row r="1648" spans="1:2" hidden="1">
      <c r="A1648" s="36">
        <v>20103906149</v>
      </c>
      <c r="B1648" t="s">
        <v>1443</v>
      </c>
    </row>
    <row r="1649" spans="1:2" hidden="1">
      <c r="A1649" s="36">
        <v>20103906149</v>
      </c>
      <c r="B1649" t="s">
        <v>1443</v>
      </c>
    </row>
    <row r="1650" spans="1:2" hidden="1">
      <c r="A1650" s="36">
        <v>30710051247</v>
      </c>
      <c r="B1650" t="s">
        <v>442</v>
      </c>
    </row>
    <row r="1651" spans="1:2" hidden="1">
      <c r="A1651" s="36">
        <v>30708655410</v>
      </c>
      <c r="B1651" t="s">
        <v>445</v>
      </c>
    </row>
    <row r="1652" spans="1:2" hidden="1">
      <c r="A1652" s="36">
        <v>30715705946</v>
      </c>
      <c r="B1652" t="s">
        <v>1501</v>
      </c>
    </row>
    <row r="1653" spans="1:2" hidden="1">
      <c r="A1653" s="36">
        <v>30546771314</v>
      </c>
      <c r="B1653" t="s">
        <v>446</v>
      </c>
    </row>
    <row r="1654" spans="1:2" hidden="1">
      <c r="A1654" s="36">
        <v>20103955395</v>
      </c>
      <c r="B1654" t="s">
        <v>447</v>
      </c>
    </row>
    <row r="1655" spans="1:2" hidden="1">
      <c r="A1655" s="36">
        <v>20229907523</v>
      </c>
      <c r="B1655" t="s">
        <v>448</v>
      </c>
    </row>
    <row r="1656" spans="1:2" hidden="1">
      <c r="A1656" s="36">
        <v>30714352535</v>
      </c>
      <c r="B1656" t="s">
        <v>449</v>
      </c>
    </row>
    <row r="1657" spans="1:2" hidden="1">
      <c r="A1657" s="36">
        <v>30709932876</v>
      </c>
      <c r="B1657" t="s">
        <v>1138</v>
      </c>
    </row>
    <row r="1658" spans="1:2" hidden="1">
      <c r="A1658" s="36">
        <v>30709932876</v>
      </c>
      <c r="B1658" t="s">
        <v>1138</v>
      </c>
    </row>
    <row r="1659" spans="1:2" hidden="1">
      <c r="A1659" s="36">
        <v>30709932876</v>
      </c>
      <c r="B1659" t="s">
        <v>1389</v>
      </c>
    </row>
    <row r="1660" spans="1:2" hidden="1">
      <c r="A1660" s="36">
        <v>30709932876</v>
      </c>
      <c r="B1660" t="s">
        <v>1389</v>
      </c>
    </row>
    <row r="1661" spans="1:2" hidden="1">
      <c r="A1661" s="36">
        <v>30709319929</v>
      </c>
      <c r="B1661" t="s">
        <v>92</v>
      </c>
    </row>
    <row r="1662" spans="1:2" hidden="1">
      <c r="A1662" s="36">
        <v>30709282588</v>
      </c>
      <c r="B1662" t="s">
        <v>452</v>
      </c>
    </row>
    <row r="1663" spans="1:2" hidden="1">
      <c r="A1663" s="36">
        <v>30712800700</v>
      </c>
      <c r="B1663" t="s">
        <v>453</v>
      </c>
    </row>
    <row r="1664" spans="1:2" hidden="1">
      <c r="A1664" s="36">
        <v>20044415195</v>
      </c>
      <c r="B1664" t="s">
        <v>454</v>
      </c>
    </row>
    <row r="1665" spans="1:2" hidden="1">
      <c r="A1665" s="36">
        <v>30715686054</v>
      </c>
      <c r="B1665" t="s">
        <v>455</v>
      </c>
    </row>
    <row r="1666" spans="1:2" hidden="1">
      <c r="A1666" s="36">
        <v>23126008929</v>
      </c>
      <c r="B1666" t="s">
        <v>457</v>
      </c>
    </row>
    <row r="1667" spans="1:2" hidden="1">
      <c r="A1667" s="36">
        <v>27119872311</v>
      </c>
      <c r="B1667" t="s">
        <v>458</v>
      </c>
    </row>
    <row r="1668" spans="1:2" hidden="1">
      <c r="A1668" s="36">
        <v>27144787019</v>
      </c>
      <c r="B1668" t="s">
        <v>459</v>
      </c>
    </row>
    <row r="1669" spans="1:2" hidden="1">
      <c r="A1669" s="36">
        <v>32290050</v>
      </c>
      <c r="B1669" t="s">
        <v>1337</v>
      </c>
    </row>
    <row r="1670" spans="1:2" hidden="1">
      <c r="A1670" s="36">
        <v>26558560</v>
      </c>
      <c r="B1670" t="s">
        <v>1258</v>
      </c>
    </row>
    <row r="1671" spans="1:2" hidden="1">
      <c r="A1671" s="36">
        <v>26558560</v>
      </c>
      <c r="B1671" t="s">
        <v>1258</v>
      </c>
    </row>
    <row r="1672" spans="1:2" hidden="1">
      <c r="A1672" s="36">
        <v>16826280</v>
      </c>
      <c r="B1672" t="s">
        <v>1253</v>
      </c>
    </row>
    <row r="1673" spans="1:2" hidden="1">
      <c r="A1673" s="36">
        <v>16826280</v>
      </c>
      <c r="B1673" t="s">
        <v>1253</v>
      </c>
    </row>
    <row r="1674" spans="1:2" hidden="1">
      <c r="A1674" s="36">
        <v>20117741398</v>
      </c>
      <c r="B1674" t="s">
        <v>460</v>
      </c>
    </row>
    <row r="1675" spans="1:2" hidden="1">
      <c r="A1675" s="36">
        <v>30707661492</v>
      </c>
      <c r="B1675" t="s">
        <v>461</v>
      </c>
    </row>
    <row r="1676" spans="1:2" hidden="1">
      <c r="A1676" s="36">
        <v>30716425165</v>
      </c>
      <c r="B1676" t="s">
        <v>1529</v>
      </c>
    </row>
    <row r="1677" spans="1:2" hidden="1">
      <c r="A1677" s="36">
        <v>30715944738</v>
      </c>
      <c r="B1677" t="s">
        <v>463</v>
      </c>
    </row>
    <row r="1678" spans="1:2" hidden="1">
      <c r="A1678" s="36">
        <v>20930929981</v>
      </c>
      <c r="B1678" t="s">
        <v>464</v>
      </c>
    </row>
    <row r="1679" spans="1:2" hidden="1">
      <c r="A1679" s="36">
        <v>20261582520</v>
      </c>
      <c r="B1679" t="s">
        <v>466</v>
      </c>
    </row>
    <row r="1680" spans="1:2" hidden="1">
      <c r="A1680" s="36">
        <v>30520045798</v>
      </c>
      <c r="B1680" t="s">
        <v>468</v>
      </c>
    </row>
    <row r="1681" spans="1:2" hidden="1">
      <c r="A1681" s="36">
        <v>20083339293</v>
      </c>
      <c r="B1681" t="s">
        <v>469</v>
      </c>
    </row>
    <row r="1682" spans="1:2" hidden="1">
      <c r="A1682" s="36">
        <v>30716099667</v>
      </c>
      <c r="B1682" t="s">
        <v>470</v>
      </c>
    </row>
    <row r="1683" spans="1:2" hidden="1">
      <c r="A1683" s="36">
        <v>30709016012</v>
      </c>
      <c r="B1683" t="s">
        <v>471</v>
      </c>
    </row>
    <row r="1684" spans="1:2" hidden="1">
      <c r="A1684" s="36">
        <v>20946785300</v>
      </c>
      <c r="B1684" t="s">
        <v>1150</v>
      </c>
    </row>
    <row r="1685" spans="1:2" hidden="1">
      <c r="A1685" s="36">
        <v>20946785300</v>
      </c>
      <c r="B1685" t="s">
        <v>1150</v>
      </c>
    </row>
    <row r="1686" spans="1:2" hidden="1">
      <c r="A1686" s="36">
        <v>31915229</v>
      </c>
      <c r="B1686" t="s">
        <v>1286</v>
      </c>
    </row>
    <row r="1687" spans="1:2" hidden="1">
      <c r="A1687" s="36">
        <v>31915229</v>
      </c>
      <c r="B1687" t="s">
        <v>1286</v>
      </c>
    </row>
    <row r="1688" spans="1:2" hidden="1">
      <c r="A1688" s="36">
        <v>31915229</v>
      </c>
      <c r="B1688" t="s">
        <v>1286</v>
      </c>
    </row>
    <row r="1689" spans="1:2" hidden="1">
      <c r="A1689" s="36">
        <v>31915229</v>
      </c>
      <c r="B1689" t="s">
        <v>1286</v>
      </c>
    </row>
    <row r="1690" spans="1:2" hidden="1">
      <c r="A1690" s="36">
        <v>20937793252</v>
      </c>
      <c r="B1690" t="s">
        <v>473</v>
      </c>
    </row>
    <row r="1691" spans="1:2" hidden="1">
      <c r="A1691" s="36">
        <v>20171635285</v>
      </c>
      <c r="B1691" t="s">
        <v>474</v>
      </c>
    </row>
    <row r="1692" spans="1:2" hidden="1">
      <c r="A1692" s="36">
        <v>33714063079</v>
      </c>
      <c r="B1692" t="s">
        <v>476</v>
      </c>
    </row>
    <row r="1693" spans="1:2" hidden="1">
      <c r="A1693" s="36">
        <v>30708784067</v>
      </c>
      <c r="B1693" t="s">
        <v>1360</v>
      </c>
    </row>
    <row r="1694" spans="1:2" hidden="1">
      <c r="A1694" s="36">
        <v>30708784067</v>
      </c>
      <c r="B1694" t="s">
        <v>1360</v>
      </c>
    </row>
    <row r="1695" spans="1:2" hidden="1">
      <c r="A1695" s="36">
        <v>30708994924</v>
      </c>
      <c r="B1695" t="s">
        <v>1187</v>
      </c>
    </row>
    <row r="1696" spans="1:2" hidden="1">
      <c r="A1696" s="36">
        <v>30708994924</v>
      </c>
      <c r="B1696" t="s">
        <v>1187</v>
      </c>
    </row>
    <row r="1697" spans="1:2" hidden="1">
      <c r="A1697" s="36">
        <v>30715065556</v>
      </c>
      <c r="B1697" t="s">
        <v>477</v>
      </c>
    </row>
    <row r="1698" spans="1:2" hidden="1">
      <c r="A1698" s="36">
        <v>20147439882</v>
      </c>
      <c r="B1698" t="s">
        <v>478</v>
      </c>
    </row>
    <row r="1699" spans="1:2" hidden="1">
      <c r="A1699" s="36">
        <v>20283215343</v>
      </c>
      <c r="B1699" t="s">
        <v>479</v>
      </c>
    </row>
    <row r="1700" spans="1:2" hidden="1">
      <c r="A1700" s="36">
        <v>20116341566</v>
      </c>
      <c r="B1700" t="s">
        <v>480</v>
      </c>
    </row>
    <row r="1701" spans="1:2" hidden="1">
      <c r="A1701" s="36">
        <v>20331936910</v>
      </c>
      <c r="B1701" t="s">
        <v>481</v>
      </c>
    </row>
    <row r="1702" spans="1:2" hidden="1">
      <c r="A1702" s="36">
        <v>27249624298</v>
      </c>
      <c r="B1702" t="s">
        <v>482</v>
      </c>
    </row>
    <row r="1703" spans="1:2" hidden="1">
      <c r="A1703" s="36">
        <v>20205862243</v>
      </c>
      <c r="B1703" t="s">
        <v>483</v>
      </c>
    </row>
    <row r="1704" spans="1:2" hidden="1">
      <c r="A1704" s="36">
        <v>27182974922</v>
      </c>
      <c r="B1704" t="s">
        <v>484</v>
      </c>
    </row>
    <row r="1705" spans="1:2" hidden="1">
      <c r="A1705" s="36">
        <v>20400073776</v>
      </c>
      <c r="B1705" t="s">
        <v>1164</v>
      </c>
    </row>
    <row r="1706" spans="1:2" hidden="1">
      <c r="A1706" s="36">
        <v>20400073776</v>
      </c>
      <c r="B1706" t="s">
        <v>1380</v>
      </c>
    </row>
    <row r="1707" spans="1:2" hidden="1">
      <c r="A1707" s="36">
        <v>20400073776</v>
      </c>
      <c r="B1707" t="s">
        <v>1164</v>
      </c>
    </row>
    <row r="1708" spans="1:2" hidden="1">
      <c r="A1708" s="36">
        <v>20400073776</v>
      </c>
      <c r="B1708" t="s">
        <v>1380</v>
      </c>
    </row>
    <row r="1709" spans="1:2" hidden="1">
      <c r="A1709" s="36">
        <v>20120766598</v>
      </c>
      <c r="B1709" t="s">
        <v>488</v>
      </c>
    </row>
    <row r="1710" spans="1:2" hidden="1">
      <c r="A1710" s="36">
        <v>20959609013</v>
      </c>
      <c r="B1710" t="s">
        <v>489</v>
      </c>
    </row>
    <row r="1711" spans="1:2" hidden="1">
      <c r="A1711" s="36">
        <v>20141339517</v>
      </c>
      <c r="B1711" t="s">
        <v>490</v>
      </c>
    </row>
    <row r="1712" spans="1:2" hidden="1">
      <c r="A1712" s="36">
        <v>30535101902</v>
      </c>
      <c r="B1712" t="s">
        <v>492</v>
      </c>
    </row>
    <row r="1713" spans="1:2" hidden="1">
      <c r="A1713" s="36">
        <v>30500858628</v>
      </c>
      <c r="B1713" t="s">
        <v>93</v>
      </c>
    </row>
    <row r="1714" spans="1:2" hidden="1">
      <c r="A1714" s="36">
        <v>30522982225</v>
      </c>
      <c r="B1714" t="s">
        <v>494</v>
      </c>
    </row>
    <row r="1715" spans="1:2" hidden="1">
      <c r="A1715" s="36">
        <v>20295036460</v>
      </c>
      <c r="B1715" t="s">
        <v>495</v>
      </c>
    </row>
    <row r="1716" spans="1:2" hidden="1">
      <c r="A1716" s="36">
        <v>23120821539</v>
      </c>
      <c r="B1716" t="s">
        <v>496</v>
      </c>
    </row>
    <row r="1717" spans="1:2" hidden="1">
      <c r="A1717" s="36">
        <v>22993607</v>
      </c>
      <c r="B1717" t="s">
        <v>1312</v>
      </c>
    </row>
    <row r="1718" spans="1:2" hidden="1">
      <c r="A1718" s="36">
        <v>22993607</v>
      </c>
      <c r="B1718" t="s">
        <v>1312</v>
      </c>
    </row>
    <row r="1719" spans="1:2" hidden="1">
      <c r="A1719" s="36">
        <v>345698745</v>
      </c>
      <c r="B1719" t="s">
        <v>1275</v>
      </c>
    </row>
    <row r="1720" spans="1:2" hidden="1">
      <c r="A1720" s="36">
        <v>31920868</v>
      </c>
      <c r="B1720" t="s">
        <v>1275</v>
      </c>
    </row>
    <row r="1721" spans="1:2" hidden="1">
      <c r="A1721" s="36">
        <v>345698745</v>
      </c>
      <c r="B1721" t="s">
        <v>1275</v>
      </c>
    </row>
    <row r="1722" spans="1:2" hidden="1">
      <c r="A1722" s="36">
        <v>31920868</v>
      </c>
      <c r="B1722" t="s">
        <v>1275</v>
      </c>
    </row>
    <row r="1723" spans="1:2" hidden="1">
      <c r="A1723" s="36">
        <v>23127284369</v>
      </c>
      <c r="B1723" t="s">
        <v>1362</v>
      </c>
    </row>
    <row r="1724" spans="1:2" hidden="1">
      <c r="A1724" s="36">
        <v>23127284369</v>
      </c>
      <c r="B1724" t="s">
        <v>1362</v>
      </c>
    </row>
    <row r="1725" spans="1:2" hidden="1">
      <c r="A1725" s="36">
        <v>20076127264</v>
      </c>
      <c r="B1725" t="s">
        <v>498</v>
      </c>
    </row>
    <row r="1726" spans="1:2" hidden="1">
      <c r="A1726" s="36">
        <v>27131715183</v>
      </c>
      <c r="B1726" t="s">
        <v>499</v>
      </c>
    </row>
    <row r="1727" spans="1:2" hidden="1">
      <c r="A1727" s="36">
        <v>17466981</v>
      </c>
      <c r="B1727" t="s">
        <v>1344</v>
      </c>
    </row>
    <row r="1728" spans="1:2" hidden="1">
      <c r="A1728" s="36">
        <v>17466981</v>
      </c>
      <c r="B1728" t="s">
        <v>1344</v>
      </c>
    </row>
    <row r="1729" spans="1:2" hidden="1">
      <c r="A1729" s="36">
        <v>30715119443</v>
      </c>
      <c r="B1729" t="s">
        <v>1497</v>
      </c>
    </row>
    <row r="1730" spans="1:2" hidden="1">
      <c r="A1730" s="36">
        <v>20179018269</v>
      </c>
      <c r="B1730" t="s">
        <v>500</v>
      </c>
    </row>
    <row r="1731" spans="1:2" hidden="1">
      <c r="A1731" s="36">
        <v>20162452283</v>
      </c>
      <c r="B1731" t="s">
        <v>501</v>
      </c>
    </row>
    <row r="1732" spans="1:2" hidden="1">
      <c r="A1732" s="36">
        <v>42043394</v>
      </c>
      <c r="B1732" t="s">
        <v>1203</v>
      </c>
    </row>
    <row r="1733" spans="1:2" hidden="1">
      <c r="A1733" s="36">
        <v>42043394</v>
      </c>
      <c r="B1733" t="s">
        <v>1203</v>
      </c>
    </row>
    <row r="1734" spans="1:2" hidden="1">
      <c r="A1734" s="36">
        <v>42043394</v>
      </c>
      <c r="B1734" t="s">
        <v>1203</v>
      </c>
    </row>
    <row r="1735" spans="1:2" hidden="1">
      <c r="A1735" s="36">
        <v>42043394</v>
      </c>
      <c r="B1735" t="s">
        <v>1203</v>
      </c>
    </row>
    <row r="1736" spans="1:2" hidden="1">
      <c r="A1736" s="36">
        <v>42043394</v>
      </c>
      <c r="B1736" t="s">
        <v>1203</v>
      </c>
    </row>
    <row r="1737" spans="1:2" hidden="1">
      <c r="A1737" s="36">
        <v>42043394</v>
      </c>
      <c r="B1737" t="s">
        <v>1203</v>
      </c>
    </row>
    <row r="1738" spans="1:2" hidden="1">
      <c r="A1738" s="36">
        <v>42043394</v>
      </c>
      <c r="B1738" t="s">
        <v>1203</v>
      </c>
    </row>
    <row r="1739" spans="1:2" hidden="1">
      <c r="A1739" s="36">
        <v>42043394</v>
      </c>
      <c r="B1739" t="s">
        <v>1203</v>
      </c>
    </row>
    <row r="1740" spans="1:2" hidden="1">
      <c r="A1740" s="36">
        <v>42043394</v>
      </c>
      <c r="B1740" t="s">
        <v>1203</v>
      </c>
    </row>
    <row r="1741" spans="1:2" hidden="1">
      <c r="A1741" s="36">
        <v>42043394</v>
      </c>
      <c r="B1741" t="s">
        <v>1203</v>
      </c>
    </row>
    <row r="1742" spans="1:2" hidden="1">
      <c r="A1742" s="36">
        <v>42043394</v>
      </c>
      <c r="B1742" t="s">
        <v>1203</v>
      </c>
    </row>
    <row r="1743" spans="1:2" hidden="1">
      <c r="A1743" s="36">
        <v>42043394</v>
      </c>
      <c r="B1743" t="s">
        <v>1203</v>
      </c>
    </row>
    <row r="1744" spans="1:2" hidden="1">
      <c r="A1744" s="36">
        <v>42043394</v>
      </c>
      <c r="B1744" t="s">
        <v>1203</v>
      </c>
    </row>
    <row r="1745" spans="1:2" hidden="1">
      <c r="A1745" s="36">
        <v>42043394</v>
      </c>
      <c r="B1745" t="s">
        <v>1203</v>
      </c>
    </row>
    <row r="1746" spans="1:2" hidden="1">
      <c r="A1746" s="36">
        <v>20930200035</v>
      </c>
      <c r="B1746" t="s">
        <v>502</v>
      </c>
    </row>
    <row r="1747" spans="1:2" hidden="1">
      <c r="A1747" s="36">
        <v>20238449783</v>
      </c>
      <c r="B1747" t="s">
        <v>503</v>
      </c>
    </row>
    <row r="1748" spans="1:2" hidden="1">
      <c r="A1748" s="36">
        <v>30708608994</v>
      </c>
      <c r="B1748" t="s">
        <v>504</v>
      </c>
    </row>
    <row r="1749" spans="1:2" hidden="1">
      <c r="A1749" s="36">
        <v>30500786937</v>
      </c>
      <c r="B1749" t="s">
        <v>505</v>
      </c>
    </row>
    <row r="1750" spans="1:2" hidden="1">
      <c r="A1750" s="36">
        <v>30713713909</v>
      </c>
      <c r="B1750" t="s">
        <v>506</v>
      </c>
    </row>
    <row r="1751" spans="1:2" hidden="1">
      <c r="A1751" s="36">
        <v>33717119059</v>
      </c>
      <c r="B1751" t="s">
        <v>507</v>
      </c>
    </row>
    <row r="1752" spans="1:2" hidden="1">
      <c r="A1752" s="36">
        <v>30632563856</v>
      </c>
      <c r="B1752" t="s">
        <v>508</v>
      </c>
    </row>
    <row r="1753" spans="1:2" hidden="1">
      <c r="A1753" s="36">
        <v>30557676798</v>
      </c>
      <c r="B1753" t="s">
        <v>94</v>
      </c>
    </row>
    <row r="1754" spans="1:2" hidden="1">
      <c r="A1754" s="36">
        <v>30716413817</v>
      </c>
      <c r="B1754" t="s">
        <v>1490</v>
      </c>
    </row>
    <row r="1755" spans="1:2" hidden="1">
      <c r="A1755" s="36">
        <v>30707400591</v>
      </c>
      <c r="B1755" t="s">
        <v>509</v>
      </c>
    </row>
    <row r="1756" spans="1:2" hidden="1">
      <c r="A1756" s="36">
        <v>30711996547</v>
      </c>
      <c r="B1756" t="s">
        <v>510</v>
      </c>
    </row>
    <row r="1757" spans="1:2" hidden="1">
      <c r="A1757" s="36">
        <v>30715245090</v>
      </c>
      <c r="B1757" t="s">
        <v>511</v>
      </c>
    </row>
    <row r="1758" spans="1:2" hidden="1">
      <c r="A1758" s="36">
        <v>30715742221</v>
      </c>
      <c r="B1758" t="s">
        <v>512</v>
      </c>
    </row>
    <row r="1759" spans="1:2" hidden="1">
      <c r="A1759" s="36">
        <v>30715154400</v>
      </c>
      <c r="B1759" t="s">
        <v>513</v>
      </c>
    </row>
    <row r="1760" spans="1:2" hidden="1">
      <c r="A1760" s="36">
        <v>27062742564</v>
      </c>
      <c r="B1760" t="s">
        <v>514</v>
      </c>
    </row>
    <row r="1761" spans="1:2" hidden="1">
      <c r="A1761" s="36">
        <v>30573785742</v>
      </c>
      <c r="B1761" t="s">
        <v>515</v>
      </c>
    </row>
    <row r="1762" spans="1:2" hidden="1">
      <c r="A1762" s="36">
        <v>30716113937</v>
      </c>
      <c r="B1762" t="s">
        <v>516</v>
      </c>
    </row>
    <row r="1763" spans="1:2" hidden="1">
      <c r="A1763" s="36">
        <v>41737843</v>
      </c>
      <c r="B1763" t="s">
        <v>1345</v>
      </c>
    </row>
    <row r="1764" spans="1:2" hidden="1">
      <c r="A1764" s="36">
        <v>41737843</v>
      </c>
      <c r="B1764" t="s">
        <v>1345</v>
      </c>
    </row>
    <row r="1765" spans="1:2" hidden="1">
      <c r="A1765" s="36">
        <v>41737843</v>
      </c>
      <c r="B1765" t="s">
        <v>1345</v>
      </c>
    </row>
    <row r="1766" spans="1:2" hidden="1">
      <c r="A1766" s="36">
        <v>41737843</v>
      </c>
      <c r="B1766" t="s">
        <v>1345</v>
      </c>
    </row>
    <row r="1767" spans="1:2" hidden="1">
      <c r="A1767" s="36">
        <v>22046570</v>
      </c>
      <c r="B1767" t="s">
        <v>1346</v>
      </c>
    </row>
    <row r="1768" spans="1:2" hidden="1">
      <c r="A1768" s="36">
        <v>22046570</v>
      </c>
      <c r="B1768" t="s">
        <v>1346</v>
      </c>
    </row>
    <row r="1769" spans="1:2" hidden="1">
      <c r="A1769" s="36">
        <v>22046570</v>
      </c>
      <c r="B1769" t="s">
        <v>1346</v>
      </c>
    </row>
    <row r="1770" spans="1:2" hidden="1">
      <c r="A1770" s="36">
        <v>22046570</v>
      </c>
      <c r="B1770" t="s">
        <v>1346</v>
      </c>
    </row>
    <row r="1771" spans="1:2" hidden="1">
      <c r="A1771" s="36">
        <v>23182832324</v>
      </c>
      <c r="B1771" t="s">
        <v>517</v>
      </c>
    </row>
    <row r="1772" spans="1:2" hidden="1">
      <c r="A1772" s="36">
        <v>20226511874</v>
      </c>
      <c r="B1772" t="s">
        <v>518</v>
      </c>
    </row>
    <row r="1773" spans="1:2" hidden="1">
      <c r="A1773" s="36">
        <v>20205670247</v>
      </c>
      <c r="B1773" t="s">
        <v>1381</v>
      </c>
    </row>
    <row r="1774" spans="1:2" hidden="1">
      <c r="A1774" s="36">
        <v>20205670247</v>
      </c>
      <c r="B1774" t="s">
        <v>1381</v>
      </c>
    </row>
    <row r="1775" spans="1:2" hidden="1">
      <c r="A1775" s="36">
        <v>20241276458</v>
      </c>
      <c r="B1775" t="s">
        <v>522</v>
      </c>
    </row>
    <row r="1776" spans="1:2" hidden="1">
      <c r="A1776" s="36">
        <v>27209563113</v>
      </c>
      <c r="B1776" t="s">
        <v>523</v>
      </c>
    </row>
    <row r="1777" spans="1:2" hidden="1">
      <c r="A1777" s="36">
        <v>30714376523</v>
      </c>
      <c r="B1777" t="s">
        <v>524</v>
      </c>
    </row>
    <row r="1778" spans="1:2" hidden="1">
      <c r="A1778" s="36">
        <v>20310505650</v>
      </c>
      <c r="B1778" t="s">
        <v>526</v>
      </c>
    </row>
    <row r="1779" spans="1:2" hidden="1">
      <c r="A1779" s="36">
        <v>5944118</v>
      </c>
      <c r="B1779" t="s">
        <v>1200</v>
      </c>
    </row>
    <row r="1780" spans="1:2" hidden="1">
      <c r="A1780" s="36">
        <v>5944118</v>
      </c>
      <c r="B1780" t="s">
        <v>1200</v>
      </c>
    </row>
    <row r="1781" spans="1:2" hidden="1">
      <c r="A1781" s="36">
        <v>20220241212</v>
      </c>
      <c r="B1781" t="s">
        <v>529</v>
      </c>
    </row>
    <row r="1782" spans="1:2" hidden="1">
      <c r="A1782" s="36">
        <v>30711498504</v>
      </c>
      <c r="B1782" t="s">
        <v>530</v>
      </c>
    </row>
    <row r="1783" spans="1:2" hidden="1">
      <c r="A1783" s="36">
        <v>30707264957</v>
      </c>
      <c r="B1783" t="s">
        <v>531</v>
      </c>
    </row>
    <row r="1784" spans="1:2" hidden="1">
      <c r="A1784" s="36">
        <v>30660489181</v>
      </c>
      <c r="B1784" t="s">
        <v>532</v>
      </c>
    </row>
    <row r="1785" spans="1:2" hidden="1">
      <c r="A1785" s="36">
        <v>27259489976</v>
      </c>
      <c r="B1785" t="s">
        <v>533</v>
      </c>
    </row>
    <row r="1786" spans="1:2" hidden="1">
      <c r="A1786" s="36">
        <v>30710155336</v>
      </c>
      <c r="B1786" t="s">
        <v>534</v>
      </c>
    </row>
    <row r="1787" spans="1:2" hidden="1">
      <c r="A1787" s="36">
        <v>20334549152</v>
      </c>
      <c r="B1787" t="s">
        <v>536</v>
      </c>
    </row>
    <row r="1788" spans="1:2" hidden="1">
      <c r="A1788" s="36">
        <v>20145637415</v>
      </c>
      <c r="B1788" t="s">
        <v>539</v>
      </c>
    </row>
    <row r="1789" spans="1:2" hidden="1">
      <c r="A1789" s="36">
        <v>30714834300</v>
      </c>
      <c r="B1789" t="s">
        <v>540</v>
      </c>
    </row>
    <row r="1790" spans="1:2" hidden="1">
      <c r="A1790" s="36">
        <v>30709822116</v>
      </c>
      <c r="B1790" t="s">
        <v>541</v>
      </c>
    </row>
    <row r="1791" spans="1:2" hidden="1">
      <c r="A1791" s="36">
        <v>30714696838</v>
      </c>
      <c r="B1791" t="s">
        <v>542</v>
      </c>
    </row>
    <row r="1792" spans="1:2" hidden="1">
      <c r="A1792" s="36">
        <v>30710332467</v>
      </c>
      <c r="B1792" t="s">
        <v>543</v>
      </c>
    </row>
    <row r="1793" spans="1:2" hidden="1">
      <c r="A1793" s="36">
        <v>30707811540</v>
      </c>
      <c r="B1793" t="s">
        <v>544</v>
      </c>
    </row>
    <row r="1794" spans="1:2" hidden="1">
      <c r="A1794" s="36">
        <v>20381564224</v>
      </c>
      <c r="B1794" t="s">
        <v>1527</v>
      </c>
    </row>
    <row r="1795" spans="1:2" hidden="1">
      <c r="A1795" s="36">
        <v>20251270202</v>
      </c>
      <c r="B1795" t="s">
        <v>545</v>
      </c>
    </row>
    <row r="1796" spans="1:2" hidden="1">
      <c r="A1796" s="36">
        <v>20298653541</v>
      </c>
      <c r="B1796" t="s">
        <v>546</v>
      </c>
    </row>
    <row r="1797" spans="1:2" hidden="1">
      <c r="A1797" s="36">
        <v>30710731868</v>
      </c>
      <c r="B1797" t="s">
        <v>547</v>
      </c>
    </row>
    <row r="1798" spans="1:2" hidden="1">
      <c r="A1798" s="36">
        <v>20309026897</v>
      </c>
      <c r="B1798" t="s">
        <v>1372</v>
      </c>
    </row>
    <row r="1799" spans="1:2" hidden="1">
      <c r="A1799" s="36">
        <v>20309026897</v>
      </c>
      <c r="B1799" t="s">
        <v>1372</v>
      </c>
    </row>
    <row r="1800" spans="1:2" hidden="1">
      <c r="A1800" s="36">
        <v>20327697324</v>
      </c>
      <c r="B1800" t="s">
        <v>548</v>
      </c>
    </row>
    <row r="1801" spans="1:2" hidden="1">
      <c r="A1801" s="36">
        <v>30717535649</v>
      </c>
      <c r="B1801" t="s">
        <v>1127</v>
      </c>
    </row>
    <row r="1802" spans="1:2" hidden="1">
      <c r="A1802" s="36">
        <v>30717535649</v>
      </c>
      <c r="B1802" t="s">
        <v>1127</v>
      </c>
    </row>
    <row r="1803" spans="1:2" hidden="1">
      <c r="A1803" s="36">
        <v>30712215689</v>
      </c>
      <c r="B1803" t="s">
        <v>550</v>
      </c>
    </row>
    <row r="1804" spans="1:2" hidden="1">
      <c r="A1804" s="36">
        <v>30712215689</v>
      </c>
      <c r="B1804" t="s">
        <v>550</v>
      </c>
    </row>
    <row r="1805" spans="1:2" hidden="1">
      <c r="A1805" s="36">
        <v>30557807175</v>
      </c>
      <c r="B1805" t="s">
        <v>551</v>
      </c>
    </row>
    <row r="1806" spans="1:2" hidden="1">
      <c r="A1806" s="36">
        <v>33716080809</v>
      </c>
      <c r="B1806" t="s">
        <v>553</v>
      </c>
    </row>
    <row r="1807" spans="1:2" hidden="1">
      <c r="A1807" s="36">
        <v>23147243669</v>
      </c>
      <c r="B1807" t="s">
        <v>554</v>
      </c>
    </row>
    <row r="1808" spans="1:2" hidden="1">
      <c r="A1808" s="36">
        <v>30715891154</v>
      </c>
      <c r="B1808" t="s">
        <v>555</v>
      </c>
    </row>
    <row r="1809" spans="1:2" hidden="1">
      <c r="A1809" s="36">
        <v>30711180431</v>
      </c>
      <c r="B1809" t="s">
        <v>556</v>
      </c>
    </row>
    <row r="1810" spans="1:2" hidden="1">
      <c r="A1810" s="36">
        <v>30638389548</v>
      </c>
      <c r="B1810" t="s">
        <v>557</v>
      </c>
    </row>
    <row r="1811" spans="1:2" hidden="1">
      <c r="A1811" s="36">
        <v>30638389548</v>
      </c>
      <c r="B1811" t="s">
        <v>558</v>
      </c>
    </row>
    <row r="1812" spans="1:2" hidden="1">
      <c r="A1812" s="36">
        <v>30691617773</v>
      </c>
      <c r="B1812" t="s">
        <v>1382</v>
      </c>
    </row>
    <row r="1813" spans="1:2" hidden="1">
      <c r="A1813" s="36">
        <v>30691617773</v>
      </c>
      <c r="B1813" t="s">
        <v>1382</v>
      </c>
    </row>
    <row r="1814" spans="1:2" hidden="1">
      <c r="A1814" s="36">
        <v>30691617773</v>
      </c>
      <c r="B1814" t="s">
        <v>1166</v>
      </c>
    </row>
    <row r="1815" spans="1:2" hidden="1">
      <c r="A1815" s="36">
        <v>30691617773</v>
      </c>
      <c r="B1815" t="s">
        <v>1166</v>
      </c>
    </row>
    <row r="1816" spans="1:2" hidden="1">
      <c r="A1816" s="36">
        <v>30686222086</v>
      </c>
      <c r="B1816" t="s">
        <v>559</v>
      </c>
    </row>
    <row r="1817" spans="1:2" hidden="1">
      <c r="A1817" s="36">
        <v>30685437011</v>
      </c>
      <c r="B1817" t="s">
        <v>562</v>
      </c>
    </row>
    <row r="1818" spans="1:2" hidden="1">
      <c r="A1818" s="36">
        <v>30709318965</v>
      </c>
      <c r="B1818" t="s">
        <v>563</v>
      </c>
    </row>
    <row r="1819" spans="1:2" hidden="1">
      <c r="A1819" s="36">
        <v>30714113395</v>
      </c>
      <c r="B1819" t="s">
        <v>564</v>
      </c>
    </row>
    <row r="1820" spans="1:2" hidden="1">
      <c r="A1820" s="36">
        <v>30715263676</v>
      </c>
      <c r="B1820" t="s">
        <v>565</v>
      </c>
    </row>
    <row r="1821" spans="1:2" hidden="1">
      <c r="A1821" s="36">
        <v>30707846425</v>
      </c>
      <c r="B1821" t="s">
        <v>568</v>
      </c>
    </row>
    <row r="1822" spans="1:2" hidden="1">
      <c r="A1822" s="36">
        <v>30694573173</v>
      </c>
      <c r="B1822" t="s">
        <v>569</v>
      </c>
    </row>
    <row r="1823" spans="1:2" hidden="1">
      <c r="A1823" s="36">
        <v>30708073519</v>
      </c>
      <c r="B1823" t="s">
        <v>1481</v>
      </c>
    </row>
    <row r="1824" spans="1:2" hidden="1">
      <c r="A1824" s="36">
        <v>30695268137</v>
      </c>
      <c r="B1824" t="s">
        <v>570</v>
      </c>
    </row>
    <row r="1825" spans="1:2" hidden="1">
      <c r="A1825" s="36">
        <v>23068390</v>
      </c>
      <c r="B1825" t="s">
        <v>1349</v>
      </c>
    </row>
    <row r="1826" spans="1:2" hidden="1">
      <c r="A1826" s="36">
        <v>23068390</v>
      </c>
      <c r="B1826" t="s">
        <v>1349</v>
      </c>
    </row>
    <row r="1827" spans="1:2" hidden="1">
      <c r="A1827" s="36">
        <v>17681773</v>
      </c>
      <c r="B1827" t="s">
        <v>1348</v>
      </c>
    </row>
    <row r="1828" spans="1:2" hidden="1">
      <c r="A1828" s="36">
        <v>17681773</v>
      </c>
      <c r="B1828" t="s">
        <v>1348</v>
      </c>
    </row>
    <row r="1829" spans="1:2" hidden="1">
      <c r="A1829" s="36">
        <v>30500053522</v>
      </c>
      <c r="B1829" t="s">
        <v>572</v>
      </c>
    </row>
    <row r="1830" spans="1:2" hidden="1">
      <c r="A1830" s="36">
        <v>30658137642</v>
      </c>
      <c r="B1830" t="s">
        <v>573</v>
      </c>
    </row>
    <row r="1831" spans="1:2" hidden="1">
      <c r="A1831" s="36">
        <v>33600011869</v>
      </c>
      <c r="B1831" t="s">
        <v>574</v>
      </c>
    </row>
    <row r="1832" spans="1:2" hidden="1">
      <c r="A1832" s="36">
        <v>30609521941</v>
      </c>
      <c r="B1832" t="s">
        <v>575</v>
      </c>
    </row>
    <row r="1833" spans="1:2" hidden="1">
      <c r="A1833" s="36">
        <v>30590412631</v>
      </c>
      <c r="B1833" t="s">
        <v>576</v>
      </c>
    </row>
    <row r="1834" spans="1:2" hidden="1">
      <c r="A1834" s="36">
        <v>30707006702</v>
      </c>
      <c r="B1834" t="s">
        <v>577</v>
      </c>
    </row>
    <row r="1835" spans="1:2" hidden="1">
      <c r="A1835" s="36">
        <v>30714757012</v>
      </c>
      <c r="B1835" t="s">
        <v>578</v>
      </c>
    </row>
    <row r="1836" spans="1:2" hidden="1">
      <c r="A1836" s="36">
        <v>30585412453</v>
      </c>
      <c r="B1836" t="s">
        <v>579</v>
      </c>
    </row>
    <row r="1837" spans="1:2" hidden="1">
      <c r="A1837" s="36">
        <v>30546846217</v>
      </c>
      <c r="B1837" t="s">
        <v>580</v>
      </c>
    </row>
    <row r="1838" spans="1:2" hidden="1">
      <c r="A1838" s="36">
        <v>30701783065</v>
      </c>
      <c r="B1838" t="s">
        <v>581</v>
      </c>
    </row>
    <row r="1839" spans="1:2" hidden="1">
      <c r="A1839" s="36">
        <v>20177474844</v>
      </c>
      <c r="B1839" t="s">
        <v>583</v>
      </c>
    </row>
    <row r="1840" spans="1:2" hidden="1">
      <c r="A1840" s="36">
        <v>30715303236</v>
      </c>
      <c r="B1840" t="s">
        <v>1867</v>
      </c>
    </row>
    <row r="1841" spans="1:2" hidden="1">
      <c r="A1841" s="36">
        <v>20050717187</v>
      </c>
      <c r="B1841" t="s">
        <v>588</v>
      </c>
    </row>
    <row r="1842" spans="1:2" hidden="1">
      <c r="A1842" s="36">
        <v>30708436573</v>
      </c>
      <c r="B1842" t="s">
        <v>589</v>
      </c>
    </row>
    <row r="1843" spans="1:2" hidden="1">
      <c r="A1843" s="36">
        <v>30708436573</v>
      </c>
      <c r="B1843" t="s">
        <v>590</v>
      </c>
    </row>
    <row r="1844" spans="1:2" hidden="1">
      <c r="A1844" s="36">
        <v>27405786066</v>
      </c>
      <c r="B1844" t="s">
        <v>592</v>
      </c>
    </row>
    <row r="1845" spans="1:2" hidden="1">
      <c r="A1845" s="36">
        <v>3468287</v>
      </c>
      <c r="B1845" t="s">
        <v>1340</v>
      </c>
    </row>
    <row r="1846" spans="1:2" hidden="1">
      <c r="A1846" s="36">
        <v>3468287</v>
      </c>
      <c r="B1846" t="s">
        <v>1340</v>
      </c>
    </row>
    <row r="1847" spans="1:2" hidden="1">
      <c r="A1847" s="36">
        <v>21856835</v>
      </c>
      <c r="B1847" t="s">
        <v>1205</v>
      </c>
    </row>
    <row r="1848" spans="1:2" hidden="1">
      <c r="A1848" s="36">
        <v>21856835</v>
      </c>
      <c r="B1848" t="s">
        <v>1205</v>
      </c>
    </row>
    <row r="1849" spans="1:2" hidden="1">
      <c r="A1849" s="36">
        <v>21856835</v>
      </c>
      <c r="B1849" t="s">
        <v>1205</v>
      </c>
    </row>
    <row r="1850" spans="1:2" hidden="1">
      <c r="A1850" s="36">
        <v>21856835</v>
      </c>
      <c r="B1850" t="s">
        <v>1205</v>
      </c>
    </row>
    <row r="1851" spans="1:2" hidden="1">
      <c r="A1851" s="36">
        <v>20114990419</v>
      </c>
      <c r="B1851" t="s">
        <v>594</v>
      </c>
    </row>
    <row r="1852" spans="1:2" hidden="1">
      <c r="A1852" s="36">
        <v>30645310361</v>
      </c>
      <c r="B1852" t="s">
        <v>595</v>
      </c>
    </row>
    <row r="1853" spans="1:2" hidden="1">
      <c r="A1853" s="36">
        <v>30712341803</v>
      </c>
      <c r="B1853" t="s">
        <v>596</v>
      </c>
    </row>
    <row r="1854" spans="1:2" hidden="1">
      <c r="A1854" s="36">
        <v>30550245309</v>
      </c>
      <c r="B1854" t="s">
        <v>597</v>
      </c>
    </row>
    <row r="1855" spans="1:2" hidden="1">
      <c r="A1855" s="36">
        <v>30655042772</v>
      </c>
      <c r="B1855" t="s">
        <v>598</v>
      </c>
    </row>
    <row r="1856" spans="1:2" hidden="1">
      <c r="A1856" s="36">
        <v>30714830453</v>
      </c>
      <c r="B1856" t="s">
        <v>599</v>
      </c>
    </row>
    <row r="1857" spans="1:2" hidden="1">
      <c r="A1857" s="36">
        <v>30678774495</v>
      </c>
      <c r="B1857" t="s">
        <v>1391</v>
      </c>
    </row>
    <row r="1858" spans="1:2" hidden="1">
      <c r="A1858" s="36">
        <v>30678774495</v>
      </c>
      <c r="B1858" t="s">
        <v>1391</v>
      </c>
    </row>
    <row r="1859" spans="1:2" hidden="1">
      <c r="A1859" s="36">
        <v>30710681771</v>
      </c>
      <c r="B1859" t="s">
        <v>600</v>
      </c>
    </row>
    <row r="1860" spans="1:2" hidden="1">
      <c r="A1860" s="36">
        <v>30709497428</v>
      </c>
      <c r="B1860" t="s">
        <v>1547</v>
      </c>
    </row>
    <row r="1861" spans="1:2" hidden="1">
      <c r="A1861" s="36">
        <v>30688264711</v>
      </c>
      <c r="B1861" t="s">
        <v>604</v>
      </c>
    </row>
    <row r="1862" spans="1:2" hidden="1">
      <c r="A1862" s="36">
        <v>20238751560</v>
      </c>
      <c r="B1862" t="s">
        <v>605</v>
      </c>
    </row>
    <row r="1863" spans="1:2" hidden="1">
      <c r="A1863" s="36">
        <v>30701934195</v>
      </c>
      <c r="B1863" t="s">
        <v>609</v>
      </c>
    </row>
    <row r="1864" spans="1:2" hidden="1">
      <c r="A1864" s="36">
        <v>20083082136</v>
      </c>
      <c r="B1864" t="s">
        <v>610</v>
      </c>
    </row>
    <row r="1865" spans="1:2" hidden="1">
      <c r="A1865" s="36">
        <v>30711127646</v>
      </c>
      <c r="B1865" t="s">
        <v>611</v>
      </c>
    </row>
    <row r="1866" spans="1:2" hidden="1">
      <c r="A1866" s="36">
        <v>30518922897</v>
      </c>
      <c r="B1866" t="s">
        <v>612</v>
      </c>
    </row>
    <row r="1867" spans="1:2" hidden="1">
      <c r="A1867" s="36">
        <v>27106318900</v>
      </c>
      <c r="B1867" t="s">
        <v>613</v>
      </c>
    </row>
    <row r="1868" spans="1:2" hidden="1">
      <c r="A1868" s="36">
        <v>20222971676</v>
      </c>
      <c r="B1868" t="s">
        <v>614</v>
      </c>
    </row>
    <row r="1869" spans="1:2" hidden="1">
      <c r="A1869" s="36">
        <v>20178198050</v>
      </c>
      <c r="B1869" t="s">
        <v>615</v>
      </c>
    </row>
    <row r="1870" spans="1:2" hidden="1">
      <c r="A1870" s="36">
        <v>30600271004</v>
      </c>
      <c r="B1870" t="s">
        <v>616</v>
      </c>
    </row>
    <row r="1871" spans="1:2" hidden="1">
      <c r="A1871" s="36">
        <v>30709517976</v>
      </c>
      <c r="B1871" t="s">
        <v>619</v>
      </c>
    </row>
    <row r="1872" spans="1:2" hidden="1">
      <c r="A1872" s="36">
        <v>30715363255</v>
      </c>
      <c r="B1872" t="s">
        <v>620</v>
      </c>
    </row>
    <row r="1873" spans="1:2" hidden="1">
      <c r="A1873" s="36">
        <v>30709917516</v>
      </c>
      <c r="B1873" t="s">
        <v>621</v>
      </c>
    </row>
    <row r="1874" spans="1:2" hidden="1">
      <c r="A1874" s="36">
        <v>20266254084</v>
      </c>
      <c r="B1874" t="s">
        <v>622</v>
      </c>
    </row>
    <row r="1875" spans="1:2" hidden="1">
      <c r="A1875" s="36">
        <v>20233719618</v>
      </c>
      <c r="B1875" t="s">
        <v>623</v>
      </c>
    </row>
    <row r="1876" spans="1:2" hidden="1">
      <c r="A1876" s="36">
        <v>30715154192</v>
      </c>
      <c r="B1876" t="s">
        <v>624</v>
      </c>
    </row>
    <row r="1877" spans="1:2" hidden="1">
      <c r="A1877" s="36">
        <v>20181612410</v>
      </c>
      <c r="B1877" t="s">
        <v>1179</v>
      </c>
    </row>
    <row r="1878" spans="1:2" hidden="1">
      <c r="A1878" s="36">
        <v>20181612410</v>
      </c>
      <c r="B1878" t="s">
        <v>1179</v>
      </c>
    </row>
    <row r="1879" spans="1:2" hidden="1">
      <c r="A1879" s="36">
        <v>24928181428</v>
      </c>
      <c r="B1879" t="s">
        <v>625</v>
      </c>
    </row>
    <row r="1880" spans="1:2" hidden="1">
      <c r="A1880" s="36">
        <v>30707801987</v>
      </c>
      <c r="B1880" t="s">
        <v>626</v>
      </c>
    </row>
    <row r="1881" spans="1:2" hidden="1">
      <c r="A1881" s="36">
        <v>20205019775</v>
      </c>
      <c r="B1881" t="s">
        <v>627</v>
      </c>
    </row>
    <row r="1882" spans="1:2" hidden="1">
      <c r="A1882" s="36">
        <v>31316007</v>
      </c>
      <c r="B1882" t="s">
        <v>1218</v>
      </c>
    </row>
    <row r="1883" spans="1:2" hidden="1">
      <c r="A1883" s="36">
        <v>31316007</v>
      </c>
      <c r="B1883" t="s">
        <v>1218</v>
      </c>
    </row>
    <row r="1884" spans="1:2" hidden="1">
      <c r="A1884" s="36">
        <v>31316007</v>
      </c>
      <c r="B1884" t="s">
        <v>1218</v>
      </c>
    </row>
    <row r="1885" spans="1:2" hidden="1">
      <c r="A1885" s="36">
        <v>31316007</v>
      </c>
      <c r="B1885" t="s">
        <v>1218</v>
      </c>
    </row>
    <row r="1886" spans="1:2" hidden="1">
      <c r="A1886" s="36">
        <v>31316007</v>
      </c>
      <c r="B1886" t="s">
        <v>1218</v>
      </c>
    </row>
    <row r="1887" spans="1:2" hidden="1">
      <c r="A1887" s="36">
        <v>31316007</v>
      </c>
      <c r="B1887" t="s">
        <v>1218</v>
      </c>
    </row>
    <row r="1888" spans="1:2" hidden="1">
      <c r="A1888" s="36">
        <v>31316007</v>
      </c>
      <c r="B1888" t="s">
        <v>1218</v>
      </c>
    </row>
    <row r="1889" spans="1:2" hidden="1">
      <c r="A1889" s="36">
        <v>31316007</v>
      </c>
      <c r="B1889" t="s">
        <v>1218</v>
      </c>
    </row>
    <row r="1890" spans="1:2" hidden="1">
      <c r="A1890" s="36">
        <v>30658840785</v>
      </c>
      <c r="B1890" t="s">
        <v>630</v>
      </c>
    </row>
    <row r="1891" spans="1:2" hidden="1">
      <c r="A1891" s="36">
        <v>30696172877</v>
      </c>
      <c r="B1891" t="s">
        <v>632</v>
      </c>
    </row>
    <row r="1892" spans="1:2" hidden="1">
      <c r="A1892" s="36">
        <v>20137411815</v>
      </c>
      <c r="B1892" t="s">
        <v>633</v>
      </c>
    </row>
    <row r="1893" spans="1:2" hidden="1">
      <c r="A1893" s="36">
        <v>20137411815</v>
      </c>
      <c r="B1893" t="s">
        <v>633</v>
      </c>
    </row>
    <row r="1894" spans="1:2" hidden="1">
      <c r="A1894" s="36">
        <v>20935729662</v>
      </c>
      <c r="B1894" t="s">
        <v>634</v>
      </c>
    </row>
    <row r="1895" spans="1:2" hidden="1">
      <c r="A1895" s="36">
        <v>30687255492</v>
      </c>
      <c r="B1895" t="s">
        <v>636</v>
      </c>
    </row>
    <row r="1896" spans="1:2" hidden="1">
      <c r="A1896" s="36">
        <v>30716022354</v>
      </c>
      <c r="B1896" t="s">
        <v>639</v>
      </c>
    </row>
    <row r="1897" spans="1:2" hidden="1">
      <c r="A1897" s="36">
        <v>27066479531</v>
      </c>
      <c r="B1897" t="s">
        <v>640</v>
      </c>
    </row>
    <row r="1898" spans="1:2" hidden="1">
      <c r="A1898" s="36">
        <v>30954543</v>
      </c>
      <c r="B1898" t="s">
        <v>1193</v>
      </c>
    </row>
    <row r="1899" spans="1:2" hidden="1">
      <c r="A1899" s="36">
        <v>30954543</v>
      </c>
      <c r="B1899" t="s">
        <v>1193</v>
      </c>
    </row>
    <row r="1900" spans="1:2" hidden="1">
      <c r="A1900" s="36">
        <f>16218369</f>
        <v>16218369</v>
      </c>
      <c r="B1900" t="s">
        <v>641</v>
      </c>
    </row>
    <row r="1901" spans="1:2" hidden="1">
      <c r="A1901" s="36">
        <v>20128057499</v>
      </c>
      <c r="B1901" t="s">
        <v>1183</v>
      </c>
    </row>
    <row r="1902" spans="1:2" hidden="1">
      <c r="A1902" s="36">
        <v>20128057499</v>
      </c>
      <c r="B1902" t="s">
        <v>1183</v>
      </c>
    </row>
    <row r="1903" spans="1:2" hidden="1">
      <c r="A1903" s="36">
        <v>30717065286</v>
      </c>
      <c r="B1903" t="s">
        <v>1410</v>
      </c>
    </row>
    <row r="1904" spans="1:2" hidden="1">
      <c r="A1904" s="36">
        <v>30717065286</v>
      </c>
      <c r="B1904" t="s">
        <v>1410</v>
      </c>
    </row>
    <row r="1905" spans="1:2" hidden="1">
      <c r="A1905" s="36">
        <v>30712217487</v>
      </c>
      <c r="B1905" t="s">
        <v>642</v>
      </c>
    </row>
    <row r="1906" spans="1:2" hidden="1">
      <c r="A1906" s="36">
        <v>30707515232</v>
      </c>
      <c r="B1906" t="s">
        <v>643</v>
      </c>
    </row>
    <row r="1907" spans="1:2" hidden="1">
      <c r="A1907" s="36">
        <v>30715413678</v>
      </c>
      <c r="B1907" t="s">
        <v>644</v>
      </c>
    </row>
    <row r="1908" spans="1:2" hidden="1">
      <c r="A1908" s="36">
        <v>27127809521</v>
      </c>
      <c r="B1908" t="s">
        <v>645</v>
      </c>
    </row>
    <row r="1909" spans="1:2" hidden="1">
      <c r="A1909" s="36">
        <v>30714593095</v>
      </c>
      <c r="B1909" t="s">
        <v>646</v>
      </c>
    </row>
    <row r="1910" spans="1:2" hidden="1">
      <c r="A1910" s="36">
        <v>30708084944</v>
      </c>
      <c r="B1910" t="s">
        <v>647</v>
      </c>
    </row>
    <row r="1911" spans="1:2" hidden="1">
      <c r="A1911" s="36">
        <v>27231348420</v>
      </c>
      <c r="B1911" t="s">
        <v>648</v>
      </c>
    </row>
    <row r="1912" spans="1:2" hidden="1">
      <c r="A1912" s="36">
        <v>27231348420</v>
      </c>
      <c r="B1912" t="s">
        <v>648</v>
      </c>
    </row>
    <row r="1913" spans="1:2" hidden="1">
      <c r="A1913" s="36">
        <v>27231348420</v>
      </c>
      <c r="B1913" t="s">
        <v>648</v>
      </c>
    </row>
    <row r="1914" spans="1:2" hidden="1">
      <c r="A1914" s="36">
        <v>27231348420</v>
      </c>
      <c r="B1914" t="s">
        <v>648</v>
      </c>
    </row>
    <row r="1915" spans="1:2" hidden="1">
      <c r="A1915" s="36">
        <v>27231348420</v>
      </c>
      <c r="B1915" t="s">
        <v>648</v>
      </c>
    </row>
    <row r="1916" spans="1:2" hidden="1">
      <c r="A1916" s="36">
        <v>27106477871</v>
      </c>
      <c r="B1916" t="s">
        <v>649</v>
      </c>
    </row>
    <row r="1917" spans="1:2" hidden="1">
      <c r="A1917" s="36">
        <v>30716279843</v>
      </c>
      <c r="B1917" t="s">
        <v>650</v>
      </c>
    </row>
    <row r="1918" spans="1:2" hidden="1">
      <c r="A1918" s="36">
        <v>30717080269</v>
      </c>
      <c r="B1918" t="s">
        <v>651</v>
      </c>
    </row>
    <row r="1919" spans="1:2" hidden="1">
      <c r="A1919" s="36">
        <v>30715405187</v>
      </c>
      <c r="B1919" t="s">
        <v>652</v>
      </c>
    </row>
    <row r="1920" spans="1:2" hidden="1">
      <c r="A1920" s="36">
        <v>23866620</v>
      </c>
      <c r="B1920" t="s">
        <v>1301</v>
      </c>
    </row>
    <row r="1921" spans="1:2" hidden="1">
      <c r="A1921" s="36">
        <v>23866620</v>
      </c>
      <c r="B1921" t="s">
        <v>1301</v>
      </c>
    </row>
    <row r="1922" spans="1:2" hidden="1">
      <c r="A1922" s="36">
        <v>23866620</v>
      </c>
      <c r="B1922" t="s">
        <v>1301</v>
      </c>
    </row>
    <row r="1923" spans="1:2" hidden="1">
      <c r="A1923" s="36">
        <v>23866620</v>
      </c>
      <c r="B1923" t="s">
        <v>1301</v>
      </c>
    </row>
    <row r="1924" spans="1:2" hidden="1">
      <c r="A1924" s="36">
        <f>26198343</f>
        <v>26198343</v>
      </c>
      <c r="B1924" t="s">
        <v>653</v>
      </c>
    </row>
    <row r="1925" spans="1:2" hidden="1">
      <c r="A1925" s="36">
        <v>20182267164</v>
      </c>
      <c r="B1925" t="s">
        <v>654</v>
      </c>
    </row>
    <row r="1926" spans="1:2" hidden="1">
      <c r="A1926" s="36">
        <v>23131563779</v>
      </c>
      <c r="B1926" t="s">
        <v>655</v>
      </c>
    </row>
    <row r="1927" spans="1:2" hidden="1">
      <c r="A1927" s="36">
        <v>20929849907</v>
      </c>
      <c r="B1927" t="s">
        <v>656</v>
      </c>
    </row>
    <row r="1928" spans="1:2" hidden="1">
      <c r="A1928" s="36">
        <v>23144901819</v>
      </c>
      <c r="B1928" t="s">
        <v>657</v>
      </c>
    </row>
    <row r="1929" spans="1:2" hidden="1">
      <c r="A1929" s="36">
        <v>37582966</v>
      </c>
      <c r="B1929" t="s">
        <v>1323</v>
      </c>
    </row>
    <row r="1930" spans="1:2" hidden="1">
      <c r="A1930" s="36">
        <v>37582966</v>
      </c>
      <c r="B1930" t="s">
        <v>1323</v>
      </c>
    </row>
    <row r="1931" spans="1:2" hidden="1">
      <c r="A1931" s="36">
        <v>23085797</v>
      </c>
      <c r="B1931" t="s">
        <v>1329</v>
      </c>
    </row>
    <row r="1932" spans="1:2" hidden="1">
      <c r="A1932" s="36">
        <v>23085797</v>
      </c>
      <c r="B1932" t="s">
        <v>1329</v>
      </c>
    </row>
    <row r="1933" spans="1:2" hidden="1">
      <c r="A1933" s="36">
        <v>30957738</v>
      </c>
      <c r="B1933" t="s">
        <v>1209</v>
      </c>
    </row>
    <row r="1934" spans="1:2" hidden="1">
      <c r="A1934" s="36">
        <v>30957738</v>
      </c>
      <c r="B1934" t="s">
        <v>1209</v>
      </c>
    </row>
    <row r="1935" spans="1:2" hidden="1">
      <c r="A1935" s="36">
        <v>30957738</v>
      </c>
      <c r="B1935" t="s">
        <v>1209</v>
      </c>
    </row>
    <row r="1936" spans="1:2" hidden="1">
      <c r="A1936" s="36">
        <v>30957738</v>
      </c>
      <c r="B1936" t="s">
        <v>1209</v>
      </c>
    </row>
    <row r="1937" spans="1:2" hidden="1">
      <c r="A1937" s="36">
        <v>94658910</v>
      </c>
      <c r="B1937" t="s">
        <v>1202</v>
      </c>
    </row>
    <row r="1938" spans="1:2" hidden="1">
      <c r="A1938" s="36">
        <v>94658910</v>
      </c>
      <c r="B1938" t="s">
        <v>1202</v>
      </c>
    </row>
    <row r="1939" spans="1:2" hidden="1">
      <c r="A1939" s="36">
        <v>94658910</v>
      </c>
      <c r="B1939" t="s">
        <v>1202</v>
      </c>
    </row>
    <row r="1940" spans="1:2" hidden="1">
      <c r="A1940" s="36">
        <v>94658910</v>
      </c>
      <c r="B1940" t="s">
        <v>1202</v>
      </c>
    </row>
    <row r="1941" spans="1:2" hidden="1">
      <c r="A1941" s="36">
        <v>94658910</v>
      </c>
      <c r="B1941" t="s">
        <v>1202</v>
      </c>
    </row>
    <row r="1942" spans="1:2" hidden="1">
      <c r="A1942" s="36">
        <v>94658910</v>
      </c>
      <c r="B1942" t="s">
        <v>1202</v>
      </c>
    </row>
    <row r="1943" spans="1:2" hidden="1">
      <c r="A1943" s="36">
        <v>94658910</v>
      </c>
      <c r="B1943" t="s">
        <v>1202</v>
      </c>
    </row>
    <row r="1944" spans="1:2" hidden="1">
      <c r="A1944" s="36">
        <v>94658910</v>
      </c>
      <c r="B1944" t="s">
        <v>1202</v>
      </c>
    </row>
    <row r="1945" spans="1:2" hidden="1">
      <c r="A1945" s="36">
        <v>20126925272</v>
      </c>
      <c r="B1945" t="s">
        <v>658</v>
      </c>
    </row>
    <row r="1946" spans="1:2" hidden="1">
      <c r="A1946" s="36">
        <v>20243799296</v>
      </c>
      <c r="B1946" t="s">
        <v>659</v>
      </c>
    </row>
    <row r="1947" spans="1:2" hidden="1">
      <c r="A1947" s="36">
        <v>20120499174</v>
      </c>
      <c r="B1947" t="s">
        <v>660</v>
      </c>
    </row>
    <row r="1948" spans="1:2" hidden="1">
      <c r="A1948" s="36">
        <v>23284031709</v>
      </c>
      <c r="B1948" t="s">
        <v>662</v>
      </c>
    </row>
    <row r="1949" spans="1:2" hidden="1">
      <c r="A1949" s="36">
        <v>12493401</v>
      </c>
      <c r="B1949" t="s">
        <v>1327</v>
      </c>
    </row>
    <row r="1950" spans="1:2" hidden="1">
      <c r="A1950" s="36">
        <v>12493401</v>
      </c>
      <c r="B1950" t="s">
        <v>1327</v>
      </c>
    </row>
    <row r="1951" spans="1:2" hidden="1">
      <c r="A1951" s="36">
        <v>12493401</v>
      </c>
      <c r="B1951" t="s">
        <v>1294</v>
      </c>
    </row>
    <row r="1952" spans="1:2" hidden="1">
      <c r="A1952" s="36">
        <v>12493401</v>
      </c>
      <c r="B1952" t="s">
        <v>1294</v>
      </c>
    </row>
    <row r="1953" spans="1:2" hidden="1">
      <c r="A1953" s="36">
        <v>20100020751</v>
      </c>
      <c r="B1953" t="s">
        <v>663</v>
      </c>
    </row>
    <row r="1954" spans="1:2" hidden="1">
      <c r="A1954" s="36">
        <v>23304475609</v>
      </c>
      <c r="B1954" t="s">
        <v>664</v>
      </c>
    </row>
    <row r="1955" spans="1:2" hidden="1">
      <c r="A1955" s="36">
        <v>30714260290</v>
      </c>
      <c r="B1955" t="s">
        <v>666</v>
      </c>
    </row>
    <row r="1956" spans="1:2" hidden="1">
      <c r="A1956" s="36">
        <v>20257454615</v>
      </c>
      <c r="B1956" t="s">
        <v>667</v>
      </c>
    </row>
    <row r="1957" spans="1:2" hidden="1">
      <c r="A1957" s="36">
        <v>44209390</v>
      </c>
      <c r="B1957" t="s">
        <v>1308</v>
      </c>
    </row>
    <row r="1958" spans="1:2" hidden="1">
      <c r="A1958" s="36">
        <v>44209390</v>
      </c>
      <c r="B1958" t="s">
        <v>1308</v>
      </c>
    </row>
    <row r="1959" spans="1:2" hidden="1">
      <c r="A1959" s="36">
        <v>30710063164</v>
      </c>
      <c r="B1959" t="s">
        <v>668</v>
      </c>
    </row>
    <row r="1960" spans="1:2" hidden="1">
      <c r="A1960" s="36">
        <v>30510865363</v>
      </c>
      <c r="B1960" t="s">
        <v>669</v>
      </c>
    </row>
    <row r="1961" spans="1:2" hidden="1">
      <c r="A1961" s="36">
        <v>30709975427</v>
      </c>
      <c r="B1961" t="s">
        <v>670</v>
      </c>
    </row>
    <row r="1962" spans="1:2" hidden="1">
      <c r="A1962" s="36">
        <v>33714646899</v>
      </c>
      <c r="B1962" t="s">
        <v>671</v>
      </c>
    </row>
    <row r="1963" spans="1:2" hidden="1">
      <c r="A1963" s="36">
        <v>27137541314</v>
      </c>
      <c r="B1963" t="s">
        <v>672</v>
      </c>
    </row>
    <row r="1964" spans="1:2" hidden="1">
      <c r="A1964" s="36"/>
    </row>
    <row r="1965" spans="1:2" hidden="1">
      <c r="A1965" s="36"/>
    </row>
    <row r="1966" spans="1:2" hidden="1">
      <c r="A1966" s="36"/>
    </row>
    <row r="1967" spans="1:2" hidden="1">
      <c r="A1967" s="36"/>
    </row>
    <row r="1968" spans="1:2" hidden="1">
      <c r="A1968" s="36"/>
    </row>
    <row r="1969" spans="1:2" hidden="1">
      <c r="A1969" s="36"/>
    </row>
    <row r="1970" spans="1:2" hidden="1">
      <c r="A1970" s="36"/>
    </row>
    <row r="1971" spans="1:2" hidden="1">
      <c r="A1971" s="36"/>
    </row>
    <row r="1972" spans="1:2" hidden="1">
      <c r="A1972" s="36"/>
    </row>
    <row r="1973" spans="1:2" hidden="1">
      <c r="A1973" s="36"/>
    </row>
    <row r="1974" spans="1:2" hidden="1">
      <c r="A1974" s="36"/>
    </row>
    <row r="1975" spans="1:2" hidden="1">
      <c r="A1975" s="36">
        <v>30504744538</v>
      </c>
      <c r="B1975" t="s">
        <v>97</v>
      </c>
    </row>
    <row r="1976" spans="1:2" hidden="1">
      <c r="A1976" s="36">
        <v>30707950990</v>
      </c>
      <c r="B1976" t="s">
        <v>1504</v>
      </c>
    </row>
    <row r="1977" spans="1:2" hidden="1">
      <c r="A1977" s="36">
        <v>30717434710</v>
      </c>
      <c r="B1977" t="s">
        <v>1429</v>
      </c>
    </row>
    <row r="1978" spans="1:2" hidden="1">
      <c r="A1978" s="36">
        <v>30717434710</v>
      </c>
      <c r="B1978" t="s">
        <v>1429</v>
      </c>
    </row>
    <row r="1979" spans="1:2" hidden="1">
      <c r="A1979" s="36">
        <v>19015786</v>
      </c>
      <c r="B1979" t="s">
        <v>1317</v>
      </c>
    </row>
    <row r="1980" spans="1:2" hidden="1">
      <c r="A1980" s="36">
        <v>19015786</v>
      </c>
      <c r="B1980" t="s">
        <v>1317</v>
      </c>
    </row>
    <row r="1981" spans="1:2" hidden="1">
      <c r="A1981" s="36">
        <v>30707228098</v>
      </c>
      <c r="B1981" t="s">
        <v>675</v>
      </c>
    </row>
    <row r="1982" spans="1:2" hidden="1">
      <c r="A1982" s="36">
        <v>20170681844</v>
      </c>
      <c r="B1982" t="s">
        <v>676</v>
      </c>
    </row>
    <row r="1983" spans="1:2" hidden="1">
      <c r="A1983" s="36">
        <v>37018499</v>
      </c>
      <c r="B1983" t="s">
        <v>1283</v>
      </c>
    </row>
    <row r="1984" spans="1:2" hidden="1">
      <c r="A1984" s="36">
        <v>37018499</v>
      </c>
      <c r="B1984" t="s">
        <v>1283</v>
      </c>
    </row>
    <row r="1985" spans="1:2" hidden="1">
      <c r="A1985" s="36">
        <v>24589431</v>
      </c>
      <c r="B1985" t="s">
        <v>1198</v>
      </c>
    </row>
    <row r="1986" spans="1:2" hidden="1">
      <c r="A1986" s="36">
        <v>24589431</v>
      </c>
      <c r="B1986" t="s">
        <v>1198</v>
      </c>
    </row>
    <row r="1987" spans="1:2" hidden="1">
      <c r="A1987" s="36">
        <v>20325657988</v>
      </c>
      <c r="B1987" t="s">
        <v>677</v>
      </c>
    </row>
    <row r="1988" spans="1:2" hidden="1">
      <c r="A1988" s="36">
        <v>20242932413</v>
      </c>
      <c r="B1988" t="s">
        <v>678</v>
      </c>
    </row>
    <row r="1989" spans="1:2" hidden="1">
      <c r="A1989" s="36">
        <v>30712341714</v>
      </c>
      <c r="B1989" t="s">
        <v>679</v>
      </c>
    </row>
    <row r="1990" spans="1:2" hidden="1">
      <c r="A1990" s="36">
        <v>20222061947</v>
      </c>
      <c r="B1990" t="s">
        <v>682</v>
      </c>
    </row>
    <row r="1991" spans="1:2" hidden="1">
      <c r="A1991" s="36">
        <v>33715426779</v>
      </c>
      <c r="B1991" t="s">
        <v>683</v>
      </c>
    </row>
    <row r="1992" spans="1:2" hidden="1">
      <c r="A1992" s="36">
        <v>20236710026</v>
      </c>
      <c r="B1992" t="s">
        <v>684</v>
      </c>
    </row>
    <row r="1993" spans="1:2" hidden="1">
      <c r="A1993" s="36">
        <v>30699342129</v>
      </c>
      <c r="B1993" t="s">
        <v>1886</v>
      </c>
    </row>
    <row r="1994" spans="1:2" hidden="1">
      <c r="A1994" s="36"/>
    </row>
    <row r="1995" spans="1:2" hidden="1">
      <c r="A1995" s="36">
        <v>30555517757</v>
      </c>
      <c r="B1995" t="s">
        <v>686</v>
      </c>
    </row>
    <row r="1996" spans="1:2" hidden="1">
      <c r="A1996" s="36">
        <v>33643358749</v>
      </c>
      <c r="B1996" t="s">
        <v>1564</v>
      </c>
    </row>
    <row r="1997" spans="1:2" hidden="1">
      <c r="A1997" s="36">
        <v>20263156324</v>
      </c>
      <c r="B1997" t="s">
        <v>690</v>
      </c>
    </row>
    <row r="1998" spans="1:2" hidden="1">
      <c r="A1998" s="36">
        <v>5965253</v>
      </c>
      <c r="B1998" t="s">
        <v>1304</v>
      </c>
    </row>
    <row r="1999" spans="1:2" hidden="1">
      <c r="A1999" s="36">
        <v>5965253</v>
      </c>
      <c r="B1999" t="s">
        <v>1304</v>
      </c>
    </row>
    <row r="2000" spans="1:2" hidden="1">
      <c r="A2000" s="36">
        <v>27368065981</v>
      </c>
      <c r="B2000" t="s">
        <v>1483</v>
      </c>
    </row>
    <row r="2001" spans="1:2" hidden="1">
      <c r="A2001" s="36">
        <v>30717498980</v>
      </c>
      <c r="B2001" t="s">
        <v>691</v>
      </c>
    </row>
    <row r="2002" spans="1:2" hidden="1">
      <c r="A2002" s="36">
        <v>30711540853</v>
      </c>
      <c r="B2002" t="s">
        <v>692</v>
      </c>
    </row>
    <row r="2003" spans="1:2" hidden="1">
      <c r="A2003" s="36">
        <v>30714249416</v>
      </c>
      <c r="B2003" t="s">
        <v>693</v>
      </c>
    </row>
    <row r="2004" spans="1:2" hidden="1">
      <c r="A2004" s="36">
        <v>30709463612</v>
      </c>
      <c r="B2004" t="s">
        <v>696</v>
      </c>
    </row>
    <row r="2005" spans="1:2" hidden="1">
      <c r="A2005" s="36">
        <v>27203132722</v>
      </c>
      <c r="B2005" t="s">
        <v>697</v>
      </c>
    </row>
    <row r="2006" spans="1:2" hidden="1">
      <c r="A2006" s="36">
        <v>23250680</v>
      </c>
      <c r="B2006" t="s">
        <v>1265</v>
      </c>
    </row>
    <row r="2007" spans="1:2" hidden="1">
      <c r="A2007" s="36">
        <v>23250680</v>
      </c>
      <c r="B2007" t="s">
        <v>1265</v>
      </c>
    </row>
    <row r="2008" spans="1:2" hidden="1">
      <c r="A2008" s="36">
        <v>23250680</v>
      </c>
      <c r="B2008" t="s">
        <v>1265</v>
      </c>
    </row>
    <row r="2009" spans="1:2" hidden="1">
      <c r="A2009" s="36">
        <v>23250680</v>
      </c>
      <c r="B2009" t="s">
        <v>1265</v>
      </c>
    </row>
    <row r="2010" spans="1:2" hidden="1">
      <c r="A2010" s="36">
        <v>23250680</v>
      </c>
      <c r="B2010" t="s">
        <v>1265</v>
      </c>
    </row>
    <row r="2011" spans="1:2" hidden="1">
      <c r="A2011" s="36">
        <v>23250680</v>
      </c>
      <c r="B2011" t="s">
        <v>1265</v>
      </c>
    </row>
    <row r="2012" spans="1:2" hidden="1">
      <c r="A2012" s="36">
        <v>30708390468</v>
      </c>
      <c r="B2012" t="s">
        <v>698</v>
      </c>
    </row>
    <row r="2013" spans="1:2" hidden="1">
      <c r="A2013" s="36">
        <v>30619305848</v>
      </c>
      <c r="B2013" t="s">
        <v>699</v>
      </c>
    </row>
    <row r="2014" spans="1:2" hidden="1">
      <c r="A2014" s="36">
        <v>30583464138</v>
      </c>
      <c r="B2014" t="s">
        <v>700</v>
      </c>
    </row>
    <row r="2015" spans="1:2" hidden="1">
      <c r="A2015" s="36">
        <v>33086180</v>
      </c>
      <c r="B2015" t="s">
        <v>1199</v>
      </c>
    </row>
    <row r="2016" spans="1:2" hidden="1">
      <c r="A2016" s="36">
        <v>33086180</v>
      </c>
      <c r="B2016" t="s">
        <v>1199</v>
      </c>
    </row>
    <row r="2017" spans="1:2" hidden="1">
      <c r="A2017" s="36">
        <v>33086180</v>
      </c>
      <c r="B2017" t="s">
        <v>1199</v>
      </c>
    </row>
    <row r="2018" spans="1:2" hidden="1">
      <c r="A2018" s="36">
        <v>33086180</v>
      </c>
      <c r="B2018" t="s">
        <v>1199</v>
      </c>
    </row>
    <row r="2019" spans="1:2" hidden="1">
      <c r="A2019" s="36">
        <v>33086180</v>
      </c>
      <c r="B2019" t="s">
        <v>1199</v>
      </c>
    </row>
    <row r="2020" spans="1:2" hidden="1">
      <c r="A2020" s="36">
        <v>33086180</v>
      </c>
      <c r="B2020" t="s">
        <v>1199</v>
      </c>
    </row>
    <row r="2021" spans="1:2" hidden="1">
      <c r="A2021" s="36">
        <v>33086180</v>
      </c>
      <c r="B2021" t="s">
        <v>1199</v>
      </c>
    </row>
    <row r="2022" spans="1:2" hidden="1">
      <c r="A2022" s="36">
        <v>33086180</v>
      </c>
      <c r="B2022" t="s">
        <v>1199</v>
      </c>
    </row>
    <row r="2023" spans="1:2" hidden="1">
      <c r="A2023" s="36">
        <v>30711122911</v>
      </c>
      <c r="B2023" t="s">
        <v>701</v>
      </c>
    </row>
    <row r="2024" spans="1:2" hidden="1">
      <c r="A2024" s="36">
        <v>23230332169</v>
      </c>
      <c r="B2024" t="s">
        <v>702</v>
      </c>
    </row>
    <row r="2025" spans="1:2" hidden="1">
      <c r="A2025" s="36">
        <v>20339137111</v>
      </c>
      <c r="B2025" t="s">
        <v>703</v>
      </c>
    </row>
    <row r="2026" spans="1:2" hidden="1">
      <c r="A2026" s="36">
        <v>30550005987</v>
      </c>
      <c r="B2026" t="s">
        <v>704</v>
      </c>
    </row>
    <row r="2027" spans="1:2" hidden="1">
      <c r="A2027" s="36">
        <v>27128309174</v>
      </c>
      <c r="B2027" t="s">
        <v>706</v>
      </c>
    </row>
    <row r="2028" spans="1:2" hidden="1">
      <c r="A2028" s="36">
        <v>30707970010</v>
      </c>
      <c r="B2028" t="s">
        <v>707</v>
      </c>
    </row>
    <row r="2029" spans="1:2" hidden="1">
      <c r="A2029" s="36">
        <v>30520079129</v>
      </c>
      <c r="B2029" t="s">
        <v>708</v>
      </c>
    </row>
    <row r="2030" spans="1:2" hidden="1">
      <c r="A2030" s="36">
        <v>30520079129</v>
      </c>
      <c r="B2030" t="s">
        <v>709</v>
      </c>
    </row>
    <row r="2031" spans="1:2" hidden="1">
      <c r="A2031" s="36">
        <v>30677866868</v>
      </c>
      <c r="B2031" t="s">
        <v>710</v>
      </c>
    </row>
    <row r="2032" spans="1:2" hidden="1">
      <c r="A2032" s="36">
        <v>30715853465</v>
      </c>
      <c r="B2032" t="s">
        <v>711</v>
      </c>
    </row>
    <row r="2033" spans="1:2" hidden="1">
      <c r="A2033" s="36">
        <v>30710576137</v>
      </c>
      <c r="B2033" t="s">
        <v>712</v>
      </c>
    </row>
    <row r="2034" spans="1:2" hidden="1">
      <c r="A2034" s="36">
        <v>30711989680</v>
      </c>
      <c r="B2034" t="s">
        <v>713</v>
      </c>
    </row>
    <row r="2035" spans="1:2" hidden="1">
      <c r="A2035" s="36">
        <v>33714326029</v>
      </c>
      <c r="B2035" t="s">
        <v>714</v>
      </c>
    </row>
    <row r="2036" spans="1:2" hidden="1">
      <c r="A2036" s="36">
        <v>30605215412</v>
      </c>
      <c r="B2036" t="s">
        <v>715</v>
      </c>
    </row>
    <row r="2037" spans="1:2" hidden="1">
      <c r="A2037" s="36">
        <v>30710207190</v>
      </c>
      <c r="B2037" t="s">
        <v>716</v>
      </c>
    </row>
    <row r="2038" spans="1:2" hidden="1">
      <c r="A2038" s="36">
        <v>30660432961</v>
      </c>
      <c r="B2038" t="s">
        <v>717</v>
      </c>
    </row>
    <row r="2039" spans="1:2" hidden="1">
      <c r="A2039" s="36">
        <v>30715155334</v>
      </c>
      <c r="B2039" t="s">
        <v>1386</v>
      </c>
    </row>
    <row r="2040" spans="1:2" hidden="1">
      <c r="A2040" s="36">
        <v>30715155334</v>
      </c>
      <c r="B2040" t="s">
        <v>1386</v>
      </c>
    </row>
    <row r="2041" spans="1:2" hidden="1">
      <c r="A2041" s="36">
        <v>30715155334</v>
      </c>
      <c r="B2041" t="s">
        <v>1386</v>
      </c>
    </row>
    <row r="2042" spans="1:2" hidden="1">
      <c r="A2042" s="36">
        <v>30715155334</v>
      </c>
      <c r="B2042" t="s">
        <v>1386</v>
      </c>
    </row>
    <row r="2043" spans="1:2" hidden="1">
      <c r="A2043" s="36">
        <v>30644602687</v>
      </c>
      <c r="B2043" t="s">
        <v>718</v>
      </c>
    </row>
    <row r="2044" spans="1:2" hidden="1">
      <c r="A2044" s="36">
        <v>20277651441</v>
      </c>
      <c r="B2044" t="s">
        <v>719</v>
      </c>
    </row>
    <row r="2045" spans="1:2" hidden="1">
      <c r="A2045" s="36">
        <v>23202815669</v>
      </c>
      <c r="B2045" t="s">
        <v>721</v>
      </c>
    </row>
    <row r="2046" spans="1:2" hidden="1">
      <c r="A2046" s="36">
        <v>20046224931</v>
      </c>
      <c r="B2046" t="s">
        <v>722</v>
      </c>
    </row>
    <row r="2047" spans="1:2" hidden="1">
      <c r="A2047" s="36">
        <v>30715380761</v>
      </c>
      <c r="B2047" t="s">
        <v>723</v>
      </c>
    </row>
    <row r="2048" spans="1:2" hidden="1">
      <c r="A2048" s="36">
        <v>30714861839</v>
      </c>
      <c r="B2048" t="s">
        <v>724</v>
      </c>
    </row>
    <row r="2049" spans="1:2" hidden="1">
      <c r="A2049" s="36">
        <v>30712121102</v>
      </c>
      <c r="B2049" t="s">
        <v>726</v>
      </c>
    </row>
    <row r="2050" spans="1:2" hidden="1">
      <c r="A2050" s="36">
        <v>30717398196</v>
      </c>
      <c r="B2050" t="s">
        <v>1453</v>
      </c>
    </row>
    <row r="2051" spans="1:2" hidden="1">
      <c r="A2051" s="36">
        <v>30717398196</v>
      </c>
      <c r="B2051" t="s">
        <v>1453</v>
      </c>
    </row>
    <row r="2052" spans="1:2" hidden="1">
      <c r="A2052" s="36">
        <v>30568731936</v>
      </c>
      <c r="B2052" t="s">
        <v>728</v>
      </c>
    </row>
    <row r="2053" spans="1:2" hidden="1">
      <c r="A2053" s="36">
        <v>20334579019</v>
      </c>
      <c r="B2053" t="s">
        <v>1128</v>
      </c>
    </row>
    <row r="2054" spans="1:2" hidden="1">
      <c r="A2054" s="36">
        <v>20334579019</v>
      </c>
      <c r="B2054" t="s">
        <v>1128</v>
      </c>
    </row>
    <row r="2055" spans="1:2" hidden="1">
      <c r="A2055" s="36">
        <v>20388902877</v>
      </c>
      <c r="B2055" t="s">
        <v>730</v>
      </c>
    </row>
    <row r="2056" spans="1:2" hidden="1">
      <c r="A2056" s="36">
        <v>30716237997</v>
      </c>
      <c r="B2056" t="s">
        <v>731</v>
      </c>
    </row>
    <row r="2057" spans="1:2" hidden="1">
      <c r="A2057" s="36">
        <v>30611843565</v>
      </c>
      <c r="B2057" t="s">
        <v>732</v>
      </c>
    </row>
    <row r="2058" spans="1:2" hidden="1">
      <c r="A2058" s="36">
        <f>12892105</f>
        <v>12892105</v>
      </c>
      <c r="B2058" t="s">
        <v>733</v>
      </c>
    </row>
    <row r="2059" spans="1:2" hidden="1">
      <c r="A2059" s="36">
        <v>27137856870</v>
      </c>
      <c r="B2059" t="s">
        <v>734</v>
      </c>
    </row>
    <row r="2060" spans="1:2" hidden="1">
      <c r="A2060" s="36">
        <v>27233748205</v>
      </c>
      <c r="B2060" t="s">
        <v>735</v>
      </c>
    </row>
    <row r="2061" spans="1:2" hidden="1">
      <c r="A2061" s="36">
        <v>5143707</v>
      </c>
      <c r="B2061" t="s">
        <v>1320</v>
      </c>
    </row>
    <row r="2062" spans="1:2" hidden="1">
      <c r="A2062" s="36">
        <v>5143707</v>
      </c>
      <c r="B2062" t="s">
        <v>1320</v>
      </c>
    </row>
    <row r="2063" spans="1:2" hidden="1">
      <c r="A2063" s="36">
        <v>5143707</v>
      </c>
      <c r="B2063" t="s">
        <v>1320</v>
      </c>
    </row>
    <row r="2064" spans="1:2" hidden="1">
      <c r="A2064" s="36">
        <v>5143707</v>
      </c>
      <c r="B2064" t="s">
        <v>1320</v>
      </c>
    </row>
    <row r="2065" spans="1:2" hidden="1">
      <c r="A2065" s="36">
        <v>27135427069</v>
      </c>
      <c r="B2065" t="s">
        <v>737</v>
      </c>
    </row>
    <row r="2066" spans="1:2" hidden="1">
      <c r="A2066" s="36">
        <v>20045434207</v>
      </c>
      <c r="B2066" t="s">
        <v>738</v>
      </c>
    </row>
    <row r="2067" spans="1:2" hidden="1">
      <c r="A2067" s="36">
        <v>27333102035</v>
      </c>
      <c r="B2067" t="s">
        <v>1480</v>
      </c>
    </row>
    <row r="2068" spans="1:2" hidden="1">
      <c r="A2068" s="36">
        <v>27179366741</v>
      </c>
      <c r="B2068" t="s">
        <v>740</v>
      </c>
    </row>
    <row r="2069" spans="1:2" hidden="1">
      <c r="A2069" s="36">
        <v>60433055</v>
      </c>
      <c r="B2069" t="s">
        <v>1263</v>
      </c>
    </row>
    <row r="2070" spans="1:2" hidden="1">
      <c r="A2070" s="36">
        <v>60433055</v>
      </c>
      <c r="B2070" t="s">
        <v>1263</v>
      </c>
    </row>
    <row r="2071" spans="1:2" hidden="1">
      <c r="A2071" s="36">
        <v>23180421564</v>
      </c>
      <c r="B2071" t="s">
        <v>1474</v>
      </c>
    </row>
    <row r="2072" spans="1:2" hidden="1">
      <c r="A2072" s="36">
        <v>20304029561</v>
      </c>
      <c r="B2072" t="s">
        <v>743</v>
      </c>
    </row>
    <row r="2073" spans="1:2" hidden="1">
      <c r="A2073" s="36">
        <v>20043154835</v>
      </c>
      <c r="B2073" t="s">
        <v>745</v>
      </c>
    </row>
    <row r="2074" spans="1:2" hidden="1">
      <c r="A2074" s="36">
        <v>30716184826</v>
      </c>
      <c r="B2074" t="s">
        <v>747</v>
      </c>
    </row>
    <row r="2075" spans="1:2" hidden="1">
      <c r="A2075" s="36">
        <v>33711399149</v>
      </c>
      <c r="B2075" t="s">
        <v>749</v>
      </c>
    </row>
    <row r="2076" spans="1:2" hidden="1">
      <c r="A2076" s="36">
        <v>30547604888</v>
      </c>
      <c r="B2076" t="s">
        <v>750</v>
      </c>
    </row>
    <row r="2077" spans="1:2" hidden="1">
      <c r="A2077" s="36">
        <v>20085119614</v>
      </c>
      <c r="B2077" t="s">
        <v>753</v>
      </c>
    </row>
    <row r="2078" spans="1:2" hidden="1">
      <c r="A2078" s="36"/>
    </row>
    <row r="2079" spans="1:2" hidden="1">
      <c r="A2079" s="36">
        <v>20284621434</v>
      </c>
      <c r="B2079" t="s">
        <v>757</v>
      </c>
    </row>
    <row r="2080" spans="1:2" hidden="1">
      <c r="A2080" s="36">
        <v>30714719773</v>
      </c>
      <c r="B2080" t="s">
        <v>758</v>
      </c>
    </row>
    <row r="2081" spans="1:2" hidden="1">
      <c r="A2081" s="36">
        <v>30501136510</v>
      </c>
      <c r="B2081" t="s">
        <v>759</v>
      </c>
    </row>
    <row r="2082" spans="1:2" hidden="1">
      <c r="A2082" s="36">
        <v>20134074958</v>
      </c>
      <c r="B2082" t="s">
        <v>760</v>
      </c>
    </row>
    <row r="2083" spans="1:2" hidden="1">
      <c r="A2083" s="36">
        <v>30711784833</v>
      </c>
      <c r="B2083" t="s">
        <v>761</v>
      </c>
    </row>
    <row r="2084" spans="1:2" hidden="1">
      <c r="A2084" s="36">
        <v>20217488738</v>
      </c>
      <c r="B2084" t="s">
        <v>762</v>
      </c>
    </row>
    <row r="2085" spans="1:2" hidden="1">
      <c r="A2085" s="36">
        <v>30716303442</v>
      </c>
      <c r="B2085" t="s">
        <v>1528</v>
      </c>
    </row>
    <row r="2086" spans="1:2" hidden="1">
      <c r="A2086" s="36">
        <v>30559806052</v>
      </c>
      <c r="B2086" t="s">
        <v>763</v>
      </c>
    </row>
    <row r="2087" spans="1:2" hidden="1">
      <c r="A2087" s="36">
        <v>30716150891</v>
      </c>
      <c r="B2087" t="s">
        <v>764</v>
      </c>
    </row>
    <row r="2088" spans="1:2" hidden="1">
      <c r="A2088" s="36">
        <v>30716091879</v>
      </c>
      <c r="B2088" t="s">
        <v>765</v>
      </c>
    </row>
    <row r="2089" spans="1:2" hidden="1">
      <c r="A2089" s="36">
        <v>30525966859</v>
      </c>
      <c r="B2089" t="s">
        <v>768</v>
      </c>
    </row>
    <row r="2090" spans="1:2" hidden="1">
      <c r="A2090" s="36">
        <v>20210807889</v>
      </c>
      <c r="B2090" t="s">
        <v>769</v>
      </c>
    </row>
    <row r="2091" spans="1:2" hidden="1">
      <c r="A2091" s="36">
        <v>30714596574</v>
      </c>
      <c r="B2091" t="s">
        <v>770</v>
      </c>
    </row>
    <row r="2092" spans="1:2" hidden="1">
      <c r="A2092" s="36">
        <v>20925629708</v>
      </c>
      <c r="B2092" t="s">
        <v>771</v>
      </c>
    </row>
    <row r="2093" spans="1:2" hidden="1">
      <c r="A2093" s="36">
        <v>30714642762</v>
      </c>
      <c r="B2093" t="s">
        <v>772</v>
      </c>
    </row>
    <row r="2094" spans="1:2" hidden="1">
      <c r="A2094" s="36">
        <v>30608642869</v>
      </c>
      <c r="B2094" t="s">
        <v>773</v>
      </c>
    </row>
    <row r="2095" spans="1:2" hidden="1">
      <c r="A2095" s="36">
        <v>23148974314</v>
      </c>
      <c r="B2095" t="s">
        <v>1450</v>
      </c>
    </row>
    <row r="2096" spans="1:2" hidden="1">
      <c r="A2096" s="36">
        <v>23148974314</v>
      </c>
      <c r="B2096" t="s">
        <v>1450</v>
      </c>
    </row>
    <row r="2097" spans="1:2" hidden="1">
      <c r="A2097" s="36">
        <v>27182686641</v>
      </c>
      <c r="B2097" t="s">
        <v>1561</v>
      </c>
    </row>
    <row r="2098" spans="1:2" hidden="1">
      <c r="A2098" s="36">
        <v>20321198946</v>
      </c>
      <c r="B2098" t="s">
        <v>774</v>
      </c>
    </row>
    <row r="2099" spans="1:2" hidden="1">
      <c r="A2099" s="36">
        <v>20180600710</v>
      </c>
      <c r="B2099" t="s">
        <v>775</v>
      </c>
    </row>
    <row r="2100" spans="1:2" hidden="1">
      <c r="A2100" s="36">
        <v>30710884281</v>
      </c>
      <c r="B2100" t="s">
        <v>777</v>
      </c>
    </row>
    <row r="2101" spans="1:2" hidden="1">
      <c r="A2101" s="36">
        <v>30710575203</v>
      </c>
      <c r="B2101" t="s">
        <v>778</v>
      </c>
    </row>
    <row r="2102" spans="1:2" hidden="1">
      <c r="A2102" s="36">
        <v>30715582593</v>
      </c>
      <c r="B2102" t="s">
        <v>780</v>
      </c>
    </row>
    <row r="2103" spans="1:2" hidden="1">
      <c r="A2103" s="36">
        <v>30716620995</v>
      </c>
      <c r="B2103" t="s">
        <v>781</v>
      </c>
    </row>
    <row r="2104" spans="1:2" hidden="1">
      <c r="A2104" s="36">
        <v>30709497789</v>
      </c>
      <c r="B2104" t="s">
        <v>782</v>
      </c>
    </row>
    <row r="2105" spans="1:2" hidden="1">
      <c r="A2105" s="36">
        <v>35329458</v>
      </c>
      <c r="B2105" t="s">
        <v>1201</v>
      </c>
    </row>
    <row r="2106" spans="1:2" hidden="1">
      <c r="A2106" s="36">
        <v>35458965</v>
      </c>
      <c r="B2106" t="s">
        <v>1201</v>
      </c>
    </row>
    <row r="2107" spans="1:2" hidden="1">
      <c r="A2107" s="36">
        <v>35329458</v>
      </c>
      <c r="B2107" t="s">
        <v>1201</v>
      </c>
    </row>
    <row r="2108" spans="1:2" hidden="1">
      <c r="A2108" s="36">
        <v>35458965</v>
      </c>
      <c r="B2108" t="s">
        <v>1201</v>
      </c>
    </row>
    <row r="2109" spans="1:2" hidden="1">
      <c r="A2109" s="36">
        <v>30714732540</v>
      </c>
      <c r="B2109" t="s">
        <v>785</v>
      </c>
    </row>
    <row r="2110" spans="1:2" hidden="1">
      <c r="A2110" s="36"/>
    </row>
    <row r="2111" spans="1:2" hidden="1">
      <c r="A2111" s="36">
        <v>30921865</v>
      </c>
      <c r="B2111" t="s">
        <v>1227</v>
      </c>
    </row>
    <row r="2112" spans="1:2" hidden="1">
      <c r="A2112" s="36">
        <v>30921865</v>
      </c>
      <c r="B2112" t="s">
        <v>1227</v>
      </c>
    </row>
    <row r="2113" spans="1:2" hidden="1">
      <c r="A2113" s="36">
        <v>30921865</v>
      </c>
      <c r="B2113" t="s">
        <v>1227</v>
      </c>
    </row>
    <row r="2114" spans="1:2" hidden="1">
      <c r="A2114" s="36">
        <v>30921865</v>
      </c>
      <c r="B2114" t="s">
        <v>1227</v>
      </c>
    </row>
    <row r="2115" spans="1:2" hidden="1">
      <c r="A2115" s="36">
        <v>30921865</v>
      </c>
      <c r="B2115" t="s">
        <v>1227</v>
      </c>
    </row>
    <row r="2116" spans="1:2" hidden="1">
      <c r="A2116" s="36">
        <v>30921865</v>
      </c>
      <c r="B2116" t="s">
        <v>1227</v>
      </c>
    </row>
    <row r="2117" spans="1:2" hidden="1">
      <c r="A2117" s="36">
        <v>30921865</v>
      </c>
      <c r="B2117" t="s">
        <v>1227</v>
      </c>
    </row>
    <row r="2118" spans="1:2" hidden="1">
      <c r="A2118" s="36">
        <v>30921865</v>
      </c>
      <c r="B2118" t="s">
        <v>1227</v>
      </c>
    </row>
    <row r="2119" spans="1:2" hidden="1">
      <c r="A2119" s="36">
        <v>30921865</v>
      </c>
      <c r="B2119" t="s">
        <v>1227</v>
      </c>
    </row>
    <row r="2120" spans="1:2" hidden="1">
      <c r="A2120" s="36">
        <v>30921865</v>
      </c>
      <c r="B2120" t="s">
        <v>1227</v>
      </c>
    </row>
    <row r="2121" spans="1:2" hidden="1">
      <c r="A2121" s="36">
        <v>20049749814</v>
      </c>
      <c r="B2121" t="s">
        <v>788</v>
      </c>
    </row>
    <row r="2122" spans="1:2" hidden="1">
      <c r="A2122" s="36">
        <v>30687162680</v>
      </c>
      <c r="B2122" t="s">
        <v>790</v>
      </c>
    </row>
    <row r="2123" spans="1:2" hidden="1">
      <c r="A2123" s="36">
        <v>20254732363</v>
      </c>
      <c r="B2123" t="s">
        <v>793</v>
      </c>
    </row>
    <row r="2124" spans="1:2" hidden="1">
      <c r="A2124" s="36">
        <v>35942192</v>
      </c>
      <c r="B2124" t="s">
        <v>1226</v>
      </c>
    </row>
    <row r="2125" spans="1:2" hidden="1">
      <c r="A2125" s="36">
        <v>35942192</v>
      </c>
      <c r="B2125" t="s">
        <v>1226</v>
      </c>
    </row>
    <row r="2126" spans="1:2" hidden="1">
      <c r="A2126" s="36">
        <v>35942192</v>
      </c>
      <c r="B2126" t="s">
        <v>1226</v>
      </c>
    </row>
    <row r="2127" spans="1:2" hidden="1">
      <c r="A2127" s="36">
        <v>35942192</v>
      </c>
      <c r="B2127" t="s">
        <v>1226</v>
      </c>
    </row>
    <row r="2128" spans="1:2" hidden="1">
      <c r="A2128" s="36">
        <v>35942192</v>
      </c>
      <c r="B2128" t="s">
        <v>1226</v>
      </c>
    </row>
    <row r="2129" spans="1:2" hidden="1">
      <c r="A2129" s="36">
        <v>35942192</v>
      </c>
      <c r="B2129" t="s">
        <v>1226</v>
      </c>
    </row>
    <row r="2130" spans="1:2" hidden="1">
      <c r="A2130" s="36">
        <f>35942192</f>
        <v>35942192</v>
      </c>
      <c r="B2130" t="s">
        <v>1226</v>
      </c>
    </row>
    <row r="2131" spans="1:2" hidden="1">
      <c r="A2131" s="36">
        <v>35942192</v>
      </c>
      <c r="B2131" t="s">
        <v>1226</v>
      </c>
    </row>
    <row r="2132" spans="1:2" hidden="1">
      <c r="A2132" s="36">
        <v>35942192</v>
      </c>
      <c r="B2132" t="s">
        <v>1226</v>
      </c>
    </row>
    <row r="2133" spans="1:2" hidden="1">
      <c r="A2133" s="36">
        <v>35942192</v>
      </c>
      <c r="B2133" t="s">
        <v>1226</v>
      </c>
    </row>
    <row r="2134" spans="1:2" hidden="1">
      <c r="A2134" s="36">
        <v>35942192</v>
      </c>
      <c r="B2134" t="s">
        <v>1226</v>
      </c>
    </row>
    <row r="2135" spans="1:2" hidden="1">
      <c r="A2135" s="36">
        <v>35942192</v>
      </c>
      <c r="B2135" t="s">
        <v>1226</v>
      </c>
    </row>
    <row r="2136" spans="1:2" hidden="1">
      <c r="A2136" s="36">
        <v>35942192</v>
      </c>
      <c r="B2136" t="s">
        <v>1226</v>
      </c>
    </row>
    <row r="2137" spans="1:2" hidden="1">
      <c r="A2137" s="36">
        <f>35942192</f>
        <v>35942192</v>
      </c>
      <c r="B2137" t="s">
        <v>1226</v>
      </c>
    </row>
    <row r="2138" spans="1:2" hidden="1">
      <c r="A2138" s="36">
        <v>12824335</v>
      </c>
      <c r="B2138" t="s">
        <v>1238</v>
      </c>
    </row>
    <row r="2139" spans="1:2" hidden="1">
      <c r="A2139" s="36">
        <v>12824335</v>
      </c>
      <c r="B2139" t="s">
        <v>1238</v>
      </c>
    </row>
    <row r="2140" spans="1:2" hidden="1">
      <c r="A2140" s="36">
        <v>27161298285</v>
      </c>
      <c r="B2140" t="s">
        <v>1466</v>
      </c>
    </row>
    <row r="2141" spans="1:2" hidden="1">
      <c r="A2141" s="36">
        <v>20922392413</v>
      </c>
      <c r="B2141" t="s">
        <v>797</v>
      </c>
    </row>
    <row r="2142" spans="1:2" hidden="1">
      <c r="A2142" s="36">
        <v>20223632719</v>
      </c>
      <c r="B2142" t="s">
        <v>1473</v>
      </c>
    </row>
    <row r="2143" spans="1:2" hidden="1">
      <c r="A2143" s="36">
        <v>20235931967</v>
      </c>
      <c r="B2143" t="s">
        <v>801</v>
      </c>
    </row>
    <row r="2144" spans="1:2" hidden="1">
      <c r="A2144" s="36">
        <v>30682500162</v>
      </c>
      <c r="B2144" t="s">
        <v>802</v>
      </c>
    </row>
    <row r="2145" spans="1:2" hidden="1">
      <c r="A2145" s="36">
        <v>30682500162</v>
      </c>
      <c r="B2145" t="s">
        <v>803</v>
      </c>
    </row>
    <row r="2146" spans="1:2" hidden="1">
      <c r="A2146" s="36">
        <v>27127067452</v>
      </c>
      <c r="B2146" t="s">
        <v>804</v>
      </c>
    </row>
    <row r="2147" spans="1:2" hidden="1">
      <c r="A2147" s="36">
        <v>20352381218</v>
      </c>
      <c r="B2147" t="s">
        <v>805</v>
      </c>
    </row>
    <row r="2148" spans="1:2" hidden="1">
      <c r="A2148" s="36">
        <v>30708962275</v>
      </c>
      <c r="B2148" t="s">
        <v>806</v>
      </c>
    </row>
    <row r="2149" spans="1:2" hidden="1">
      <c r="A2149" s="36">
        <v>37682395</v>
      </c>
      <c r="B2149" t="s">
        <v>1306</v>
      </c>
    </row>
    <row r="2150" spans="1:2" hidden="1">
      <c r="A2150" s="36">
        <v>37682395</v>
      </c>
      <c r="B2150" t="s">
        <v>1306</v>
      </c>
    </row>
    <row r="2151" spans="1:2" hidden="1">
      <c r="A2151" s="36">
        <v>20226341596</v>
      </c>
      <c r="B2151" t="s">
        <v>1440</v>
      </c>
    </row>
    <row r="2152" spans="1:2" hidden="1">
      <c r="A2152" s="36">
        <v>20226341596</v>
      </c>
      <c r="B2152" t="s">
        <v>1440</v>
      </c>
    </row>
    <row r="2153" spans="1:2" hidden="1">
      <c r="A2153" s="36">
        <f>4829719</f>
        <v>4829719</v>
      </c>
      <c r="B2153" t="s">
        <v>807</v>
      </c>
    </row>
    <row r="2154" spans="1:2" hidden="1">
      <c r="A2154" s="36">
        <v>30715280422</v>
      </c>
      <c r="B2154" t="s">
        <v>1442</v>
      </c>
    </row>
    <row r="2155" spans="1:2" hidden="1">
      <c r="A2155" s="36">
        <v>30715280422</v>
      </c>
      <c r="B2155" t="s">
        <v>1442</v>
      </c>
    </row>
    <row r="2156" spans="1:2" hidden="1">
      <c r="A2156" s="36">
        <v>27219515796</v>
      </c>
      <c r="B2156" t="s">
        <v>809</v>
      </c>
    </row>
    <row r="2157" spans="1:2" hidden="1">
      <c r="A2157" s="36">
        <v>30592032909</v>
      </c>
      <c r="B2157" t="s">
        <v>1454</v>
      </c>
    </row>
    <row r="2158" spans="1:2" hidden="1">
      <c r="A2158" s="36">
        <v>30592032909</v>
      </c>
      <c r="B2158" t="s">
        <v>1454</v>
      </c>
    </row>
    <row r="2159" spans="1:2" hidden="1">
      <c r="A2159" s="36">
        <v>25795171</v>
      </c>
      <c r="B2159" t="s">
        <v>1335</v>
      </c>
    </row>
    <row r="2160" spans="1:2" hidden="1">
      <c r="A2160" s="36">
        <v>25795171</v>
      </c>
      <c r="B2160" t="s">
        <v>1335</v>
      </c>
    </row>
    <row r="2161" spans="1:2" hidden="1">
      <c r="A2161" s="36">
        <v>23370096899</v>
      </c>
      <c r="B2161" t="s">
        <v>810</v>
      </c>
    </row>
    <row r="2162" spans="1:2" hidden="1">
      <c r="A2162" s="36">
        <v>20145341796</v>
      </c>
      <c r="B2162" t="s">
        <v>811</v>
      </c>
    </row>
    <row r="2163" spans="1:2" hidden="1">
      <c r="A2163" s="36">
        <v>30717000524</v>
      </c>
      <c r="B2163" t="s">
        <v>812</v>
      </c>
    </row>
    <row r="2164" spans="1:2" hidden="1">
      <c r="A2164" s="36">
        <v>30715407503</v>
      </c>
      <c r="B2164" t="s">
        <v>813</v>
      </c>
    </row>
    <row r="2165" spans="1:2" hidden="1">
      <c r="A2165" s="36">
        <v>30506730038</v>
      </c>
      <c r="B2165" t="s">
        <v>816</v>
      </c>
    </row>
    <row r="2166" spans="1:2" hidden="1">
      <c r="A2166" s="36">
        <v>30506730038</v>
      </c>
      <c r="B2166" t="s">
        <v>816</v>
      </c>
    </row>
    <row r="2167" spans="1:2" hidden="1">
      <c r="A2167" s="36">
        <v>30506730038</v>
      </c>
      <c r="B2167" t="s">
        <v>816</v>
      </c>
    </row>
    <row r="2168" spans="1:2" hidden="1">
      <c r="A2168" s="36">
        <v>30506730038</v>
      </c>
      <c r="B2168" t="s">
        <v>816</v>
      </c>
    </row>
    <row r="2169" spans="1:2" hidden="1">
      <c r="A2169" s="36">
        <v>33642144699</v>
      </c>
      <c r="B2169" t="s">
        <v>817</v>
      </c>
    </row>
    <row r="2170" spans="1:2" hidden="1">
      <c r="A2170" s="36">
        <v>30506730038</v>
      </c>
      <c r="B2170" t="s">
        <v>818</v>
      </c>
    </row>
    <row r="2171" spans="1:2" hidden="1">
      <c r="A2171" s="36">
        <v>20076873284</v>
      </c>
      <c r="B2171" t="s">
        <v>819</v>
      </c>
    </row>
    <row r="2172" spans="1:2" hidden="1">
      <c r="A2172" s="36">
        <v>30604078543</v>
      </c>
      <c r="B2172" t="s">
        <v>821</v>
      </c>
    </row>
    <row r="2173" spans="1:2" hidden="1">
      <c r="A2173" s="36">
        <v>30610511801</v>
      </c>
      <c r="B2173" t="s">
        <v>822</v>
      </c>
    </row>
    <row r="2174" spans="1:2" hidden="1">
      <c r="A2174" s="36">
        <v>20267161152</v>
      </c>
      <c r="B2174" t="s">
        <v>824</v>
      </c>
    </row>
    <row r="2175" spans="1:2" hidden="1">
      <c r="A2175" s="36">
        <v>34932294</v>
      </c>
      <c r="B2175" t="s">
        <v>1264</v>
      </c>
    </row>
    <row r="2176" spans="1:2" hidden="1">
      <c r="A2176" s="36">
        <v>34932294</v>
      </c>
      <c r="B2176" t="s">
        <v>1264</v>
      </c>
    </row>
    <row r="2177" spans="1:2" hidden="1">
      <c r="A2177" s="36">
        <v>34932294</v>
      </c>
      <c r="B2177" t="s">
        <v>1264</v>
      </c>
    </row>
    <row r="2178" spans="1:2" hidden="1">
      <c r="A2178" s="36">
        <v>34932294</v>
      </c>
      <c r="B2178" t="s">
        <v>1264</v>
      </c>
    </row>
    <row r="2179" spans="1:2" hidden="1">
      <c r="A2179" s="36">
        <v>33715832769</v>
      </c>
      <c r="B2179" t="s">
        <v>826</v>
      </c>
    </row>
    <row r="2180" spans="1:2" hidden="1">
      <c r="A2180" s="36">
        <f>6209031</f>
        <v>6209031</v>
      </c>
      <c r="B2180" t="s">
        <v>827</v>
      </c>
    </row>
    <row r="2181" spans="1:2" hidden="1">
      <c r="A2181" s="36">
        <v>30645585654</v>
      </c>
      <c r="B2181" t="s">
        <v>828</v>
      </c>
    </row>
    <row r="2182" spans="1:2" hidden="1">
      <c r="A2182" s="36">
        <v>30712481516</v>
      </c>
      <c r="B2182" t="s">
        <v>829</v>
      </c>
    </row>
    <row r="2183" spans="1:2" hidden="1">
      <c r="A2183" s="36">
        <v>30710381867</v>
      </c>
      <c r="B2183" t="s">
        <v>831</v>
      </c>
    </row>
    <row r="2184" spans="1:2" hidden="1">
      <c r="A2184" s="36">
        <v>20202641424</v>
      </c>
      <c r="B2184" t="s">
        <v>832</v>
      </c>
    </row>
    <row r="2185" spans="1:2" hidden="1">
      <c r="A2185" s="36">
        <v>20202641424</v>
      </c>
      <c r="B2185" t="s">
        <v>832</v>
      </c>
    </row>
    <row r="2186" spans="1:2" hidden="1">
      <c r="A2186" s="36">
        <v>20202641424</v>
      </c>
      <c r="B2186" t="s">
        <v>832</v>
      </c>
    </row>
    <row r="2187" spans="1:2" hidden="1">
      <c r="A2187" s="36">
        <v>20202641424</v>
      </c>
      <c r="B2187" t="s">
        <v>832</v>
      </c>
    </row>
    <row r="2188" spans="1:2" hidden="1">
      <c r="A2188" s="36">
        <v>20202641424</v>
      </c>
      <c r="B2188" t="s">
        <v>832</v>
      </c>
    </row>
    <row r="2189" spans="1:2" hidden="1">
      <c r="A2189" s="36">
        <v>30657580496</v>
      </c>
      <c r="B2189" t="s">
        <v>833</v>
      </c>
    </row>
    <row r="2190" spans="1:2" hidden="1">
      <c r="A2190" s="36">
        <v>30657580496</v>
      </c>
      <c r="B2190" t="s">
        <v>833</v>
      </c>
    </row>
    <row r="2191" spans="1:2" hidden="1">
      <c r="A2191" s="36">
        <v>30517616687</v>
      </c>
      <c r="B2191" t="s">
        <v>834</v>
      </c>
    </row>
    <row r="2192" spans="1:2" hidden="1">
      <c r="A2192" s="36">
        <v>30517616687</v>
      </c>
      <c r="B2192" t="s">
        <v>834</v>
      </c>
    </row>
    <row r="2193" spans="1:2" hidden="1">
      <c r="A2193" s="36">
        <v>20236656994</v>
      </c>
      <c r="B2193" t="s">
        <v>835</v>
      </c>
    </row>
    <row r="2194" spans="1:2" hidden="1">
      <c r="A2194" s="36">
        <v>20236656994</v>
      </c>
      <c r="B2194" t="s">
        <v>835</v>
      </c>
    </row>
    <row r="2195" spans="1:2" hidden="1">
      <c r="A2195" s="36">
        <f>94018871</f>
        <v>94018871</v>
      </c>
      <c r="B2195" t="s">
        <v>836</v>
      </c>
    </row>
    <row r="2196" spans="1:2" hidden="1">
      <c r="A2196" s="36">
        <f>94018871</f>
        <v>94018871</v>
      </c>
      <c r="B2196" t="s">
        <v>836</v>
      </c>
    </row>
    <row r="2197" spans="1:2" hidden="1">
      <c r="A2197" s="36">
        <v>20941512438</v>
      </c>
      <c r="B2197" t="s">
        <v>837</v>
      </c>
    </row>
    <row r="2198" spans="1:2" hidden="1">
      <c r="A2198" s="36">
        <v>20941512438</v>
      </c>
      <c r="B2198" t="s">
        <v>837</v>
      </c>
    </row>
    <row r="2199" spans="1:2" hidden="1">
      <c r="A2199" s="36">
        <v>20941512438</v>
      </c>
      <c r="B2199" t="s">
        <v>837</v>
      </c>
    </row>
    <row r="2200" spans="1:2" hidden="1">
      <c r="A2200" s="36">
        <v>20941512438</v>
      </c>
      <c r="B2200" t="s">
        <v>837</v>
      </c>
    </row>
    <row r="2201" spans="1:2" hidden="1">
      <c r="A2201" s="36">
        <v>24064111</v>
      </c>
      <c r="B2201" t="s">
        <v>1333</v>
      </c>
    </row>
    <row r="2202" spans="1:2" hidden="1">
      <c r="A2202" s="36">
        <v>24064111</v>
      </c>
      <c r="B2202" t="s">
        <v>1333</v>
      </c>
    </row>
    <row r="2203" spans="1:2" hidden="1">
      <c r="A2203" s="36">
        <v>30710846908</v>
      </c>
      <c r="B2203" t="s">
        <v>838</v>
      </c>
    </row>
    <row r="2204" spans="1:2" hidden="1">
      <c r="A2204" s="36">
        <v>30710846908</v>
      </c>
      <c r="B2204" t="s">
        <v>838</v>
      </c>
    </row>
    <row r="2205" spans="1:2" hidden="1">
      <c r="A2205" s="36">
        <v>33711072999</v>
      </c>
      <c r="B2205" t="s">
        <v>840</v>
      </c>
    </row>
    <row r="2206" spans="1:2" hidden="1">
      <c r="A2206" s="36">
        <v>33711072999</v>
      </c>
      <c r="B2206" t="s">
        <v>840</v>
      </c>
    </row>
    <row r="2207" spans="1:2" hidden="1">
      <c r="A2207" s="36">
        <v>33711072999</v>
      </c>
      <c r="B2207" t="s">
        <v>840</v>
      </c>
    </row>
    <row r="2208" spans="1:2" hidden="1">
      <c r="A2208" s="36">
        <v>33711072999</v>
      </c>
      <c r="B2208" t="s">
        <v>840</v>
      </c>
    </row>
    <row r="2209" spans="1:2" hidden="1">
      <c r="A2209" s="36">
        <v>39831609</v>
      </c>
      <c r="B2209" t="s">
        <v>1274</v>
      </c>
    </row>
    <row r="2210" spans="1:2" hidden="1">
      <c r="A2210" s="36">
        <v>39831609</v>
      </c>
      <c r="B2210" t="s">
        <v>1274</v>
      </c>
    </row>
    <row r="2211" spans="1:2" hidden="1">
      <c r="A2211" s="36">
        <v>18496709</v>
      </c>
      <c r="B2211" t="s">
        <v>1207</v>
      </c>
    </row>
    <row r="2212" spans="1:2" hidden="1">
      <c r="A2212" s="36">
        <v>18496709</v>
      </c>
      <c r="B2212" t="s">
        <v>1207</v>
      </c>
    </row>
    <row r="2213" spans="1:2" hidden="1">
      <c r="A2213" s="36">
        <v>18496709</v>
      </c>
      <c r="B2213" t="s">
        <v>1207</v>
      </c>
    </row>
    <row r="2214" spans="1:2" hidden="1">
      <c r="A2214" s="36">
        <v>18496709</v>
      </c>
      <c r="B2214" t="s">
        <v>1207</v>
      </c>
    </row>
    <row r="2215" spans="1:2" hidden="1">
      <c r="A2215" s="36">
        <v>16411942</v>
      </c>
      <c r="B2215" t="s">
        <v>1211</v>
      </c>
    </row>
    <row r="2216" spans="1:2" hidden="1">
      <c r="A2216" s="36">
        <v>16411942</v>
      </c>
      <c r="B2216" t="s">
        <v>1211</v>
      </c>
    </row>
    <row r="2217" spans="1:2" hidden="1">
      <c r="A2217" s="36">
        <v>16411942</v>
      </c>
      <c r="B2217" t="s">
        <v>1211</v>
      </c>
    </row>
    <row r="2218" spans="1:2" hidden="1">
      <c r="A2218" s="36">
        <v>16411942</v>
      </c>
      <c r="B2218" t="s">
        <v>1211</v>
      </c>
    </row>
    <row r="2219" spans="1:2" hidden="1">
      <c r="A2219" s="36">
        <v>27226413095</v>
      </c>
      <c r="B2219" t="s">
        <v>1417</v>
      </c>
    </row>
    <row r="2220" spans="1:2" hidden="1">
      <c r="A2220" s="36">
        <v>27226413095</v>
      </c>
      <c r="B2220" t="s">
        <v>1417</v>
      </c>
    </row>
    <row r="2221" spans="1:2" hidden="1">
      <c r="A2221" s="36">
        <v>20163076676</v>
      </c>
      <c r="B2221" t="s">
        <v>841</v>
      </c>
    </row>
    <row r="2222" spans="1:2" hidden="1">
      <c r="A2222" s="36">
        <v>20163076676</v>
      </c>
      <c r="B2222" t="s">
        <v>841</v>
      </c>
    </row>
    <row r="2223" spans="1:2" hidden="1">
      <c r="A2223" s="36">
        <v>27234905924</v>
      </c>
      <c r="B2223" t="s">
        <v>1476</v>
      </c>
    </row>
    <row r="2224" spans="1:2" hidden="1">
      <c r="A2224" s="36">
        <v>20176582112</v>
      </c>
      <c r="B2224" t="s">
        <v>842</v>
      </c>
    </row>
    <row r="2225" spans="1:2" hidden="1">
      <c r="A2225" s="36">
        <v>20176582112</v>
      </c>
      <c r="B2225" t="s">
        <v>842</v>
      </c>
    </row>
    <row r="2226" spans="1:2" hidden="1">
      <c r="A2226" s="36">
        <v>30710536771</v>
      </c>
      <c r="B2226" t="s">
        <v>843</v>
      </c>
    </row>
    <row r="2227" spans="1:2" hidden="1">
      <c r="A2227" s="36">
        <v>30710536771</v>
      </c>
      <c r="B2227" t="s">
        <v>843</v>
      </c>
    </row>
    <row r="2228" spans="1:2" hidden="1">
      <c r="A2228" s="36">
        <v>27245614905</v>
      </c>
      <c r="B2228" t="s">
        <v>845</v>
      </c>
    </row>
    <row r="2229" spans="1:2" hidden="1">
      <c r="A2229" s="36">
        <v>27245614905</v>
      </c>
      <c r="B2229" t="s">
        <v>845</v>
      </c>
    </row>
    <row r="2230" spans="1:2" hidden="1">
      <c r="A2230" s="36">
        <v>30715239104</v>
      </c>
      <c r="B2230" t="s">
        <v>1390</v>
      </c>
    </row>
    <row r="2231" spans="1:2" hidden="1">
      <c r="A2231" s="36">
        <v>30715239104</v>
      </c>
      <c r="B2231" t="s">
        <v>1390</v>
      </c>
    </row>
    <row r="2232" spans="1:2" hidden="1">
      <c r="A2232" s="36">
        <v>30707115366</v>
      </c>
      <c r="B2232" t="s">
        <v>846</v>
      </c>
    </row>
    <row r="2233" spans="1:2" hidden="1">
      <c r="A2233" s="36">
        <v>30707115366</v>
      </c>
      <c r="B2233" t="s">
        <v>846</v>
      </c>
    </row>
    <row r="2234" spans="1:2" hidden="1">
      <c r="A2234" s="36">
        <v>27240421513</v>
      </c>
      <c r="B2234" t="s">
        <v>847</v>
      </c>
    </row>
    <row r="2235" spans="1:2" hidden="1">
      <c r="A2235" s="36">
        <v>27240421513</v>
      </c>
      <c r="B2235" t="s">
        <v>847</v>
      </c>
    </row>
    <row r="2236" spans="1:2" hidden="1">
      <c r="A2236" s="36">
        <v>20203503181</v>
      </c>
      <c r="B2236" t="s">
        <v>848</v>
      </c>
    </row>
    <row r="2237" spans="1:2" hidden="1">
      <c r="A2237" s="36">
        <v>20203503181</v>
      </c>
      <c r="B2237" t="s">
        <v>848</v>
      </c>
    </row>
    <row r="2238" spans="1:2" hidden="1">
      <c r="A2238" s="36">
        <v>30716523086</v>
      </c>
      <c r="B2238" t="s">
        <v>850</v>
      </c>
    </row>
    <row r="2239" spans="1:2" hidden="1">
      <c r="A2239" s="36">
        <v>30716523086</v>
      </c>
      <c r="B2239" t="s">
        <v>850</v>
      </c>
    </row>
    <row r="2240" spans="1:2" hidden="1">
      <c r="A2240" s="36">
        <v>27226753805</v>
      </c>
      <c r="B2240" t="s">
        <v>851</v>
      </c>
    </row>
    <row r="2241" spans="1:2" hidden="1">
      <c r="A2241" s="36">
        <v>27226753805</v>
      </c>
      <c r="B2241" t="s">
        <v>851</v>
      </c>
    </row>
    <row r="2242" spans="1:2" hidden="1">
      <c r="A2242" s="36">
        <v>30709480711</v>
      </c>
      <c r="B2242" t="s">
        <v>1509</v>
      </c>
    </row>
    <row r="2243" spans="1:2" hidden="1">
      <c r="A2243" s="36">
        <v>30517424303</v>
      </c>
      <c r="B2243" t="s">
        <v>852</v>
      </c>
    </row>
    <row r="2244" spans="1:2" hidden="1">
      <c r="A2244" s="36">
        <v>30517424303</v>
      </c>
      <c r="B2244" t="s">
        <v>852</v>
      </c>
    </row>
    <row r="2245" spans="1:2" hidden="1">
      <c r="A2245" s="36">
        <v>27129458688</v>
      </c>
      <c r="B2245" t="s">
        <v>853</v>
      </c>
    </row>
    <row r="2246" spans="1:2" hidden="1">
      <c r="A2246" s="36">
        <v>27129458688</v>
      </c>
      <c r="B2246" t="s">
        <v>853</v>
      </c>
    </row>
    <row r="2247" spans="1:2" hidden="1">
      <c r="A2247" s="36">
        <v>27129458688</v>
      </c>
      <c r="B2247" t="s">
        <v>853</v>
      </c>
    </row>
    <row r="2248" spans="1:2" hidden="1">
      <c r="A2248" s="36">
        <v>27129458688</v>
      </c>
      <c r="B2248" t="s">
        <v>853</v>
      </c>
    </row>
    <row r="2249" spans="1:2" hidden="1">
      <c r="A2249" s="36">
        <v>20295692716</v>
      </c>
      <c r="B2249" t="s">
        <v>854</v>
      </c>
    </row>
    <row r="2250" spans="1:2" hidden="1">
      <c r="A2250" s="36">
        <v>20295692716</v>
      </c>
      <c r="B2250" t="s">
        <v>854</v>
      </c>
    </row>
    <row r="2251" spans="1:2" hidden="1">
      <c r="A2251" s="36">
        <v>20309493347</v>
      </c>
      <c r="B2251" t="s">
        <v>855</v>
      </c>
    </row>
    <row r="2252" spans="1:2" hidden="1">
      <c r="A2252" s="36">
        <v>20309493347</v>
      </c>
      <c r="B2252" t="s">
        <v>855</v>
      </c>
    </row>
    <row r="2253" spans="1:2" hidden="1">
      <c r="A2253" s="36">
        <v>20085332733</v>
      </c>
      <c r="B2253" t="s">
        <v>856</v>
      </c>
    </row>
    <row r="2254" spans="1:2" hidden="1">
      <c r="A2254" s="36">
        <v>20085332733</v>
      </c>
      <c r="B2254" t="s">
        <v>856</v>
      </c>
    </row>
    <row r="2255" spans="1:2" hidden="1">
      <c r="A2255" s="36">
        <v>30708428082</v>
      </c>
      <c r="B2255" t="s">
        <v>857</v>
      </c>
    </row>
    <row r="2256" spans="1:2" hidden="1">
      <c r="A2256" s="36">
        <v>30708428082</v>
      </c>
      <c r="B2256" t="s">
        <v>857</v>
      </c>
    </row>
    <row r="2257" spans="1:2" hidden="1">
      <c r="A2257" s="36">
        <v>30710474105</v>
      </c>
      <c r="B2257" t="s">
        <v>1351</v>
      </c>
    </row>
    <row r="2258" spans="1:2" hidden="1">
      <c r="A2258" s="36">
        <v>30710474105</v>
      </c>
      <c r="B2258" t="s">
        <v>1351</v>
      </c>
    </row>
    <row r="2259" spans="1:2" hidden="1">
      <c r="A2259" s="36">
        <v>27168227790</v>
      </c>
      <c r="B2259" t="s">
        <v>858</v>
      </c>
    </row>
    <row r="2260" spans="1:2" hidden="1">
      <c r="A2260" s="36">
        <v>27168227790</v>
      </c>
      <c r="B2260" t="s">
        <v>858</v>
      </c>
    </row>
    <row r="2261" spans="1:2" hidden="1">
      <c r="A2261" s="36">
        <v>20334416632</v>
      </c>
      <c r="B2261" t="s">
        <v>1163</v>
      </c>
    </row>
    <row r="2262" spans="1:2" hidden="1">
      <c r="A2262" s="36">
        <v>20334416632</v>
      </c>
      <c r="B2262" t="s">
        <v>1163</v>
      </c>
    </row>
    <row r="2263" spans="1:2" hidden="1">
      <c r="A2263" s="36">
        <v>30710144830</v>
      </c>
      <c r="B2263" t="s">
        <v>1470</v>
      </c>
    </row>
    <row r="2264" spans="1:2" hidden="1">
      <c r="A2264" s="36">
        <v>30648820704</v>
      </c>
      <c r="B2264" t="s">
        <v>859</v>
      </c>
    </row>
    <row r="2265" spans="1:2" hidden="1">
      <c r="A2265" s="36">
        <v>30648820704</v>
      </c>
      <c r="B2265" t="s">
        <v>859</v>
      </c>
    </row>
    <row r="2266" spans="1:2" hidden="1">
      <c r="A2266" s="36">
        <v>30649820704</v>
      </c>
      <c r="B2266" t="s">
        <v>860</v>
      </c>
    </row>
    <row r="2267" spans="1:2" hidden="1">
      <c r="A2267" s="36">
        <v>30649820704</v>
      </c>
      <c r="B2267" t="s">
        <v>860</v>
      </c>
    </row>
    <row r="2268" spans="1:2" hidden="1">
      <c r="A2268" s="36">
        <v>30679699535</v>
      </c>
      <c r="B2268" t="s">
        <v>861</v>
      </c>
    </row>
    <row r="2269" spans="1:2" hidden="1">
      <c r="A2269" s="36">
        <v>30679699535</v>
      </c>
      <c r="B2269" t="s">
        <v>861</v>
      </c>
    </row>
    <row r="2270" spans="1:2" hidden="1">
      <c r="A2270" s="36">
        <v>30715852590</v>
      </c>
      <c r="B2270" t="s">
        <v>862</v>
      </c>
    </row>
    <row r="2271" spans="1:2" hidden="1">
      <c r="A2271" s="36">
        <v>30715852590</v>
      </c>
      <c r="B2271" t="s">
        <v>862</v>
      </c>
    </row>
    <row r="2272" spans="1:2" hidden="1">
      <c r="A2272" s="36">
        <v>30711105014</v>
      </c>
      <c r="B2272" t="s">
        <v>864</v>
      </c>
    </row>
    <row r="2273" spans="1:2" hidden="1">
      <c r="A2273" s="36">
        <v>30711105014</v>
      </c>
      <c r="B2273" t="s">
        <v>864</v>
      </c>
    </row>
    <row r="2274" spans="1:2" hidden="1">
      <c r="A2274" s="36">
        <v>30683684143</v>
      </c>
      <c r="B2274" t="s">
        <v>865</v>
      </c>
    </row>
    <row r="2275" spans="1:2" hidden="1">
      <c r="A2275" s="36">
        <v>30683684143</v>
      </c>
      <c r="B2275" t="s">
        <v>865</v>
      </c>
    </row>
    <row r="2276" spans="1:2" hidden="1">
      <c r="A2276" s="36">
        <v>20242296355</v>
      </c>
      <c r="B2276" t="s">
        <v>866</v>
      </c>
    </row>
    <row r="2277" spans="1:2" hidden="1">
      <c r="A2277" s="36">
        <v>20242296355</v>
      </c>
      <c r="B2277" t="s">
        <v>866</v>
      </c>
    </row>
    <row r="2278" spans="1:2" hidden="1">
      <c r="A2278" s="36">
        <v>20132669644</v>
      </c>
      <c r="B2278" t="s">
        <v>1492</v>
      </c>
    </row>
    <row r="2279" spans="1:2" hidden="1">
      <c r="A2279" s="36">
        <v>27172427400</v>
      </c>
      <c r="B2279" t="s">
        <v>118</v>
      </c>
    </row>
    <row r="2280" spans="1:2" hidden="1">
      <c r="A2280" s="36">
        <v>27172427400</v>
      </c>
      <c r="B2280" t="s">
        <v>118</v>
      </c>
    </row>
    <row r="2281" spans="1:2" hidden="1">
      <c r="A2281" s="36">
        <v>30645330184</v>
      </c>
      <c r="B2281" t="s">
        <v>867</v>
      </c>
    </row>
    <row r="2282" spans="1:2" hidden="1">
      <c r="A2282" s="36">
        <v>30645330184</v>
      </c>
      <c r="B2282" t="s">
        <v>867</v>
      </c>
    </row>
    <row r="2283" spans="1:2" hidden="1">
      <c r="A2283" s="36">
        <v>30610025915</v>
      </c>
      <c r="B2283" t="s">
        <v>868</v>
      </c>
    </row>
    <row r="2284" spans="1:2" hidden="1">
      <c r="A2284" s="36">
        <v>30610025915</v>
      </c>
      <c r="B2284" t="s">
        <v>868</v>
      </c>
    </row>
    <row r="2285" spans="1:2" hidden="1">
      <c r="A2285" s="36">
        <v>30616500593</v>
      </c>
      <c r="B2285" t="s">
        <v>869</v>
      </c>
    </row>
    <row r="2286" spans="1:2" hidden="1">
      <c r="A2286" s="36">
        <v>30616500593</v>
      </c>
      <c r="B2286" t="s">
        <v>869</v>
      </c>
    </row>
    <row r="2287" spans="1:2" hidden="1">
      <c r="A2287" s="36">
        <v>30647727545</v>
      </c>
      <c r="B2287" t="s">
        <v>870</v>
      </c>
    </row>
    <row r="2288" spans="1:2" hidden="1">
      <c r="A2288" s="36">
        <v>30647727545</v>
      </c>
      <c r="B2288" t="s">
        <v>870</v>
      </c>
    </row>
    <row r="2289" spans="1:2" hidden="1">
      <c r="A2289" s="36">
        <v>30647727545</v>
      </c>
      <c r="B2289" t="s">
        <v>871</v>
      </c>
    </row>
    <row r="2290" spans="1:2" hidden="1">
      <c r="A2290" s="36">
        <v>30647727545</v>
      </c>
      <c r="B2290" t="s">
        <v>871</v>
      </c>
    </row>
    <row r="2291" spans="1:2" hidden="1">
      <c r="A2291" s="36">
        <v>33712299539</v>
      </c>
      <c r="B2291" t="s">
        <v>872</v>
      </c>
    </row>
    <row r="2292" spans="1:2" hidden="1">
      <c r="A2292" s="36">
        <v>33712299539</v>
      </c>
      <c r="B2292" t="s">
        <v>872</v>
      </c>
    </row>
    <row r="2293" spans="1:2" hidden="1">
      <c r="A2293" s="36">
        <v>30633678509</v>
      </c>
      <c r="B2293" t="s">
        <v>1517</v>
      </c>
    </row>
    <row r="2294" spans="1:2" hidden="1">
      <c r="A2294" s="36">
        <v>33709344809</v>
      </c>
      <c r="B2294" t="s">
        <v>1406</v>
      </c>
    </row>
    <row r="2295" spans="1:2" hidden="1">
      <c r="A2295" s="36">
        <v>33709344809</v>
      </c>
      <c r="B2295" t="s">
        <v>1406</v>
      </c>
    </row>
    <row r="2296" spans="1:2" hidden="1">
      <c r="A2296" s="36">
        <v>30716388553</v>
      </c>
      <c r="B2296" t="s">
        <v>874</v>
      </c>
    </row>
    <row r="2297" spans="1:2" hidden="1">
      <c r="A2297" s="36">
        <v>30716388553</v>
      </c>
      <c r="B2297" t="s">
        <v>874</v>
      </c>
    </row>
    <row r="2298" spans="1:2" hidden="1">
      <c r="A2298" s="36">
        <v>30716648393</v>
      </c>
      <c r="B2298" t="s">
        <v>1411</v>
      </c>
    </row>
    <row r="2299" spans="1:2" hidden="1">
      <c r="A2299" s="36">
        <v>30716648393</v>
      </c>
      <c r="B2299" t="s">
        <v>1411</v>
      </c>
    </row>
    <row r="2300" spans="1:2" hidden="1">
      <c r="A2300" s="36">
        <v>20165913281</v>
      </c>
      <c r="B2300" t="s">
        <v>876</v>
      </c>
    </row>
    <row r="2301" spans="1:2" hidden="1">
      <c r="A2301" s="36">
        <v>20165913281</v>
      </c>
      <c r="B2301" t="s">
        <v>876</v>
      </c>
    </row>
    <row r="2302" spans="1:2" hidden="1">
      <c r="A2302" s="36">
        <v>20165913281</v>
      </c>
      <c r="B2302" t="s">
        <v>876</v>
      </c>
    </row>
    <row r="2303" spans="1:2" hidden="1">
      <c r="A2303" s="36">
        <v>20165913281</v>
      </c>
      <c r="B2303" t="s">
        <v>876</v>
      </c>
    </row>
    <row r="2304" spans="1:2" hidden="1">
      <c r="A2304" s="36">
        <v>27176483291</v>
      </c>
      <c r="B2304" t="s">
        <v>877</v>
      </c>
    </row>
    <row r="2305" spans="1:2" hidden="1">
      <c r="A2305" s="36">
        <v>27176483291</v>
      </c>
      <c r="B2305" t="s">
        <v>877</v>
      </c>
    </row>
    <row r="2306" spans="1:2" hidden="1">
      <c r="A2306" s="36">
        <f>31335549</f>
        <v>31335549</v>
      </c>
      <c r="B2306" t="s">
        <v>878</v>
      </c>
    </row>
    <row r="2307" spans="1:2" hidden="1">
      <c r="A2307" s="36">
        <f>31335549</f>
        <v>31335549</v>
      </c>
      <c r="B2307" t="s">
        <v>878</v>
      </c>
    </row>
    <row r="2308" spans="1:2" hidden="1">
      <c r="A2308" s="36">
        <v>30700876590</v>
      </c>
      <c r="B2308" t="s">
        <v>879</v>
      </c>
    </row>
    <row r="2309" spans="1:2" hidden="1">
      <c r="A2309" s="36">
        <v>30700876590</v>
      </c>
      <c r="B2309" t="s">
        <v>879</v>
      </c>
    </row>
    <row r="2310" spans="1:2" hidden="1">
      <c r="A2310" s="36">
        <v>30715006177</v>
      </c>
      <c r="B2310" t="s">
        <v>880</v>
      </c>
    </row>
    <row r="2311" spans="1:2" hidden="1">
      <c r="A2311" s="36">
        <v>30715006177</v>
      </c>
      <c r="B2311" t="s">
        <v>880</v>
      </c>
    </row>
    <row r="2312" spans="1:2" hidden="1">
      <c r="A2312" s="36">
        <v>20184103924</v>
      </c>
      <c r="B2312" t="s">
        <v>881</v>
      </c>
    </row>
    <row r="2313" spans="1:2" hidden="1">
      <c r="A2313" s="36">
        <v>20184103924</v>
      </c>
      <c r="B2313" t="s">
        <v>881</v>
      </c>
    </row>
    <row r="2314" spans="1:2" hidden="1">
      <c r="A2314" s="36">
        <v>30663434191</v>
      </c>
      <c r="B2314" t="s">
        <v>883</v>
      </c>
    </row>
    <row r="2315" spans="1:2" hidden="1">
      <c r="A2315" s="36">
        <v>30663434191</v>
      </c>
      <c r="B2315" t="s">
        <v>883</v>
      </c>
    </row>
    <row r="2316" spans="1:2" hidden="1">
      <c r="A2316" s="36">
        <v>23309270819</v>
      </c>
      <c r="B2316" t="s">
        <v>884</v>
      </c>
    </row>
    <row r="2317" spans="1:2" hidden="1">
      <c r="A2317" s="36">
        <v>23309270819</v>
      </c>
      <c r="B2317" t="s">
        <v>884</v>
      </c>
    </row>
    <row r="2318" spans="1:2" hidden="1">
      <c r="A2318" s="36">
        <v>20243351309</v>
      </c>
      <c r="B2318" t="s">
        <v>1461</v>
      </c>
    </row>
    <row r="2319" spans="1:2" hidden="1">
      <c r="A2319" s="36">
        <v>20243351309</v>
      </c>
      <c r="B2319" t="s">
        <v>1461</v>
      </c>
    </row>
    <row r="2320" spans="1:2" hidden="1">
      <c r="A2320" s="36">
        <v>30707833765</v>
      </c>
      <c r="B2320" t="s">
        <v>886</v>
      </c>
    </row>
    <row r="2321" spans="1:2" hidden="1">
      <c r="A2321" s="36">
        <v>30707833765</v>
      </c>
      <c r="B2321" t="s">
        <v>886</v>
      </c>
    </row>
    <row r="2322" spans="1:2" hidden="1">
      <c r="A2322" s="36">
        <v>30500625194</v>
      </c>
      <c r="B2322" t="s">
        <v>887</v>
      </c>
    </row>
    <row r="2323" spans="1:2" hidden="1">
      <c r="A2323" s="36">
        <v>30500625194</v>
      </c>
      <c r="B2323" t="s">
        <v>887</v>
      </c>
    </row>
    <row r="2324" spans="1:2" hidden="1">
      <c r="A2324" s="36">
        <v>20162028732</v>
      </c>
      <c r="B2324" t="s">
        <v>888</v>
      </c>
    </row>
    <row r="2325" spans="1:2" hidden="1">
      <c r="A2325" s="36">
        <v>20162028732</v>
      </c>
      <c r="B2325" t="s">
        <v>888</v>
      </c>
    </row>
    <row r="2326" spans="1:2" hidden="1">
      <c r="A2326" s="36">
        <v>30715079549</v>
      </c>
      <c r="B2326" t="s">
        <v>889</v>
      </c>
    </row>
    <row r="2327" spans="1:2" hidden="1">
      <c r="A2327" s="36">
        <v>30715079549</v>
      </c>
      <c r="B2327" t="s">
        <v>889</v>
      </c>
    </row>
    <row r="2328" spans="1:2" hidden="1">
      <c r="A2328" s="36">
        <v>27226500338</v>
      </c>
      <c r="B2328" t="s">
        <v>1467</v>
      </c>
    </row>
    <row r="2329" spans="1:2" hidden="1">
      <c r="A2329" s="36">
        <v>30528650003</v>
      </c>
      <c r="B2329" t="s">
        <v>890</v>
      </c>
    </row>
    <row r="2330" spans="1:2" hidden="1">
      <c r="A2330" s="36">
        <v>30528650003</v>
      </c>
      <c r="B2330" t="s">
        <v>890</v>
      </c>
    </row>
    <row r="2331" spans="1:2" hidden="1">
      <c r="A2331" s="36">
        <v>34569874</v>
      </c>
      <c r="B2331" t="s">
        <v>1206</v>
      </c>
    </row>
    <row r="2332" spans="1:2" hidden="1">
      <c r="A2332" s="36">
        <v>34569874</v>
      </c>
      <c r="B2332" t="s">
        <v>1206</v>
      </c>
    </row>
    <row r="2333" spans="1:2" hidden="1">
      <c r="A2333" s="36">
        <v>23344755523</v>
      </c>
      <c r="B2333" t="s">
        <v>892</v>
      </c>
    </row>
    <row r="2334" spans="1:2" hidden="1">
      <c r="A2334" s="36">
        <v>23344755523</v>
      </c>
      <c r="B2334" t="s">
        <v>892</v>
      </c>
    </row>
    <row r="2335" spans="1:2" hidden="1">
      <c r="A2335" s="36">
        <v>23344755523</v>
      </c>
      <c r="B2335" t="s">
        <v>892</v>
      </c>
    </row>
    <row r="2336" spans="1:2" hidden="1">
      <c r="A2336" s="36">
        <v>23344755523</v>
      </c>
      <c r="B2336" t="s">
        <v>892</v>
      </c>
    </row>
    <row r="2337" spans="1:2" hidden="1">
      <c r="A2337" s="36">
        <v>23344755523</v>
      </c>
      <c r="B2337" t="s">
        <v>892</v>
      </c>
    </row>
    <row r="2338" spans="1:2" hidden="1">
      <c r="A2338" s="36">
        <v>23344755523</v>
      </c>
      <c r="B2338" t="s">
        <v>892</v>
      </c>
    </row>
    <row r="2339" spans="1:2" hidden="1">
      <c r="A2339" s="36">
        <v>23344755523</v>
      </c>
      <c r="B2339" t="s">
        <v>892</v>
      </c>
    </row>
    <row r="2340" spans="1:2" hidden="1">
      <c r="A2340" s="36">
        <v>23344755523</v>
      </c>
      <c r="B2340" t="s">
        <v>892</v>
      </c>
    </row>
    <row r="2341" spans="1:2" hidden="1">
      <c r="A2341" s="36">
        <v>20210020412</v>
      </c>
      <c r="B2341" t="s">
        <v>893</v>
      </c>
    </row>
    <row r="2342" spans="1:2" hidden="1">
      <c r="A2342" s="36">
        <v>20210020412</v>
      </c>
      <c r="B2342" t="s">
        <v>893</v>
      </c>
    </row>
    <row r="2343" spans="1:2" hidden="1">
      <c r="A2343" s="36">
        <v>30584633383</v>
      </c>
      <c r="B2343" t="s">
        <v>894</v>
      </c>
    </row>
    <row r="2344" spans="1:2" hidden="1">
      <c r="A2344" s="36">
        <v>30584633383</v>
      </c>
      <c r="B2344" t="s">
        <v>894</v>
      </c>
    </row>
    <row r="2345" spans="1:2" hidden="1">
      <c r="A2345" s="36">
        <v>30715701975</v>
      </c>
      <c r="B2345" t="s">
        <v>1191</v>
      </c>
    </row>
    <row r="2346" spans="1:2" hidden="1">
      <c r="A2346" s="36">
        <v>30715701975</v>
      </c>
      <c r="B2346" t="s">
        <v>1191</v>
      </c>
    </row>
    <row r="2347" spans="1:2" hidden="1">
      <c r="A2347" s="36">
        <v>30709182389</v>
      </c>
      <c r="B2347" t="s">
        <v>895</v>
      </c>
    </row>
    <row r="2348" spans="1:2" hidden="1">
      <c r="A2348" s="36">
        <v>30709182389</v>
      </c>
      <c r="B2348" t="s">
        <v>895</v>
      </c>
    </row>
    <row r="2349" spans="1:2" hidden="1">
      <c r="A2349" s="36">
        <v>30665725829</v>
      </c>
      <c r="B2349" t="s">
        <v>896</v>
      </c>
    </row>
    <row r="2350" spans="1:2" hidden="1">
      <c r="A2350" s="36">
        <v>30665725829</v>
      </c>
      <c r="B2350" t="s">
        <v>896</v>
      </c>
    </row>
    <row r="2351" spans="1:2" hidden="1">
      <c r="A2351" s="36">
        <v>30715487876</v>
      </c>
      <c r="B2351" t="s">
        <v>897</v>
      </c>
    </row>
    <row r="2352" spans="1:2" hidden="1">
      <c r="A2352" s="36">
        <v>30715487876</v>
      </c>
      <c r="B2352" t="s">
        <v>897</v>
      </c>
    </row>
    <row r="2353" spans="1:2" hidden="1">
      <c r="A2353" s="36">
        <v>23110449429</v>
      </c>
      <c r="B2353" t="s">
        <v>898</v>
      </c>
    </row>
    <row r="2354" spans="1:2" hidden="1">
      <c r="A2354" s="36">
        <v>23110449429</v>
      </c>
      <c r="B2354" t="s">
        <v>898</v>
      </c>
    </row>
    <row r="2355" spans="1:2" hidden="1">
      <c r="A2355" s="36">
        <v>20171417148</v>
      </c>
      <c r="B2355" t="s">
        <v>899</v>
      </c>
    </row>
    <row r="2356" spans="1:2" hidden="1">
      <c r="A2356" s="36">
        <v>20171417148</v>
      </c>
      <c r="B2356" t="s">
        <v>899</v>
      </c>
    </row>
    <row r="2357" spans="1:2" hidden="1">
      <c r="A2357" s="36">
        <v>30715925164</v>
      </c>
      <c r="B2357" t="s">
        <v>900</v>
      </c>
    </row>
    <row r="2358" spans="1:2" hidden="1">
      <c r="A2358" s="36">
        <v>30715925164</v>
      </c>
      <c r="B2358" t="s">
        <v>900</v>
      </c>
    </row>
    <row r="2359" spans="1:2" hidden="1">
      <c r="A2359" s="36">
        <v>30572076764</v>
      </c>
      <c r="B2359" t="s">
        <v>901</v>
      </c>
    </row>
    <row r="2360" spans="1:2" hidden="1">
      <c r="A2360" s="36">
        <v>30572076764</v>
      </c>
      <c r="B2360" t="s">
        <v>901</v>
      </c>
    </row>
    <row r="2361" spans="1:2" hidden="1">
      <c r="A2361" s="36">
        <v>30654118767</v>
      </c>
      <c r="B2361" t="s">
        <v>902</v>
      </c>
    </row>
    <row r="2362" spans="1:2" hidden="1">
      <c r="A2362" s="36">
        <v>30654118767</v>
      </c>
      <c r="B2362" t="s">
        <v>902</v>
      </c>
    </row>
    <row r="2363" spans="1:2" hidden="1">
      <c r="A2363" s="36">
        <v>30709040908</v>
      </c>
      <c r="B2363" t="s">
        <v>903</v>
      </c>
    </row>
    <row r="2364" spans="1:2" hidden="1">
      <c r="A2364" s="36">
        <v>30709040908</v>
      </c>
      <c r="B2364" t="s">
        <v>903</v>
      </c>
    </row>
    <row r="2365" spans="1:2" hidden="1">
      <c r="A2365" s="36">
        <v>33714720789</v>
      </c>
      <c r="B2365" t="s">
        <v>905</v>
      </c>
    </row>
    <row r="2366" spans="1:2" hidden="1">
      <c r="A2366" s="36">
        <v>33714720789</v>
      </c>
      <c r="B2366" t="s">
        <v>905</v>
      </c>
    </row>
    <row r="2367" spans="1:2" hidden="1">
      <c r="A2367" s="36">
        <v>20258711611</v>
      </c>
      <c r="B2367" t="s">
        <v>1408</v>
      </c>
    </row>
    <row r="2368" spans="1:2" hidden="1">
      <c r="A2368" s="36">
        <v>20258711611</v>
      </c>
      <c r="B2368" t="s">
        <v>1408</v>
      </c>
    </row>
    <row r="2369" spans="1:2" hidden="1">
      <c r="A2369" s="36">
        <v>42622446</v>
      </c>
      <c r="B2369" t="s">
        <v>1260</v>
      </c>
    </row>
    <row r="2370" spans="1:2" hidden="1">
      <c r="A2370" s="36">
        <v>42622446</v>
      </c>
      <c r="B2370" t="s">
        <v>1260</v>
      </c>
    </row>
    <row r="2371" spans="1:2" hidden="1">
      <c r="A2371" s="36">
        <v>27103618792</v>
      </c>
      <c r="B2371" t="s">
        <v>1469</v>
      </c>
    </row>
    <row r="2372" spans="1:2" hidden="1">
      <c r="A2372" s="36">
        <v>34432726</v>
      </c>
      <c r="B2372" t="s">
        <v>1281</v>
      </c>
    </row>
    <row r="2373" spans="1:2" hidden="1">
      <c r="A2373" s="36">
        <v>34432726</v>
      </c>
      <c r="B2373" t="s">
        <v>1281</v>
      </c>
    </row>
    <row r="2374" spans="1:2" hidden="1">
      <c r="A2374" s="36">
        <v>18198929</v>
      </c>
      <c r="B2374" t="s">
        <v>1244</v>
      </c>
    </row>
    <row r="2375" spans="1:2" hidden="1">
      <c r="A2375" s="36">
        <v>18198929</v>
      </c>
      <c r="B2375" t="s">
        <v>1244</v>
      </c>
    </row>
    <row r="2376" spans="1:2" hidden="1">
      <c r="A2376" s="36">
        <f>13740696</f>
        <v>13740696</v>
      </c>
      <c r="B2376" t="s">
        <v>909</v>
      </c>
    </row>
    <row r="2377" spans="1:2" hidden="1">
      <c r="A2377" s="36">
        <f>13740696</f>
        <v>13740696</v>
      </c>
      <c r="B2377" t="s">
        <v>909</v>
      </c>
    </row>
    <row r="2378" spans="1:2" hidden="1">
      <c r="A2378" s="36">
        <v>30577797281</v>
      </c>
      <c r="B2378" t="s">
        <v>912</v>
      </c>
    </row>
    <row r="2379" spans="1:2" hidden="1">
      <c r="A2379" s="36">
        <v>30577797281</v>
      </c>
      <c r="B2379" t="s">
        <v>912</v>
      </c>
    </row>
    <row r="2380" spans="1:2" hidden="1">
      <c r="A2380" s="36">
        <v>20249295869</v>
      </c>
      <c r="B2380" t="s">
        <v>913</v>
      </c>
    </row>
    <row r="2381" spans="1:2" hidden="1">
      <c r="A2381" s="36">
        <v>20249295869</v>
      </c>
      <c r="B2381" t="s">
        <v>913</v>
      </c>
    </row>
    <row r="2382" spans="1:2" hidden="1">
      <c r="A2382" s="36">
        <v>20238775389</v>
      </c>
      <c r="B2382" t="s">
        <v>914</v>
      </c>
    </row>
    <row r="2383" spans="1:2" hidden="1">
      <c r="A2383" s="36">
        <v>20238775389</v>
      </c>
      <c r="B2383" t="s">
        <v>914</v>
      </c>
    </row>
    <row r="2384" spans="1:2" hidden="1">
      <c r="A2384" s="36">
        <v>30500221956</v>
      </c>
      <c r="B2384" t="s">
        <v>915</v>
      </c>
    </row>
    <row r="2385" spans="1:2" hidden="1">
      <c r="A2385" s="36">
        <v>30500221956</v>
      </c>
      <c r="B2385" t="s">
        <v>915</v>
      </c>
    </row>
    <row r="2386" spans="1:2" hidden="1">
      <c r="A2386" s="36">
        <v>30516336885</v>
      </c>
      <c r="B2386" t="s">
        <v>1400</v>
      </c>
    </row>
    <row r="2387" spans="1:2" hidden="1">
      <c r="A2387" s="36">
        <v>30516336885</v>
      </c>
      <c r="B2387" t="s">
        <v>1400</v>
      </c>
    </row>
    <row r="2388" spans="1:2" hidden="1">
      <c r="A2388" s="36">
        <v>20388413000</v>
      </c>
      <c r="B2388" t="s">
        <v>916</v>
      </c>
    </row>
    <row r="2389" spans="1:2" hidden="1">
      <c r="A2389" s="36">
        <v>20388413000</v>
      </c>
      <c r="B2389" t="s">
        <v>916</v>
      </c>
    </row>
    <row r="2390" spans="1:2" hidden="1">
      <c r="A2390" s="36">
        <v>20276237889</v>
      </c>
      <c r="B2390" t="s">
        <v>917</v>
      </c>
    </row>
    <row r="2391" spans="1:2" hidden="1">
      <c r="A2391" s="36">
        <v>20276237889</v>
      </c>
      <c r="B2391" t="s">
        <v>917</v>
      </c>
    </row>
    <row r="2392" spans="1:2" hidden="1">
      <c r="A2392" s="36">
        <v>24847198</v>
      </c>
      <c r="B2392" t="s">
        <v>1262</v>
      </c>
    </row>
    <row r="2393" spans="1:2" hidden="1">
      <c r="A2393" s="36">
        <v>24847198</v>
      </c>
      <c r="B2393" t="s">
        <v>1262</v>
      </c>
    </row>
    <row r="2394" spans="1:2" hidden="1">
      <c r="A2394" s="36">
        <v>20293879681</v>
      </c>
      <c r="B2394" t="s">
        <v>918</v>
      </c>
    </row>
    <row r="2395" spans="1:2" hidden="1">
      <c r="A2395" s="36">
        <v>20293879681</v>
      </c>
      <c r="B2395" t="s">
        <v>918</v>
      </c>
    </row>
    <row r="2396" spans="1:2" hidden="1">
      <c r="A2396" s="36">
        <v>20172324240</v>
      </c>
      <c r="B2396" t="s">
        <v>919</v>
      </c>
    </row>
    <row r="2397" spans="1:2" hidden="1">
      <c r="A2397" s="36">
        <v>20172324240</v>
      </c>
      <c r="B2397" t="s">
        <v>919</v>
      </c>
    </row>
    <row r="2398" spans="1:2" hidden="1">
      <c r="A2398" s="36">
        <v>28951546</v>
      </c>
      <c r="B2398" t="s">
        <v>1216</v>
      </c>
    </row>
    <row r="2399" spans="1:2" hidden="1">
      <c r="A2399" s="36">
        <v>28951546</v>
      </c>
      <c r="B2399" t="s">
        <v>1216</v>
      </c>
    </row>
    <row r="2400" spans="1:2" hidden="1">
      <c r="A2400" s="36">
        <v>28951546</v>
      </c>
      <c r="B2400" t="s">
        <v>1216</v>
      </c>
    </row>
    <row r="2401" spans="1:2" hidden="1">
      <c r="A2401" s="36">
        <v>28951546</v>
      </c>
      <c r="B2401" t="s">
        <v>1216</v>
      </c>
    </row>
    <row r="2402" spans="1:2" hidden="1">
      <c r="A2402" s="36">
        <v>20211427834</v>
      </c>
      <c r="B2402" t="s">
        <v>921</v>
      </c>
    </row>
    <row r="2403" spans="1:2" hidden="1">
      <c r="A2403" s="36">
        <v>20211427834</v>
      </c>
      <c r="B2403" t="s">
        <v>921</v>
      </c>
    </row>
    <row r="2404" spans="1:2" hidden="1">
      <c r="A2404" s="36">
        <v>30711500711</v>
      </c>
      <c r="B2404" t="s">
        <v>922</v>
      </c>
    </row>
    <row r="2405" spans="1:2" hidden="1">
      <c r="A2405" s="36">
        <v>30711500711</v>
      </c>
      <c r="B2405" t="s">
        <v>922</v>
      </c>
    </row>
    <row r="2406" spans="1:2" hidden="1">
      <c r="A2406" s="36">
        <v>20041986078</v>
      </c>
      <c r="B2406" t="s">
        <v>924</v>
      </c>
    </row>
    <row r="2407" spans="1:2" hidden="1">
      <c r="A2407" s="36">
        <v>20041986078</v>
      </c>
      <c r="B2407" t="s">
        <v>924</v>
      </c>
    </row>
    <row r="2408" spans="1:2" hidden="1">
      <c r="A2408" s="36">
        <v>20934658230</v>
      </c>
      <c r="B2408" t="s">
        <v>925</v>
      </c>
    </row>
    <row r="2409" spans="1:2" hidden="1">
      <c r="A2409" s="36">
        <v>20934658230</v>
      </c>
      <c r="B2409" t="s">
        <v>925</v>
      </c>
    </row>
    <row r="2410" spans="1:2" hidden="1">
      <c r="A2410" s="36">
        <v>20934658230</v>
      </c>
      <c r="B2410" t="s">
        <v>925</v>
      </c>
    </row>
    <row r="2411" spans="1:2" hidden="1">
      <c r="A2411" s="36">
        <v>20934658230</v>
      </c>
      <c r="B2411" t="s">
        <v>925</v>
      </c>
    </row>
    <row r="2412" spans="1:2" hidden="1">
      <c r="A2412" s="36">
        <v>20084002675</v>
      </c>
      <c r="B2412" t="s">
        <v>926</v>
      </c>
    </row>
    <row r="2413" spans="1:2" hidden="1">
      <c r="A2413" s="36">
        <v>20084002675</v>
      </c>
      <c r="B2413" t="s">
        <v>926</v>
      </c>
    </row>
    <row r="2414" spans="1:2" hidden="1">
      <c r="A2414" s="36">
        <v>30715259407</v>
      </c>
      <c r="B2414" t="s">
        <v>927</v>
      </c>
    </row>
    <row r="2415" spans="1:2" hidden="1">
      <c r="A2415" s="36">
        <v>30715259407</v>
      </c>
      <c r="B2415" t="s">
        <v>927</v>
      </c>
    </row>
    <row r="2416" spans="1:2" hidden="1">
      <c r="A2416" s="36">
        <v>30717465403</v>
      </c>
      <c r="B2416" t="s">
        <v>928</v>
      </c>
    </row>
    <row r="2417" spans="1:2" hidden="1">
      <c r="A2417" s="36">
        <v>30717465403</v>
      </c>
      <c r="B2417" t="s">
        <v>928</v>
      </c>
    </row>
    <row r="2418" spans="1:2" hidden="1">
      <c r="A2418" s="36">
        <v>27202375958</v>
      </c>
      <c r="B2418" t="s">
        <v>930</v>
      </c>
    </row>
    <row r="2419" spans="1:2" hidden="1">
      <c r="A2419" s="36">
        <v>27202375958</v>
      </c>
      <c r="B2419" t="s">
        <v>930</v>
      </c>
    </row>
    <row r="2420" spans="1:2" hidden="1">
      <c r="A2420" s="36">
        <v>20045279244</v>
      </c>
      <c r="B2420" t="s">
        <v>931</v>
      </c>
    </row>
    <row r="2421" spans="1:2" hidden="1">
      <c r="A2421" s="36">
        <v>20045279244</v>
      </c>
      <c r="B2421" t="s">
        <v>931</v>
      </c>
    </row>
    <row r="2422" spans="1:2" hidden="1">
      <c r="A2422" s="36">
        <v>30716209551</v>
      </c>
      <c r="B2422" t="s">
        <v>933</v>
      </c>
    </row>
    <row r="2423" spans="1:2" hidden="1">
      <c r="A2423" s="36">
        <v>30716209551</v>
      </c>
      <c r="B2423" t="s">
        <v>933</v>
      </c>
    </row>
    <row r="2424" spans="1:2" hidden="1">
      <c r="A2424" s="36">
        <v>30716258439</v>
      </c>
      <c r="B2424" t="s">
        <v>934</v>
      </c>
    </row>
    <row r="2425" spans="1:2" hidden="1">
      <c r="A2425" s="36">
        <v>30716258439</v>
      </c>
      <c r="B2425" t="s">
        <v>934</v>
      </c>
    </row>
    <row r="2426" spans="1:2" hidden="1">
      <c r="A2426" s="36">
        <v>30710486952</v>
      </c>
      <c r="B2426" t="s">
        <v>937</v>
      </c>
    </row>
    <row r="2427" spans="1:2" hidden="1">
      <c r="A2427" s="36">
        <v>30710486952</v>
      </c>
      <c r="B2427" t="s">
        <v>937</v>
      </c>
    </row>
    <row r="2428" spans="1:2" hidden="1">
      <c r="A2428" s="36">
        <v>23145783224</v>
      </c>
      <c r="B2428" t="s">
        <v>100</v>
      </c>
    </row>
    <row r="2429" spans="1:2" hidden="1">
      <c r="A2429" s="36">
        <v>23145783224</v>
      </c>
      <c r="B2429" t="s">
        <v>100</v>
      </c>
    </row>
    <row r="2430" spans="1:2" hidden="1">
      <c r="A2430" s="36">
        <v>30712121781</v>
      </c>
      <c r="B2430" t="s">
        <v>1563</v>
      </c>
    </row>
    <row r="2431" spans="1:2" hidden="1">
      <c r="A2431" s="36">
        <v>20174824585</v>
      </c>
      <c r="B2431" t="s">
        <v>940</v>
      </c>
    </row>
    <row r="2432" spans="1:2" hidden="1">
      <c r="A2432" s="36">
        <v>20174824585</v>
      </c>
      <c r="B2432" t="s">
        <v>940</v>
      </c>
    </row>
    <row r="2433" spans="1:2" hidden="1">
      <c r="A2433" s="36">
        <v>24215334</v>
      </c>
      <c r="B2433" t="s">
        <v>1296</v>
      </c>
    </row>
    <row r="2434" spans="1:2" hidden="1">
      <c r="A2434" s="36">
        <v>24215334</v>
      </c>
      <c r="B2434" t="s">
        <v>1296</v>
      </c>
    </row>
    <row r="2435" spans="1:2" hidden="1">
      <c r="A2435" s="36">
        <v>27166041673</v>
      </c>
      <c r="B2435" t="s">
        <v>941</v>
      </c>
    </row>
    <row r="2436" spans="1:2" hidden="1">
      <c r="A2436" s="36">
        <v>27166041673</v>
      </c>
      <c r="B2436" t="s">
        <v>941</v>
      </c>
    </row>
    <row r="2437" spans="1:2" hidden="1">
      <c r="A2437" s="36">
        <v>30649038089</v>
      </c>
      <c r="B2437" t="s">
        <v>942</v>
      </c>
    </row>
    <row r="2438" spans="1:2" hidden="1">
      <c r="A2438" s="36">
        <v>30649038089</v>
      </c>
      <c r="B2438" t="s">
        <v>942</v>
      </c>
    </row>
    <row r="2439" spans="1:2" hidden="1">
      <c r="A2439" s="36">
        <v>30709276332</v>
      </c>
      <c r="B2439" t="s">
        <v>943</v>
      </c>
    </row>
    <row r="2440" spans="1:2" hidden="1">
      <c r="A2440" s="36">
        <v>30709276332</v>
      </c>
      <c r="B2440" t="s">
        <v>943</v>
      </c>
    </row>
    <row r="2441" spans="1:2" hidden="1">
      <c r="A2441" s="36">
        <v>30685376349</v>
      </c>
      <c r="B2441" t="s">
        <v>946</v>
      </c>
    </row>
    <row r="2442" spans="1:2" hidden="1">
      <c r="A2442" s="36">
        <v>30685376349</v>
      </c>
      <c r="B2442" t="s">
        <v>946</v>
      </c>
    </row>
    <row r="2443" spans="1:2" hidden="1">
      <c r="A2443" s="36">
        <v>30716290154</v>
      </c>
      <c r="B2443" t="s">
        <v>948</v>
      </c>
    </row>
    <row r="2444" spans="1:2" hidden="1">
      <c r="A2444" s="36">
        <v>30716290154</v>
      </c>
      <c r="B2444" t="s">
        <v>948</v>
      </c>
    </row>
    <row r="2445" spans="1:2" hidden="1">
      <c r="A2445" s="36">
        <v>20267697516</v>
      </c>
      <c r="B2445" t="s">
        <v>949</v>
      </c>
    </row>
    <row r="2446" spans="1:2" hidden="1">
      <c r="A2446" s="36">
        <v>20267697516</v>
      </c>
      <c r="B2446" t="s">
        <v>949</v>
      </c>
    </row>
    <row r="2447" spans="1:2" hidden="1">
      <c r="A2447" s="36">
        <v>30715422782</v>
      </c>
      <c r="B2447" t="s">
        <v>950</v>
      </c>
    </row>
    <row r="2448" spans="1:2" hidden="1">
      <c r="A2448" s="36">
        <v>30715422782</v>
      </c>
      <c r="B2448" t="s">
        <v>950</v>
      </c>
    </row>
    <row r="2449" spans="1:2" hidden="1">
      <c r="A2449" s="36">
        <v>30714511005</v>
      </c>
      <c r="B2449" t="s">
        <v>953</v>
      </c>
    </row>
    <row r="2450" spans="1:2" hidden="1">
      <c r="A2450" s="36">
        <v>30714511005</v>
      </c>
      <c r="B2450" t="s">
        <v>953</v>
      </c>
    </row>
    <row r="2451" spans="1:2" hidden="1">
      <c r="A2451" s="36">
        <v>30708960736</v>
      </c>
      <c r="B2451" t="s">
        <v>954</v>
      </c>
    </row>
    <row r="2452" spans="1:2" hidden="1">
      <c r="A2452" s="36">
        <v>30708960736</v>
      </c>
      <c r="B2452" t="s">
        <v>954</v>
      </c>
    </row>
    <row r="2453" spans="1:2" hidden="1">
      <c r="A2453" s="36">
        <v>30708351063</v>
      </c>
      <c r="B2453" t="s">
        <v>955</v>
      </c>
    </row>
    <row r="2454" spans="1:2" hidden="1">
      <c r="A2454" s="36">
        <v>30708351063</v>
      </c>
      <c r="B2454" t="s">
        <v>955</v>
      </c>
    </row>
    <row r="2455" spans="1:2" hidden="1">
      <c r="A2455" s="36">
        <v>30711246556</v>
      </c>
      <c r="B2455" t="s">
        <v>956</v>
      </c>
    </row>
    <row r="2456" spans="1:2" hidden="1">
      <c r="A2456" s="36">
        <v>30711246556</v>
      </c>
      <c r="B2456" t="s">
        <v>956</v>
      </c>
    </row>
    <row r="2457" spans="1:2" hidden="1">
      <c r="A2457" s="36">
        <v>30707761357</v>
      </c>
      <c r="B2457" t="s">
        <v>957</v>
      </c>
    </row>
    <row r="2458" spans="1:2" hidden="1">
      <c r="A2458" s="36">
        <v>30707761357</v>
      </c>
      <c r="B2458" t="s">
        <v>957</v>
      </c>
    </row>
    <row r="2459" spans="1:2" hidden="1">
      <c r="A2459" s="36">
        <v>30639453975</v>
      </c>
      <c r="B2459" t="s">
        <v>1173</v>
      </c>
    </row>
    <row r="2460" spans="1:2" hidden="1">
      <c r="A2460" s="36">
        <v>30639453975</v>
      </c>
      <c r="B2460" t="s">
        <v>1173</v>
      </c>
    </row>
    <row r="2461" spans="1:2" hidden="1">
      <c r="A2461" s="36">
        <v>30639453975</v>
      </c>
      <c r="B2461" t="s">
        <v>1173</v>
      </c>
    </row>
    <row r="2462" spans="1:2" hidden="1">
      <c r="A2462" s="36">
        <v>30639453975</v>
      </c>
      <c r="B2462" t="s">
        <v>1173</v>
      </c>
    </row>
    <row r="2463" spans="1:2" hidden="1">
      <c r="A2463" s="36">
        <v>30639453975</v>
      </c>
      <c r="B2463" t="s">
        <v>1367</v>
      </c>
    </row>
    <row r="2464" spans="1:2" hidden="1">
      <c r="A2464" s="36">
        <v>30639453975</v>
      </c>
      <c r="B2464" t="s">
        <v>1367</v>
      </c>
    </row>
    <row r="2465" spans="1:2" hidden="1">
      <c r="A2465" s="36">
        <v>30715548182</v>
      </c>
      <c r="B2465" t="s">
        <v>1519</v>
      </c>
    </row>
    <row r="2466" spans="1:2" hidden="1">
      <c r="A2466" s="36">
        <v>33695098419</v>
      </c>
      <c r="B2466" t="s">
        <v>963</v>
      </c>
    </row>
    <row r="2467" spans="1:2" hidden="1">
      <c r="A2467" s="36">
        <v>33695098419</v>
      </c>
      <c r="B2467" t="s">
        <v>963</v>
      </c>
    </row>
    <row r="2468" spans="1:2" hidden="1">
      <c r="A2468" s="36">
        <v>34593997202</v>
      </c>
      <c r="B2468" t="s">
        <v>964</v>
      </c>
    </row>
    <row r="2469" spans="1:2" hidden="1">
      <c r="A2469" s="36">
        <v>34593997202</v>
      </c>
      <c r="B2469" t="s">
        <v>964</v>
      </c>
    </row>
    <row r="2470" spans="1:2" hidden="1">
      <c r="A2470" s="36">
        <v>30716088320</v>
      </c>
      <c r="B2470" t="s">
        <v>965</v>
      </c>
    </row>
    <row r="2471" spans="1:2" hidden="1">
      <c r="A2471" s="36">
        <v>30716088320</v>
      </c>
      <c r="B2471" t="s">
        <v>965</v>
      </c>
    </row>
    <row r="2472" spans="1:2" hidden="1">
      <c r="A2472" s="36">
        <v>30710092784</v>
      </c>
      <c r="B2472" t="s">
        <v>966</v>
      </c>
    </row>
    <row r="2473" spans="1:2" hidden="1">
      <c r="A2473" s="36">
        <v>30710092784</v>
      </c>
      <c r="B2473" t="s">
        <v>966</v>
      </c>
    </row>
    <row r="2474" spans="1:2" hidden="1">
      <c r="A2474" s="36">
        <v>20066033946</v>
      </c>
      <c r="B2474" t="s">
        <v>967</v>
      </c>
    </row>
    <row r="2475" spans="1:2" hidden="1">
      <c r="A2475" s="36">
        <v>20066033946</v>
      </c>
      <c r="B2475" t="s">
        <v>967</v>
      </c>
    </row>
    <row r="2476" spans="1:2" hidden="1">
      <c r="A2476" s="36">
        <v>33629816599</v>
      </c>
      <c r="B2476" t="s">
        <v>968</v>
      </c>
    </row>
    <row r="2477" spans="1:2" hidden="1">
      <c r="A2477" s="36">
        <v>33629816599</v>
      </c>
      <c r="B2477" t="s">
        <v>968</v>
      </c>
    </row>
    <row r="2478" spans="1:2" hidden="1">
      <c r="A2478" s="36">
        <v>20925943410</v>
      </c>
      <c r="B2478" t="s">
        <v>969</v>
      </c>
    </row>
    <row r="2479" spans="1:2" hidden="1">
      <c r="A2479" s="36">
        <v>20925943410</v>
      </c>
      <c r="B2479" t="s">
        <v>969</v>
      </c>
    </row>
    <row r="2480" spans="1:2" hidden="1">
      <c r="A2480" s="36">
        <v>30710718438</v>
      </c>
      <c r="B2480" t="s">
        <v>970</v>
      </c>
    </row>
    <row r="2481" spans="1:2" hidden="1">
      <c r="A2481" s="36">
        <v>30710718438</v>
      </c>
      <c r="B2481" t="s">
        <v>970</v>
      </c>
    </row>
    <row r="2482" spans="1:2" hidden="1">
      <c r="A2482" s="36">
        <v>30716296438</v>
      </c>
      <c r="B2482" t="s">
        <v>971</v>
      </c>
    </row>
    <row r="2483" spans="1:2" hidden="1">
      <c r="A2483" s="36">
        <v>30716296438</v>
      </c>
      <c r="B2483" t="s">
        <v>971</v>
      </c>
    </row>
    <row r="2484" spans="1:2" hidden="1">
      <c r="A2484" s="36">
        <v>30711902054</v>
      </c>
      <c r="B2484" t="s">
        <v>975</v>
      </c>
    </row>
    <row r="2485" spans="1:2" hidden="1">
      <c r="A2485" s="36">
        <v>30711902054</v>
      </c>
      <c r="B2485" t="s">
        <v>975</v>
      </c>
    </row>
    <row r="2486" spans="1:2" hidden="1">
      <c r="A2486" s="36">
        <v>30711902054</v>
      </c>
      <c r="B2486" t="s">
        <v>976</v>
      </c>
    </row>
    <row r="2487" spans="1:2" hidden="1">
      <c r="A2487" s="36">
        <v>30711902054</v>
      </c>
      <c r="B2487" t="s">
        <v>976</v>
      </c>
    </row>
    <row r="2488" spans="1:2" hidden="1">
      <c r="A2488" s="36">
        <v>30709081728</v>
      </c>
      <c r="B2488" t="s">
        <v>977</v>
      </c>
    </row>
    <row r="2489" spans="1:2" hidden="1">
      <c r="A2489" s="36">
        <v>30709081728</v>
      </c>
      <c r="B2489" t="s">
        <v>977</v>
      </c>
    </row>
    <row r="2490" spans="1:2" hidden="1">
      <c r="A2490" s="36">
        <v>30715251201</v>
      </c>
      <c r="B2490" t="s">
        <v>978</v>
      </c>
    </row>
    <row r="2491" spans="1:2" hidden="1">
      <c r="A2491" s="36">
        <v>30715251201</v>
      </c>
      <c r="B2491" t="s">
        <v>978</v>
      </c>
    </row>
    <row r="2492" spans="1:2" hidden="1">
      <c r="A2492" s="36">
        <v>30715293923</v>
      </c>
      <c r="B2492" t="s">
        <v>980</v>
      </c>
    </row>
    <row r="2493" spans="1:2" hidden="1">
      <c r="A2493" s="36">
        <v>30715293923</v>
      </c>
      <c r="B2493" t="s">
        <v>980</v>
      </c>
    </row>
    <row r="2494" spans="1:2" hidden="1">
      <c r="A2494" s="36">
        <v>30716087588</v>
      </c>
      <c r="B2494" t="s">
        <v>1489</v>
      </c>
    </row>
    <row r="2495" spans="1:2" hidden="1">
      <c r="A2495" s="36">
        <v>30707824618</v>
      </c>
      <c r="B2495" t="s">
        <v>981</v>
      </c>
    </row>
    <row r="2496" spans="1:2" hidden="1">
      <c r="A2496" s="36">
        <v>30707824618</v>
      </c>
      <c r="B2496" t="s">
        <v>981</v>
      </c>
    </row>
    <row r="2497" spans="1:2" hidden="1">
      <c r="A2497" s="36">
        <v>30715505661</v>
      </c>
      <c r="B2497" t="s">
        <v>982</v>
      </c>
    </row>
    <row r="2498" spans="1:2" hidden="1">
      <c r="A2498" s="36">
        <v>30715505661</v>
      </c>
      <c r="B2498" t="s">
        <v>982</v>
      </c>
    </row>
    <row r="2499" spans="1:2" hidden="1">
      <c r="A2499" s="36">
        <v>30712370978</v>
      </c>
      <c r="B2499" t="s">
        <v>983</v>
      </c>
    </row>
    <row r="2500" spans="1:2" hidden="1">
      <c r="A2500" s="36">
        <v>30712370978</v>
      </c>
      <c r="B2500" t="s">
        <v>983</v>
      </c>
    </row>
    <row r="2501" spans="1:2" hidden="1">
      <c r="A2501" s="36">
        <v>30708491086</v>
      </c>
      <c r="B2501" t="s">
        <v>984</v>
      </c>
    </row>
    <row r="2502" spans="1:2" hidden="1">
      <c r="A2502" s="36">
        <v>30708491086</v>
      </c>
      <c r="B2502" t="s">
        <v>984</v>
      </c>
    </row>
    <row r="2503" spans="1:2" hidden="1">
      <c r="A2503" s="36">
        <v>30715702920</v>
      </c>
      <c r="B2503" t="s">
        <v>986</v>
      </c>
    </row>
    <row r="2504" spans="1:2" hidden="1">
      <c r="A2504" s="36">
        <v>30715702920</v>
      </c>
      <c r="B2504" t="s">
        <v>986</v>
      </c>
    </row>
    <row r="2505" spans="1:2" hidden="1">
      <c r="A2505" s="36">
        <v>20229914007</v>
      </c>
      <c r="B2505" t="s">
        <v>987</v>
      </c>
    </row>
    <row r="2506" spans="1:2" hidden="1">
      <c r="A2506" s="36">
        <v>20229914007</v>
      </c>
      <c r="B2506" t="s">
        <v>987</v>
      </c>
    </row>
    <row r="2507" spans="1:2" hidden="1">
      <c r="A2507" s="36">
        <v>30710484534</v>
      </c>
      <c r="B2507" t="s">
        <v>988</v>
      </c>
    </row>
    <row r="2508" spans="1:2" hidden="1">
      <c r="A2508" s="36">
        <v>30710484534</v>
      </c>
      <c r="B2508" t="s">
        <v>988</v>
      </c>
    </row>
    <row r="2509" spans="1:2" hidden="1">
      <c r="A2509" s="36">
        <v>30708847247</v>
      </c>
      <c r="B2509" t="s">
        <v>989</v>
      </c>
    </row>
    <row r="2510" spans="1:2" hidden="1">
      <c r="A2510" s="36">
        <v>30708847247</v>
      </c>
      <c r="B2510" t="s">
        <v>989</v>
      </c>
    </row>
    <row r="2511" spans="1:2" hidden="1">
      <c r="A2511" s="36">
        <v>21934163</v>
      </c>
      <c r="B2511" t="s">
        <v>1325</v>
      </c>
    </row>
    <row r="2512" spans="1:2" hidden="1">
      <c r="A2512" s="36">
        <v>21934163</v>
      </c>
      <c r="B2512" t="s">
        <v>1325</v>
      </c>
    </row>
    <row r="2513" spans="1:2" hidden="1">
      <c r="A2513" s="36">
        <v>30715169254</v>
      </c>
      <c r="B2513" t="s">
        <v>990</v>
      </c>
    </row>
    <row r="2514" spans="1:2" hidden="1">
      <c r="A2514" s="36">
        <v>30715169254</v>
      </c>
      <c r="B2514" t="s">
        <v>990</v>
      </c>
    </row>
    <row r="2515" spans="1:2" hidden="1">
      <c r="A2515" s="36">
        <v>30715168254</v>
      </c>
      <c r="B2515" t="s">
        <v>991</v>
      </c>
    </row>
    <row r="2516" spans="1:2" hidden="1">
      <c r="A2516" s="36">
        <v>30715168254</v>
      </c>
      <c r="B2516" t="s">
        <v>991</v>
      </c>
    </row>
    <row r="2517" spans="1:2" hidden="1">
      <c r="A2517" s="36">
        <v>30715147250</v>
      </c>
      <c r="B2517" t="s">
        <v>993</v>
      </c>
    </row>
    <row r="2518" spans="1:2" hidden="1">
      <c r="A2518" s="36">
        <v>30715147250</v>
      </c>
      <c r="B2518" t="s">
        <v>993</v>
      </c>
    </row>
    <row r="2519" spans="1:2" hidden="1">
      <c r="A2519" s="36">
        <v>27329450991</v>
      </c>
      <c r="B2519" t="s">
        <v>1437</v>
      </c>
    </row>
    <row r="2520" spans="1:2" hidden="1">
      <c r="A2520" s="36">
        <v>27329450991</v>
      </c>
      <c r="B2520" t="s">
        <v>1437</v>
      </c>
    </row>
    <row r="2521" spans="1:2" hidden="1">
      <c r="A2521" s="36">
        <v>30500525327</v>
      </c>
      <c r="B2521" t="s">
        <v>1409</v>
      </c>
    </row>
    <row r="2522" spans="1:2" hidden="1">
      <c r="A2522" s="36">
        <v>30500525327</v>
      </c>
      <c r="B2522" t="s">
        <v>1409</v>
      </c>
    </row>
    <row r="2523" spans="1:2" hidden="1">
      <c r="A2523" s="36">
        <v>30715221426</v>
      </c>
      <c r="B2523" t="s">
        <v>995</v>
      </c>
    </row>
    <row r="2524" spans="1:2" hidden="1">
      <c r="A2524" s="36">
        <v>30715221426</v>
      </c>
      <c r="B2524" t="s">
        <v>995</v>
      </c>
    </row>
    <row r="2525" spans="1:2" hidden="1">
      <c r="A2525" s="36">
        <v>20939212508</v>
      </c>
      <c r="B2525" t="s">
        <v>996</v>
      </c>
    </row>
    <row r="2526" spans="1:2" hidden="1">
      <c r="A2526" s="36">
        <v>20939212508</v>
      </c>
      <c r="B2526" t="s">
        <v>996</v>
      </c>
    </row>
    <row r="2527" spans="1:2" hidden="1">
      <c r="A2527" s="36">
        <v>30711694605</v>
      </c>
      <c r="B2527" t="s">
        <v>1456</v>
      </c>
    </row>
    <row r="2528" spans="1:2" hidden="1">
      <c r="A2528" s="36">
        <v>30711694605</v>
      </c>
      <c r="B2528" t="s">
        <v>1456</v>
      </c>
    </row>
    <row r="2529" spans="1:2" hidden="1">
      <c r="A2529" s="36">
        <v>30709532568</v>
      </c>
      <c r="B2529" t="s">
        <v>997</v>
      </c>
    </row>
    <row r="2530" spans="1:2" hidden="1">
      <c r="A2530" s="36">
        <v>30709532568</v>
      </c>
      <c r="B2530" t="s">
        <v>997</v>
      </c>
    </row>
    <row r="2531" spans="1:2" hidden="1">
      <c r="A2531" s="36">
        <v>30709063061</v>
      </c>
      <c r="B2531" t="s">
        <v>998</v>
      </c>
    </row>
    <row r="2532" spans="1:2" hidden="1">
      <c r="A2532" s="36">
        <v>30709063061</v>
      </c>
      <c r="B2532" t="s">
        <v>998</v>
      </c>
    </row>
    <row r="2533" spans="1:2" hidden="1">
      <c r="A2533" s="36">
        <v>30531602273</v>
      </c>
      <c r="B2533" t="s">
        <v>1000</v>
      </c>
    </row>
    <row r="2534" spans="1:2" hidden="1">
      <c r="A2534" s="36">
        <v>30531602273</v>
      </c>
      <c r="B2534" t="s">
        <v>1000</v>
      </c>
    </row>
    <row r="2535" spans="1:2" hidden="1">
      <c r="A2535" s="36">
        <v>30709002755</v>
      </c>
      <c r="B2535" t="s">
        <v>1003</v>
      </c>
    </row>
    <row r="2536" spans="1:2" hidden="1">
      <c r="A2536" s="36">
        <v>30709002755</v>
      </c>
      <c r="B2536" t="s">
        <v>1003</v>
      </c>
    </row>
    <row r="2537" spans="1:2" hidden="1">
      <c r="A2537" s="36">
        <v>30709361895</v>
      </c>
      <c r="B2537" t="s">
        <v>1004</v>
      </c>
    </row>
    <row r="2538" spans="1:2" hidden="1">
      <c r="A2538" s="36">
        <v>30709361895</v>
      </c>
      <c r="B2538" t="s">
        <v>1004</v>
      </c>
    </row>
    <row r="2539" spans="1:2" hidden="1">
      <c r="A2539" s="36">
        <v>34584348951</v>
      </c>
      <c r="B2539" t="s">
        <v>1005</v>
      </c>
    </row>
    <row r="2540" spans="1:2" hidden="1">
      <c r="A2540" s="36">
        <v>34584348951</v>
      </c>
      <c r="B2540" t="s">
        <v>1005</v>
      </c>
    </row>
    <row r="2541" spans="1:2" hidden="1">
      <c r="A2541" s="36">
        <v>30614916490</v>
      </c>
      <c r="B2541" t="s">
        <v>1006</v>
      </c>
    </row>
    <row r="2542" spans="1:2" hidden="1">
      <c r="A2542" s="36">
        <v>30614916490</v>
      </c>
      <c r="B2542" t="s">
        <v>1006</v>
      </c>
    </row>
    <row r="2543" spans="1:2" hidden="1">
      <c r="A2543" s="36">
        <v>30715044060</v>
      </c>
      <c r="B2543" t="s">
        <v>1009</v>
      </c>
    </row>
    <row r="2544" spans="1:2" hidden="1">
      <c r="A2544" s="36">
        <v>30715044060</v>
      </c>
      <c r="B2544" t="s">
        <v>1009</v>
      </c>
    </row>
    <row r="2545" spans="1:2" hidden="1">
      <c r="A2545" s="36">
        <v>30710573936</v>
      </c>
      <c r="B2545" t="s">
        <v>1010</v>
      </c>
    </row>
    <row r="2546" spans="1:2" hidden="1">
      <c r="A2546" s="36">
        <v>30710573936</v>
      </c>
      <c r="B2546" t="s">
        <v>1010</v>
      </c>
    </row>
    <row r="2547" spans="1:2" hidden="1">
      <c r="A2547" s="36">
        <v>33712310419</v>
      </c>
      <c r="B2547" t="s">
        <v>1011</v>
      </c>
    </row>
    <row r="2548" spans="1:2" hidden="1">
      <c r="A2548" s="36">
        <v>33712310419</v>
      </c>
      <c r="B2548" t="s">
        <v>1011</v>
      </c>
    </row>
    <row r="2549" spans="1:2" hidden="1">
      <c r="A2549" s="36">
        <v>30570046663</v>
      </c>
      <c r="B2549" t="s">
        <v>1358</v>
      </c>
    </row>
    <row r="2550" spans="1:2" hidden="1">
      <c r="A2550" s="36">
        <v>30570046663</v>
      </c>
      <c r="B2550" t="s">
        <v>1358</v>
      </c>
    </row>
    <row r="2551" spans="1:2" hidden="1">
      <c r="A2551" s="36">
        <v>30708457244</v>
      </c>
      <c r="B2551" t="s">
        <v>1014</v>
      </c>
    </row>
    <row r="2552" spans="1:2" hidden="1">
      <c r="A2552" s="36">
        <v>30708457244</v>
      </c>
      <c r="B2552" t="s">
        <v>1014</v>
      </c>
    </row>
    <row r="2553" spans="1:2" hidden="1">
      <c r="A2553" s="36">
        <f>21847097</f>
        <v>21847097</v>
      </c>
      <c r="B2553" t="s">
        <v>1015</v>
      </c>
    </row>
    <row r="2554" spans="1:2" hidden="1">
      <c r="A2554" s="36">
        <f>21847097</f>
        <v>21847097</v>
      </c>
      <c r="B2554" t="s">
        <v>1015</v>
      </c>
    </row>
    <row r="2555" spans="1:2" hidden="1">
      <c r="A2555" s="36">
        <v>20279412207</v>
      </c>
      <c r="B2555" t="s">
        <v>1145</v>
      </c>
    </row>
    <row r="2556" spans="1:2" hidden="1">
      <c r="A2556" s="36">
        <v>20279412207</v>
      </c>
      <c r="B2556" t="s">
        <v>1145</v>
      </c>
    </row>
    <row r="2557" spans="1:2" hidden="1">
      <c r="A2557" s="36">
        <v>27249100019</v>
      </c>
      <c r="B2557" t="s">
        <v>1017</v>
      </c>
    </row>
    <row r="2558" spans="1:2" hidden="1">
      <c r="A2558" s="36">
        <v>27249100019</v>
      </c>
      <c r="B2558" t="s">
        <v>1017</v>
      </c>
    </row>
    <row r="2559" spans="1:2" hidden="1">
      <c r="A2559" s="36">
        <v>23161117269</v>
      </c>
      <c r="B2559" t="s">
        <v>1018</v>
      </c>
    </row>
    <row r="2560" spans="1:2" hidden="1">
      <c r="A2560" s="36">
        <v>23161117269</v>
      </c>
      <c r="B2560" t="s">
        <v>1018</v>
      </c>
    </row>
    <row r="2561" spans="1:2" hidden="1">
      <c r="A2561" s="36">
        <v>25024253</v>
      </c>
      <c r="B2561" t="s">
        <v>1328</v>
      </c>
    </row>
    <row r="2562" spans="1:2" hidden="1">
      <c r="A2562" s="36">
        <v>25024253</v>
      </c>
      <c r="B2562" t="s">
        <v>1328</v>
      </c>
    </row>
    <row r="2563" spans="1:2" hidden="1">
      <c r="A2563" s="36">
        <v>30710473168</v>
      </c>
      <c r="B2563" t="s">
        <v>1023</v>
      </c>
    </row>
    <row r="2564" spans="1:2" hidden="1">
      <c r="A2564" s="36">
        <v>30710473168</v>
      </c>
      <c r="B2564" t="s">
        <v>1023</v>
      </c>
    </row>
    <row r="2565" spans="1:2" hidden="1">
      <c r="A2565" s="36">
        <v>30661186085</v>
      </c>
      <c r="B2565" t="s">
        <v>1540</v>
      </c>
    </row>
    <row r="2566" spans="1:2" hidden="1">
      <c r="A2566" s="36">
        <v>30501912405</v>
      </c>
      <c r="B2566" t="s">
        <v>1027</v>
      </c>
    </row>
    <row r="2567" spans="1:2" hidden="1">
      <c r="A2567" s="36">
        <v>30501912405</v>
      </c>
      <c r="B2567" t="s">
        <v>1027</v>
      </c>
    </row>
    <row r="2568" spans="1:2" hidden="1">
      <c r="A2568" s="36">
        <v>30710649150</v>
      </c>
      <c r="B2568" t="s">
        <v>1028</v>
      </c>
    </row>
    <row r="2569" spans="1:2" hidden="1">
      <c r="A2569" s="36">
        <v>30710649150</v>
      </c>
      <c r="B2569" t="s">
        <v>1028</v>
      </c>
    </row>
    <row r="2570" spans="1:2" hidden="1">
      <c r="A2570" s="36">
        <v>30710649150</v>
      </c>
      <c r="B2570" t="s">
        <v>1029</v>
      </c>
    </row>
    <row r="2571" spans="1:2" hidden="1">
      <c r="A2571" s="36">
        <v>30710649150</v>
      </c>
      <c r="B2571" t="s">
        <v>1029</v>
      </c>
    </row>
    <row r="2572" spans="1:2" hidden="1">
      <c r="A2572" s="36">
        <v>30532905555</v>
      </c>
      <c r="B2572" t="s">
        <v>1555</v>
      </c>
    </row>
    <row r="2573" spans="1:2" hidden="1">
      <c r="A2573" s="36">
        <v>30710352689</v>
      </c>
      <c r="B2573" t="s">
        <v>1030</v>
      </c>
    </row>
    <row r="2574" spans="1:2" hidden="1">
      <c r="A2574" s="36">
        <v>30710352689</v>
      </c>
      <c r="B2574" t="s">
        <v>1030</v>
      </c>
    </row>
    <row r="2575" spans="1:2" hidden="1">
      <c r="A2575" s="36">
        <v>30716605007</v>
      </c>
      <c r="B2575" t="s">
        <v>1031</v>
      </c>
    </row>
    <row r="2576" spans="1:2" hidden="1">
      <c r="A2576" s="36">
        <v>30716605007</v>
      </c>
      <c r="B2576" t="s">
        <v>1031</v>
      </c>
    </row>
    <row r="2577" spans="1:4" hidden="1">
      <c r="A2577" s="36">
        <v>30711186138</v>
      </c>
      <c r="B2577" t="s">
        <v>1032</v>
      </c>
    </row>
    <row r="2578" spans="1:4" hidden="1">
      <c r="A2578" s="36">
        <v>30711186138</v>
      </c>
      <c r="B2578" t="s">
        <v>1032</v>
      </c>
    </row>
    <row r="2579" spans="1:4" hidden="1">
      <c r="A2579" s="36">
        <v>33710531299</v>
      </c>
      <c r="B2579" t="s">
        <v>1033</v>
      </c>
    </row>
    <row r="2580" spans="1:4" hidden="1">
      <c r="A2580" s="36">
        <v>33710531299</v>
      </c>
      <c r="B2580" t="s">
        <v>1033</v>
      </c>
    </row>
    <row r="2581" spans="1:4" hidden="1">
      <c r="A2581" s="36">
        <v>30717145328</v>
      </c>
      <c r="B2581" t="s">
        <v>1035</v>
      </c>
    </row>
    <row r="2582" spans="1:4" hidden="1">
      <c r="A2582" s="36">
        <v>30717145328</v>
      </c>
      <c r="B2582" t="s">
        <v>1035</v>
      </c>
    </row>
    <row r="2583" spans="1:4" hidden="1">
      <c r="A2583" s="36">
        <v>33714677239</v>
      </c>
      <c r="B2583" t="s">
        <v>1355</v>
      </c>
      <c r="D2583" t="s">
        <v>1754</v>
      </c>
    </row>
    <row r="2584" spans="1:4" hidden="1">
      <c r="A2584" s="36">
        <v>20366883879</v>
      </c>
      <c r="B2584" t="s">
        <v>1394</v>
      </c>
    </row>
    <row r="2585" spans="1:4" hidden="1">
      <c r="A2585" s="36">
        <v>20366883879</v>
      </c>
      <c r="B2585" t="s">
        <v>1394</v>
      </c>
    </row>
    <row r="2586" spans="1:4" hidden="1">
      <c r="A2586" s="36">
        <v>30709034304</v>
      </c>
      <c r="B2586" t="s">
        <v>1037</v>
      </c>
    </row>
    <row r="2587" spans="1:4" hidden="1">
      <c r="A2587" s="36">
        <v>30709034304</v>
      </c>
      <c r="B2587" t="s">
        <v>1037</v>
      </c>
    </row>
    <row r="2588" spans="1:4" hidden="1">
      <c r="A2588" s="36">
        <v>20116347742</v>
      </c>
      <c r="B2588" t="s">
        <v>1510</v>
      </c>
    </row>
    <row r="2589" spans="1:4" hidden="1">
      <c r="A2589" s="36">
        <v>20234542371</v>
      </c>
      <c r="B2589" t="s">
        <v>1038</v>
      </c>
    </row>
    <row r="2590" spans="1:4" hidden="1">
      <c r="A2590" s="36">
        <v>20234542371</v>
      </c>
      <c r="B2590" t="s">
        <v>1038</v>
      </c>
    </row>
    <row r="2591" spans="1:4" hidden="1">
      <c r="A2591" s="36">
        <v>20161297217</v>
      </c>
      <c r="B2591" t="s">
        <v>1039</v>
      </c>
    </row>
    <row r="2592" spans="1:4" hidden="1">
      <c r="A2592" s="36">
        <v>20135300277</v>
      </c>
      <c r="B2592" t="s">
        <v>1040</v>
      </c>
    </row>
    <row r="2593" spans="1:2" hidden="1">
      <c r="A2593" s="36">
        <v>20135300277</v>
      </c>
      <c r="B2593" t="s">
        <v>1040</v>
      </c>
    </row>
    <row r="2594" spans="1:2" hidden="1">
      <c r="A2594" s="36">
        <v>23269528214</v>
      </c>
      <c r="B2594" t="s">
        <v>1185</v>
      </c>
    </row>
    <row r="2595" spans="1:2" hidden="1">
      <c r="A2595" s="36">
        <v>23269528214</v>
      </c>
      <c r="B2595" t="s">
        <v>1185</v>
      </c>
    </row>
    <row r="2596" spans="1:2" hidden="1">
      <c r="A2596" s="36">
        <v>20044441269</v>
      </c>
      <c r="B2596" t="s">
        <v>1041</v>
      </c>
    </row>
    <row r="2597" spans="1:2" hidden="1">
      <c r="A2597" s="36">
        <v>34569874</v>
      </c>
      <c r="B2597" t="s">
        <v>1266</v>
      </c>
    </row>
    <row r="2598" spans="1:2" hidden="1">
      <c r="A2598" s="36">
        <v>34569874</v>
      </c>
      <c r="B2598" t="s">
        <v>1266</v>
      </c>
    </row>
    <row r="2599" spans="1:2" hidden="1">
      <c r="A2599" s="36">
        <v>26822235</v>
      </c>
      <c r="B2599" t="s">
        <v>1230</v>
      </c>
    </row>
    <row r="2600" spans="1:2" hidden="1">
      <c r="A2600" s="36">
        <v>92475517</v>
      </c>
      <c r="B2600" t="s">
        <v>1222</v>
      </c>
    </row>
    <row r="2601" spans="1:2" hidden="1">
      <c r="A2601" s="36">
        <v>92475517</v>
      </c>
      <c r="B2601" t="s">
        <v>1222</v>
      </c>
    </row>
    <row r="2602" spans="1:2" hidden="1">
      <c r="A2602" s="36">
        <v>92475517</v>
      </c>
      <c r="B2602" t="s">
        <v>1222</v>
      </c>
    </row>
    <row r="2603" spans="1:2" hidden="1">
      <c r="A2603" s="36">
        <v>92475517</v>
      </c>
      <c r="B2603" t="s">
        <v>1222</v>
      </c>
    </row>
    <row r="2604" spans="1:2" hidden="1">
      <c r="A2604" s="36">
        <v>20138513670</v>
      </c>
      <c r="B2604" t="s">
        <v>1042</v>
      </c>
    </row>
    <row r="2605" spans="1:2" hidden="1">
      <c r="A2605" s="36">
        <v>20138513670</v>
      </c>
      <c r="B2605" t="s">
        <v>1042</v>
      </c>
    </row>
    <row r="2606" spans="1:2" hidden="1">
      <c r="A2606" s="36">
        <v>20121003792</v>
      </c>
      <c r="B2606" t="s">
        <v>1043</v>
      </c>
    </row>
    <row r="2607" spans="1:2" hidden="1">
      <c r="A2607" s="36">
        <v>20161507165</v>
      </c>
      <c r="B2607" t="s">
        <v>1044</v>
      </c>
    </row>
    <row r="2608" spans="1:2" hidden="1">
      <c r="A2608" s="36">
        <f>93455751</f>
        <v>93455751</v>
      </c>
      <c r="B2608" t="s">
        <v>1046</v>
      </c>
    </row>
    <row r="2609" spans="1:2" hidden="1">
      <c r="A2609" s="36">
        <f>93455751</f>
        <v>93455751</v>
      </c>
      <c r="B2609" t="s">
        <v>1046</v>
      </c>
    </row>
    <row r="2610" spans="1:2" hidden="1">
      <c r="A2610" s="36">
        <v>23107038124</v>
      </c>
      <c r="B2610" t="s">
        <v>1047</v>
      </c>
    </row>
    <row r="2611" spans="1:2" hidden="1">
      <c r="A2611" s="36">
        <v>23107038124</v>
      </c>
      <c r="B2611" t="s">
        <v>1047</v>
      </c>
    </row>
    <row r="2612" spans="1:2" hidden="1">
      <c r="A2612" s="36">
        <v>27242509612</v>
      </c>
      <c r="B2612" t="s">
        <v>1190</v>
      </c>
    </row>
    <row r="2613" spans="1:2" hidden="1">
      <c r="A2613" s="36">
        <v>27242509612</v>
      </c>
      <c r="B2613" t="s">
        <v>1190</v>
      </c>
    </row>
    <row r="2614" spans="1:2" hidden="1">
      <c r="A2614" s="36">
        <v>27102598747</v>
      </c>
      <c r="B2614" t="s">
        <v>1048</v>
      </c>
    </row>
    <row r="2615" spans="1:2" hidden="1">
      <c r="A2615" s="36">
        <v>27102598747</v>
      </c>
      <c r="B2615" t="s">
        <v>1048</v>
      </c>
    </row>
    <row r="2616" spans="1:2" hidden="1">
      <c r="A2616" s="36">
        <v>20256641993</v>
      </c>
      <c r="B2616" t="s">
        <v>1049</v>
      </c>
    </row>
    <row r="2617" spans="1:2" hidden="1">
      <c r="A2617" s="36">
        <v>20256641993</v>
      </c>
      <c r="B2617" t="s">
        <v>1049</v>
      </c>
    </row>
    <row r="2618" spans="1:2" hidden="1">
      <c r="A2618" s="36">
        <v>30715222112</v>
      </c>
      <c r="B2618" t="s">
        <v>1050</v>
      </c>
    </row>
    <row r="2619" spans="1:2" hidden="1">
      <c r="A2619" s="36">
        <v>30715222112</v>
      </c>
      <c r="B2619" t="s">
        <v>1050</v>
      </c>
    </row>
    <row r="2620" spans="1:2" hidden="1">
      <c r="A2620" s="36">
        <v>20206659379</v>
      </c>
      <c r="B2620" t="s">
        <v>1462</v>
      </c>
    </row>
    <row r="2621" spans="1:2" hidden="1">
      <c r="A2621" s="36">
        <v>20206659379</v>
      </c>
      <c r="B2621" t="s">
        <v>1462</v>
      </c>
    </row>
    <row r="2622" spans="1:2" hidden="1">
      <c r="A2622" s="36">
        <v>23386252629</v>
      </c>
      <c r="B2622" t="s">
        <v>1052</v>
      </c>
    </row>
    <row r="2623" spans="1:2" hidden="1">
      <c r="A2623" s="36">
        <v>23386252629</v>
      </c>
      <c r="B2623" t="s">
        <v>1052</v>
      </c>
    </row>
    <row r="2624" spans="1:2" hidden="1">
      <c r="A2624" s="36">
        <f>16458001</f>
        <v>16458001</v>
      </c>
      <c r="B2624" t="s">
        <v>1053</v>
      </c>
    </row>
    <row r="2625" spans="1:2" hidden="1">
      <c r="A2625" s="36">
        <f>16458001</f>
        <v>16458001</v>
      </c>
      <c r="B2625" t="s">
        <v>1053</v>
      </c>
    </row>
    <row r="2626" spans="1:2" hidden="1">
      <c r="A2626" s="36">
        <v>27036968910</v>
      </c>
      <c r="B2626" t="s">
        <v>1054</v>
      </c>
    </row>
    <row r="2627" spans="1:2" hidden="1">
      <c r="A2627" s="36">
        <v>27036968910</v>
      </c>
      <c r="B2627" t="s">
        <v>1054</v>
      </c>
    </row>
    <row r="2628" spans="1:2" hidden="1">
      <c r="A2628" s="36">
        <v>27149028302</v>
      </c>
      <c r="B2628" t="s">
        <v>1055</v>
      </c>
    </row>
    <row r="2629" spans="1:2" hidden="1">
      <c r="A2629" s="36">
        <v>27149028302</v>
      </c>
      <c r="B2629" t="s">
        <v>1055</v>
      </c>
    </row>
    <row r="2630" spans="1:2" hidden="1">
      <c r="A2630" s="36">
        <v>27003352000</v>
      </c>
      <c r="B2630" t="s">
        <v>1056</v>
      </c>
    </row>
    <row r="2631" spans="1:2" hidden="1">
      <c r="A2631" s="36">
        <v>27003352000</v>
      </c>
      <c r="B2631" t="s">
        <v>1056</v>
      </c>
    </row>
    <row r="2632" spans="1:2" hidden="1">
      <c r="A2632" s="36">
        <v>20242071574</v>
      </c>
      <c r="B2632" t="s">
        <v>1465</v>
      </c>
    </row>
    <row r="2633" spans="1:2" hidden="1">
      <c r="A2633" s="36">
        <v>33709179379</v>
      </c>
      <c r="B2633" t="s">
        <v>1057</v>
      </c>
    </row>
    <row r="2634" spans="1:2" hidden="1">
      <c r="A2634" s="36">
        <v>33709179379</v>
      </c>
      <c r="B2634" t="s">
        <v>1057</v>
      </c>
    </row>
    <row r="2635" spans="1:2" hidden="1">
      <c r="A2635" s="36">
        <v>30715385216</v>
      </c>
      <c r="B2635" t="s">
        <v>1415</v>
      </c>
    </row>
    <row r="2636" spans="1:2" hidden="1">
      <c r="A2636" s="36">
        <v>30715385216</v>
      </c>
      <c r="B2636" t="s">
        <v>1415</v>
      </c>
    </row>
    <row r="2637" spans="1:2" hidden="1">
      <c r="A2637" s="36">
        <v>20176063573</v>
      </c>
      <c r="B2637" t="s">
        <v>1059</v>
      </c>
    </row>
    <row r="2638" spans="1:2" hidden="1">
      <c r="A2638" s="36">
        <v>20176063573</v>
      </c>
      <c r="B2638" t="s">
        <v>1059</v>
      </c>
    </row>
    <row r="2639" spans="1:2" hidden="1">
      <c r="A2639" s="36">
        <f>14287880</f>
        <v>14287880</v>
      </c>
      <c r="B2639" t="s">
        <v>1060</v>
      </c>
    </row>
    <row r="2640" spans="1:2" hidden="1">
      <c r="A2640" s="36">
        <f>14287880</f>
        <v>14287880</v>
      </c>
      <c r="B2640" t="s">
        <v>1060</v>
      </c>
    </row>
    <row r="2641" spans="1:2" hidden="1">
      <c r="A2641" s="36">
        <v>20178221974</v>
      </c>
      <c r="B2641" t="s">
        <v>1061</v>
      </c>
    </row>
    <row r="2642" spans="1:2" hidden="1">
      <c r="A2642" s="36">
        <v>20178221974</v>
      </c>
      <c r="B2642" t="s">
        <v>1061</v>
      </c>
    </row>
    <row r="2643" spans="1:2" hidden="1">
      <c r="A2643" s="36">
        <v>20939843907</v>
      </c>
      <c r="B2643" t="s">
        <v>1062</v>
      </c>
    </row>
    <row r="2644" spans="1:2" hidden="1">
      <c r="A2644" s="36">
        <v>20939843907</v>
      </c>
      <c r="B2644" t="s">
        <v>1062</v>
      </c>
    </row>
    <row r="2645" spans="1:2" hidden="1">
      <c r="A2645" s="36">
        <v>30681830800</v>
      </c>
      <c r="B2645" t="s">
        <v>1063</v>
      </c>
    </row>
    <row r="2646" spans="1:2" hidden="1">
      <c r="A2646" s="36">
        <v>30681830800</v>
      </c>
      <c r="B2646" t="s">
        <v>1063</v>
      </c>
    </row>
    <row r="2647" spans="1:2" hidden="1">
      <c r="A2647" s="36">
        <v>30624872874</v>
      </c>
      <c r="B2647" t="s">
        <v>1065</v>
      </c>
    </row>
    <row r="2648" spans="1:2" hidden="1">
      <c r="A2648" s="36">
        <v>30624872874</v>
      </c>
      <c r="B2648" t="s">
        <v>1065</v>
      </c>
    </row>
    <row r="2649" spans="1:2" hidden="1">
      <c r="A2649" s="36">
        <v>33717549479</v>
      </c>
      <c r="B2649" t="s">
        <v>1066</v>
      </c>
    </row>
    <row r="2650" spans="1:2" hidden="1">
      <c r="A2650" s="36">
        <v>33717549479</v>
      </c>
      <c r="B2650" t="s">
        <v>1066</v>
      </c>
    </row>
    <row r="2651" spans="1:2" hidden="1">
      <c r="A2651" s="36">
        <v>20278120</v>
      </c>
      <c r="B2651" t="s">
        <v>1279</v>
      </c>
    </row>
    <row r="2652" spans="1:2" hidden="1">
      <c r="A2652" s="36">
        <v>20278120</v>
      </c>
      <c r="B2652" t="s">
        <v>1279</v>
      </c>
    </row>
    <row r="2653" spans="1:2" hidden="1">
      <c r="A2653" s="36">
        <v>30717040267</v>
      </c>
      <c r="B2653" t="s">
        <v>1071</v>
      </c>
    </row>
    <row r="2654" spans="1:2" hidden="1">
      <c r="A2654" s="36">
        <v>30717040267</v>
      </c>
      <c r="B2654" t="s">
        <v>1071</v>
      </c>
    </row>
    <row r="2655" spans="1:2" hidden="1">
      <c r="A2655" s="36">
        <v>30715595407</v>
      </c>
      <c r="B2655" t="s">
        <v>1072</v>
      </c>
    </row>
    <row r="2656" spans="1:2" hidden="1">
      <c r="A2656" s="36">
        <v>30715595407</v>
      </c>
      <c r="B2656" t="s">
        <v>1072</v>
      </c>
    </row>
    <row r="2657" spans="1:2" hidden="1">
      <c r="A2657" s="36">
        <v>25121194</v>
      </c>
      <c r="B2657" t="s">
        <v>1276</v>
      </c>
    </row>
    <row r="2658" spans="1:2" hidden="1">
      <c r="A2658" s="36">
        <v>25121194</v>
      </c>
      <c r="B2658" t="s">
        <v>1276</v>
      </c>
    </row>
    <row r="2659" spans="1:2" hidden="1">
      <c r="A2659" s="36">
        <v>20334416632</v>
      </c>
      <c r="B2659" t="s">
        <v>1379</v>
      </c>
    </row>
    <row r="2660" spans="1:2" hidden="1">
      <c r="A2660" s="36">
        <v>20334416632</v>
      </c>
      <c r="B2660" t="s">
        <v>1379</v>
      </c>
    </row>
    <row r="2661" spans="1:2" hidden="1">
      <c r="A2661" s="36">
        <v>33682919839</v>
      </c>
      <c r="B2661" t="s">
        <v>1074</v>
      </c>
    </row>
    <row r="2662" spans="1:2" hidden="1">
      <c r="A2662" s="36">
        <v>33682919839</v>
      </c>
      <c r="B2662" t="s">
        <v>1074</v>
      </c>
    </row>
    <row r="2663" spans="1:2" hidden="1">
      <c r="A2663" s="36">
        <v>20188505911</v>
      </c>
      <c r="B2663" t="s">
        <v>1075</v>
      </c>
    </row>
    <row r="2664" spans="1:2" hidden="1">
      <c r="A2664" s="36">
        <v>20188505911</v>
      </c>
      <c r="B2664" t="s">
        <v>1075</v>
      </c>
    </row>
    <row r="2665" spans="1:2" hidden="1">
      <c r="A2665" s="36">
        <v>20945931907</v>
      </c>
      <c r="B2665" t="s">
        <v>1076</v>
      </c>
    </row>
    <row r="2666" spans="1:2" hidden="1">
      <c r="A2666" s="36">
        <v>20945931907</v>
      </c>
      <c r="B2666" t="s">
        <v>1076</v>
      </c>
    </row>
    <row r="2667" spans="1:2" hidden="1">
      <c r="A2667" s="36">
        <v>28732994</v>
      </c>
      <c r="B2667" t="s">
        <v>1249</v>
      </c>
    </row>
    <row r="2668" spans="1:2" hidden="1">
      <c r="A2668" s="36">
        <v>28732994</v>
      </c>
      <c r="B2668" t="s">
        <v>1249</v>
      </c>
    </row>
    <row r="2669" spans="1:2" hidden="1">
      <c r="A2669" s="36">
        <v>28732994</v>
      </c>
      <c r="B2669" t="s">
        <v>1249</v>
      </c>
    </row>
    <row r="2670" spans="1:2" hidden="1">
      <c r="A2670" s="36">
        <v>28732994</v>
      </c>
      <c r="B2670" t="s">
        <v>1249</v>
      </c>
    </row>
    <row r="2671" spans="1:2" hidden="1">
      <c r="A2671" s="36">
        <v>29266476</v>
      </c>
      <c r="B2671" t="s">
        <v>1341</v>
      </c>
    </row>
    <row r="2672" spans="1:2" hidden="1">
      <c r="A2672" s="36">
        <v>29266476</v>
      </c>
      <c r="B2672" t="s">
        <v>1341</v>
      </c>
    </row>
    <row r="2673" spans="1:2" hidden="1">
      <c r="A2673" s="36">
        <v>29266476</v>
      </c>
      <c r="B2673" t="s">
        <v>1341</v>
      </c>
    </row>
    <row r="2674" spans="1:2" hidden="1">
      <c r="A2674" s="36">
        <v>29266476</v>
      </c>
      <c r="B2674" t="s">
        <v>1341</v>
      </c>
    </row>
    <row r="2675" spans="1:2" hidden="1">
      <c r="A2675" s="36">
        <v>29266476</v>
      </c>
      <c r="B2675" t="s">
        <v>1341</v>
      </c>
    </row>
    <row r="2676" spans="1:2" hidden="1">
      <c r="A2676" s="36">
        <v>29266476</v>
      </c>
      <c r="B2676" t="s">
        <v>1341</v>
      </c>
    </row>
    <row r="2677" spans="1:2" hidden="1">
      <c r="A2677" s="36">
        <v>20117243533</v>
      </c>
      <c r="B2677" t="s">
        <v>1077</v>
      </c>
    </row>
    <row r="2678" spans="1:2" hidden="1">
      <c r="A2678" s="36">
        <v>20117243533</v>
      </c>
      <c r="B2678" t="s">
        <v>1077</v>
      </c>
    </row>
    <row r="2679" spans="1:2" hidden="1">
      <c r="A2679" s="36">
        <v>20209071550</v>
      </c>
      <c r="B2679" t="s">
        <v>1078</v>
      </c>
    </row>
    <row r="2680" spans="1:2" hidden="1">
      <c r="A2680" s="36">
        <v>20209071550</v>
      </c>
      <c r="B2680" t="s">
        <v>1078</v>
      </c>
    </row>
    <row r="2681" spans="1:2" hidden="1">
      <c r="A2681" s="36">
        <v>27934121088</v>
      </c>
      <c r="B2681" t="s">
        <v>1079</v>
      </c>
    </row>
    <row r="2682" spans="1:2" hidden="1">
      <c r="A2682" s="36">
        <v>27934121088</v>
      </c>
      <c r="B2682" t="s">
        <v>1079</v>
      </c>
    </row>
    <row r="2683" spans="1:2" hidden="1">
      <c r="A2683" s="36">
        <v>20321447997</v>
      </c>
      <c r="B2683" t="s">
        <v>1080</v>
      </c>
    </row>
    <row r="2684" spans="1:2" hidden="1">
      <c r="A2684" s="36">
        <v>20321447997</v>
      </c>
      <c r="B2684" t="s">
        <v>1080</v>
      </c>
    </row>
    <row r="2685" spans="1:2" hidden="1">
      <c r="A2685" s="36">
        <v>18603248</v>
      </c>
      <c r="B2685" t="s">
        <v>1234</v>
      </c>
    </row>
    <row r="2686" spans="1:2" hidden="1">
      <c r="A2686" s="36">
        <v>18603248</v>
      </c>
      <c r="B2686" t="s">
        <v>1234</v>
      </c>
    </row>
    <row r="2687" spans="1:2" hidden="1">
      <c r="A2687" s="36">
        <v>30714429112</v>
      </c>
      <c r="B2687" t="s">
        <v>1081</v>
      </c>
    </row>
    <row r="2688" spans="1:2" hidden="1">
      <c r="A2688" s="36">
        <v>30714429112</v>
      </c>
      <c r="B2688" t="s">
        <v>1081</v>
      </c>
    </row>
    <row r="2689" spans="1:2" hidden="1">
      <c r="A2689" s="36">
        <v>20169401196</v>
      </c>
      <c r="B2689" t="s">
        <v>1082</v>
      </c>
    </row>
    <row r="2690" spans="1:2" hidden="1">
      <c r="A2690" s="36">
        <v>20169401196</v>
      </c>
      <c r="B2690" t="s">
        <v>1082</v>
      </c>
    </row>
    <row r="2691" spans="1:2" hidden="1">
      <c r="A2691" s="36">
        <v>20325226316</v>
      </c>
      <c r="B2691" t="s">
        <v>1083</v>
      </c>
    </row>
    <row r="2692" spans="1:2" hidden="1">
      <c r="A2692" s="36">
        <v>20325226316</v>
      </c>
      <c r="B2692" t="s">
        <v>1083</v>
      </c>
    </row>
    <row r="2693" spans="1:2" hidden="1">
      <c r="A2693" s="36">
        <v>20137229944</v>
      </c>
      <c r="B2693" t="s">
        <v>1085</v>
      </c>
    </row>
    <row r="2694" spans="1:2" hidden="1">
      <c r="A2694" s="36">
        <v>20137229944</v>
      </c>
      <c r="B2694" t="s">
        <v>1085</v>
      </c>
    </row>
    <row r="2695" spans="1:2" hidden="1">
      <c r="A2695" s="36">
        <v>23112144064</v>
      </c>
      <c r="B2695" t="s">
        <v>1087</v>
      </c>
    </row>
    <row r="2696" spans="1:2" hidden="1">
      <c r="A2696" s="36">
        <v>23112144064</v>
      </c>
      <c r="B2696" t="s">
        <v>1087</v>
      </c>
    </row>
    <row r="2697" spans="1:2" hidden="1">
      <c r="A2697" s="36">
        <v>20250206284</v>
      </c>
      <c r="B2697" t="s">
        <v>1088</v>
      </c>
    </row>
    <row r="2698" spans="1:2" hidden="1">
      <c r="A2698" s="36">
        <v>20250206284</v>
      </c>
      <c r="B2698" t="s">
        <v>1088</v>
      </c>
    </row>
    <row r="2699" spans="1:2" hidden="1">
      <c r="A2699" s="36">
        <v>94318201</v>
      </c>
      <c r="B2699" t="s">
        <v>1278</v>
      </c>
    </row>
    <row r="2700" spans="1:2" hidden="1">
      <c r="A2700" s="36">
        <v>94318201</v>
      </c>
      <c r="B2700" t="s">
        <v>1278</v>
      </c>
    </row>
    <row r="2701" spans="1:2" hidden="1">
      <c r="A2701" s="36">
        <v>27160098746</v>
      </c>
      <c r="B2701" t="s">
        <v>1089</v>
      </c>
    </row>
    <row r="2702" spans="1:2" hidden="1">
      <c r="A2702" s="36">
        <v>27160098746</v>
      </c>
      <c r="B2702" t="s">
        <v>1089</v>
      </c>
    </row>
    <row r="2703" spans="1:2" hidden="1">
      <c r="A2703" s="36">
        <v>20225501190</v>
      </c>
      <c r="B2703" t="s">
        <v>1091</v>
      </c>
    </row>
    <row r="2704" spans="1:2" hidden="1">
      <c r="A2704" s="36">
        <v>20225501190</v>
      </c>
      <c r="B2704" t="s">
        <v>1091</v>
      </c>
    </row>
    <row r="2705" spans="1:2" hidden="1">
      <c r="A2705" s="36">
        <v>23787603</v>
      </c>
      <c r="B2705" t="s">
        <v>1290</v>
      </c>
    </row>
    <row r="2706" spans="1:2" hidden="1">
      <c r="A2706" s="36">
        <v>23787603</v>
      </c>
      <c r="B2706" t="s">
        <v>1290</v>
      </c>
    </row>
    <row r="2707" spans="1:2" hidden="1">
      <c r="A2707" s="36">
        <v>23787603</v>
      </c>
      <c r="B2707" t="s">
        <v>1290</v>
      </c>
    </row>
    <row r="2708" spans="1:2" hidden="1">
      <c r="A2708" s="36">
        <v>23787603</v>
      </c>
      <c r="B2708" t="s">
        <v>1290</v>
      </c>
    </row>
    <row r="2709" spans="1:2" hidden="1">
      <c r="A2709" s="36">
        <v>23787603</v>
      </c>
      <c r="B2709" t="s">
        <v>1290</v>
      </c>
    </row>
    <row r="2710" spans="1:2" hidden="1">
      <c r="A2710" s="36">
        <v>23787603</v>
      </c>
      <c r="B2710" t="s">
        <v>1290</v>
      </c>
    </row>
    <row r="2711" spans="1:2" hidden="1">
      <c r="A2711" s="36">
        <v>32758476</v>
      </c>
      <c r="B2711" t="s">
        <v>1303</v>
      </c>
    </row>
    <row r="2712" spans="1:2" hidden="1">
      <c r="A2712" s="36">
        <v>32758476</v>
      </c>
      <c r="B2712" t="s">
        <v>1303</v>
      </c>
    </row>
    <row r="2713" spans="1:2" hidden="1">
      <c r="A2713" s="36">
        <v>30715581562</v>
      </c>
      <c r="B2713" t="s">
        <v>1093</v>
      </c>
    </row>
    <row r="2714" spans="1:2" hidden="1">
      <c r="A2714" s="36">
        <v>30715581562</v>
      </c>
      <c r="B2714" t="s">
        <v>1093</v>
      </c>
    </row>
    <row r="2715" spans="1:2" hidden="1">
      <c r="A2715" s="36">
        <v>30687182959</v>
      </c>
      <c r="B2715" t="s">
        <v>1094</v>
      </c>
    </row>
    <row r="2716" spans="1:2" hidden="1">
      <c r="A2716" s="36">
        <v>30687182959</v>
      </c>
      <c r="B2716" t="s">
        <v>1094</v>
      </c>
    </row>
    <row r="2717" spans="1:2" hidden="1">
      <c r="A2717" s="36">
        <v>30712121714</v>
      </c>
      <c r="B2717" t="s">
        <v>1095</v>
      </c>
    </row>
    <row r="2718" spans="1:2" hidden="1">
      <c r="A2718" s="36">
        <v>30712121714</v>
      </c>
      <c r="B2718" t="s">
        <v>1095</v>
      </c>
    </row>
    <row r="2719" spans="1:2" hidden="1">
      <c r="A2719" s="36">
        <v>20215878822</v>
      </c>
      <c r="B2719" t="s">
        <v>1098</v>
      </c>
    </row>
    <row r="2720" spans="1:2" hidden="1">
      <c r="A2720" s="36">
        <v>20215878822</v>
      </c>
      <c r="B2720" t="s">
        <v>1098</v>
      </c>
    </row>
    <row r="2721" spans="1:2" hidden="1">
      <c r="A2721" s="36">
        <v>33709309159</v>
      </c>
      <c r="B2721" t="s">
        <v>1099</v>
      </c>
    </row>
    <row r="2722" spans="1:2" hidden="1">
      <c r="A2722" s="36">
        <v>33709309159</v>
      </c>
      <c r="B2722" t="s">
        <v>1099</v>
      </c>
    </row>
    <row r="2723" spans="1:2" hidden="1">
      <c r="A2723" s="36">
        <v>30711499500</v>
      </c>
      <c r="B2723" t="s">
        <v>1100</v>
      </c>
    </row>
    <row r="2724" spans="1:2" hidden="1">
      <c r="A2724" s="36">
        <v>30711499500</v>
      </c>
      <c r="B2724" t="s">
        <v>1100</v>
      </c>
    </row>
    <row r="2725" spans="1:2" hidden="1">
      <c r="A2725" s="36">
        <v>20202493751</v>
      </c>
      <c r="B2725" t="s">
        <v>1101</v>
      </c>
    </row>
    <row r="2726" spans="1:2" hidden="1">
      <c r="A2726" s="36">
        <v>20202493751</v>
      </c>
      <c r="B2726" t="s">
        <v>1101</v>
      </c>
    </row>
    <row r="2727" spans="1:2" hidden="1">
      <c r="A2727" s="36">
        <v>30715877453</v>
      </c>
      <c r="B2727" t="s">
        <v>1102</v>
      </c>
    </row>
    <row r="2728" spans="1:2" hidden="1">
      <c r="A2728" s="36">
        <v>30715877453</v>
      </c>
      <c r="B2728" t="s">
        <v>1102</v>
      </c>
    </row>
    <row r="2729" spans="1:2" hidden="1">
      <c r="A2729" s="36">
        <v>30715987437</v>
      </c>
      <c r="B2729" t="s">
        <v>1103</v>
      </c>
    </row>
    <row r="2730" spans="1:2" hidden="1">
      <c r="A2730" s="36">
        <v>30715987437</v>
      </c>
      <c r="B2730" t="s">
        <v>1103</v>
      </c>
    </row>
    <row r="2731" spans="1:2" hidden="1">
      <c r="A2731" s="36">
        <v>30712383603</v>
      </c>
      <c r="B2731" t="s">
        <v>1104</v>
      </c>
    </row>
    <row r="2732" spans="1:2" hidden="1">
      <c r="A2732" s="36">
        <v>30712383603</v>
      </c>
      <c r="B2732" t="s">
        <v>1104</v>
      </c>
    </row>
    <row r="2733" spans="1:2" hidden="1">
      <c r="A2733" s="36">
        <v>20202020527</v>
      </c>
      <c r="B2733" t="s">
        <v>1106</v>
      </c>
    </row>
    <row r="2734" spans="1:2" hidden="1">
      <c r="A2734" s="36">
        <v>20202020527</v>
      </c>
      <c r="B2734" t="s">
        <v>1106</v>
      </c>
    </row>
    <row r="2735" spans="1:2" hidden="1">
      <c r="A2735" s="36">
        <v>30712148191</v>
      </c>
      <c r="B2735" t="s">
        <v>1107</v>
      </c>
    </row>
    <row r="2736" spans="1:2" hidden="1">
      <c r="A2736" s="36">
        <v>30712148191</v>
      </c>
      <c r="B2736" t="s">
        <v>1107</v>
      </c>
    </row>
    <row r="2737" spans="1:2" hidden="1">
      <c r="A2737" s="36">
        <v>30688410890</v>
      </c>
      <c r="B2737" t="s">
        <v>1108</v>
      </c>
    </row>
    <row r="2738" spans="1:2" hidden="1">
      <c r="A2738" s="36">
        <v>30688410890</v>
      </c>
      <c r="B2738" t="s">
        <v>1108</v>
      </c>
    </row>
    <row r="2739" spans="1:2" hidden="1">
      <c r="A2739" s="36">
        <v>30695243673</v>
      </c>
      <c r="B2739" t="s">
        <v>1110</v>
      </c>
    </row>
    <row r="2740" spans="1:2" hidden="1">
      <c r="A2740" s="36">
        <v>30695243673</v>
      </c>
      <c r="B2740" t="s">
        <v>1110</v>
      </c>
    </row>
    <row r="2741" spans="1:2" hidden="1">
      <c r="A2741" s="36">
        <v>30707796851</v>
      </c>
      <c r="B2741" t="s">
        <v>1111</v>
      </c>
    </row>
    <row r="2742" spans="1:2" hidden="1">
      <c r="A2742" s="36">
        <v>30707796851</v>
      </c>
      <c r="B2742" t="s">
        <v>1111</v>
      </c>
    </row>
    <row r="2743" spans="1:2" hidden="1">
      <c r="A2743" s="36">
        <v>27209731814</v>
      </c>
      <c r="B2743" t="s">
        <v>1112</v>
      </c>
    </row>
    <row r="2744" spans="1:2" hidden="1">
      <c r="A2744" s="36">
        <v>27209731814</v>
      </c>
      <c r="B2744" t="s">
        <v>1112</v>
      </c>
    </row>
    <row r="2745" spans="1:2" hidden="1">
      <c r="A2745" s="36">
        <v>27325577539</v>
      </c>
      <c r="B2745" t="s">
        <v>1115</v>
      </c>
    </row>
    <row r="2746" spans="1:2" hidden="1">
      <c r="A2746" s="36">
        <v>27325577539</v>
      </c>
      <c r="B2746" t="s">
        <v>1115</v>
      </c>
    </row>
    <row r="2747" spans="1:2" hidden="1">
      <c r="A2747" s="36">
        <v>20179571235</v>
      </c>
      <c r="B2747" t="s">
        <v>1116</v>
      </c>
    </row>
    <row r="2748" spans="1:2" hidden="1">
      <c r="A2748" s="36">
        <v>20179571235</v>
      </c>
      <c r="B2748" t="s">
        <v>1116</v>
      </c>
    </row>
    <row r="2749" spans="1:2" hidden="1">
      <c r="A2749" s="36">
        <v>20238054592</v>
      </c>
      <c r="B2749" t="s">
        <v>1117</v>
      </c>
    </row>
    <row r="2750" spans="1:2" hidden="1">
      <c r="A2750" s="36">
        <v>20238054592</v>
      </c>
      <c r="B2750" t="s">
        <v>1117</v>
      </c>
    </row>
    <row r="2751" spans="1:2" hidden="1">
      <c r="A2751" s="36">
        <v>27242128252</v>
      </c>
      <c r="B2751" t="s">
        <v>1486</v>
      </c>
    </row>
    <row r="2752" spans="1:2" hidden="1">
      <c r="A2752" s="36">
        <v>27055704444</v>
      </c>
      <c r="B2752" t="s">
        <v>1119</v>
      </c>
    </row>
    <row r="2753" spans="1:2" hidden="1">
      <c r="A2753" s="36">
        <v>27055704444</v>
      </c>
      <c r="B2753" t="s">
        <v>1119</v>
      </c>
    </row>
    <row r="2754" spans="1:2" hidden="1">
      <c r="A2754" s="36">
        <v>30712352341</v>
      </c>
      <c r="B2754" t="s">
        <v>1120</v>
      </c>
    </row>
    <row r="2755" spans="1:2" hidden="1">
      <c r="A2755" s="36">
        <v>30712352341</v>
      </c>
      <c r="B2755" t="s">
        <v>1120</v>
      </c>
    </row>
    <row r="2756" spans="1:2" hidden="1">
      <c r="A2756" s="36">
        <v>30716247054</v>
      </c>
      <c r="B2756" t="s">
        <v>1121</v>
      </c>
    </row>
    <row r="2757" spans="1:2" hidden="1">
      <c r="A2757" s="36">
        <v>30716247054</v>
      </c>
      <c r="B2757" t="s">
        <v>1121</v>
      </c>
    </row>
    <row r="2758" spans="1:2" hidden="1">
      <c r="A2758" s="36">
        <v>20187987335</v>
      </c>
      <c r="B2758" t="s">
        <v>1122</v>
      </c>
    </row>
    <row r="2759" spans="1:2" hidden="1">
      <c r="A2759" s="36">
        <v>20187987335</v>
      </c>
      <c r="B2759" t="s">
        <v>1122</v>
      </c>
    </row>
    <row r="2760" spans="1:2" hidden="1">
      <c r="A2760" s="36">
        <v>20266613866</v>
      </c>
      <c r="B2760" t="s">
        <v>1521</v>
      </c>
    </row>
    <row r="2761" spans="1:2" hidden="1">
      <c r="A2761" s="36">
        <v>33715137289</v>
      </c>
      <c r="B2761" t="s">
        <v>1585</v>
      </c>
    </row>
    <row r="2762" spans="1:2" hidden="1">
      <c r="A2762" s="36">
        <v>30541213860</v>
      </c>
      <c r="B2762" t="s">
        <v>1491</v>
      </c>
    </row>
    <row r="2763" spans="1:2" hidden="1">
      <c r="A2763" s="36">
        <v>30711701504</v>
      </c>
      <c r="B2763" t="s">
        <v>1586</v>
      </c>
    </row>
    <row r="2764" spans="1:2" hidden="1">
      <c r="A2764" s="36">
        <v>30708994924</v>
      </c>
      <c r="B2764" t="s">
        <v>1187</v>
      </c>
    </row>
    <row r="2765" spans="1:2" hidden="1">
      <c r="A2765" s="36">
        <v>20223632719</v>
      </c>
      <c r="B2765" t="s">
        <v>1473</v>
      </c>
    </row>
    <row r="2766" spans="1:2" hidden="1">
      <c r="A2766" s="36">
        <v>27277172874</v>
      </c>
      <c r="B2766" t="s">
        <v>1475</v>
      </c>
    </row>
    <row r="2767" spans="1:2" hidden="1">
      <c r="A2767" s="36">
        <v>27280796552</v>
      </c>
      <c r="B2767" t="s">
        <v>1587</v>
      </c>
    </row>
    <row r="2768" spans="1:2" hidden="1">
      <c r="A2768" s="36">
        <v>23223553184</v>
      </c>
      <c r="B2768" t="s">
        <v>1588</v>
      </c>
    </row>
    <row r="2769" spans="1:2" hidden="1">
      <c r="A2769" s="36">
        <v>30716138018</v>
      </c>
      <c r="B2769" t="s">
        <v>1589</v>
      </c>
    </row>
    <row r="2770" spans="1:2" hidden="1">
      <c r="A2770" s="36">
        <v>27223495317</v>
      </c>
      <c r="B2770" t="s">
        <v>1479</v>
      </c>
    </row>
    <row r="2771" spans="1:2" hidden="1">
      <c r="A2771" s="36">
        <v>27175380146</v>
      </c>
      <c r="B2771" t="s">
        <v>1468</v>
      </c>
    </row>
    <row r="2772" spans="1:2" hidden="1">
      <c r="A2772" s="36">
        <v>30715629336</v>
      </c>
      <c r="B2772" t="s">
        <v>1590</v>
      </c>
    </row>
    <row r="2773" spans="1:2" hidden="1">
      <c r="A2773" s="36">
        <v>20120844386</v>
      </c>
      <c r="B2773" t="s">
        <v>1500</v>
      </c>
    </row>
    <row r="2774" spans="1:2" hidden="1">
      <c r="A2774" s="36">
        <v>27175380146</v>
      </c>
      <c r="B2774" t="s">
        <v>1468</v>
      </c>
    </row>
    <row r="2775" spans="1:2" hidden="1">
      <c r="A2775" s="36">
        <v>30714387797</v>
      </c>
      <c r="B2775" t="s">
        <v>1591</v>
      </c>
    </row>
    <row r="2776" spans="1:2" hidden="1">
      <c r="A2776" s="36">
        <v>27141689296</v>
      </c>
      <c r="B2776" t="s">
        <v>1452</v>
      </c>
    </row>
    <row r="2777" spans="1:2" hidden="1">
      <c r="A2777" s="36">
        <v>30708907142</v>
      </c>
      <c r="B2777" t="s">
        <v>1592</v>
      </c>
    </row>
    <row r="2778" spans="1:2" hidden="1">
      <c r="A2778" s="36">
        <v>27126678768</v>
      </c>
      <c r="B2778" t="s">
        <v>1593</v>
      </c>
    </row>
    <row r="2779" spans="1:2" hidden="1">
      <c r="A2779" s="36">
        <v>27234905924</v>
      </c>
      <c r="B2779" t="s">
        <v>1476</v>
      </c>
    </row>
    <row r="2780" spans="1:2" hidden="1">
      <c r="A2780" s="36">
        <v>27258239577</v>
      </c>
      <c r="B2780" t="s">
        <v>1594</v>
      </c>
    </row>
    <row r="2781" spans="1:2" hidden="1">
      <c r="A2781" s="36">
        <v>23357502209</v>
      </c>
      <c r="B2781" t="s">
        <v>1477</v>
      </c>
    </row>
    <row r="2782" spans="1:2" hidden="1">
      <c r="A2782" s="36">
        <v>23357502209</v>
      </c>
      <c r="B2782" t="s">
        <v>1477</v>
      </c>
    </row>
    <row r="2783" spans="1:2" hidden="1">
      <c r="A2783" s="36">
        <v>20936447113</v>
      </c>
      <c r="B2783" t="s">
        <v>1595</v>
      </c>
    </row>
    <row r="2784" spans="1:2" hidden="1">
      <c r="A2784" s="36">
        <v>27280796552</v>
      </c>
      <c r="B2784" t="s">
        <v>1587</v>
      </c>
    </row>
    <row r="2785" spans="1:2" hidden="1">
      <c r="A2785" s="36">
        <v>27175380146</v>
      </c>
      <c r="B2785" t="s">
        <v>1468</v>
      </c>
    </row>
    <row r="2786" spans="1:2" hidden="1">
      <c r="A2786" s="36">
        <v>27161298285</v>
      </c>
      <c r="B2786" t="s">
        <v>1466</v>
      </c>
    </row>
    <row r="2787" spans="1:2" hidden="1">
      <c r="A2787" s="36">
        <v>20045590047</v>
      </c>
      <c r="B2787" t="s">
        <v>1596</v>
      </c>
    </row>
    <row r="2788" spans="1:2" hidden="1">
      <c r="A2788" s="36">
        <v>30712104550</v>
      </c>
      <c r="B2788" t="s">
        <v>1186</v>
      </c>
    </row>
    <row r="2789" spans="1:2" hidden="1">
      <c r="A2789" s="36">
        <v>30712104550</v>
      </c>
      <c r="B2789" t="s">
        <v>1186</v>
      </c>
    </row>
    <row r="2790" spans="1:2" hidden="1">
      <c r="A2790" s="36">
        <v>30712104550</v>
      </c>
      <c r="B2790" t="s">
        <v>1186</v>
      </c>
    </row>
    <row r="2791" spans="1:2" hidden="1">
      <c r="A2791" s="36">
        <v>30712104550</v>
      </c>
      <c r="B2791" t="s">
        <v>1186</v>
      </c>
    </row>
    <row r="2792" spans="1:2" hidden="1">
      <c r="A2792" s="36">
        <v>30712104550</v>
      </c>
      <c r="B2792" t="s">
        <v>1186</v>
      </c>
    </row>
    <row r="2793" spans="1:2" hidden="1">
      <c r="A2793" s="36">
        <v>30592032909</v>
      </c>
      <c r="B2793" t="s">
        <v>1597</v>
      </c>
    </row>
    <row r="2794" spans="1:2" hidden="1">
      <c r="A2794" s="36">
        <v>27394920423</v>
      </c>
      <c r="B2794" t="s">
        <v>1598</v>
      </c>
    </row>
    <row r="2795" spans="1:2" hidden="1">
      <c r="A2795" s="36">
        <v>30716124009</v>
      </c>
      <c r="B2795" t="s">
        <v>1599</v>
      </c>
    </row>
    <row r="2796" spans="1:2" hidden="1">
      <c r="A2796" s="36">
        <v>20234861973</v>
      </c>
      <c r="B2796" t="s">
        <v>1600</v>
      </c>
    </row>
    <row r="2797" spans="1:2" hidden="1">
      <c r="A2797" s="36">
        <v>27141689296</v>
      </c>
      <c r="B2797" t="s">
        <v>1452</v>
      </c>
    </row>
    <row r="2798" spans="1:2" hidden="1">
      <c r="A2798" s="36">
        <v>27394920423</v>
      </c>
      <c r="B2798" t="s">
        <v>1598</v>
      </c>
    </row>
    <row r="2799" spans="1:2" hidden="1">
      <c r="A2799" s="36">
        <v>33711346959</v>
      </c>
      <c r="B2799" t="s">
        <v>1601</v>
      </c>
    </row>
    <row r="2800" spans="1:2" hidden="1">
      <c r="A2800" s="36">
        <v>30715705946</v>
      </c>
      <c r="B2800" t="s">
        <v>1501</v>
      </c>
    </row>
    <row r="2801" spans="1:2" hidden="1">
      <c r="A2801" s="36">
        <v>20223632719</v>
      </c>
      <c r="B2801" t="s">
        <v>1473</v>
      </c>
    </row>
    <row r="2802" spans="1:2" hidden="1">
      <c r="A2802" s="36">
        <v>23269528214</v>
      </c>
      <c r="B2802" t="s">
        <v>1602</v>
      </c>
    </row>
    <row r="2803" spans="1:2" hidden="1">
      <c r="A2803" s="36">
        <v>20223632719</v>
      </c>
      <c r="B2803" t="s">
        <v>1473</v>
      </c>
    </row>
    <row r="2804" spans="1:2" hidden="1">
      <c r="A2804" s="36">
        <v>30709689505</v>
      </c>
      <c r="B2804" t="s">
        <v>1603</v>
      </c>
    </row>
    <row r="2805" spans="1:2" hidden="1">
      <c r="A2805" s="36">
        <v>30715119443</v>
      </c>
      <c r="B2805" t="s">
        <v>1497</v>
      </c>
    </row>
    <row r="2806" spans="1:2" hidden="1">
      <c r="A2806" s="36">
        <v>30717855082</v>
      </c>
      <c r="B2806" t="s">
        <v>1604</v>
      </c>
    </row>
    <row r="2807" spans="1:2" hidden="1">
      <c r="A2807" s="36">
        <v>23269528214</v>
      </c>
      <c r="B2807" t="s">
        <v>1602</v>
      </c>
    </row>
    <row r="2808" spans="1:2" hidden="1">
      <c r="A2808" s="36">
        <v>30717390942</v>
      </c>
      <c r="B2808" t="s">
        <v>1605</v>
      </c>
    </row>
    <row r="2809" spans="1:2" hidden="1">
      <c r="A2809" s="36">
        <v>27327364567</v>
      </c>
      <c r="B2809" t="s">
        <v>1606</v>
      </c>
    </row>
    <row r="2810" spans="1:2" hidden="1">
      <c r="A2810" s="36">
        <v>30708655410</v>
      </c>
      <c r="B2810" t="s">
        <v>445</v>
      </c>
    </row>
    <row r="2811" spans="1:2" hidden="1">
      <c r="A2811" s="36">
        <v>30716421151</v>
      </c>
      <c r="B2811" t="s">
        <v>1607</v>
      </c>
    </row>
    <row r="2812" spans="1:2" hidden="1">
      <c r="A2812" s="36">
        <v>30715770357</v>
      </c>
      <c r="B2812" t="s">
        <v>1608</v>
      </c>
    </row>
    <row r="2813" spans="1:2" hidden="1">
      <c r="A2813" s="36">
        <v>30708994924</v>
      </c>
      <c r="B2813" t="s">
        <v>1187</v>
      </c>
    </row>
    <row r="2814" spans="1:2" hidden="1">
      <c r="A2814" s="36">
        <v>30708994924</v>
      </c>
      <c r="B2814" t="s">
        <v>1187</v>
      </c>
    </row>
    <row r="2815" spans="1:2" hidden="1">
      <c r="A2815" s="36">
        <v>27175380146</v>
      </c>
      <c r="B2815" t="s">
        <v>1468</v>
      </c>
    </row>
    <row r="2816" spans="1:2" hidden="1">
      <c r="A2816" s="36">
        <v>27141689296</v>
      </c>
      <c r="B2816" t="s">
        <v>1452</v>
      </c>
    </row>
    <row r="2817" spans="1:2" hidden="1">
      <c r="A2817" s="36">
        <v>27061737230</v>
      </c>
      <c r="B2817" t="s">
        <v>1503</v>
      </c>
    </row>
    <row r="2818" spans="1:2" hidden="1">
      <c r="A2818" s="36">
        <v>30711604703</v>
      </c>
      <c r="B2818" t="s">
        <v>1184</v>
      </c>
    </row>
    <row r="2819" spans="1:2" hidden="1">
      <c r="A2819" s="36">
        <v>30709163503</v>
      </c>
      <c r="B2819" t="s">
        <v>1609</v>
      </c>
    </row>
    <row r="2820" spans="1:2" hidden="1">
      <c r="A2820" s="36">
        <v>30709163503</v>
      </c>
      <c r="B2820" t="s">
        <v>1609</v>
      </c>
    </row>
    <row r="2821" spans="1:2" hidden="1">
      <c r="A2821" s="36">
        <v>30708994924</v>
      </c>
      <c r="B2821" t="s">
        <v>1187</v>
      </c>
    </row>
    <row r="2822" spans="1:2" hidden="1">
      <c r="A2822" s="36">
        <v>30712104550</v>
      </c>
      <c r="B2822" t="s">
        <v>1186</v>
      </c>
    </row>
    <row r="2823" spans="1:2" hidden="1">
      <c r="A2823" s="36">
        <v>27940805258</v>
      </c>
      <c r="B2823" t="s">
        <v>1610</v>
      </c>
    </row>
    <row r="2824" spans="1:2" hidden="1">
      <c r="A2824" s="36">
        <v>20181612410</v>
      </c>
      <c r="B2824" t="s">
        <v>1179</v>
      </c>
    </row>
    <row r="2825" spans="1:2" hidden="1">
      <c r="A2825" s="36">
        <v>20181612410</v>
      </c>
      <c r="B2825" t="s">
        <v>1179</v>
      </c>
    </row>
    <row r="2826" spans="1:2" hidden="1">
      <c r="A2826" s="36">
        <v>27141689296</v>
      </c>
      <c r="B2826" t="s">
        <v>1452</v>
      </c>
    </row>
    <row r="2827" spans="1:2" hidden="1">
      <c r="A2827" s="36">
        <v>23269528214</v>
      </c>
      <c r="B2827" t="s">
        <v>1602</v>
      </c>
    </row>
    <row r="2828" spans="1:2" hidden="1">
      <c r="A2828" s="36">
        <v>30707950990</v>
      </c>
      <c r="B2828" t="s">
        <v>1504</v>
      </c>
    </row>
    <row r="2829" spans="1:2" hidden="1">
      <c r="A2829" s="36">
        <v>30716413817</v>
      </c>
      <c r="B2829" t="s">
        <v>1490</v>
      </c>
    </row>
    <row r="2830" spans="1:2" hidden="1">
      <c r="A2830" s="36">
        <v>30716972662</v>
      </c>
      <c r="B2830" t="s">
        <v>1611</v>
      </c>
    </row>
    <row r="2831" spans="1:2" hidden="1">
      <c r="A2831" s="36">
        <v>30716421151</v>
      </c>
      <c r="B2831" t="s">
        <v>1607</v>
      </c>
    </row>
    <row r="2832" spans="1:2" hidden="1">
      <c r="A2832" s="36">
        <v>27394920423</v>
      </c>
      <c r="B2832" t="s">
        <v>1598</v>
      </c>
    </row>
    <row r="2833" spans="1:2" hidden="1">
      <c r="A2833" s="36">
        <v>27294955823</v>
      </c>
      <c r="B2833" t="s">
        <v>1612</v>
      </c>
    </row>
    <row r="2834" spans="1:2" hidden="1">
      <c r="A2834" s="36">
        <v>20307580862</v>
      </c>
      <c r="B2834" t="s">
        <v>1502</v>
      </c>
    </row>
    <row r="2835" spans="1:2" hidden="1">
      <c r="A2835" s="36">
        <v>27242128252</v>
      </c>
      <c r="B2835" t="s">
        <v>1486</v>
      </c>
    </row>
    <row r="2836" spans="1:2" hidden="1">
      <c r="A2836" s="36">
        <v>27161298285</v>
      </c>
      <c r="B2836" t="s">
        <v>1466</v>
      </c>
    </row>
    <row r="2837" spans="1:2" hidden="1">
      <c r="A2837" s="36">
        <v>27175380146</v>
      </c>
      <c r="B2837" t="s">
        <v>1468</v>
      </c>
    </row>
    <row r="2838" spans="1:2" hidden="1">
      <c r="A2838" s="36">
        <v>30711694605</v>
      </c>
      <c r="B2838" t="s">
        <v>1613</v>
      </c>
    </row>
    <row r="2839" spans="1:2" hidden="1">
      <c r="A2839" s="36">
        <v>30711720169</v>
      </c>
      <c r="B2839" t="s">
        <v>1478</v>
      </c>
    </row>
    <row r="2840" spans="1:2" hidden="1">
      <c r="A2840" s="36">
        <v>30711940010</v>
      </c>
      <c r="B2840" t="s">
        <v>1614</v>
      </c>
    </row>
    <row r="2841" spans="1:2" hidden="1">
      <c r="A2841" s="36">
        <v>20206659379</v>
      </c>
      <c r="B2841" t="s">
        <v>1615</v>
      </c>
    </row>
    <row r="2842" spans="1:2" hidden="1">
      <c r="A2842" s="36">
        <v>27168442802</v>
      </c>
      <c r="B2842" t="s">
        <v>1616</v>
      </c>
    </row>
    <row r="2843" spans="1:2" hidden="1">
      <c r="A2843" s="36">
        <v>27242275158</v>
      </c>
      <c r="B2843" t="s">
        <v>1617</v>
      </c>
    </row>
    <row r="2844" spans="1:2" hidden="1">
      <c r="A2844" s="36">
        <v>27366442974</v>
      </c>
      <c r="B2844" t="s">
        <v>1618</v>
      </c>
    </row>
    <row r="2845" spans="1:2" hidden="1">
      <c r="A2845" s="36">
        <v>27271107434</v>
      </c>
      <c r="B2845" t="s">
        <v>1619</v>
      </c>
    </row>
    <row r="2846" spans="1:2" hidden="1">
      <c r="A2846" s="36">
        <v>27142840478</v>
      </c>
      <c r="B2846" t="s">
        <v>1620</v>
      </c>
    </row>
    <row r="2847" spans="1:2" hidden="1">
      <c r="A2847" s="36">
        <v>27239266598</v>
      </c>
      <c r="B2847" t="s">
        <v>1621</v>
      </c>
    </row>
    <row r="2848" spans="1:2" hidden="1">
      <c r="A2848" s="36">
        <v>27263118834</v>
      </c>
      <c r="B2848" t="s">
        <v>1622</v>
      </c>
    </row>
    <row r="2849" spans="1:2" hidden="1">
      <c r="A2849" s="36">
        <v>27256583157</v>
      </c>
      <c r="B2849" t="s">
        <v>1623</v>
      </c>
    </row>
    <row r="2850" spans="1:2" hidden="1">
      <c r="A2850" s="36">
        <v>23207936324</v>
      </c>
      <c r="B2850" t="s">
        <v>1624</v>
      </c>
    </row>
    <row r="2851" spans="1:2" hidden="1">
      <c r="A2851" s="36">
        <v>27949525061</v>
      </c>
      <c r="B2851" t="s">
        <v>1625</v>
      </c>
    </row>
    <row r="2852" spans="1:2" hidden="1">
      <c r="A2852" s="36">
        <v>27143137746</v>
      </c>
      <c r="B2852" t="s">
        <v>1626</v>
      </c>
    </row>
    <row r="2853" spans="1:2" hidden="1">
      <c r="A2853" s="36">
        <v>27138528311</v>
      </c>
      <c r="B2853" t="s">
        <v>1627</v>
      </c>
    </row>
    <row r="2854" spans="1:2" hidden="1">
      <c r="A2854" s="36">
        <v>27263118834</v>
      </c>
      <c r="B2854" t="s">
        <v>1622</v>
      </c>
    </row>
    <row r="2855" spans="1:2" hidden="1">
      <c r="A2855" s="36">
        <v>27940533924</v>
      </c>
      <c r="B2855" t="s">
        <v>1629</v>
      </c>
    </row>
    <row r="2856" spans="1:2" hidden="1">
      <c r="A2856" s="36">
        <v>27132079124</v>
      </c>
      <c r="B2856" t="s">
        <v>1630</v>
      </c>
    </row>
    <row r="2857" spans="1:2" hidden="1">
      <c r="A2857" s="36">
        <v>27302842790</v>
      </c>
      <c r="B2857" t="s">
        <v>1631</v>
      </c>
    </row>
    <row r="2858" spans="1:2" hidden="1">
      <c r="A2858" s="36">
        <v>27181966330</v>
      </c>
      <c r="B2858" t="s">
        <v>1632</v>
      </c>
    </row>
    <row r="2859" spans="1:2" hidden="1">
      <c r="A2859" s="36">
        <v>30517266457</v>
      </c>
      <c r="B2859" t="s">
        <v>1637</v>
      </c>
    </row>
    <row r="2860" spans="1:2" hidden="1">
      <c r="A2860" s="36">
        <v>30679202045</v>
      </c>
      <c r="B2860" t="s">
        <v>1638</v>
      </c>
    </row>
    <row r="2861" spans="1:2" hidden="1">
      <c r="A2861" s="36">
        <v>30714381551</v>
      </c>
      <c r="B2861" t="s">
        <v>1639</v>
      </c>
    </row>
    <row r="2862" spans="1:2" hidden="1">
      <c r="A2862" s="36">
        <v>20403989496</v>
      </c>
      <c r="B2862" t="s">
        <v>1640</v>
      </c>
    </row>
    <row r="2863" spans="1:2" hidden="1">
      <c r="A2863" s="36">
        <v>30584529454</v>
      </c>
      <c r="B2863" t="s">
        <v>1641</v>
      </c>
    </row>
    <row r="2864" spans="1:2" hidden="1">
      <c r="A2864" s="36"/>
    </row>
    <row r="2865" spans="1:2" hidden="1">
      <c r="A2865" s="36">
        <v>30503874497</v>
      </c>
      <c r="B2865" t="s">
        <v>1642</v>
      </c>
    </row>
    <row r="2866" spans="1:2" hidden="1">
      <c r="A2866" s="36">
        <v>30710688180</v>
      </c>
      <c r="B2866" t="s">
        <v>1645</v>
      </c>
    </row>
    <row r="2867" spans="1:2" hidden="1">
      <c r="A2867" s="36">
        <v>30715777599</v>
      </c>
      <c r="B2867" t="s">
        <v>1646</v>
      </c>
    </row>
    <row r="2868" spans="1:2" hidden="1">
      <c r="A2868" s="36">
        <v>30550106430</v>
      </c>
      <c r="B2868" t="s">
        <v>1647</v>
      </c>
    </row>
    <row r="2869" spans="1:2" hidden="1">
      <c r="A2869" s="36">
        <v>20107074989</v>
      </c>
      <c r="B2869" t="s">
        <v>1649</v>
      </c>
    </row>
    <row r="2870" spans="1:2" hidden="1">
      <c r="A2870" s="36">
        <v>20283638783</v>
      </c>
      <c r="B2870" t="s">
        <v>1651</v>
      </c>
    </row>
    <row r="2871" spans="1:2" hidden="1">
      <c r="A2871" s="36">
        <v>20268898221</v>
      </c>
      <c r="B2871" t="s">
        <v>1653</v>
      </c>
    </row>
    <row r="2872" spans="1:2" hidden="1">
      <c r="A2872" s="36"/>
    </row>
    <row r="2873" spans="1:2" hidden="1">
      <c r="A2873" s="36">
        <v>20174208094</v>
      </c>
      <c r="B2873" t="s">
        <v>1655</v>
      </c>
    </row>
    <row r="2874" spans="1:2" hidden="1">
      <c r="A2874" s="36">
        <v>27315558706</v>
      </c>
      <c r="B2874" t="s">
        <v>1656</v>
      </c>
    </row>
    <row r="2875" spans="1:2" hidden="1">
      <c r="A2875" s="36">
        <v>27234905924</v>
      </c>
      <c r="B2875" t="s">
        <v>1476</v>
      </c>
    </row>
    <row r="2876" spans="1:2" hidden="1">
      <c r="A2876" s="36">
        <v>27394920423</v>
      </c>
      <c r="B2876" t="s">
        <v>1598</v>
      </c>
    </row>
    <row r="2877" spans="1:2" hidden="1">
      <c r="A2877" s="36">
        <v>27944761859</v>
      </c>
      <c r="B2877" t="s">
        <v>1658</v>
      </c>
    </row>
    <row r="2878" spans="1:2" hidden="1">
      <c r="A2878" s="36">
        <v>30714645532</v>
      </c>
      <c r="B2878" t="s">
        <v>1659</v>
      </c>
    </row>
    <row r="2879" spans="1:2" hidden="1">
      <c r="A2879" s="36">
        <v>30717390942</v>
      </c>
      <c r="B2879" t="s">
        <v>1605</v>
      </c>
    </row>
    <row r="2880" spans="1:2" hidden="1">
      <c r="A2880" s="36">
        <v>30711604703</v>
      </c>
      <c r="B2880" t="s">
        <v>1184</v>
      </c>
    </row>
    <row r="2881" spans="1:2" hidden="1">
      <c r="A2881" s="36">
        <v>30714645532</v>
      </c>
      <c r="B2881" t="s">
        <v>1659</v>
      </c>
    </row>
    <row r="2882" spans="1:2" hidden="1">
      <c r="A2882" s="36">
        <v>20206659379</v>
      </c>
      <c r="B2882" t="s">
        <v>1615</v>
      </c>
    </row>
    <row r="2883" spans="1:2" hidden="1">
      <c r="A2883" s="36">
        <v>27262876220</v>
      </c>
      <c r="B2883" t="s">
        <v>1660</v>
      </c>
    </row>
    <row r="2884" spans="1:2" hidden="1">
      <c r="A2884" s="36">
        <v>23269528214</v>
      </c>
      <c r="B2884" t="s">
        <v>1602</v>
      </c>
    </row>
    <row r="2885" spans="1:2" hidden="1">
      <c r="A2885" s="36">
        <v>30712119574</v>
      </c>
      <c r="B2885" t="s">
        <v>1661</v>
      </c>
    </row>
    <row r="2886" spans="1:2" hidden="1">
      <c r="A2886" s="36">
        <v>27175380146</v>
      </c>
      <c r="B2886" t="s">
        <v>1468</v>
      </c>
    </row>
    <row r="2887" spans="1:2" hidden="1">
      <c r="A2887" s="36">
        <v>27280796552</v>
      </c>
      <c r="B2887" t="s">
        <v>1587</v>
      </c>
    </row>
    <row r="2888" spans="1:2" hidden="1">
      <c r="A2888" s="36">
        <v>30712104550</v>
      </c>
      <c r="B2888" t="s">
        <v>1186</v>
      </c>
    </row>
    <row r="2889" spans="1:2" hidden="1">
      <c r="A2889" s="36">
        <v>30710144830</v>
      </c>
      <c r="B2889" t="s">
        <v>1470</v>
      </c>
    </row>
    <row r="2890" spans="1:2" hidden="1">
      <c r="A2890" s="36">
        <v>23269528214</v>
      </c>
      <c r="B2890" t="s">
        <v>1602</v>
      </c>
    </row>
    <row r="2891" spans="1:2" hidden="1">
      <c r="A2891" s="36">
        <v>27161298285</v>
      </c>
      <c r="B2891" t="s">
        <v>1466</v>
      </c>
    </row>
    <row r="2892" spans="1:2" hidden="1">
      <c r="A2892" s="36">
        <v>30712119574</v>
      </c>
      <c r="B2892" t="s">
        <v>1661</v>
      </c>
    </row>
    <row r="2893" spans="1:2" hidden="1">
      <c r="A2893" s="36">
        <v>27141689296</v>
      </c>
      <c r="B2893" t="s">
        <v>1452</v>
      </c>
    </row>
    <row r="2894" spans="1:2" hidden="1">
      <c r="A2894" s="36">
        <v>27333102035</v>
      </c>
      <c r="B2894" t="s">
        <v>1480</v>
      </c>
    </row>
    <row r="2895" spans="1:2" hidden="1">
      <c r="A2895" s="36">
        <v>20181612410</v>
      </c>
      <c r="B2895" t="s">
        <v>1179</v>
      </c>
    </row>
    <row r="2896" spans="1:2" hidden="1">
      <c r="A2896" s="36">
        <v>23269528214</v>
      </c>
      <c r="B2896" t="s">
        <v>1602</v>
      </c>
    </row>
    <row r="2897" spans="1:2" hidden="1">
      <c r="A2897" s="36">
        <v>23180421564</v>
      </c>
      <c r="B2897" t="s">
        <v>1474</v>
      </c>
    </row>
    <row r="2898" spans="1:2" hidden="1">
      <c r="A2898" s="36">
        <v>23180421564</v>
      </c>
      <c r="B2898" t="s">
        <v>1474</v>
      </c>
    </row>
    <row r="2899" spans="1:2" hidden="1">
      <c r="A2899" s="36">
        <v>23180421564</v>
      </c>
      <c r="B2899" t="s">
        <v>1474</v>
      </c>
    </row>
    <row r="2900" spans="1:2" hidden="1">
      <c r="A2900" s="36">
        <v>30527225988</v>
      </c>
      <c r="B2900" t="s">
        <v>1494</v>
      </c>
    </row>
    <row r="2901" spans="1:2" hidden="1">
      <c r="A2901" s="36">
        <v>30717390942</v>
      </c>
      <c r="B2901" t="s">
        <v>1605</v>
      </c>
    </row>
    <row r="2902" spans="1:2" hidden="1">
      <c r="A2902" s="36">
        <v>23269528214</v>
      </c>
      <c r="B2902" t="s">
        <v>1602</v>
      </c>
    </row>
    <row r="2903" spans="1:2" hidden="1">
      <c r="A2903" s="36">
        <v>27256969802</v>
      </c>
      <c r="B2903" t="s">
        <v>1662</v>
      </c>
    </row>
    <row r="2904" spans="1:2" hidden="1">
      <c r="A2904" s="36">
        <v>23269528214</v>
      </c>
      <c r="B2904" t="s">
        <v>1602</v>
      </c>
    </row>
    <row r="2905" spans="1:2" hidden="1">
      <c r="A2905" s="36">
        <v>30715629336</v>
      </c>
      <c r="B2905" t="s">
        <v>1590</v>
      </c>
    </row>
    <row r="2906" spans="1:2" hidden="1">
      <c r="A2906" s="36">
        <v>30715629336</v>
      </c>
      <c r="B2906" t="s">
        <v>1590</v>
      </c>
    </row>
    <row r="2907" spans="1:2" hidden="1">
      <c r="A2907" s="36">
        <v>30711428514</v>
      </c>
      <c r="B2907" t="s">
        <v>1663</v>
      </c>
    </row>
    <row r="2908" spans="1:2" hidden="1">
      <c r="A2908" s="36">
        <v>30711428514</v>
      </c>
      <c r="B2908" t="s">
        <v>1663</v>
      </c>
    </row>
    <row r="2909" spans="1:2" hidden="1">
      <c r="A2909" s="36">
        <v>30712119574</v>
      </c>
      <c r="B2909" t="s">
        <v>1661</v>
      </c>
    </row>
    <row r="2910" spans="1:2" hidden="1">
      <c r="A2910" s="36">
        <v>30716421151</v>
      </c>
      <c r="B2910" t="s">
        <v>1607</v>
      </c>
    </row>
    <row r="2911" spans="1:2" hidden="1">
      <c r="A2911" s="36">
        <v>27223495317</v>
      </c>
      <c r="B2911" t="s">
        <v>1479</v>
      </c>
    </row>
    <row r="2912" spans="1:2" hidden="1">
      <c r="A2912" s="36">
        <v>20307279569</v>
      </c>
      <c r="B2912" t="s">
        <v>1664</v>
      </c>
    </row>
    <row r="2913" spans="1:2" hidden="1">
      <c r="A2913" s="36">
        <v>30712104550</v>
      </c>
      <c r="B2913" t="s">
        <v>1186</v>
      </c>
    </row>
    <row r="2914" spans="1:2" hidden="1">
      <c r="A2914" s="36">
        <v>27280796552</v>
      </c>
      <c r="B2914" t="s">
        <v>1587</v>
      </c>
    </row>
    <row r="2915" spans="1:2" hidden="1">
      <c r="A2915" s="36">
        <v>27280796552</v>
      </c>
      <c r="B2915" t="s">
        <v>1587</v>
      </c>
    </row>
    <row r="2916" spans="1:2" hidden="1">
      <c r="A2916" s="36">
        <v>30709971626</v>
      </c>
      <c r="B2916" t="s">
        <v>1665</v>
      </c>
    </row>
    <row r="2917" spans="1:2" hidden="1">
      <c r="A2917" s="36">
        <v>27280796552</v>
      </c>
      <c r="B2917" t="s">
        <v>1587</v>
      </c>
    </row>
    <row r="2918" spans="1:2" hidden="1">
      <c r="A2918" s="36">
        <v>30714645532</v>
      </c>
      <c r="B2918" t="s">
        <v>1659</v>
      </c>
    </row>
    <row r="2919" spans="1:2" hidden="1">
      <c r="A2919" s="36">
        <v>30717072592</v>
      </c>
      <c r="B2919" t="s">
        <v>1496</v>
      </c>
    </row>
    <row r="2920" spans="1:2" hidden="1">
      <c r="A2920" s="36">
        <v>30717072592</v>
      </c>
      <c r="B2920" t="s">
        <v>1496</v>
      </c>
    </row>
    <row r="2921" spans="1:2" hidden="1">
      <c r="A2921" s="36">
        <v>30709539295</v>
      </c>
      <c r="B2921" t="s">
        <v>1498</v>
      </c>
    </row>
    <row r="2922" spans="1:2" hidden="1">
      <c r="A2922" s="36">
        <v>30709539295</v>
      </c>
      <c r="B2922" t="s">
        <v>1498</v>
      </c>
    </row>
    <row r="2923" spans="1:2" hidden="1">
      <c r="A2923" s="36">
        <v>30715705946</v>
      </c>
      <c r="B2923" t="s">
        <v>1501</v>
      </c>
    </row>
    <row r="2924" spans="1:2" hidden="1">
      <c r="A2924" s="36">
        <v>27234905924</v>
      </c>
      <c r="B2924" t="s">
        <v>1476</v>
      </c>
    </row>
    <row r="2925" spans="1:2" hidden="1">
      <c r="A2925" s="36">
        <v>27141689296</v>
      </c>
      <c r="B2925" t="s">
        <v>1452</v>
      </c>
    </row>
    <row r="2926" spans="1:2" hidden="1">
      <c r="A2926" s="36">
        <v>27234905924</v>
      </c>
      <c r="B2926" t="s">
        <v>1476</v>
      </c>
    </row>
    <row r="2927" spans="1:2" hidden="1">
      <c r="A2927" s="36">
        <v>27234905924</v>
      </c>
      <c r="B2927" t="s">
        <v>1476</v>
      </c>
    </row>
    <row r="2928" spans="1:2" hidden="1">
      <c r="A2928" s="36">
        <v>30715119443</v>
      </c>
      <c r="B2928" t="s">
        <v>1497</v>
      </c>
    </row>
    <row r="2929" spans="1:2" hidden="1">
      <c r="A2929" s="36">
        <v>20181612410</v>
      </c>
      <c r="B2929" t="s">
        <v>1179</v>
      </c>
    </row>
    <row r="2930" spans="1:2" hidden="1">
      <c r="A2930" s="36">
        <v>30711720169</v>
      </c>
      <c r="B2930" t="s">
        <v>1478</v>
      </c>
    </row>
    <row r="2931" spans="1:2" hidden="1">
      <c r="A2931" s="36">
        <v>27366226112</v>
      </c>
      <c r="B2931" t="s">
        <v>1666</v>
      </c>
    </row>
    <row r="2932" spans="1:2" hidden="1">
      <c r="A2932" s="36">
        <v>27366226112</v>
      </c>
      <c r="B2932" t="s">
        <v>1666</v>
      </c>
    </row>
    <row r="2933" spans="1:2" hidden="1">
      <c r="A2933" s="36">
        <v>27172834189</v>
      </c>
      <c r="B2933" t="s">
        <v>1495</v>
      </c>
    </row>
    <row r="2934" spans="1:2" hidden="1">
      <c r="A2934" s="36">
        <v>27242509612</v>
      </c>
      <c r="B2934" t="s">
        <v>1667</v>
      </c>
    </row>
    <row r="2935" spans="1:2" hidden="1">
      <c r="A2935" s="36">
        <v>27209146601</v>
      </c>
      <c r="B2935" t="s">
        <v>1668</v>
      </c>
    </row>
    <row r="2936" spans="1:2" hidden="1">
      <c r="A2936" s="36">
        <v>27394920423</v>
      </c>
      <c r="B2936" t="s">
        <v>1598</v>
      </c>
    </row>
    <row r="2937" spans="1:2" hidden="1">
      <c r="A2937" s="36">
        <v>27242128252</v>
      </c>
      <c r="B2937" t="s">
        <v>1486</v>
      </c>
    </row>
    <row r="2938" spans="1:2" hidden="1">
      <c r="A2938" s="36">
        <v>27242128252</v>
      </c>
      <c r="B2938" t="s">
        <v>1486</v>
      </c>
    </row>
    <row r="2939" spans="1:2" hidden="1">
      <c r="A2939" s="36">
        <v>23265885594</v>
      </c>
      <c r="B2939" t="s">
        <v>1669</v>
      </c>
    </row>
    <row r="2940" spans="1:2" hidden="1">
      <c r="A2940" s="36">
        <v>27175380146</v>
      </c>
      <c r="B2940" t="s">
        <v>1468</v>
      </c>
    </row>
    <row r="2941" spans="1:2" hidden="1">
      <c r="A2941" s="36">
        <v>27242128252</v>
      </c>
      <c r="B2941" t="s">
        <v>1486</v>
      </c>
    </row>
    <row r="2942" spans="1:2" hidden="1">
      <c r="A2942" s="36">
        <v>27242128252</v>
      </c>
      <c r="B2942" t="s">
        <v>1486</v>
      </c>
    </row>
    <row r="2943" spans="1:2" hidden="1">
      <c r="A2943" s="36">
        <v>20181612410</v>
      </c>
      <c r="B2943" t="s">
        <v>1179</v>
      </c>
    </row>
    <row r="2944" spans="1:2" hidden="1">
      <c r="A2944" s="36">
        <v>20181612410</v>
      </c>
      <c r="B2944" t="s">
        <v>1179</v>
      </c>
    </row>
    <row r="2945" spans="1:2" hidden="1">
      <c r="A2945" s="36">
        <v>20132857432</v>
      </c>
      <c r="B2945" t="s">
        <v>1670</v>
      </c>
    </row>
    <row r="2946" spans="1:2" hidden="1">
      <c r="A2946" s="36">
        <v>23269528214</v>
      </c>
      <c r="B2946" t="s">
        <v>1602</v>
      </c>
    </row>
    <row r="2947" spans="1:2" hidden="1">
      <c r="A2947" s="36">
        <v>30711604703</v>
      </c>
      <c r="B2947" t="s">
        <v>1184</v>
      </c>
    </row>
    <row r="2948" spans="1:2" hidden="1">
      <c r="A2948" s="36">
        <v>23269528214</v>
      </c>
      <c r="B2948" t="s">
        <v>1602</v>
      </c>
    </row>
    <row r="2949" spans="1:2" hidden="1">
      <c r="A2949" s="36">
        <v>23269528214</v>
      </c>
      <c r="B2949" t="s">
        <v>1602</v>
      </c>
    </row>
    <row r="2950" spans="1:2" hidden="1">
      <c r="A2950" s="36">
        <v>30709043117</v>
      </c>
      <c r="B2950" t="s">
        <v>1671</v>
      </c>
    </row>
    <row r="2951" spans="1:2" hidden="1">
      <c r="A2951" s="36">
        <v>39348401</v>
      </c>
      <c r="B2951" t="s">
        <v>1672</v>
      </c>
    </row>
    <row r="2952" spans="1:2" hidden="1">
      <c r="A2952" s="36">
        <v>25817118</v>
      </c>
      <c r="B2952" t="s">
        <v>1673</v>
      </c>
    </row>
    <row r="2953" spans="1:2" hidden="1">
      <c r="A2953" s="36">
        <v>12758459</v>
      </c>
      <c r="B2953" t="s">
        <v>1674</v>
      </c>
    </row>
    <row r="2954" spans="1:2" hidden="1">
      <c r="A2954" s="36">
        <v>18442283</v>
      </c>
      <c r="B2954" t="s">
        <v>1675</v>
      </c>
    </row>
    <row r="2955" spans="1:2" hidden="1">
      <c r="A2955" s="36"/>
    </row>
    <row r="2956" spans="1:2" hidden="1">
      <c r="A2956" s="36">
        <v>28031075</v>
      </c>
      <c r="B2956" t="s">
        <v>1676</v>
      </c>
    </row>
    <row r="2957" spans="1:2" hidden="1">
      <c r="A2957" s="36">
        <v>27220670878</v>
      </c>
      <c r="B2957" t="s">
        <v>1677</v>
      </c>
    </row>
    <row r="2958" spans="1:2" hidden="1">
      <c r="A2958" s="36">
        <v>18106230</v>
      </c>
      <c r="B2958" t="s">
        <v>1678</v>
      </c>
    </row>
    <row r="2959" spans="1:2" hidden="1">
      <c r="A2959" s="36">
        <v>38999561</v>
      </c>
      <c r="B2959" t="s">
        <v>1679</v>
      </c>
    </row>
    <row r="2960" spans="1:2" hidden="1">
      <c r="A2960" s="36">
        <v>11897143</v>
      </c>
      <c r="B2960" t="s">
        <v>1680</v>
      </c>
    </row>
    <row r="2961" spans="1:2" hidden="1">
      <c r="A2961" s="36">
        <v>13862555</v>
      </c>
      <c r="B2961" t="s">
        <v>1681</v>
      </c>
    </row>
    <row r="2962" spans="1:2" hidden="1">
      <c r="A2962" s="36">
        <v>24445141</v>
      </c>
      <c r="B2962" t="s">
        <v>1682</v>
      </c>
    </row>
    <row r="2963" spans="1:2" hidden="1">
      <c r="A2963" s="36">
        <v>34745621</v>
      </c>
      <c r="B2963" t="s">
        <v>1683</v>
      </c>
    </row>
    <row r="2964" spans="1:2" hidden="1">
      <c r="A2964" s="36">
        <v>24445141</v>
      </c>
      <c r="B2964" t="s">
        <v>1682</v>
      </c>
    </row>
    <row r="2965" spans="1:2" hidden="1">
      <c r="A2965" s="36">
        <v>12760724</v>
      </c>
      <c r="B2965" t="s">
        <v>1684</v>
      </c>
    </row>
    <row r="2966" spans="1:2" hidden="1">
      <c r="A2966" s="36">
        <v>14015710</v>
      </c>
      <c r="B2966" t="s">
        <v>1685</v>
      </c>
    </row>
    <row r="2967" spans="1:2" hidden="1">
      <c r="A2967" s="36">
        <v>30512432</v>
      </c>
      <c r="B2967" t="s">
        <v>1686</v>
      </c>
    </row>
    <row r="2968" spans="1:2" hidden="1">
      <c r="A2968" s="36">
        <v>24171267</v>
      </c>
      <c r="B2968" t="s">
        <v>1687</v>
      </c>
    </row>
    <row r="2969" spans="1:2" hidden="1">
      <c r="A2969" s="36">
        <v>34454281</v>
      </c>
      <c r="B2969" t="s">
        <v>1688</v>
      </c>
    </row>
    <row r="2970" spans="1:2" hidden="1">
      <c r="A2970" s="36">
        <v>24313506</v>
      </c>
      <c r="B2970" t="s">
        <v>1689</v>
      </c>
    </row>
    <row r="2971" spans="1:2" hidden="1">
      <c r="A2971" s="36">
        <v>45895643</v>
      </c>
      <c r="B2971" t="s">
        <v>1690</v>
      </c>
    </row>
    <row r="2972" spans="1:2" hidden="1">
      <c r="A2972" s="36">
        <v>11543320</v>
      </c>
      <c r="B2972" t="s">
        <v>1691</v>
      </c>
    </row>
    <row r="2973" spans="1:2" hidden="1">
      <c r="A2973" s="36">
        <v>11046463</v>
      </c>
      <c r="B2973" t="s">
        <v>1692</v>
      </c>
    </row>
    <row r="2974" spans="1:2" hidden="1">
      <c r="A2974" s="36">
        <v>27271107434</v>
      </c>
      <c r="B2974" t="s">
        <v>1619</v>
      </c>
    </row>
    <row r="2975" spans="1:2" hidden="1">
      <c r="A2975" s="36">
        <v>16313903</v>
      </c>
      <c r="B2975" t="s">
        <v>1693</v>
      </c>
    </row>
    <row r="2976" spans="1:2" hidden="1">
      <c r="A2976" s="36">
        <v>18134041</v>
      </c>
      <c r="B2976" t="s">
        <v>1694</v>
      </c>
    </row>
    <row r="2977" spans="1:2" hidden="1">
      <c r="A2977" s="194">
        <v>26865987</v>
      </c>
      <c r="B2977" t="s">
        <v>1695</v>
      </c>
    </row>
    <row r="2978" spans="1:2" hidden="1">
      <c r="A2978" s="194">
        <v>27560895</v>
      </c>
      <c r="B2978" t="s">
        <v>1697</v>
      </c>
    </row>
    <row r="2979" spans="1:2" hidden="1">
      <c r="A2979" s="194">
        <v>24927300</v>
      </c>
      <c r="B2979" t="s">
        <v>1698</v>
      </c>
    </row>
    <row r="2980" spans="1:2" hidden="1">
      <c r="A2980" s="194">
        <v>38999561</v>
      </c>
      <c r="B2980" t="s">
        <v>1679</v>
      </c>
    </row>
    <row r="2981" spans="1:2" hidden="1">
      <c r="A2981" s="194">
        <v>10120367</v>
      </c>
      <c r="B2981" t="s">
        <v>1699</v>
      </c>
    </row>
    <row r="2982" spans="1:2" hidden="1">
      <c r="A2982" s="194">
        <v>26996097</v>
      </c>
      <c r="B2982" t="s">
        <v>1700</v>
      </c>
    </row>
    <row r="2983" spans="1:2" hidden="1">
      <c r="A2983" s="194">
        <v>92344179</v>
      </c>
      <c r="B2983" t="s">
        <v>1701</v>
      </c>
    </row>
    <row r="2984" spans="1:2" hidden="1">
      <c r="A2984" s="194">
        <v>35041832</v>
      </c>
      <c r="B2984" t="s">
        <v>1702</v>
      </c>
    </row>
    <row r="2985" spans="1:2" hidden="1">
      <c r="A2985" s="194">
        <v>38999561</v>
      </c>
      <c r="B2985" t="s">
        <v>1679</v>
      </c>
    </row>
    <row r="2986" spans="1:2" hidden="1">
      <c r="A2986" s="194">
        <v>94006532</v>
      </c>
      <c r="B2986" t="s">
        <v>1703</v>
      </c>
    </row>
    <row r="2987" spans="1:2" hidden="1">
      <c r="A2987" s="194">
        <v>34513098</v>
      </c>
      <c r="B2987" t="s">
        <v>1704</v>
      </c>
    </row>
    <row r="2988" spans="1:2" hidden="1">
      <c r="A2988" s="194">
        <v>32758476</v>
      </c>
      <c r="B2988" t="s">
        <v>1705</v>
      </c>
    </row>
    <row r="2989" spans="1:2" hidden="1">
      <c r="A2989" s="194">
        <v>21920073</v>
      </c>
      <c r="B2989" t="s">
        <v>1706</v>
      </c>
    </row>
    <row r="2990" spans="1:2" hidden="1">
      <c r="A2990" s="194">
        <v>25869848</v>
      </c>
      <c r="B2990" t="s">
        <v>1707</v>
      </c>
    </row>
    <row r="2991" spans="1:2" hidden="1">
      <c r="A2991" s="194">
        <v>39658304</v>
      </c>
      <c r="B2991" t="s">
        <v>1708</v>
      </c>
    </row>
    <row r="2992" spans="1:2" hidden="1">
      <c r="A2992" s="194">
        <v>38999561</v>
      </c>
      <c r="B2992" t="s">
        <v>1679</v>
      </c>
    </row>
    <row r="2993" spans="1:2" hidden="1">
      <c r="A2993" s="194">
        <v>41250180</v>
      </c>
      <c r="B2993" t="s">
        <v>1709</v>
      </c>
    </row>
    <row r="2994" spans="1:2" hidden="1">
      <c r="A2994" s="36">
        <v>27220620587</v>
      </c>
      <c r="B2994" t="s">
        <v>1710</v>
      </c>
    </row>
    <row r="2995" spans="1:2" hidden="1">
      <c r="A2995" s="36">
        <v>30579939008</v>
      </c>
      <c r="B2995" t="s">
        <v>1721</v>
      </c>
    </row>
    <row r="2996" spans="1:2" hidden="1">
      <c r="A2996" s="36">
        <v>30711239800</v>
      </c>
      <c r="B2996" t="s">
        <v>1722</v>
      </c>
    </row>
    <row r="2997" spans="1:2" hidden="1">
      <c r="A2997" s="36">
        <v>33717247189</v>
      </c>
      <c r="B2997" t="s">
        <v>1723</v>
      </c>
    </row>
    <row r="2998" spans="1:2" hidden="1">
      <c r="A2998" s="36">
        <v>30716032120</v>
      </c>
      <c r="B2998" t="s">
        <v>1725</v>
      </c>
    </row>
    <row r="2999" spans="1:2" hidden="1">
      <c r="A2999" s="36">
        <v>30714430781</v>
      </c>
      <c r="B2999" t="s">
        <v>1729</v>
      </c>
    </row>
    <row r="3000" spans="1:2" hidden="1">
      <c r="A3000" s="36">
        <v>30709003654</v>
      </c>
      <c r="B3000" t="s">
        <v>1730</v>
      </c>
    </row>
    <row r="3001" spans="1:2" hidden="1">
      <c r="A3001" s="36">
        <v>30708528052</v>
      </c>
      <c r="B3001" t="s">
        <v>1733</v>
      </c>
    </row>
    <row r="3002" spans="1:2" hidden="1">
      <c r="A3002" s="36">
        <v>30715012835</v>
      </c>
      <c r="B3002" t="s">
        <v>1734</v>
      </c>
    </row>
    <row r="3003" spans="1:2" hidden="1">
      <c r="A3003" s="36">
        <v>30585727152</v>
      </c>
      <c r="B3003" t="s">
        <v>1736</v>
      </c>
    </row>
    <row r="3004" spans="1:2" hidden="1">
      <c r="A3004" s="36">
        <v>30708142022</v>
      </c>
      <c r="B3004" t="s">
        <v>1737</v>
      </c>
    </row>
    <row r="3005" spans="1:2" hidden="1">
      <c r="A3005" s="36">
        <v>20149021591</v>
      </c>
      <c r="B3005" t="s">
        <v>1739</v>
      </c>
    </row>
    <row r="3006" spans="1:2" hidden="1">
      <c r="A3006" s="36">
        <v>33519459529</v>
      </c>
      <c r="B3006" t="s">
        <v>1740</v>
      </c>
    </row>
    <row r="3007" spans="1:2" hidden="1">
      <c r="A3007" s="36">
        <v>30707719725</v>
      </c>
      <c r="B3007" t="s">
        <v>1741</v>
      </c>
    </row>
    <row r="3008" spans="1:2" hidden="1">
      <c r="A3008" s="36">
        <v>27316594676</v>
      </c>
      <c r="B3008" t="s">
        <v>1743</v>
      </c>
    </row>
    <row r="3009" spans="1:2" hidden="1">
      <c r="A3009" s="36">
        <v>30709040460</v>
      </c>
      <c r="B3009" t="s">
        <v>1744</v>
      </c>
    </row>
    <row r="3010" spans="1:2" hidden="1">
      <c r="A3010" s="36">
        <v>30716072033</v>
      </c>
      <c r="B3010" t="s">
        <v>1745</v>
      </c>
    </row>
    <row r="3011" spans="1:2" hidden="1">
      <c r="A3011" s="36">
        <v>20304940019</v>
      </c>
      <c r="B3011" t="s">
        <v>1746</v>
      </c>
    </row>
    <row r="3012" spans="1:2" hidden="1">
      <c r="A3012" s="36">
        <v>30715294938</v>
      </c>
      <c r="B3012" t="s">
        <v>1747</v>
      </c>
    </row>
    <row r="3013" spans="1:2" hidden="1">
      <c r="A3013" s="36">
        <v>20321577645</v>
      </c>
      <c r="B3013" t="s">
        <v>1749</v>
      </c>
    </row>
    <row r="3014" spans="1:2" hidden="1">
      <c r="A3014" s="36">
        <v>30686965801</v>
      </c>
      <c r="B3014" t="s">
        <v>1750</v>
      </c>
    </row>
    <row r="3015" spans="1:2" hidden="1">
      <c r="A3015" s="36">
        <v>27164522704</v>
      </c>
      <c r="B3015" t="s">
        <v>1751</v>
      </c>
    </row>
    <row r="3016" spans="1:2" hidden="1">
      <c r="A3016" s="36">
        <v>30520201048</v>
      </c>
      <c r="B3016" t="s">
        <v>1759</v>
      </c>
    </row>
    <row r="3017" spans="1:2" hidden="1">
      <c r="A3017" s="36">
        <v>30696186932</v>
      </c>
      <c r="B3017" t="s">
        <v>1761</v>
      </c>
    </row>
    <row r="3018" spans="1:2" hidden="1">
      <c r="A3018" s="36">
        <v>30500445757</v>
      </c>
      <c r="B3018" t="s">
        <v>1768</v>
      </c>
    </row>
    <row r="3019" spans="1:2" hidden="1">
      <c r="A3019" s="36">
        <v>23043805649</v>
      </c>
      <c r="B3019" t="s">
        <v>1769</v>
      </c>
    </row>
    <row r="3020" spans="1:2" hidden="1">
      <c r="A3020" s="36">
        <v>30693213262</v>
      </c>
      <c r="B3020" t="s">
        <v>1771</v>
      </c>
    </row>
    <row r="3021" spans="1:2" hidden="1">
      <c r="A3021" s="36">
        <v>20298662915</v>
      </c>
      <c r="B3021" t="s">
        <v>1772</v>
      </c>
    </row>
    <row r="3022" spans="1:2" hidden="1">
      <c r="A3022" s="36">
        <v>20286297839</v>
      </c>
      <c r="B3022" t="s">
        <v>1774</v>
      </c>
    </row>
    <row r="3023" spans="1:2" hidden="1">
      <c r="A3023" s="36">
        <v>27188803771</v>
      </c>
      <c r="B3023" t="s">
        <v>1775</v>
      </c>
    </row>
    <row r="3024" spans="1:2" hidden="1">
      <c r="A3024" s="36">
        <v>20334254500</v>
      </c>
      <c r="B3024" t="s">
        <v>1776</v>
      </c>
    </row>
    <row r="3025" spans="1:3" hidden="1">
      <c r="A3025" s="36">
        <v>20334254500</v>
      </c>
      <c r="B3025" t="s">
        <v>1776</v>
      </c>
    </row>
    <row r="3026" spans="1:3" hidden="1">
      <c r="A3026" s="36">
        <v>20335161395</v>
      </c>
      <c r="B3026" t="s">
        <v>1779</v>
      </c>
    </row>
    <row r="3027" spans="1:3" hidden="1">
      <c r="A3027" s="36">
        <v>30716874377</v>
      </c>
      <c r="B3027" t="s">
        <v>1780</v>
      </c>
    </row>
    <row r="3028" spans="1:3" hidden="1">
      <c r="A3028" s="36">
        <v>33663990859</v>
      </c>
      <c r="B3028" t="s">
        <v>1781</v>
      </c>
    </row>
    <row r="3029" spans="1:3" hidden="1">
      <c r="A3029" s="36">
        <v>20271009780</v>
      </c>
      <c r="B3029" t="s">
        <v>1782</v>
      </c>
    </row>
    <row r="3030" spans="1:3" hidden="1">
      <c r="A3030" s="36">
        <v>27239067218</v>
      </c>
      <c r="B3030" t="s">
        <v>2700</v>
      </c>
      <c r="C3030" s="35" t="s">
        <v>79</v>
      </c>
    </row>
    <row r="3031" spans="1:3" hidden="1">
      <c r="A3031" s="36">
        <v>30711031320</v>
      </c>
      <c r="B3031" t="s">
        <v>2701</v>
      </c>
      <c r="C3031" s="35" t="s">
        <v>79</v>
      </c>
    </row>
    <row r="3032" spans="1:3" hidden="1">
      <c r="A3032" s="36">
        <v>30717413691</v>
      </c>
      <c r="B3032" t="s">
        <v>2702</v>
      </c>
      <c r="C3032" s="35" t="s">
        <v>79</v>
      </c>
    </row>
    <row r="3033" spans="1:3" hidden="1">
      <c r="A3033" s="36">
        <v>30716371324</v>
      </c>
      <c r="B3033" t="s">
        <v>2703</v>
      </c>
      <c r="C3033" s="35" t="s">
        <v>79</v>
      </c>
    </row>
    <row r="3034" spans="1:3" hidden="1">
      <c r="A3034" s="36">
        <v>30614274421</v>
      </c>
      <c r="B3034" t="s">
        <v>2704</v>
      </c>
      <c r="C3034" s="35" t="s">
        <v>79</v>
      </c>
    </row>
    <row r="3035" spans="1:3" hidden="1">
      <c r="A3035" s="36">
        <v>30716436396</v>
      </c>
      <c r="B3035" t="s">
        <v>2705</v>
      </c>
      <c r="C3035" s="35" t="s">
        <v>79</v>
      </c>
    </row>
    <row r="3036" spans="1:3" hidden="1">
      <c r="A3036" s="36">
        <v>27385473937</v>
      </c>
      <c r="B3036" t="s">
        <v>2706</v>
      </c>
      <c r="C3036" s="35" t="s">
        <v>79</v>
      </c>
    </row>
    <row r="3037" spans="1:3" hidden="1">
      <c r="A3037" s="36">
        <v>33707790399</v>
      </c>
      <c r="B3037" t="s">
        <v>2707</v>
      </c>
      <c r="C3037" s="35" t="s">
        <v>79</v>
      </c>
    </row>
    <row r="3038" spans="1:3" hidden="1">
      <c r="A3038" s="36">
        <v>30716075873</v>
      </c>
      <c r="B3038" t="s">
        <v>2708</v>
      </c>
      <c r="C3038" s="35" t="s">
        <v>79</v>
      </c>
    </row>
    <row r="3039" spans="1:3" hidden="1">
      <c r="A3039" s="36">
        <v>33697231469</v>
      </c>
      <c r="B3039" t="s">
        <v>2709</v>
      </c>
      <c r="C3039" s="35" t="s">
        <v>79</v>
      </c>
    </row>
    <row r="3040" spans="1:3" hidden="1">
      <c r="A3040" s="36">
        <v>30718454510</v>
      </c>
      <c r="B3040" t="s">
        <v>2710</v>
      </c>
      <c r="C3040" s="35" t="s">
        <v>79</v>
      </c>
    </row>
    <row r="3041" spans="1:2" hidden="1">
      <c r="A3041" s="36">
        <v>30715819461</v>
      </c>
      <c r="B3041" t="s">
        <v>1791</v>
      </c>
    </row>
    <row r="3042" spans="1:2" hidden="1">
      <c r="A3042" s="36">
        <v>30712099166</v>
      </c>
      <c r="B3042" t="s">
        <v>1793</v>
      </c>
    </row>
    <row r="3043" spans="1:2" hidden="1">
      <c r="A3043" s="36">
        <v>30705466269</v>
      </c>
      <c r="B3043" t="s">
        <v>1794</v>
      </c>
    </row>
    <row r="3044" spans="1:2" hidden="1">
      <c r="A3044" s="36">
        <v>30717442551</v>
      </c>
      <c r="B3044" t="s">
        <v>1796</v>
      </c>
    </row>
    <row r="3045" spans="1:2" hidden="1">
      <c r="A3045" s="36">
        <v>20294675826</v>
      </c>
      <c r="B3045" t="s">
        <v>1798</v>
      </c>
    </row>
    <row r="3046" spans="1:2" hidden="1">
      <c r="A3046" s="36">
        <v>30712210636</v>
      </c>
      <c r="B3046" t="s">
        <v>1799</v>
      </c>
    </row>
    <row r="3047" spans="1:2" hidden="1">
      <c r="A3047" s="36">
        <v>30715053221</v>
      </c>
      <c r="B3047" t="s">
        <v>1800</v>
      </c>
    </row>
    <row r="3048" spans="1:2" hidden="1">
      <c r="A3048" s="36">
        <v>20256599954</v>
      </c>
      <c r="B3048" t="s">
        <v>1801</v>
      </c>
    </row>
    <row r="3049" spans="1:2" hidden="1">
      <c r="A3049" s="36">
        <v>20372478056</v>
      </c>
      <c r="B3049" t="s">
        <v>1802</v>
      </c>
    </row>
    <row r="3050" spans="1:2" hidden="1">
      <c r="A3050" s="36">
        <v>30699455829</v>
      </c>
      <c r="B3050" t="s">
        <v>1803</v>
      </c>
    </row>
    <row r="3051" spans="1:2" hidden="1">
      <c r="A3051" s="36">
        <v>33716968109</v>
      </c>
      <c r="B3051" t="s">
        <v>1804</v>
      </c>
    </row>
    <row r="3052" spans="1:2" hidden="1">
      <c r="A3052" s="36">
        <v>30711776040</v>
      </c>
      <c r="B3052" t="s">
        <v>1805</v>
      </c>
    </row>
    <row r="3053" spans="1:2" hidden="1">
      <c r="A3053" s="36">
        <v>30712449361</v>
      </c>
      <c r="B3053" t="s">
        <v>1806</v>
      </c>
    </row>
    <row r="3054" spans="1:2" hidden="1">
      <c r="A3054" s="36">
        <v>30709788635</v>
      </c>
      <c r="B3054" t="s">
        <v>1807</v>
      </c>
    </row>
    <row r="3055" spans="1:2" hidden="1">
      <c r="A3055" s="36">
        <v>30711200599</v>
      </c>
      <c r="B3055" t="s">
        <v>1809</v>
      </c>
    </row>
    <row r="3056" spans="1:2" hidden="1">
      <c r="A3056" s="36">
        <v>27162255881</v>
      </c>
      <c r="B3056" t="s">
        <v>1810</v>
      </c>
    </row>
    <row r="3057" spans="1:2" hidden="1">
      <c r="A3057" s="36">
        <v>30707254366</v>
      </c>
      <c r="B3057" t="s">
        <v>1811</v>
      </c>
    </row>
    <row r="3058" spans="1:2" hidden="1">
      <c r="A3058" s="36">
        <v>30715510002</v>
      </c>
      <c r="B3058" t="s">
        <v>1813</v>
      </c>
    </row>
    <row r="3059" spans="1:2" hidden="1">
      <c r="A3059" s="36">
        <v>23221796969</v>
      </c>
      <c r="B3059" t="s">
        <v>1814</v>
      </c>
    </row>
    <row r="3060" spans="1:2" hidden="1">
      <c r="A3060" s="36">
        <v>30710457502</v>
      </c>
      <c r="B3060" t="s">
        <v>1815</v>
      </c>
    </row>
    <row r="3061" spans="1:2" hidden="1">
      <c r="A3061" s="36">
        <v>30717323420</v>
      </c>
      <c r="B3061" t="s">
        <v>1816</v>
      </c>
    </row>
    <row r="3062" spans="1:2" hidden="1">
      <c r="A3062" s="36">
        <v>30715342983</v>
      </c>
      <c r="B3062" t="s">
        <v>1817</v>
      </c>
    </row>
    <row r="3063" spans="1:2" hidden="1">
      <c r="A3063" s="36">
        <v>20177984184</v>
      </c>
      <c r="B3063" t="s">
        <v>1818</v>
      </c>
    </row>
    <row r="3064" spans="1:2" hidden="1">
      <c r="A3064" s="36">
        <v>30716959232</v>
      </c>
      <c r="B3064" t="s">
        <v>1819</v>
      </c>
    </row>
    <row r="3065" spans="1:2" hidden="1">
      <c r="A3065" s="36">
        <v>27326035306</v>
      </c>
      <c r="B3065" t="s">
        <v>1820</v>
      </c>
    </row>
    <row r="3066" spans="1:2" hidden="1">
      <c r="A3066" s="36">
        <v>33715179119</v>
      </c>
      <c r="B3066" t="s">
        <v>1821</v>
      </c>
    </row>
    <row r="3067" spans="1:2" hidden="1">
      <c r="A3067" s="36">
        <v>23316519539</v>
      </c>
      <c r="B3067" t="s">
        <v>1822</v>
      </c>
    </row>
    <row r="3068" spans="1:2" hidden="1">
      <c r="A3068" s="36">
        <v>30628724497</v>
      </c>
      <c r="B3068" t="s">
        <v>1824</v>
      </c>
    </row>
    <row r="3069" spans="1:2" hidden="1">
      <c r="A3069" s="36">
        <v>30714381942</v>
      </c>
      <c r="B3069" t="s">
        <v>1828</v>
      </c>
    </row>
    <row r="3070" spans="1:2" hidden="1">
      <c r="A3070" s="36">
        <v>30697954399</v>
      </c>
      <c r="B3070" t="s">
        <v>1829</v>
      </c>
    </row>
    <row r="3071" spans="1:2" hidden="1">
      <c r="A3071" s="36">
        <v>30711080917</v>
      </c>
      <c r="B3071" t="s">
        <v>1830</v>
      </c>
    </row>
    <row r="3072" spans="1:2" hidden="1">
      <c r="A3072" s="36">
        <v>30709609064</v>
      </c>
      <c r="B3072" t="s">
        <v>1833</v>
      </c>
    </row>
    <row r="3073" spans="1:2" hidden="1">
      <c r="A3073" s="36">
        <v>30710405413</v>
      </c>
      <c r="B3073" t="s">
        <v>1835</v>
      </c>
    </row>
    <row r="3074" spans="1:2" hidden="1">
      <c r="A3074" s="36">
        <v>27293459172</v>
      </c>
      <c r="B3074" t="s">
        <v>1836</v>
      </c>
    </row>
    <row r="3075" spans="1:2" hidden="1">
      <c r="A3075" s="36">
        <v>30621927252</v>
      </c>
      <c r="B3075" t="s">
        <v>1837</v>
      </c>
    </row>
    <row r="3076" spans="1:2" hidden="1">
      <c r="A3076" s="36">
        <v>30710018479</v>
      </c>
      <c r="B3076" t="s">
        <v>1839</v>
      </c>
    </row>
    <row r="3077" spans="1:2" hidden="1">
      <c r="A3077" s="36">
        <v>33712020569</v>
      </c>
      <c r="B3077" t="s">
        <v>1840</v>
      </c>
    </row>
    <row r="3078" spans="1:2" hidden="1">
      <c r="A3078" s="36">
        <v>30697262063</v>
      </c>
      <c r="B3078" t="s">
        <v>1842</v>
      </c>
    </row>
    <row r="3079" spans="1:2" hidden="1">
      <c r="A3079" s="36">
        <v>30710857322</v>
      </c>
      <c r="B3079" t="s">
        <v>1843</v>
      </c>
    </row>
    <row r="3080" spans="1:2" hidden="1">
      <c r="A3080" s="36">
        <v>30716827166</v>
      </c>
      <c r="B3080" t="s">
        <v>1844</v>
      </c>
    </row>
    <row r="3081" spans="1:2" hidden="1">
      <c r="A3081" s="36">
        <v>33715693009</v>
      </c>
      <c r="B3081" t="s">
        <v>1845</v>
      </c>
    </row>
    <row r="3082" spans="1:2" hidden="1">
      <c r="A3082" s="36">
        <v>20106202274</v>
      </c>
      <c r="B3082" t="s">
        <v>1847</v>
      </c>
    </row>
    <row r="3083" spans="1:2" hidden="1">
      <c r="A3083" s="36">
        <v>30637769002</v>
      </c>
      <c r="B3083" t="s">
        <v>1848</v>
      </c>
    </row>
    <row r="3084" spans="1:2" hidden="1">
      <c r="A3084" s="36">
        <v>30707963804</v>
      </c>
      <c r="B3084" t="s">
        <v>1849</v>
      </c>
    </row>
    <row r="3085" spans="1:2" hidden="1">
      <c r="A3085" s="36">
        <v>30669793754</v>
      </c>
      <c r="B3085" t="s">
        <v>1850</v>
      </c>
    </row>
    <row r="3086" spans="1:2" hidden="1">
      <c r="A3086" s="36">
        <v>20267256196</v>
      </c>
      <c r="B3086" t="s">
        <v>1852</v>
      </c>
    </row>
    <row r="3087" spans="1:2" hidden="1">
      <c r="A3087" s="36">
        <v>30587053221</v>
      </c>
      <c r="B3087" t="s">
        <v>1864</v>
      </c>
    </row>
    <row r="3088" spans="1:2" hidden="1">
      <c r="A3088" s="36"/>
    </row>
    <row r="3089" spans="1:2" hidden="1">
      <c r="A3089" s="36">
        <v>20214813301</v>
      </c>
      <c r="B3089" t="s">
        <v>1869</v>
      </c>
    </row>
    <row r="3090" spans="1:2" hidden="1">
      <c r="A3090" s="36">
        <v>30717305287</v>
      </c>
      <c r="B3090" t="s">
        <v>1871</v>
      </c>
    </row>
    <row r="3091" spans="1:2" hidden="1">
      <c r="A3091" s="36">
        <v>30709625833</v>
      </c>
      <c r="B3091" t="s">
        <v>1872</v>
      </c>
    </row>
    <row r="3092" spans="1:2" hidden="1">
      <c r="A3092" s="36">
        <v>33712445489</v>
      </c>
      <c r="B3092" t="s">
        <v>1873</v>
      </c>
    </row>
    <row r="3093" spans="1:2" hidden="1">
      <c r="A3093" s="36">
        <v>20956744750</v>
      </c>
      <c r="B3093" t="s">
        <v>1874</v>
      </c>
    </row>
    <row r="3094" spans="1:2" hidden="1">
      <c r="A3094" s="36">
        <v>20259150249</v>
      </c>
      <c r="B3094" t="s">
        <v>1875</v>
      </c>
    </row>
    <row r="3095" spans="1:2" hidden="1">
      <c r="A3095" s="36">
        <v>30695506410</v>
      </c>
      <c r="B3095" t="s">
        <v>1876</v>
      </c>
    </row>
    <row r="3096" spans="1:2" hidden="1">
      <c r="A3096" s="36">
        <v>30709600539</v>
      </c>
      <c r="B3096" t="s">
        <v>1877</v>
      </c>
    </row>
    <row r="3097" spans="1:2" hidden="1">
      <c r="A3097" s="36">
        <v>20161447340</v>
      </c>
      <c r="B3097" t="s">
        <v>1878</v>
      </c>
    </row>
    <row r="3098" spans="1:2" hidden="1">
      <c r="A3098" s="36">
        <v>30519167472</v>
      </c>
      <c r="B3098" t="s">
        <v>1883</v>
      </c>
    </row>
    <row r="3099" spans="1:2" hidden="1">
      <c r="A3099" s="36">
        <v>30716583984</v>
      </c>
      <c r="B3099" t="s">
        <v>1885</v>
      </c>
    </row>
    <row r="3100" spans="1:2" hidden="1">
      <c r="A3100" s="36">
        <v>30716877260</v>
      </c>
      <c r="B3100" t="s">
        <v>1887</v>
      </c>
    </row>
    <row r="3101" spans="1:2" hidden="1">
      <c r="A3101" s="36">
        <v>30714683663</v>
      </c>
      <c r="B3101" t="s">
        <v>1888</v>
      </c>
    </row>
    <row r="3102" spans="1:2" hidden="1">
      <c r="A3102" s="36">
        <v>30714911135</v>
      </c>
      <c r="B3102" t="s">
        <v>1889</v>
      </c>
    </row>
    <row r="3103" spans="1:2" hidden="1">
      <c r="A3103" s="36">
        <v>30714683663</v>
      </c>
      <c r="B3103" t="s">
        <v>1888</v>
      </c>
    </row>
    <row r="3104" spans="1:2" hidden="1">
      <c r="A3104" s="36">
        <v>30714389064</v>
      </c>
      <c r="B3104" t="s">
        <v>1891</v>
      </c>
    </row>
    <row r="3105" spans="1:2" hidden="1">
      <c r="A3105" s="36">
        <v>20337899790</v>
      </c>
      <c r="B3105" t="s">
        <v>1892</v>
      </c>
    </row>
    <row r="3106" spans="1:2" hidden="1">
      <c r="A3106" s="36">
        <v>30710276273</v>
      </c>
      <c r="B3106" t="s">
        <v>1893</v>
      </c>
    </row>
    <row r="3107" spans="1:2" hidden="1">
      <c r="A3107" s="36">
        <v>30717322815</v>
      </c>
      <c r="B3107" t="s">
        <v>1894</v>
      </c>
    </row>
    <row r="3108" spans="1:2" hidden="1">
      <c r="A3108" s="36">
        <v>30717695026</v>
      </c>
      <c r="B3108" t="s">
        <v>1895</v>
      </c>
    </row>
    <row r="3109" spans="1:2" hidden="1">
      <c r="A3109" s="36">
        <v>30717675408</v>
      </c>
      <c r="B3109" t="s">
        <v>1896</v>
      </c>
    </row>
    <row r="3110" spans="1:2" hidden="1">
      <c r="A3110" s="36">
        <v>30711722129</v>
      </c>
      <c r="B3110" t="s">
        <v>1897</v>
      </c>
    </row>
    <row r="3111" spans="1:2" hidden="1">
      <c r="A3111" s="36">
        <v>33711089859</v>
      </c>
      <c r="B3111" t="s">
        <v>1898</v>
      </c>
    </row>
    <row r="3112" spans="1:2" hidden="1">
      <c r="A3112" s="36">
        <v>30715401467</v>
      </c>
      <c r="B3112" t="s">
        <v>1899</v>
      </c>
    </row>
    <row r="3113" spans="1:2" hidden="1">
      <c r="A3113" s="36">
        <v>30603886360</v>
      </c>
      <c r="B3113" t="s">
        <v>1900</v>
      </c>
    </row>
    <row r="3114" spans="1:2" hidden="1">
      <c r="A3114" s="36">
        <v>27315291661</v>
      </c>
      <c r="B3114" t="s">
        <v>1901</v>
      </c>
    </row>
    <row r="3115" spans="1:2" hidden="1">
      <c r="A3115" s="36">
        <v>27288615557</v>
      </c>
      <c r="B3115" t="s">
        <v>1902</v>
      </c>
    </row>
    <row r="3116" spans="1:2" hidden="1">
      <c r="A3116" s="36">
        <v>30715399896</v>
      </c>
      <c r="B3116" t="s">
        <v>1904</v>
      </c>
    </row>
    <row r="3117" spans="1:2" hidden="1">
      <c r="A3117" s="36">
        <v>30716526832</v>
      </c>
      <c r="B3117" t="s">
        <v>1906</v>
      </c>
    </row>
    <row r="3118" spans="1:2" hidden="1">
      <c r="A3118" s="36">
        <v>27245151522</v>
      </c>
      <c r="B3118" t="s">
        <v>1907</v>
      </c>
    </row>
    <row r="3119" spans="1:2" hidden="1">
      <c r="A3119" s="36">
        <v>30574603788</v>
      </c>
      <c r="B3119" t="s">
        <v>1354</v>
      </c>
    </row>
    <row r="3120" spans="1:2" hidden="1">
      <c r="A3120" s="36">
        <v>20236267688</v>
      </c>
      <c r="B3120" t="s">
        <v>1908</v>
      </c>
    </row>
    <row r="3121" spans="1:2" hidden="1">
      <c r="A3121" s="36">
        <v>20237825021</v>
      </c>
      <c r="B3121" t="s">
        <v>1909</v>
      </c>
    </row>
    <row r="3122" spans="1:2" hidden="1">
      <c r="A3122" s="36">
        <v>30516863230</v>
      </c>
      <c r="B3122" t="s">
        <v>1910</v>
      </c>
    </row>
    <row r="3123" spans="1:2" hidden="1">
      <c r="A3123" s="36">
        <v>30710587619</v>
      </c>
      <c r="B3123" t="s">
        <v>1911</v>
      </c>
    </row>
    <row r="3124" spans="1:2" hidden="1">
      <c r="A3124" s="36">
        <v>30716920344</v>
      </c>
      <c r="B3124" t="s">
        <v>1912</v>
      </c>
    </row>
    <row r="3125" spans="1:2" hidden="1">
      <c r="A3125" s="36">
        <v>27287475344</v>
      </c>
      <c r="B3125" t="s">
        <v>1913</v>
      </c>
    </row>
    <row r="3126" spans="1:2" hidden="1">
      <c r="A3126" s="36">
        <v>30707862900</v>
      </c>
      <c r="B3126" t="s">
        <v>1914</v>
      </c>
    </row>
    <row r="3127" spans="1:2" hidden="1">
      <c r="A3127" s="36">
        <v>30715706551</v>
      </c>
      <c r="B3127" t="s">
        <v>1915</v>
      </c>
    </row>
    <row r="3128" spans="1:2" hidden="1">
      <c r="A3128" s="36">
        <v>30717934020</v>
      </c>
      <c r="B3128" t="s">
        <v>1917</v>
      </c>
    </row>
    <row r="3129" spans="1:2" hidden="1">
      <c r="A3129" s="36">
        <v>30709424420</v>
      </c>
      <c r="B3129" t="s">
        <v>1918</v>
      </c>
    </row>
    <row r="3130" spans="1:2" hidden="1">
      <c r="A3130" s="36">
        <v>27293054350</v>
      </c>
      <c r="B3130" t="s">
        <v>1919</v>
      </c>
    </row>
    <row r="3131" spans="1:2" hidden="1">
      <c r="A3131" s="36">
        <v>30702209397</v>
      </c>
      <c r="B3131" t="s">
        <v>1920</v>
      </c>
    </row>
    <row r="3132" spans="1:2" hidden="1">
      <c r="A3132" s="36">
        <v>20177965279</v>
      </c>
      <c r="B3132" t="s">
        <v>1922</v>
      </c>
    </row>
    <row r="3133" spans="1:2" hidden="1">
      <c r="A3133" s="36">
        <v>20285074712</v>
      </c>
      <c r="B3133" t="s">
        <v>1923</v>
      </c>
    </row>
    <row r="3134" spans="1:2" hidden="1">
      <c r="A3134" s="36">
        <v>20417104543</v>
      </c>
      <c r="B3134" t="s">
        <v>1924</v>
      </c>
    </row>
    <row r="3135" spans="1:2" hidden="1">
      <c r="A3135" s="36">
        <v>20279103190</v>
      </c>
      <c r="B3135" t="s">
        <v>1925</v>
      </c>
    </row>
    <row r="3136" spans="1:2" hidden="1">
      <c r="A3136" s="36">
        <v>30707059466</v>
      </c>
      <c r="B3136" t="s">
        <v>1926</v>
      </c>
    </row>
    <row r="3137" spans="1:4" hidden="1">
      <c r="A3137" s="36">
        <v>30716621894</v>
      </c>
      <c r="B3137" t="s">
        <v>1930</v>
      </c>
    </row>
    <row r="3138" spans="1:4" hidden="1">
      <c r="A3138" s="36">
        <v>30709972894</v>
      </c>
      <c r="B3138" t="s">
        <v>1931</v>
      </c>
    </row>
    <row r="3139" spans="1:4" hidden="1">
      <c r="A3139" s="36">
        <v>27940267965</v>
      </c>
      <c r="B3139" t="s">
        <v>1932</v>
      </c>
    </row>
    <row r="3140" spans="1:4" hidden="1">
      <c r="A3140" s="36">
        <v>30601502778</v>
      </c>
      <c r="B3140" t="s">
        <v>1933</v>
      </c>
    </row>
    <row r="3141" spans="1:4" hidden="1">
      <c r="A3141" s="36">
        <v>20164549837</v>
      </c>
      <c r="B3141" t="s">
        <v>1934</v>
      </c>
    </row>
    <row r="3142" spans="1:4" hidden="1">
      <c r="A3142" s="36">
        <v>20140992411</v>
      </c>
      <c r="B3142" t="s">
        <v>1935</v>
      </c>
      <c r="D3142" t="s">
        <v>1754</v>
      </c>
    </row>
    <row r="3143" spans="1:4" hidden="1">
      <c r="A3143" s="36">
        <v>20244059369</v>
      </c>
      <c r="B3143" t="s">
        <v>1944</v>
      </c>
    </row>
    <row r="3144" spans="1:4" hidden="1">
      <c r="A3144" s="36">
        <v>20141232178</v>
      </c>
      <c r="B3144" t="s">
        <v>1946</v>
      </c>
    </row>
    <row r="3145" spans="1:4" hidden="1">
      <c r="A3145" s="36">
        <v>33700851279</v>
      </c>
      <c r="B3145" t="s">
        <v>1949</v>
      </c>
    </row>
    <row r="3146" spans="1:4" hidden="1">
      <c r="A3146" s="36">
        <v>30656753591</v>
      </c>
      <c r="B3146" t="s">
        <v>1950</v>
      </c>
    </row>
    <row r="3147" spans="1:4" hidden="1">
      <c r="A3147" s="36"/>
    </row>
    <row r="3148" spans="1:4" hidden="1">
      <c r="A3148" s="36">
        <v>20120794338</v>
      </c>
      <c r="B3148" t="s">
        <v>1952</v>
      </c>
    </row>
    <row r="3149" spans="1:4" hidden="1">
      <c r="A3149" s="36">
        <v>20250382910</v>
      </c>
      <c r="B3149" t="s">
        <v>1953</v>
      </c>
    </row>
    <row r="3150" spans="1:4" hidden="1">
      <c r="A3150" s="36">
        <v>30710338554</v>
      </c>
      <c r="B3150" t="s">
        <v>1954</v>
      </c>
    </row>
    <row r="3151" spans="1:4" hidden="1">
      <c r="A3151" s="36">
        <v>30711725608</v>
      </c>
      <c r="B3151" t="s">
        <v>1955</v>
      </c>
    </row>
    <row r="3152" spans="1:4" hidden="1">
      <c r="A3152" s="36">
        <v>20352164616</v>
      </c>
      <c r="B3152" t="s">
        <v>1957</v>
      </c>
    </row>
    <row r="3153" spans="1:2" hidden="1">
      <c r="A3153" s="36">
        <v>30707591168</v>
      </c>
      <c r="B3153" t="s">
        <v>1960</v>
      </c>
    </row>
    <row r="3154" spans="1:2" hidden="1">
      <c r="A3154" s="36">
        <v>30708395443</v>
      </c>
      <c r="B3154" t="s">
        <v>1962</v>
      </c>
    </row>
    <row r="3155" spans="1:2" hidden="1">
      <c r="A3155" s="36">
        <v>20247737414</v>
      </c>
      <c r="B3155" t="s">
        <v>1963</v>
      </c>
    </row>
    <row r="3156" spans="1:2" hidden="1">
      <c r="A3156" s="36">
        <v>20271814128</v>
      </c>
      <c r="B3156" t="s">
        <v>1964</v>
      </c>
    </row>
    <row r="3157" spans="1:2" hidden="1">
      <c r="A3157" s="36">
        <v>20149278290</v>
      </c>
      <c r="B3157" t="s">
        <v>1966</v>
      </c>
    </row>
    <row r="3158" spans="1:2" hidden="1">
      <c r="A3158" s="36">
        <v>30710492626</v>
      </c>
      <c r="B3158" t="s">
        <v>1967</v>
      </c>
    </row>
    <row r="3159" spans="1:2" hidden="1">
      <c r="A3159" s="36">
        <v>30710102550</v>
      </c>
      <c r="B3159" t="s">
        <v>1968</v>
      </c>
    </row>
    <row r="3160" spans="1:2" hidden="1">
      <c r="A3160" s="36">
        <v>27329934328</v>
      </c>
      <c r="B3160" t="s">
        <v>1969</v>
      </c>
    </row>
    <row r="3161" spans="1:2" hidden="1">
      <c r="A3161" s="36">
        <v>30711399093</v>
      </c>
      <c r="B3161" t="s">
        <v>1970</v>
      </c>
    </row>
    <row r="3162" spans="1:2" hidden="1">
      <c r="A3162" s="36">
        <v>27292465063</v>
      </c>
      <c r="B3162" t="s">
        <v>1971</v>
      </c>
    </row>
    <row r="3163" spans="1:2" hidden="1">
      <c r="A3163" s="36">
        <v>20263592167</v>
      </c>
      <c r="B3163" t="s">
        <v>1972</v>
      </c>
    </row>
    <row r="3164" spans="1:2" hidden="1">
      <c r="A3164" s="36">
        <v>20231251821</v>
      </c>
      <c r="B3164" t="s">
        <v>1973</v>
      </c>
    </row>
    <row r="3165" spans="1:2" hidden="1">
      <c r="A3165" s="36">
        <v>20373457796</v>
      </c>
      <c r="B3165" t="s">
        <v>1974</v>
      </c>
    </row>
    <row r="3166" spans="1:2" hidden="1">
      <c r="A3166" s="36">
        <v>23366871349</v>
      </c>
      <c r="B3166" t="s">
        <v>1976</v>
      </c>
    </row>
    <row r="3167" spans="1:2" hidden="1">
      <c r="A3167" s="36">
        <v>30715888951</v>
      </c>
      <c r="B3167" t="s">
        <v>1978</v>
      </c>
    </row>
    <row r="3168" spans="1:2" hidden="1">
      <c r="A3168" s="36">
        <v>30710259883</v>
      </c>
      <c r="B3168" t="s">
        <v>1979</v>
      </c>
    </row>
    <row r="3169" spans="1:2" hidden="1">
      <c r="A3169" s="36">
        <v>30712312447</v>
      </c>
      <c r="B3169" t="s">
        <v>1980</v>
      </c>
    </row>
    <row r="3170" spans="1:2" hidden="1">
      <c r="A3170" s="36">
        <v>30715961373</v>
      </c>
      <c r="B3170" t="s">
        <v>1982</v>
      </c>
    </row>
    <row r="3171" spans="1:2" hidden="1">
      <c r="A3171" s="36">
        <v>23142556499</v>
      </c>
      <c r="B3171" t="s">
        <v>1983</v>
      </c>
    </row>
    <row r="3172" spans="1:2" hidden="1">
      <c r="A3172" s="36">
        <v>20184094526</v>
      </c>
      <c r="B3172" t="s">
        <v>1984</v>
      </c>
    </row>
    <row r="3173" spans="1:2" hidden="1">
      <c r="A3173" s="36">
        <v>30708046023</v>
      </c>
      <c r="B3173" t="s">
        <v>1985</v>
      </c>
    </row>
    <row r="3174" spans="1:2" hidden="1">
      <c r="A3174" s="36">
        <v>30715094319</v>
      </c>
      <c r="B3174" t="s">
        <v>1986</v>
      </c>
    </row>
    <row r="3175" spans="1:2" hidden="1">
      <c r="A3175" s="36">
        <v>23059002414</v>
      </c>
      <c r="B3175" t="s">
        <v>1987</v>
      </c>
    </row>
    <row r="3176" spans="1:2" hidden="1">
      <c r="A3176" s="36">
        <v>30717026361</v>
      </c>
      <c r="B3176" t="s">
        <v>1988</v>
      </c>
    </row>
    <row r="3177" spans="1:2" hidden="1">
      <c r="A3177" s="36">
        <v>30715515144</v>
      </c>
      <c r="B3177" t="s">
        <v>1990</v>
      </c>
    </row>
    <row r="3178" spans="1:2" hidden="1">
      <c r="A3178" s="36">
        <v>30716611821</v>
      </c>
      <c r="B3178" t="s">
        <v>1991</v>
      </c>
    </row>
    <row r="3179" spans="1:2" hidden="1">
      <c r="A3179" s="36">
        <v>20287430974</v>
      </c>
      <c r="B3179" t="s">
        <v>1994</v>
      </c>
    </row>
    <row r="3180" spans="1:2" hidden="1">
      <c r="A3180" s="36">
        <v>30717074781</v>
      </c>
      <c r="B3180" t="s">
        <v>1996</v>
      </c>
    </row>
    <row r="3181" spans="1:2" hidden="1">
      <c r="A3181" s="36">
        <v>27236451262</v>
      </c>
      <c r="B3181" t="s">
        <v>1999</v>
      </c>
    </row>
    <row r="3182" spans="1:2" hidden="1">
      <c r="A3182" s="36">
        <v>20183101456</v>
      </c>
      <c r="B3182" t="s">
        <v>2004</v>
      </c>
    </row>
    <row r="3183" spans="1:2" hidden="1">
      <c r="A3183" s="36">
        <v>30714905313</v>
      </c>
      <c r="B3183" t="s">
        <v>2007</v>
      </c>
    </row>
    <row r="3184" spans="1:2" hidden="1">
      <c r="A3184" s="36">
        <v>30696676026</v>
      </c>
      <c r="B3184" t="s">
        <v>2008</v>
      </c>
    </row>
    <row r="3185" spans="1:2" hidden="1">
      <c r="A3185" s="36">
        <v>27185805854</v>
      </c>
      <c r="B3185" t="s">
        <v>2009</v>
      </c>
    </row>
    <row r="3186" spans="1:2" hidden="1">
      <c r="A3186" s="36">
        <v>27235174451</v>
      </c>
      <c r="B3186" t="s">
        <v>2010</v>
      </c>
    </row>
    <row r="3187" spans="1:2" hidden="1">
      <c r="A3187" s="36">
        <v>20383253528</v>
      </c>
      <c r="B3187" t="s">
        <v>2012</v>
      </c>
    </row>
    <row r="3188" spans="1:2" hidden="1">
      <c r="A3188" s="36">
        <v>30708637587</v>
      </c>
      <c r="B3188" t="s">
        <v>2013</v>
      </c>
    </row>
    <row r="3189" spans="1:2" hidden="1">
      <c r="A3189" s="36">
        <v>30706053812</v>
      </c>
      <c r="B3189" t="s">
        <v>2014</v>
      </c>
    </row>
    <row r="3190" spans="1:2" hidden="1">
      <c r="A3190" s="36">
        <v>30702259890</v>
      </c>
      <c r="B3190" t="s">
        <v>2018</v>
      </c>
    </row>
    <row r="3191" spans="1:2" hidden="1">
      <c r="A3191" s="36">
        <v>33708943059</v>
      </c>
      <c r="B3191" t="s">
        <v>2019</v>
      </c>
    </row>
    <row r="3192" spans="1:2" hidden="1">
      <c r="A3192" s="36">
        <v>30538514191</v>
      </c>
      <c r="B3192" t="s">
        <v>2021</v>
      </c>
    </row>
    <row r="3193" spans="1:2" hidden="1">
      <c r="A3193" s="36">
        <v>30716389681</v>
      </c>
      <c r="B3193" t="s">
        <v>2022</v>
      </c>
    </row>
    <row r="3194" spans="1:2" hidden="1">
      <c r="A3194" s="36">
        <v>20282218802</v>
      </c>
      <c r="B3194" t="s">
        <v>2024</v>
      </c>
    </row>
    <row r="3195" spans="1:2" hidden="1">
      <c r="A3195" s="36">
        <v>30548690796</v>
      </c>
      <c r="B3195" t="s">
        <v>2025</v>
      </c>
    </row>
    <row r="3196" spans="1:2" hidden="1">
      <c r="A3196" s="36">
        <v>30716642913</v>
      </c>
      <c r="B3196" t="s">
        <v>2029</v>
      </c>
    </row>
    <row r="3197" spans="1:2" hidden="1">
      <c r="A3197" s="36">
        <v>30716426196</v>
      </c>
      <c r="B3197" t="s">
        <v>2030</v>
      </c>
    </row>
    <row r="3198" spans="1:2" hidden="1">
      <c r="A3198" s="36">
        <v>30657611936</v>
      </c>
      <c r="B3198" t="s">
        <v>2031</v>
      </c>
    </row>
    <row r="3199" spans="1:2" hidden="1">
      <c r="A3199" s="36">
        <v>20130392262</v>
      </c>
      <c r="B3199" t="s">
        <v>2032</v>
      </c>
    </row>
    <row r="3200" spans="1:2" hidden="1">
      <c r="A3200" s="36">
        <v>30629642672</v>
      </c>
      <c r="B3200" t="s">
        <v>2033</v>
      </c>
    </row>
    <row r="3201" spans="1:2" hidden="1">
      <c r="A3201" s="36">
        <v>30711101280</v>
      </c>
      <c r="B3201" t="s">
        <v>2034</v>
      </c>
    </row>
    <row r="3202" spans="1:2" hidden="1">
      <c r="A3202" s="36">
        <v>30714280712</v>
      </c>
      <c r="B3202" t="s">
        <v>2036</v>
      </c>
    </row>
    <row r="3203" spans="1:2" hidden="1">
      <c r="A3203" s="36">
        <v>27323842413</v>
      </c>
      <c r="B3203" t="s">
        <v>2037</v>
      </c>
    </row>
    <row r="3204" spans="1:2" hidden="1">
      <c r="A3204" s="36">
        <v>30712263519</v>
      </c>
      <c r="B3204" t="s">
        <v>2038</v>
      </c>
    </row>
    <row r="3205" spans="1:2" hidden="1">
      <c r="A3205" s="36">
        <v>30711992053</v>
      </c>
      <c r="B3205" t="s">
        <v>2039</v>
      </c>
    </row>
    <row r="3206" spans="1:2" hidden="1">
      <c r="A3206" s="36">
        <v>30715353934</v>
      </c>
      <c r="B3206" t="s">
        <v>2040</v>
      </c>
    </row>
    <row r="3207" spans="1:2" hidden="1">
      <c r="A3207" s="36">
        <v>20235723906</v>
      </c>
      <c r="B3207" t="s">
        <v>2041</v>
      </c>
    </row>
    <row r="3208" spans="1:2" hidden="1">
      <c r="A3208" s="36">
        <v>30717062775</v>
      </c>
      <c r="B3208" t="s">
        <v>2042</v>
      </c>
    </row>
    <row r="3209" spans="1:2" hidden="1">
      <c r="A3209" s="36">
        <v>20178564219</v>
      </c>
      <c r="B3209" t="s">
        <v>2043</v>
      </c>
    </row>
    <row r="3210" spans="1:2" hidden="1">
      <c r="A3210" s="36">
        <v>30708092904</v>
      </c>
      <c r="B3210" t="s">
        <v>2044</v>
      </c>
    </row>
    <row r="3211" spans="1:2" hidden="1">
      <c r="A3211" s="36">
        <v>27128887186</v>
      </c>
      <c r="B3211" t="s">
        <v>2048</v>
      </c>
    </row>
    <row r="3212" spans="1:2" hidden="1">
      <c r="A3212" s="36">
        <v>30702209397</v>
      </c>
      <c r="B3212" t="s">
        <v>1920</v>
      </c>
    </row>
    <row r="3213" spans="1:2" hidden="1">
      <c r="A3213" s="36">
        <v>20301942444</v>
      </c>
      <c r="B3213" t="s">
        <v>2050</v>
      </c>
    </row>
    <row r="3214" spans="1:2" hidden="1">
      <c r="A3214" s="36">
        <v>20323423785</v>
      </c>
      <c r="B3214" t="s">
        <v>2051</v>
      </c>
    </row>
    <row r="3215" spans="1:2" hidden="1">
      <c r="A3215" s="36">
        <v>30715603582</v>
      </c>
      <c r="B3215" t="s">
        <v>2052</v>
      </c>
    </row>
    <row r="3216" spans="1:2" hidden="1">
      <c r="A3216" s="36">
        <v>30708512741</v>
      </c>
      <c r="B3216" t="s">
        <v>2053</v>
      </c>
    </row>
    <row r="3217" spans="1:3" hidden="1">
      <c r="A3217" s="36">
        <v>27174015703</v>
      </c>
      <c r="B3217" t="s">
        <v>2054</v>
      </c>
    </row>
    <row r="3218" spans="1:3" hidden="1">
      <c r="A3218" s="36">
        <v>30715465708</v>
      </c>
      <c r="B3218" t="s">
        <v>2055</v>
      </c>
    </row>
    <row r="3219" spans="1:3" hidden="1">
      <c r="A3219" s="36">
        <v>33715657479</v>
      </c>
      <c r="B3219" t="s">
        <v>2056</v>
      </c>
    </row>
    <row r="3220" spans="1:3" hidden="1">
      <c r="A3220" s="36">
        <v>20225038717</v>
      </c>
      <c r="B3220" t="s">
        <v>2058</v>
      </c>
    </row>
    <row r="3221" spans="1:3" hidden="1">
      <c r="A3221" s="36">
        <v>30716813327</v>
      </c>
      <c r="B3221" t="s">
        <v>2061</v>
      </c>
    </row>
    <row r="3222" spans="1:3" hidden="1">
      <c r="A3222" s="36">
        <v>30715885596</v>
      </c>
      <c r="B3222" t="s">
        <v>2062</v>
      </c>
    </row>
    <row r="3223" spans="1:3" hidden="1">
      <c r="A3223" s="36">
        <v>30708020539</v>
      </c>
      <c r="B3223" t="s">
        <v>2063</v>
      </c>
    </row>
    <row r="3224" spans="1:3" hidden="1">
      <c r="A3224" s="36">
        <v>30716228955</v>
      </c>
      <c r="B3224" t="s">
        <v>2064</v>
      </c>
    </row>
    <row r="3225" spans="1:3" hidden="1">
      <c r="A3225" s="36">
        <v>55000002126</v>
      </c>
      <c r="B3225" t="s">
        <v>2326</v>
      </c>
    </row>
    <row r="3226" spans="1:3" hidden="1">
      <c r="A3226" s="36"/>
    </row>
    <row r="3227" spans="1:3" hidden="1">
      <c r="A3227" s="36">
        <v>30417345039</v>
      </c>
    </row>
    <row r="3228" spans="1:3" hidden="1">
      <c r="A3228" s="36">
        <v>30529403522</v>
      </c>
      <c r="B3228" t="s">
        <v>2096</v>
      </c>
      <c r="C3228" s="35" t="s">
        <v>79</v>
      </c>
    </row>
    <row r="3229" spans="1:3" hidden="1">
      <c r="A3229" s="36">
        <v>30517345039</v>
      </c>
      <c r="B3229" t="s">
        <v>2653</v>
      </c>
    </row>
    <row r="3230" spans="1:3" hidden="1">
      <c r="A3230" s="36"/>
    </row>
    <row r="3231" spans="1:3" hidden="1">
      <c r="A3231" s="36"/>
      <c r="C3231" s="35" t="s">
        <v>2692</v>
      </c>
    </row>
  </sheetData>
  <dataValidations count="1">
    <dataValidation type="whole" allowBlank="1" showInputMessage="1" showErrorMessage="1" sqref="A95 A2994 A3104:A3110 G27:G28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9" tint="-0.249977111117893"/>
    <pageSetUpPr fitToPage="1"/>
  </sheetPr>
  <dimension ref="A1:Z1596"/>
  <sheetViews>
    <sheetView showGridLines="0" topLeftCell="A134" zoomScaleNormal="100" workbookViewId="0">
      <selection activeCell="P150" sqref="P150:Q152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7.28515625" customWidth="1"/>
    <col min="4" max="4" width="9.42578125" customWidth="1"/>
    <col min="5" max="5" width="12.42578125" customWidth="1"/>
    <col min="6" max="6" width="22.42578125" customWidth="1"/>
    <col min="7" max="7" width="27.28515625" customWidth="1"/>
    <col min="8" max="8" width="20" customWidth="1"/>
    <col min="9" max="9" width="17.5703125" customWidth="1"/>
    <col min="10" max="10" width="20.7109375" customWidth="1"/>
    <col min="11" max="11" width="14.140625" bestFit="1" customWidth="1"/>
    <col min="12" max="12" width="14.7109375" bestFit="1" customWidth="1"/>
    <col min="13" max="13" width="9.85546875" customWidth="1"/>
    <col min="14" max="14" width="12.28515625" customWidth="1"/>
    <col min="15" max="15" width="14.5703125" customWidth="1"/>
    <col min="16" max="16" width="16.42578125" customWidth="1"/>
    <col min="17" max="17" width="22" customWidth="1"/>
    <col min="18" max="18" width="11.28515625" customWidth="1"/>
    <col min="19" max="19" width="12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15" t="s">
        <v>119</v>
      </c>
      <c r="H1" s="715"/>
      <c r="I1" s="715"/>
      <c r="J1" s="715"/>
      <c r="K1" s="715"/>
      <c r="L1" s="715"/>
      <c r="M1" s="715"/>
      <c r="N1" s="711">
        <v>44927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SUM(compras_mes1[[#Totals],[NETO GRAVADO]])+extracto_banco_mes1[[#Totals],[NETO]]</f>
        <v>83965690.76166667</v>
      </c>
      <c r="C4" s="718"/>
      <c r="D4" s="718"/>
      <c r="E4" s="718"/>
      <c r="F4" s="39"/>
      <c r="G4" s="719">
        <f>compras_mes1[[#Totals],[IVA 21 %]]+compras_mes1[[#Totals],[IVA 27%]]+compras_mes1[[#Totals],[IVA 10,5%]]+extracto_banco_mes1[[#Totals],[IVA 21%]]+extracto_banco_mes1[[#Totals],[IVA 10,5%]]</f>
        <v>17529342.909729999</v>
      </c>
      <c r="H4" s="719"/>
      <c r="I4" s="39"/>
      <c r="J4" s="725">
        <f>venta_a_mes1[[#Totals],[IMPORTE NETO]]+ventas_b_mes1[[#Totals],[IMPORTE NETO]]</f>
        <v>0</v>
      </c>
      <c r="K4" s="725"/>
      <c r="L4" s="39"/>
      <c r="M4" s="725">
        <f>venta_a_mes1[[#Totals],[IVA 21%]]+venta_a_mes1[[#Totals],[IVA 10,5%]]+ventas_b_mes1[[#Totals],[IVA 21%]]+ventas_b_mes1[[#Totals],[IVA 10,5%]]</f>
        <v>0</v>
      </c>
      <c r="N4" s="725"/>
      <c r="O4" s="39"/>
      <c r="P4" s="721">
        <f>G4-M4</f>
        <v>17529342.909729999</v>
      </c>
      <c r="Q4" s="722"/>
      <c r="R4" s="722"/>
    </row>
    <row r="5" spans="1:26" ht="13.15" customHeight="1"/>
    <row r="7" spans="1:26" s="2" customFormat="1">
      <c r="B7" s="40"/>
      <c r="C7" s="41"/>
      <c r="D7" s="42"/>
      <c r="E7" s="43"/>
      <c r="F7" s="44"/>
      <c r="G7" s="45"/>
      <c r="H7" s="175" t="s">
        <v>1633</v>
      </c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329">
        <v>45292</v>
      </c>
      <c r="C9" s="330">
        <v>1</v>
      </c>
      <c r="D9" s="331">
        <v>1</v>
      </c>
      <c r="E9" s="332">
        <v>453</v>
      </c>
      <c r="F9" s="333">
        <v>20131206144</v>
      </c>
      <c r="G9" s="334" t="str">
        <f>IFERROR(IF(compras_mes1[[#This Row],[CUIT]]="","-",VLOOKUP(compras_mes1[[#This Row],[CUIT]],Lista_CUIT[#All],2,0)),"CUIT NO CARGADO")</f>
        <v>CHAMORRO MANUEL</v>
      </c>
      <c r="H9" s="335">
        <v>300000</v>
      </c>
      <c r="I9" s="336">
        <f>IF(compras_mes1[[#This Row],[NETO GRAVADO]]="","",compras_mes1[[#This Row],[NETO GRAVADO]]*0.21)</f>
        <v>63000</v>
      </c>
      <c r="J9" s="336"/>
      <c r="K9" s="336"/>
      <c r="L9" s="336"/>
      <c r="M9" s="336"/>
      <c r="N9" s="336"/>
      <c r="O9" s="336"/>
      <c r="P9" s="337">
        <f>SUM(compras_mes1[[#This Row],[NETO GRAVADO]:[Otros / No Grav.]])</f>
        <v>363000</v>
      </c>
      <c r="Q9" s="334" t="str">
        <f>IFERROR(IF(compras_mes1[[#This Row],[CUIT]]="","-",VLOOKUP(compras_mes1[[#This Row],[CUIT]],Lista_CUIT[#All],3,0)),"CUIT NO CARGADO")</f>
        <v>Alquiler</v>
      </c>
      <c r="R9" s="338">
        <f>IFERROR(IF(compras_mes1[[#This Row],[CUIT]]="","-",VLOOKUP(compras_mes1[[#This Row],[CUIT]],Lista_CUIT[#All],4,0)),"CUIT NO CARGADO")</f>
        <v>0</v>
      </c>
    </row>
    <row r="10" spans="1:26">
      <c r="B10" s="329">
        <v>45295</v>
      </c>
      <c r="C10" s="330">
        <v>1</v>
      </c>
      <c r="D10" s="331">
        <v>1</v>
      </c>
      <c r="E10" s="332">
        <v>103</v>
      </c>
      <c r="F10" s="333">
        <v>30716010313</v>
      </c>
      <c r="G10" s="334" t="str">
        <f>IFERROR(IF(compras_mes1[[#This Row],[CUIT]]="","-",VLOOKUP(compras_mes1[[#This Row],[CUIT]],Lista_CUIT[#All],2,0)),"CUIT NO CARGADO")</f>
        <v>H UNO 1469 S.A.</v>
      </c>
      <c r="H10" s="335">
        <v>46000</v>
      </c>
      <c r="I10" s="336">
        <f>IF(compras_mes1[[#This Row],[NETO GRAVADO]]="","",compras_mes1[[#This Row],[NETO GRAVADO]]*0.21)</f>
        <v>9660</v>
      </c>
      <c r="J10" s="336"/>
      <c r="K10" s="336"/>
      <c r="L10" s="336"/>
      <c r="M10" s="336"/>
      <c r="N10" s="336"/>
      <c r="O10" s="336">
        <v>0</v>
      </c>
      <c r="P10" s="337">
        <f>SUM(compras_mes1[[#This Row],[NETO GRAVADO]:[Otros / No Grav.]])</f>
        <v>55660</v>
      </c>
      <c r="Q10" s="334" t="str">
        <f>IFERROR(IF(compras_mes1[[#This Row],[CUIT]]="","-",VLOOKUP(compras_mes1[[#This Row],[CUIT]],Lista_CUIT[#All],3,0)),"CUIT NO CARGADO")</f>
        <v>Alquiler</v>
      </c>
      <c r="R10" s="338">
        <f>IFERROR(IF(compras_mes1[[#This Row],[CUIT]]="","-",VLOOKUP(compras_mes1[[#This Row],[CUIT]],Lista_CUIT[#All],4,0)),"CUIT NO CARGADO")</f>
        <v>0</v>
      </c>
    </row>
    <row r="11" spans="1:26">
      <c r="B11" s="167">
        <v>45299</v>
      </c>
      <c r="C11" s="168">
        <v>1</v>
      </c>
      <c r="D11" s="169">
        <v>2</v>
      </c>
      <c r="E11" s="170">
        <v>243</v>
      </c>
      <c r="F11" s="171">
        <v>27309896063</v>
      </c>
      <c r="G11" s="172" t="str">
        <f>IFERROR(IF(compras_mes1[[#This Row],[CUIT]]="","-",VLOOKUP(compras_mes1[[#This Row],[CUIT]],Lista_CUIT[#All],2,0)),"CUIT NO CARGADO")</f>
        <v>BATTELLINI MARIA SOLEDAD</v>
      </c>
      <c r="H11" s="173">
        <v>250000</v>
      </c>
      <c r="I11" s="174">
        <f>IF(compras_mes1[[#This Row],[NETO GRAVADO]]="","",compras_mes1[[#This Row],[NETO GRAVADO]]*0.21)</f>
        <v>52500</v>
      </c>
      <c r="J11" s="174"/>
      <c r="K11" s="174"/>
      <c r="L11" s="174"/>
      <c r="M11" s="174"/>
      <c r="N11" s="174"/>
      <c r="O11" s="174">
        <v>0</v>
      </c>
      <c r="P11" s="175">
        <f>SUM(compras_mes1[[#This Row],[NETO GRAVADO]:[Otros / No Grav.]])</f>
        <v>302500</v>
      </c>
      <c r="Q11" s="172" t="str">
        <f>IFERROR(IF(compras_mes1[[#This Row],[CUIT]]="","-",VLOOKUP(compras_mes1[[#This Row],[CUIT]],Lista_CUIT[#All],3,0)),"CUIT NO CARGADO")</f>
        <v>Alquiler</v>
      </c>
      <c r="R11" s="176">
        <f>IFERROR(IF(compras_mes1[[#This Row],[CUIT]]="","-",VLOOKUP(compras_mes1[[#This Row],[CUIT]],Lista_CUIT[#All],4,0)),"CUIT NO CARGADO")</f>
        <v>0</v>
      </c>
    </row>
    <row r="12" spans="1:26">
      <c r="B12" s="329">
        <v>45296</v>
      </c>
      <c r="C12" s="330">
        <v>1</v>
      </c>
      <c r="D12" s="331">
        <v>6852</v>
      </c>
      <c r="E12" s="332">
        <v>21297</v>
      </c>
      <c r="F12" s="333">
        <v>30678774495</v>
      </c>
      <c r="G12" s="334" t="str">
        <f>IFERROR(IF(compras_mes1[[#This Row],[CUIT]]="","-",VLOOKUP(compras_mes1[[#This Row],[CUIT]],Lista_CUIT[#All],2,0)),"CUIT NO CARGADO")</f>
        <v>OPER. DE EST. DE SERV. SA</v>
      </c>
      <c r="H12" s="335">
        <v>3996.41</v>
      </c>
      <c r="I12" s="336">
        <f>IF(compras_mes1[[#This Row],[NETO GRAVADO]]="","",compras_mes1[[#This Row],[NETO GRAVADO]]*0.21)</f>
        <v>839.24609999999996</v>
      </c>
      <c r="J12" s="336"/>
      <c r="K12" s="336"/>
      <c r="L12" s="336"/>
      <c r="M12" s="336"/>
      <c r="N12" s="336"/>
      <c r="O12" s="336">
        <v>164.33</v>
      </c>
      <c r="P12" s="337">
        <f>SUM(compras_mes1[[#This Row],[NETO GRAVADO]:[Otros / No Grav.]])</f>
        <v>4999.9861000000001</v>
      </c>
      <c r="Q12" s="334" t="str">
        <f>IFERROR(IF(compras_mes1[[#This Row],[CUIT]]="","-",VLOOKUP(compras_mes1[[#This Row],[CUIT]],Lista_CUIT[#All],3,0)),"CUIT NO CARGADO")</f>
        <v>Combustible</v>
      </c>
      <c r="R12" s="338">
        <f>IFERROR(IF(compras_mes1[[#This Row],[CUIT]]="","-",VLOOKUP(compras_mes1[[#This Row],[CUIT]],Lista_CUIT[#All],4,0)),"CUIT NO CARGADO")</f>
        <v>0</v>
      </c>
    </row>
    <row r="13" spans="1:26">
      <c r="B13" s="329">
        <v>45300</v>
      </c>
      <c r="C13" s="330">
        <v>1</v>
      </c>
      <c r="D13" s="331">
        <v>6852</v>
      </c>
      <c r="E13" s="332">
        <v>21414</v>
      </c>
      <c r="F13" s="333">
        <v>30678774495</v>
      </c>
      <c r="G13" s="334" t="str">
        <f>IFERROR(IF(compras_mes1[[#This Row],[CUIT]]="","-",VLOOKUP(compras_mes1[[#This Row],[CUIT]],Lista_CUIT[#All],2,0)),"CUIT NO CARGADO")</f>
        <v>OPER. DE EST. DE SERV. SA</v>
      </c>
      <c r="H13" s="335">
        <v>5595.01</v>
      </c>
      <c r="I13" s="336">
        <f>IF(compras_mes1[[#This Row],[NETO GRAVADO]]="","",compras_mes1[[#This Row],[NETO GRAVADO]]*0.21)</f>
        <v>1174.9521</v>
      </c>
      <c r="J13" s="336"/>
      <c r="K13" s="336"/>
      <c r="L13" s="336"/>
      <c r="M13" s="336"/>
      <c r="N13" s="336"/>
      <c r="O13" s="336">
        <v>230.07</v>
      </c>
      <c r="P13" s="337">
        <f>SUM(compras_mes1[[#This Row],[NETO GRAVADO]:[Otros / No Grav.]])</f>
        <v>7000.0321000000004</v>
      </c>
      <c r="Q13" s="334" t="str">
        <f>IFERROR(IF(compras_mes1[[#This Row],[CUIT]]="","-",VLOOKUP(compras_mes1[[#This Row],[CUIT]],Lista_CUIT[#All],3,0)),"CUIT NO CARGADO")</f>
        <v>Combustible</v>
      </c>
      <c r="R13" s="338">
        <f>IFERROR(IF(compras_mes1[[#This Row],[CUIT]]="","-",VLOOKUP(compras_mes1[[#This Row],[CUIT]],Lista_CUIT[#All],4,0)),"CUIT NO CARGADO")</f>
        <v>0</v>
      </c>
    </row>
    <row r="14" spans="1:26">
      <c r="B14" s="329">
        <v>45300</v>
      </c>
      <c r="C14" s="330">
        <v>1</v>
      </c>
      <c r="D14" s="331">
        <v>23</v>
      </c>
      <c r="E14" s="332">
        <v>23452</v>
      </c>
      <c r="F14" s="333">
        <v>30515800219</v>
      </c>
      <c r="G14" s="334" t="str">
        <f>IFERROR(IF(compras_mes1[[#This Row],[CUIT]]="","-",VLOOKUP(compras_mes1[[#This Row],[CUIT]],Lista_CUIT[#All],2,0)),"CUIT NO CARGADO")</f>
        <v>INCAT SRL</v>
      </c>
      <c r="H14" s="335">
        <v>17711.189999999999</v>
      </c>
      <c r="I14" s="336">
        <f>IF(compras_mes1[[#This Row],[NETO GRAVADO]]="","",compras_mes1[[#This Row],[NETO GRAVADO]]*0.21)</f>
        <v>3719.3498999999997</v>
      </c>
      <c r="J14" s="336"/>
      <c r="K14" s="336"/>
      <c r="L14" s="336"/>
      <c r="M14" s="336"/>
      <c r="N14" s="336"/>
      <c r="O14" s="336">
        <v>773.21</v>
      </c>
      <c r="P14" s="337">
        <f>SUM(compras_mes1[[#This Row],[NETO GRAVADO]:[Otros / No Grav.]])</f>
        <v>22203.749899999999</v>
      </c>
      <c r="Q14" s="334" t="str">
        <f>IFERROR(IF(compras_mes1[[#This Row],[CUIT]]="","-",VLOOKUP(compras_mes1[[#This Row],[CUIT]],Lista_CUIT[#All],3,0)),"CUIT NO CARGADO")</f>
        <v>Combustible</v>
      </c>
      <c r="R14" s="338" t="str">
        <f>IFERROR(IF(compras_mes1[[#This Row],[CUIT]]="","-",VLOOKUP(compras_mes1[[#This Row],[CUIT]],Lista_CUIT[#All],4,0)),"CUIT NO CARGADO")</f>
        <v>CABA</v>
      </c>
    </row>
    <row r="15" spans="1:26">
      <c r="B15" s="329">
        <v>45302</v>
      </c>
      <c r="C15" s="330">
        <v>1</v>
      </c>
      <c r="D15" s="331">
        <v>20</v>
      </c>
      <c r="E15" s="332">
        <v>11537</v>
      </c>
      <c r="F15" s="333">
        <v>30515800219</v>
      </c>
      <c r="G15" s="334" t="str">
        <f>IFERROR(IF(compras_mes1[[#This Row],[CUIT]]="","-",VLOOKUP(compras_mes1[[#This Row],[CUIT]],Lista_CUIT[#All],2,0)),"CUIT NO CARGADO")</f>
        <v>INCAT SRL</v>
      </c>
      <c r="H15" s="335">
        <v>1274.57</v>
      </c>
      <c r="I15" s="336">
        <f>IF(compras_mes1[[#This Row],[NETO GRAVADO]]="","",compras_mes1[[#This Row],[NETO GRAVADO]]*0.21)</f>
        <v>267.65969999999999</v>
      </c>
      <c r="J15" s="336"/>
      <c r="K15" s="336"/>
      <c r="L15" s="336"/>
      <c r="M15" s="336"/>
      <c r="N15" s="336"/>
      <c r="O15" s="336">
        <v>7.78</v>
      </c>
      <c r="P15" s="337">
        <f>SUM(compras_mes1[[#This Row],[NETO GRAVADO]:[Otros / No Grav.]])</f>
        <v>1550.0096999999998</v>
      </c>
      <c r="Q15" s="334" t="str">
        <f>IFERROR(IF(compras_mes1[[#This Row],[CUIT]]="","-",VLOOKUP(compras_mes1[[#This Row],[CUIT]],Lista_CUIT[#All],3,0)),"CUIT NO CARGADO")</f>
        <v>Combustible</v>
      </c>
      <c r="R15" s="338" t="str">
        <f>IFERROR(IF(compras_mes1[[#This Row],[CUIT]]="","-",VLOOKUP(compras_mes1[[#This Row],[CUIT]],Lista_CUIT[#All],4,0)),"CUIT NO CARGADO")</f>
        <v>CABA</v>
      </c>
    </row>
    <row r="16" spans="1:26" s="56" customFormat="1">
      <c r="B16" s="329">
        <v>45307</v>
      </c>
      <c r="C16" s="330">
        <v>1</v>
      </c>
      <c r="D16" s="331">
        <v>20</v>
      </c>
      <c r="E16" s="332">
        <v>11580</v>
      </c>
      <c r="F16" s="333">
        <v>30515800219</v>
      </c>
      <c r="G16" s="334" t="str">
        <f>IFERROR(IF(compras_mes1[[#This Row],[CUIT]]="","-",VLOOKUP(compras_mes1[[#This Row],[CUIT]],Lista_CUIT[#All],2,0)),"CUIT NO CARGADO")</f>
        <v>INCAT SRL</v>
      </c>
      <c r="H16" s="335">
        <v>1810.62</v>
      </c>
      <c r="I16" s="336">
        <f>IF(compras_mes1[[#This Row],[NETO GRAVADO]]="","",compras_mes1[[#This Row],[NETO GRAVADO]]*0.21)</f>
        <v>380.23019999999997</v>
      </c>
      <c r="J16" s="336"/>
      <c r="K16" s="336"/>
      <c r="L16" s="336"/>
      <c r="M16" s="336"/>
      <c r="N16" s="336"/>
      <c r="O16" s="336">
        <v>9.15</v>
      </c>
      <c r="P16" s="337">
        <f>SUM(compras_mes1[[#This Row],[NETO GRAVADO]:[Otros / No Grav.]])</f>
        <v>2200.0001999999999</v>
      </c>
      <c r="Q16" s="334" t="str">
        <f>IFERROR(IF(compras_mes1[[#This Row],[CUIT]]="","-",VLOOKUP(compras_mes1[[#This Row],[CUIT]],Lista_CUIT[#All],3,0)),"CUIT NO CARGADO")</f>
        <v>Combustible</v>
      </c>
      <c r="R16" s="338" t="str">
        <f>IFERROR(IF(compras_mes1[[#This Row],[CUIT]]="","-",VLOOKUP(compras_mes1[[#This Row],[CUIT]],Lista_CUIT[#All],4,0)),"CUIT NO CARGADO")</f>
        <v>CABA</v>
      </c>
    </row>
    <row r="17" spans="2:18">
      <c r="B17" s="329">
        <v>45308</v>
      </c>
      <c r="C17" s="330">
        <v>1</v>
      </c>
      <c r="D17" s="331">
        <v>20</v>
      </c>
      <c r="E17" s="332">
        <v>11587</v>
      </c>
      <c r="F17" s="333">
        <v>30515800219</v>
      </c>
      <c r="G17" s="334" t="str">
        <f>IFERROR(IF(compras_mes1[[#This Row],[CUIT]]="","-",VLOOKUP(compras_mes1[[#This Row],[CUIT]],Lista_CUIT[#All],2,0)),"CUIT NO CARGADO")</f>
        <v>INCAT SRL</v>
      </c>
      <c r="H17" s="335">
        <v>2633.62</v>
      </c>
      <c r="I17" s="336">
        <f>IF(compras_mes1[[#This Row],[NETO GRAVADO]]="","",compras_mes1[[#This Row],[NETO GRAVADO]]*0.21)</f>
        <v>553.06020000000001</v>
      </c>
      <c r="J17" s="336"/>
      <c r="K17" s="336"/>
      <c r="L17" s="336"/>
      <c r="M17" s="336"/>
      <c r="N17" s="336"/>
      <c r="O17" s="336">
        <v>13.31</v>
      </c>
      <c r="P17" s="337">
        <f>SUM(compras_mes1[[#This Row],[NETO GRAVADO]:[Otros / No Grav.]])</f>
        <v>3199.9901999999997</v>
      </c>
      <c r="Q17" s="334" t="str">
        <f>IFERROR(IF(compras_mes1[[#This Row],[CUIT]]="","-",VLOOKUP(compras_mes1[[#This Row],[CUIT]],Lista_CUIT[#All],3,0)),"CUIT NO CARGADO")</f>
        <v>Combustible</v>
      </c>
      <c r="R17" s="338" t="str">
        <f>IFERROR(IF(compras_mes1[[#This Row],[CUIT]]="","-",VLOOKUP(compras_mes1[[#This Row],[CUIT]],Lista_CUIT[#All],4,0)),"CUIT NO CARGADO")</f>
        <v>CABA</v>
      </c>
    </row>
    <row r="18" spans="2:18">
      <c r="B18" s="329">
        <v>45309</v>
      </c>
      <c r="C18" s="330">
        <v>1</v>
      </c>
      <c r="D18" s="331">
        <v>20</v>
      </c>
      <c r="E18" s="332">
        <v>11595</v>
      </c>
      <c r="F18" s="333">
        <v>30515800219</v>
      </c>
      <c r="G18" s="334" t="str">
        <f>IFERROR(IF(compras_mes1[[#This Row],[CUIT]]="","-",VLOOKUP(compras_mes1[[#This Row],[CUIT]],Lista_CUIT[#All],2,0)),"CUIT NO CARGADO")</f>
        <v>INCAT SRL</v>
      </c>
      <c r="H18" s="335">
        <v>2139.81</v>
      </c>
      <c r="I18" s="336">
        <f>IF(compras_mes1[[#This Row],[NETO GRAVADO]]="","",compras_mes1[[#This Row],[NETO GRAVADO]]*0.21)</f>
        <v>449.36009999999999</v>
      </c>
      <c r="J18" s="336"/>
      <c r="K18" s="336"/>
      <c r="L18" s="336"/>
      <c r="M18" s="336"/>
      <c r="N18" s="336"/>
      <c r="O18" s="336">
        <v>10.82</v>
      </c>
      <c r="P18" s="337">
        <f>SUM(compras_mes1[[#This Row],[NETO GRAVADO]:[Otros / No Grav.]])</f>
        <v>2599.9901</v>
      </c>
      <c r="Q18" s="334" t="str">
        <f>IFERROR(IF(compras_mes1[[#This Row],[CUIT]]="","-",VLOOKUP(compras_mes1[[#This Row],[CUIT]],Lista_CUIT[#All],3,0)),"CUIT NO CARGADO")</f>
        <v>Combustible</v>
      </c>
      <c r="R18" s="338" t="str">
        <f>IFERROR(IF(compras_mes1[[#This Row],[CUIT]]="","-",VLOOKUP(compras_mes1[[#This Row],[CUIT]],Lista_CUIT[#All],4,0)),"CUIT NO CARGADO")</f>
        <v>CABA</v>
      </c>
    </row>
    <row r="19" spans="2:18">
      <c r="B19" s="329">
        <v>45309</v>
      </c>
      <c r="C19" s="330">
        <v>1</v>
      </c>
      <c r="D19" s="331">
        <v>21</v>
      </c>
      <c r="E19" s="332">
        <v>35071</v>
      </c>
      <c r="F19" s="333">
        <v>30515800219</v>
      </c>
      <c r="G19" s="334" t="str">
        <f>IFERROR(IF(compras_mes1[[#This Row],[CUIT]]="","-",VLOOKUP(compras_mes1[[#This Row],[CUIT]],Lista_CUIT[#All],2,0)),"CUIT NO CARGADO")</f>
        <v>INCAT SRL</v>
      </c>
      <c r="H19" s="335">
        <v>4780.8999999999996</v>
      </c>
      <c r="I19" s="336">
        <f>IF(compras_mes1[[#This Row],[NETO GRAVADO]]="","",compras_mes1[[#This Row],[NETO GRAVADO]]*0.21)</f>
        <v>1003.9889999999999</v>
      </c>
      <c r="J19" s="336"/>
      <c r="K19" s="336"/>
      <c r="L19" s="336"/>
      <c r="M19" s="336"/>
      <c r="N19" s="336"/>
      <c r="O19" s="336">
        <v>216.1</v>
      </c>
      <c r="P19" s="337">
        <f>SUM(compras_mes1[[#This Row],[NETO GRAVADO]:[Otros / No Grav.]])</f>
        <v>6000.9889999999996</v>
      </c>
      <c r="Q19" s="334" t="str">
        <f>IFERROR(IF(compras_mes1[[#This Row],[CUIT]]="","-",VLOOKUP(compras_mes1[[#This Row],[CUIT]],Lista_CUIT[#All],3,0)),"CUIT NO CARGADO")</f>
        <v>Combustible</v>
      </c>
      <c r="R19" s="338" t="str">
        <f>IFERROR(IF(compras_mes1[[#This Row],[CUIT]]="","-",VLOOKUP(compras_mes1[[#This Row],[CUIT]],Lista_CUIT[#All],4,0)),"CUIT NO CARGADO")</f>
        <v>CABA</v>
      </c>
    </row>
    <row r="20" spans="2:18" ht="14.45" customHeight="1">
      <c r="B20" s="329">
        <v>45310</v>
      </c>
      <c r="C20" s="330">
        <v>1</v>
      </c>
      <c r="D20" s="331">
        <v>20</v>
      </c>
      <c r="E20" s="332">
        <v>11600</v>
      </c>
      <c r="F20" s="333">
        <v>30515800219</v>
      </c>
      <c r="G20" s="334" t="str">
        <f>IFERROR(IF(compras_mes1[[#This Row],[CUIT]]="","-",VLOOKUP(compras_mes1[[#This Row],[CUIT]],Lista_CUIT[#All],2,0)),"CUIT NO CARGADO")</f>
        <v>INCAT SRL</v>
      </c>
      <c r="H20" s="335">
        <v>1810.62</v>
      </c>
      <c r="I20" s="336">
        <f>IF(compras_mes1[[#This Row],[NETO GRAVADO]]="","",compras_mes1[[#This Row],[NETO GRAVADO]]*0.21)</f>
        <v>380.23019999999997</v>
      </c>
      <c r="J20" s="336"/>
      <c r="K20" s="336"/>
      <c r="L20" s="336"/>
      <c r="M20" s="336"/>
      <c r="N20" s="336"/>
      <c r="O20" s="336">
        <v>9.15</v>
      </c>
      <c r="P20" s="337">
        <f>SUM(compras_mes1[[#This Row],[NETO GRAVADO]:[Otros / No Grav.]])</f>
        <v>2200.0001999999999</v>
      </c>
      <c r="Q20" s="334" t="str">
        <f>IFERROR(IF(compras_mes1[[#This Row],[CUIT]]="","-",VLOOKUP(compras_mes1[[#This Row],[CUIT]],Lista_CUIT[#All],3,0)),"CUIT NO CARGADO")</f>
        <v>Combustible</v>
      </c>
      <c r="R20" s="338" t="str">
        <f>IFERROR(IF(compras_mes1[[#This Row],[CUIT]]="","-",VLOOKUP(compras_mes1[[#This Row],[CUIT]],Lista_CUIT[#All],4,0)),"CUIT NO CARGADO")</f>
        <v>CABA</v>
      </c>
    </row>
    <row r="21" spans="2:18">
      <c r="B21" s="329">
        <v>45310</v>
      </c>
      <c r="C21" s="330">
        <v>1</v>
      </c>
      <c r="D21" s="331">
        <v>21</v>
      </c>
      <c r="E21" s="332">
        <v>35090</v>
      </c>
      <c r="F21" s="333">
        <v>30515800219</v>
      </c>
      <c r="G21" s="334" t="str">
        <f>IFERROR(IF(compras_mes1[[#This Row],[CUIT]]="","-",VLOOKUP(compras_mes1[[#This Row],[CUIT]],Lista_CUIT[#All],2,0)),"CUIT NO CARGADO")</f>
        <v>INCAT SRL</v>
      </c>
      <c r="H21" s="335">
        <v>17527.900000000001</v>
      </c>
      <c r="I21" s="336">
        <f>IF(compras_mes1[[#This Row],[NETO GRAVADO]]="","",compras_mes1[[#This Row],[NETO GRAVADO]]*0.21)</f>
        <v>3680.8590000000004</v>
      </c>
      <c r="J21" s="336"/>
      <c r="K21" s="336"/>
      <c r="L21" s="336"/>
      <c r="M21" s="336"/>
      <c r="N21" s="336"/>
      <c r="O21" s="336">
        <v>792.27</v>
      </c>
      <c r="P21" s="337">
        <f>SUM(compras_mes1[[#This Row],[NETO GRAVADO]:[Otros / No Grav.]])</f>
        <v>22001.029000000002</v>
      </c>
      <c r="Q21" s="334" t="str">
        <f>IFERROR(IF(compras_mes1[[#This Row],[CUIT]]="","-",VLOOKUP(compras_mes1[[#This Row],[CUIT]],Lista_CUIT[#All],3,0)),"CUIT NO CARGADO")</f>
        <v>Combustible</v>
      </c>
      <c r="R21" s="338" t="str">
        <f>IFERROR(IF(compras_mes1[[#This Row],[CUIT]]="","-",VLOOKUP(compras_mes1[[#This Row],[CUIT]],Lista_CUIT[#All],4,0)),"CUIT NO CARGADO")</f>
        <v>CABA</v>
      </c>
    </row>
    <row r="22" spans="2:18">
      <c r="B22" s="329">
        <v>45311</v>
      </c>
      <c r="C22" s="330">
        <v>1</v>
      </c>
      <c r="D22" s="331">
        <v>6852</v>
      </c>
      <c r="E22" s="332">
        <v>21726</v>
      </c>
      <c r="F22" s="333">
        <v>30678774495</v>
      </c>
      <c r="G22" s="334" t="str">
        <f>IFERROR(IF(compras_mes1[[#This Row],[CUIT]]="","-",VLOOKUP(compras_mes1[[#This Row],[CUIT]],Lista_CUIT[#All],2,0)),"CUIT NO CARGADO")</f>
        <v>OPER. DE EST. DE SERV. SA</v>
      </c>
      <c r="H22" s="335">
        <v>34813.78</v>
      </c>
      <c r="I22" s="336">
        <f>IF(compras_mes1[[#This Row],[NETO GRAVADO]]="","",compras_mes1[[#This Row],[NETO GRAVADO]]*0.21)</f>
        <v>7310.8937999999998</v>
      </c>
      <c r="J22" s="336"/>
      <c r="K22" s="336"/>
      <c r="L22" s="336"/>
      <c r="M22" s="336"/>
      <c r="N22" s="336"/>
      <c r="O22" s="336">
        <v>1383.37</v>
      </c>
      <c r="P22" s="337">
        <f>SUM(compras_mes1[[#This Row],[NETO GRAVADO]:[Otros / No Grav.]])</f>
        <v>43508.043799999999</v>
      </c>
      <c r="Q22" s="334" t="str">
        <f>IFERROR(IF(compras_mes1[[#This Row],[CUIT]]="","-",VLOOKUP(compras_mes1[[#This Row],[CUIT]],Lista_CUIT[#All],3,0)),"CUIT NO CARGADO")</f>
        <v>Combustible</v>
      </c>
      <c r="R22" s="338">
        <f>IFERROR(IF(compras_mes1[[#This Row],[CUIT]]="","-",VLOOKUP(compras_mes1[[#This Row],[CUIT]],Lista_CUIT[#All],4,0)),"CUIT NO CARGADO")</f>
        <v>0</v>
      </c>
    </row>
    <row r="23" spans="2:18" ht="14.45" customHeight="1">
      <c r="B23" s="329">
        <v>45314</v>
      </c>
      <c r="C23" s="330">
        <v>1</v>
      </c>
      <c r="D23" s="331">
        <v>20</v>
      </c>
      <c r="E23" s="332">
        <v>11626</v>
      </c>
      <c r="F23" s="333">
        <v>30515800219</v>
      </c>
      <c r="G23" s="334" t="str">
        <f>IFERROR(IF(compras_mes1[[#This Row],[CUIT]]="","-",VLOOKUP(compras_mes1[[#This Row],[CUIT]],Lista_CUIT[#All],2,0)),"CUIT NO CARGADO")</f>
        <v>INCAT SRL</v>
      </c>
      <c r="H23" s="335">
        <v>2469.0300000000002</v>
      </c>
      <c r="I23" s="336">
        <f>IF(compras_mes1[[#This Row],[NETO GRAVADO]]="","",compras_mes1[[#This Row],[NETO GRAVADO]]*0.21)</f>
        <v>518.49630000000002</v>
      </c>
      <c r="J23" s="336"/>
      <c r="K23" s="336"/>
      <c r="L23" s="336"/>
      <c r="M23" s="336"/>
      <c r="N23" s="336"/>
      <c r="O23" s="336">
        <v>12.48</v>
      </c>
      <c r="P23" s="337">
        <f>SUM(compras_mes1[[#This Row],[NETO GRAVADO]:[Otros / No Grav.]])</f>
        <v>3000.0063000000005</v>
      </c>
      <c r="Q23" s="334" t="str">
        <f>IFERROR(IF(compras_mes1[[#This Row],[CUIT]]="","-",VLOOKUP(compras_mes1[[#This Row],[CUIT]],Lista_CUIT[#All],3,0)),"CUIT NO CARGADO")</f>
        <v>Combustible</v>
      </c>
      <c r="R23" s="338" t="str">
        <f>IFERROR(IF(compras_mes1[[#This Row],[CUIT]]="","-",VLOOKUP(compras_mes1[[#This Row],[CUIT]],Lista_CUIT[#All],4,0)),"CUIT NO CARGADO")</f>
        <v>CABA</v>
      </c>
    </row>
    <row r="24" spans="2:18" ht="14.45" customHeight="1">
      <c r="B24" s="40">
        <v>45314</v>
      </c>
      <c r="C24" s="41">
        <v>1</v>
      </c>
      <c r="D24" s="42">
        <v>21</v>
      </c>
      <c r="E24" s="43">
        <v>35254</v>
      </c>
      <c r="F24" s="44">
        <v>30515800219</v>
      </c>
      <c r="G24" s="45" t="str">
        <f>IFERROR(IF(compras_mes1[[#This Row],[CUIT]]="","-",VLOOKUP(compras_mes1[[#This Row],[CUIT]],Lista_CUIT[#All],2,0)),"CUIT NO CARGADO")</f>
        <v>INCAT SRL</v>
      </c>
      <c r="H24" s="46">
        <v>4786.01</v>
      </c>
      <c r="I24" s="85">
        <f>IF(compras_mes1[[#This Row],[NETO GRAVADO]]="","",compras_mes1[[#This Row],[NETO GRAVADO]]*0.21)</f>
        <v>1005.0621</v>
      </c>
      <c r="J24" s="85"/>
      <c r="K24" s="85"/>
      <c r="L24" s="85"/>
      <c r="M24" s="85"/>
      <c r="N24" s="85"/>
      <c r="O24" s="85"/>
      <c r="P24" s="48">
        <f>SUM(compras_mes1[[#This Row],[NETO GRAVADO]:[Otros / No Grav.]])</f>
        <v>5791.0721000000003</v>
      </c>
      <c r="Q24" s="45" t="str">
        <f>IFERROR(IF(compras_mes1[[#This Row],[CUIT]]="","-",VLOOKUP(compras_mes1[[#This Row],[CUIT]],Lista_CUIT[#All],3,0)),"CUIT NO CARGADO")</f>
        <v>Combustible</v>
      </c>
      <c r="R24" s="49" t="str">
        <f>IFERROR(IF(compras_mes1[[#This Row],[CUIT]]="","-",VLOOKUP(compras_mes1[[#This Row],[CUIT]],Lista_CUIT[#All],4,0)),"CUIT NO CARGADO")</f>
        <v>CABA</v>
      </c>
    </row>
    <row r="25" spans="2:18" ht="15" customHeight="1">
      <c r="B25" s="329">
        <v>45317</v>
      </c>
      <c r="C25" s="330">
        <v>1</v>
      </c>
      <c r="D25" s="331">
        <v>20</v>
      </c>
      <c r="E25" s="332">
        <v>11658</v>
      </c>
      <c r="F25" s="333">
        <v>30515800219</v>
      </c>
      <c r="G25" s="334" t="str">
        <f>IFERROR(IF(compras_mes1[[#This Row],[CUIT]]="","-",VLOOKUP(compras_mes1[[#This Row],[CUIT]],Lista_CUIT[#All],2,0)),"CUIT NO CARGADO")</f>
        <v>INCAT SRL</v>
      </c>
      <c r="H25" s="335">
        <v>2469.02</v>
      </c>
      <c r="I25" s="336">
        <f>IF(compras_mes1[[#This Row],[NETO GRAVADO]]="","",compras_mes1[[#This Row],[NETO GRAVADO]]*0.21)</f>
        <v>518.49419999999998</v>
      </c>
      <c r="J25" s="336"/>
      <c r="K25" s="336"/>
      <c r="L25" s="336"/>
      <c r="M25" s="336"/>
      <c r="N25" s="336"/>
      <c r="O25" s="336">
        <v>12.48</v>
      </c>
      <c r="P25" s="337">
        <f>SUM(compras_mes1[[#This Row],[NETO GRAVADO]:[Otros / No Grav.]])</f>
        <v>2999.9942000000001</v>
      </c>
      <c r="Q25" s="334" t="str">
        <f>IFERROR(IF(compras_mes1[[#This Row],[CUIT]]="","-",VLOOKUP(compras_mes1[[#This Row],[CUIT]],Lista_CUIT[#All],3,0)),"CUIT NO CARGADO")</f>
        <v>Combustible</v>
      </c>
      <c r="R25" s="338" t="str">
        <f>IFERROR(IF(compras_mes1[[#This Row],[CUIT]]="","-",VLOOKUP(compras_mes1[[#This Row],[CUIT]],Lista_CUIT[#All],4,0)),"CUIT NO CARGADO")</f>
        <v>CABA</v>
      </c>
    </row>
    <row r="26" spans="2:18" ht="15" customHeight="1">
      <c r="B26" s="329">
        <v>45317</v>
      </c>
      <c r="C26" s="330">
        <v>1</v>
      </c>
      <c r="D26" s="331">
        <v>23</v>
      </c>
      <c r="E26" s="332">
        <v>24119</v>
      </c>
      <c r="F26" s="333">
        <v>30515800219</v>
      </c>
      <c r="G26" s="334" t="str">
        <f>IFERROR(IF(compras_mes1[[#This Row],[CUIT]]="","-",VLOOKUP(compras_mes1[[#This Row],[CUIT]],Lista_CUIT[#All],2,0)),"CUIT NO CARGADO")</f>
        <v>INCAT SRL</v>
      </c>
      <c r="H26" s="335">
        <v>18347.919999999998</v>
      </c>
      <c r="I26" s="336">
        <f>IF(compras_mes1[[#This Row],[NETO GRAVADO]]="","",compras_mes1[[#This Row],[NETO GRAVADO]]*0.21)</f>
        <v>3853.0631999999996</v>
      </c>
      <c r="J26" s="336"/>
      <c r="K26" s="336"/>
      <c r="L26" s="336"/>
      <c r="M26" s="336"/>
      <c r="N26" s="336"/>
      <c r="O26" s="336">
        <v>801.01</v>
      </c>
      <c r="P26" s="337">
        <f>SUM(compras_mes1[[#This Row],[NETO GRAVADO]:[Otros / No Grav.]])</f>
        <v>23001.993199999997</v>
      </c>
      <c r="Q26" s="334" t="str">
        <f>IFERROR(IF(compras_mes1[[#This Row],[CUIT]]="","-",VLOOKUP(compras_mes1[[#This Row],[CUIT]],Lista_CUIT[#All],3,0)),"CUIT NO CARGADO")</f>
        <v>Combustible</v>
      </c>
      <c r="R26" s="338" t="str">
        <f>IFERROR(IF(compras_mes1[[#This Row],[CUIT]]="","-",VLOOKUP(compras_mes1[[#This Row],[CUIT]],Lista_CUIT[#All],4,0)),"CUIT NO CARGADO")</f>
        <v>CABA</v>
      </c>
    </row>
    <row r="27" spans="2:18" ht="15" customHeight="1">
      <c r="B27" s="329">
        <v>45320</v>
      </c>
      <c r="C27" s="330">
        <v>1</v>
      </c>
      <c r="D27" s="331">
        <v>20</v>
      </c>
      <c r="E27" s="332">
        <v>11678</v>
      </c>
      <c r="F27" s="333">
        <v>30515800219</v>
      </c>
      <c r="G27" s="334" t="str">
        <f>IFERROR(IF(compras_mes1[[#This Row],[CUIT]]="","-",VLOOKUP(compras_mes1[[#This Row],[CUIT]],Lista_CUIT[#All],2,0)),"CUIT NO CARGADO")</f>
        <v>INCAT SRL</v>
      </c>
      <c r="H27" s="335">
        <v>2613.88</v>
      </c>
      <c r="I27" s="336">
        <f>IF(compras_mes1[[#This Row],[NETO GRAVADO]]="","",compras_mes1[[#This Row],[NETO GRAVADO]]*0.21)</f>
        <v>548.91480000000001</v>
      </c>
      <c r="J27" s="336"/>
      <c r="K27" s="336"/>
      <c r="L27" s="336"/>
      <c r="M27" s="336"/>
      <c r="N27" s="336"/>
      <c r="O27" s="336">
        <v>13.21</v>
      </c>
      <c r="P27" s="337">
        <f>SUM(compras_mes1[[#This Row],[NETO GRAVADO]:[Otros / No Grav.]])</f>
        <v>3176.0048000000002</v>
      </c>
      <c r="Q27" s="334" t="str">
        <f>IFERROR(IF(compras_mes1[[#This Row],[CUIT]]="","-",VLOOKUP(compras_mes1[[#This Row],[CUIT]],Lista_CUIT[#All],3,0)),"CUIT NO CARGADO")</f>
        <v>Combustible</v>
      </c>
      <c r="R27" s="338" t="str">
        <f>IFERROR(IF(compras_mes1[[#This Row],[CUIT]]="","-",VLOOKUP(compras_mes1[[#This Row],[CUIT]],Lista_CUIT[#All],4,0)),"CUIT NO CARGADO")</f>
        <v>CABA</v>
      </c>
    </row>
    <row r="28" spans="2:18" ht="15" customHeight="1">
      <c r="B28" s="329">
        <v>45322</v>
      </c>
      <c r="C28" s="330">
        <v>1</v>
      </c>
      <c r="D28" s="331">
        <v>20</v>
      </c>
      <c r="E28" s="332">
        <v>11702</v>
      </c>
      <c r="F28" s="333">
        <v>30515800219</v>
      </c>
      <c r="G28" s="334" t="str">
        <f>IFERROR(IF(compras_mes1[[#This Row],[CUIT]]="","-",VLOOKUP(compras_mes1[[#This Row],[CUIT]],Lista_CUIT[#All],2,0)),"CUIT NO CARGADO")</f>
        <v>INCAT SRL</v>
      </c>
      <c r="H28" s="335">
        <v>2551.3200000000002</v>
      </c>
      <c r="I28" s="336">
        <f>IF(compras_mes1[[#This Row],[NETO GRAVADO]]="","",compras_mes1[[#This Row],[NETO GRAVADO]]*0.21)</f>
        <v>535.77719999999999</v>
      </c>
      <c r="J28" s="336"/>
      <c r="K28" s="336"/>
      <c r="L28" s="336"/>
      <c r="M28" s="336"/>
      <c r="N28" s="336"/>
      <c r="O28" s="336">
        <v>12.9</v>
      </c>
      <c r="P28" s="337">
        <f>SUM(compras_mes1[[#This Row],[NETO GRAVADO]:[Otros / No Grav.]])</f>
        <v>3099.9972000000002</v>
      </c>
      <c r="Q28" s="334" t="str">
        <f>IFERROR(IF(compras_mes1[[#This Row],[CUIT]]="","-",VLOOKUP(compras_mes1[[#This Row],[CUIT]],Lista_CUIT[#All],3,0)),"CUIT NO CARGADO")</f>
        <v>Combustible</v>
      </c>
      <c r="R28" s="338" t="str">
        <f>IFERROR(IF(compras_mes1[[#This Row],[CUIT]]="","-",VLOOKUP(compras_mes1[[#This Row],[CUIT]],Lista_CUIT[#All],4,0)),"CUIT NO CARGADO")</f>
        <v>CABA</v>
      </c>
    </row>
    <row r="29" spans="2:18" ht="15" customHeight="1">
      <c r="B29" s="329">
        <v>45293</v>
      </c>
      <c r="C29" s="330">
        <v>1</v>
      </c>
      <c r="D29" s="331">
        <v>12</v>
      </c>
      <c r="E29" s="332">
        <v>40116</v>
      </c>
      <c r="F29" s="333">
        <v>30696131003</v>
      </c>
      <c r="G29" s="334" t="str">
        <f>IFERROR(IF(compras_mes1[[#This Row],[CUIT]]="","-",VLOOKUP(compras_mes1[[#This Row],[CUIT]],Lista_CUIT[#All],2,0)),"CUIT NO CARGADO")</f>
        <v>Petrolfe S.A.</v>
      </c>
      <c r="H29" s="335">
        <v>78060.160000000003</v>
      </c>
      <c r="I29" s="336">
        <f>IF(compras_mes1[[#This Row],[NETO GRAVADO]]="","",compras_mes1[[#This Row],[NETO GRAVADO]]*0.21)</f>
        <v>16392.633600000001</v>
      </c>
      <c r="J29" s="336"/>
      <c r="K29" s="336"/>
      <c r="L29" s="336"/>
      <c r="M29" s="336"/>
      <c r="N29" s="336"/>
      <c r="O29" s="336">
        <v>4332.92</v>
      </c>
      <c r="P29" s="337">
        <f>SUM(compras_mes1[[#This Row],[NETO GRAVADO]:[Otros / No Grav.]])</f>
        <v>98785.713600000003</v>
      </c>
      <c r="Q29" s="334" t="str">
        <f>IFERROR(IF(compras_mes1[[#This Row],[CUIT]]="","-",VLOOKUP(compras_mes1[[#This Row],[CUIT]],Lista_CUIT[#All],3,0)),"CUIT NO CARGADO")</f>
        <v>Combustible</v>
      </c>
      <c r="R29" s="338">
        <f>IFERROR(IF(compras_mes1[[#This Row],[CUIT]]="","-",VLOOKUP(compras_mes1[[#This Row],[CUIT]],Lista_CUIT[#All],4,0)),"CUIT NO CARGADO")</f>
        <v>0</v>
      </c>
    </row>
    <row r="30" spans="2:18">
      <c r="B30" s="329">
        <v>45294</v>
      </c>
      <c r="C30" s="330">
        <v>1</v>
      </c>
      <c r="D30" s="331">
        <v>7</v>
      </c>
      <c r="E30" s="332">
        <v>40487</v>
      </c>
      <c r="F30" s="333">
        <v>30540960085</v>
      </c>
      <c r="G30" s="334" t="str">
        <f>IFERROR(IF(compras_mes1[[#This Row],[CUIT]]="","-",VLOOKUP(compras_mes1[[#This Row],[CUIT]],Lista_CUIT[#All],2,0)),"CUIT NO CARGADO")</f>
        <v>ESTACION DE SERVICIO SAN LUIS SRL</v>
      </c>
      <c r="H30" s="335">
        <v>3978.02</v>
      </c>
      <c r="I30" s="336">
        <f>IF(compras_mes1[[#This Row],[NETO GRAVADO]]="","",compras_mes1[[#This Row],[NETO GRAVADO]]*0.21)</f>
        <v>835.38419999999996</v>
      </c>
      <c r="J30" s="336"/>
      <c r="K30" s="336"/>
      <c r="L30" s="336"/>
      <c r="M30" s="336"/>
      <c r="N30" s="336"/>
      <c r="O30" s="336">
        <v>186.57</v>
      </c>
      <c r="P30" s="337">
        <f>SUM(compras_mes1[[#This Row],[NETO GRAVADO]:[Otros / No Grav.]])</f>
        <v>4999.9741999999997</v>
      </c>
      <c r="Q30" s="334" t="str">
        <f>IFERROR(IF(compras_mes1[[#This Row],[CUIT]]="","-",VLOOKUP(compras_mes1[[#This Row],[CUIT]],Lista_CUIT[#All],3,0)),"CUIT NO CARGADO")</f>
        <v>Combustible</v>
      </c>
      <c r="R30" s="338">
        <f>IFERROR(IF(compras_mes1[[#This Row],[CUIT]]="","-",VLOOKUP(compras_mes1[[#This Row],[CUIT]],Lista_CUIT[#All],4,0)),"CUIT NO CARGADO")</f>
        <v>0</v>
      </c>
    </row>
    <row r="31" spans="2:18">
      <c r="B31" s="40">
        <v>45294</v>
      </c>
      <c r="C31" s="41">
        <v>1</v>
      </c>
      <c r="D31" s="42">
        <v>22</v>
      </c>
      <c r="E31" s="43">
        <v>10520</v>
      </c>
      <c r="F31" s="44">
        <v>20130138005</v>
      </c>
      <c r="G31" s="45" t="str">
        <f>IFERROR(IF(compras_mes1[[#This Row],[CUIT]]="","-",VLOOKUP(compras_mes1[[#This Row],[CUIT]],Lista_CUIT[#All],2,0)),"CUIT NO CARGADO")</f>
        <v>SILVESTRI SERGIO ALBERTO</v>
      </c>
      <c r="H31" s="46">
        <v>26423.43</v>
      </c>
      <c r="I31" s="85">
        <f>IF(compras_mes1[[#This Row],[NETO GRAVADO]]="","",compras_mes1[[#This Row],[NETO GRAVADO]]*0.21)</f>
        <v>5548.9202999999998</v>
      </c>
      <c r="J31" s="85"/>
      <c r="K31" s="85"/>
      <c r="L31" s="85"/>
      <c r="M31" s="85"/>
      <c r="N31" s="85"/>
      <c r="O31" s="85">
        <v>1030.69</v>
      </c>
      <c r="P31" s="48">
        <f>SUM(compras_mes1[[#This Row],[NETO GRAVADO]:[Otros / No Grav.]])</f>
        <v>33003.040300000001</v>
      </c>
      <c r="Q31" s="45" t="str">
        <f>IFERROR(IF(compras_mes1[[#This Row],[CUIT]]="","-",VLOOKUP(compras_mes1[[#This Row],[CUIT]],Lista_CUIT[#All],3,0)),"CUIT NO CARGADO")</f>
        <v>Combustible</v>
      </c>
      <c r="R31" s="49" t="str">
        <f>IFERROR(IF(compras_mes1[[#This Row],[CUIT]]="","-",VLOOKUP(compras_mes1[[#This Row],[CUIT]],Lista_CUIT[#All],4,0)),"CUIT NO CARGADO")</f>
        <v>CABA</v>
      </c>
    </row>
    <row r="32" spans="2:18">
      <c r="B32" s="329">
        <v>45297</v>
      </c>
      <c r="C32" s="330">
        <v>1</v>
      </c>
      <c r="D32" s="331">
        <v>12</v>
      </c>
      <c r="E32" s="332">
        <v>40381</v>
      </c>
      <c r="F32" s="333">
        <v>30696131003</v>
      </c>
      <c r="G32" s="334" t="str">
        <f>IFERROR(IF(compras_mes1[[#This Row],[CUIT]]="","-",VLOOKUP(compras_mes1[[#This Row],[CUIT]],Lista_CUIT[#All],2,0)),"CUIT NO CARGADO")</f>
        <v>Petrolfe S.A.</v>
      </c>
      <c r="H32" s="335">
        <v>92073</v>
      </c>
      <c r="I32" s="336">
        <f>IF(compras_mes1[[#This Row],[NETO GRAVADO]]="","",compras_mes1[[#This Row],[NETO GRAVADO]]*0.21)</f>
        <v>19335.329999999998</v>
      </c>
      <c r="J32" s="336"/>
      <c r="K32" s="336"/>
      <c r="L32" s="336"/>
      <c r="M32" s="336"/>
      <c r="N32" s="336"/>
      <c r="O32" s="336">
        <v>3615.52</v>
      </c>
      <c r="P32" s="337">
        <f>SUM(compras_mes1[[#This Row],[NETO GRAVADO]:[Otros / No Grav.]])</f>
        <v>115023.85</v>
      </c>
      <c r="Q32" s="334" t="str">
        <f>IFERROR(IF(compras_mes1[[#This Row],[CUIT]]="","-",VLOOKUP(compras_mes1[[#This Row],[CUIT]],Lista_CUIT[#All],3,0)),"CUIT NO CARGADO")</f>
        <v>Combustible</v>
      </c>
      <c r="R32" s="338">
        <f>IFERROR(IF(compras_mes1[[#This Row],[CUIT]]="","-",VLOOKUP(compras_mes1[[#This Row],[CUIT]],Lista_CUIT[#All],4,0)),"CUIT NO CARGADO")</f>
        <v>0</v>
      </c>
    </row>
    <row r="33" spans="2:18">
      <c r="B33" s="329">
        <v>45304</v>
      </c>
      <c r="C33" s="330">
        <v>1</v>
      </c>
      <c r="D33" s="331">
        <v>12</v>
      </c>
      <c r="E33" s="332">
        <v>40739</v>
      </c>
      <c r="F33" s="333">
        <v>30696131003</v>
      </c>
      <c r="G33" s="334" t="str">
        <f>IFERROR(IF(compras_mes1[[#This Row],[CUIT]]="","-",VLOOKUP(compras_mes1[[#This Row],[CUIT]],Lista_CUIT[#All],2,0)),"CUIT NO CARGADO")</f>
        <v>Petrolfe S.A.</v>
      </c>
      <c r="H33" s="335">
        <v>98251.33</v>
      </c>
      <c r="I33" s="336">
        <f>IF(compras_mes1[[#This Row],[NETO GRAVADO]]="","",compras_mes1[[#This Row],[NETO GRAVADO]]*0.21)</f>
        <v>20632.779299999998</v>
      </c>
      <c r="J33" s="336"/>
      <c r="K33" s="336"/>
      <c r="L33" s="336"/>
      <c r="M33" s="336"/>
      <c r="N33" s="336"/>
      <c r="O33" s="336">
        <v>4289.34</v>
      </c>
      <c r="P33" s="337">
        <f>SUM(compras_mes1[[#This Row],[NETO GRAVADO]:[Otros / No Grav.]])</f>
        <v>123173.44929999999</v>
      </c>
      <c r="Q33" s="334" t="str">
        <f>IFERROR(IF(compras_mes1[[#This Row],[CUIT]]="","-",VLOOKUP(compras_mes1[[#This Row],[CUIT]],Lista_CUIT[#All],3,0)),"CUIT NO CARGADO")</f>
        <v>Combustible</v>
      </c>
      <c r="R33" s="338">
        <f>IFERROR(IF(compras_mes1[[#This Row],[CUIT]]="","-",VLOOKUP(compras_mes1[[#This Row],[CUIT]],Lista_CUIT[#All],4,0)),"CUIT NO CARGADO")</f>
        <v>0</v>
      </c>
    </row>
    <row r="34" spans="2:18">
      <c r="B34" s="329">
        <v>45311</v>
      </c>
      <c r="C34" s="330">
        <v>1</v>
      </c>
      <c r="D34" s="331">
        <v>12</v>
      </c>
      <c r="E34" s="332">
        <v>41140</v>
      </c>
      <c r="F34" s="333">
        <v>30696131003</v>
      </c>
      <c r="G34" s="334" t="str">
        <f>IFERROR(IF(compras_mes1[[#This Row],[CUIT]]="","-",VLOOKUP(compras_mes1[[#This Row],[CUIT]],Lista_CUIT[#All],2,0)),"CUIT NO CARGADO")</f>
        <v>Petrolfe S.A.</v>
      </c>
      <c r="H34" s="335">
        <v>67664.12</v>
      </c>
      <c r="I34" s="336">
        <f>IF(compras_mes1[[#This Row],[NETO GRAVADO]]="","",compras_mes1[[#This Row],[NETO GRAVADO]]*0.21)</f>
        <v>14209.465199999999</v>
      </c>
      <c r="J34" s="336"/>
      <c r="K34" s="336"/>
      <c r="L34" s="336"/>
      <c r="M34" s="336"/>
      <c r="N34" s="336"/>
      <c r="O34" s="336">
        <v>2683.4</v>
      </c>
      <c r="P34" s="337">
        <f>SUM(compras_mes1[[#This Row],[NETO GRAVADO]:[Otros / No Grav.]])</f>
        <v>84556.985199999996</v>
      </c>
      <c r="Q34" s="334" t="str">
        <f>IFERROR(IF(compras_mes1[[#This Row],[CUIT]]="","-",VLOOKUP(compras_mes1[[#This Row],[CUIT]],Lista_CUIT[#All],3,0)),"CUIT NO CARGADO")</f>
        <v>Combustible</v>
      </c>
      <c r="R34" s="338">
        <f>IFERROR(IF(compras_mes1[[#This Row],[CUIT]]="","-",VLOOKUP(compras_mes1[[#This Row],[CUIT]],Lista_CUIT[#All],4,0)),"CUIT NO CARGADO")</f>
        <v>0</v>
      </c>
    </row>
    <row r="35" spans="2:18">
      <c r="B35" s="329">
        <v>45311</v>
      </c>
      <c r="C35" s="330">
        <v>1</v>
      </c>
      <c r="D35" s="331">
        <v>13</v>
      </c>
      <c r="E35" s="332">
        <v>77588</v>
      </c>
      <c r="F35" s="333">
        <v>30707841105</v>
      </c>
      <c r="G35" s="334" t="str">
        <f>IFERROR(IF(compras_mes1[[#This Row],[CUIT]]="","-",VLOOKUP(compras_mes1[[#This Row],[CUIT]],Lista_CUIT[#All],2,0)),"CUIT NO CARGADO")</f>
        <v>PETRO ARG SRL</v>
      </c>
      <c r="H35" s="335">
        <v>12002.51</v>
      </c>
      <c r="I35" s="336">
        <f>IF(compras_mes1[[#This Row],[NETO GRAVADO]]="","",compras_mes1[[#This Row],[NETO GRAVADO]]*0.21)</f>
        <v>2520.5270999999998</v>
      </c>
      <c r="J35" s="336"/>
      <c r="K35" s="336"/>
      <c r="L35" s="336"/>
      <c r="M35" s="336"/>
      <c r="N35" s="336"/>
      <c r="O35" s="336">
        <v>476.94</v>
      </c>
      <c r="P35" s="337">
        <f>SUM(compras_mes1[[#This Row],[NETO GRAVADO]:[Otros / No Grav.]])</f>
        <v>14999.9771</v>
      </c>
      <c r="Q35" s="334" t="str">
        <f>IFERROR(IF(compras_mes1[[#This Row],[CUIT]]="","-",VLOOKUP(compras_mes1[[#This Row],[CUIT]],Lista_CUIT[#All],3,0)),"CUIT NO CARGADO")</f>
        <v>Combustible</v>
      </c>
      <c r="R35" s="338">
        <f>IFERROR(IF(compras_mes1[[#This Row],[CUIT]]="","-",VLOOKUP(compras_mes1[[#This Row],[CUIT]],Lista_CUIT[#All],4,0)),"CUIT NO CARGADO")</f>
        <v>0</v>
      </c>
    </row>
    <row r="36" spans="2:18">
      <c r="B36" s="329">
        <v>45316</v>
      </c>
      <c r="C36" s="330">
        <v>1</v>
      </c>
      <c r="D36" s="331">
        <v>2036</v>
      </c>
      <c r="E36" s="332">
        <v>53495</v>
      </c>
      <c r="F36" s="333">
        <v>30516186670</v>
      </c>
      <c r="G36" s="334" t="str">
        <f>IFERROR(IF(compras_mes1[[#This Row],[CUIT]]="","-",VLOOKUP(compras_mes1[[#This Row],[CUIT]],Lista_CUIT[#All],2,0)),"CUIT NO CARGADO")</f>
        <v>DEHEZA S.A.I.C.F. e I.</v>
      </c>
      <c r="H36" s="335">
        <v>4018.51</v>
      </c>
      <c r="I36" s="336">
        <f>IF(compras_mes1[[#This Row],[NETO GRAVADO]]="","",compras_mes1[[#This Row],[NETO GRAVADO]]*0.21)</f>
        <v>843.88710000000003</v>
      </c>
      <c r="J36" s="336"/>
      <c r="K36" s="336"/>
      <c r="L36" s="336">
        <v>120.56</v>
      </c>
      <c r="M36" s="336"/>
      <c r="N36" s="336">
        <v>249.31</v>
      </c>
      <c r="O36" s="336">
        <v>136.72</v>
      </c>
      <c r="P36" s="337">
        <f>SUM(compras_mes1[[#This Row],[NETO GRAVADO]:[Otros / No Grav.]])</f>
        <v>5368.9871000000012</v>
      </c>
      <c r="Q36" s="334" t="str">
        <f>IFERROR(IF(compras_mes1[[#This Row],[CUIT]]="","-",VLOOKUP(compras_mes1[[#This Row],[CUIT]],Lista_CUIT[#All],3,0)),"CUIT NO CARGADO")</f>
        <v>Combustible</v>
      </c>
      <c r="R36" s="338" t="str">
        <f>IFERROR(IF(compras_mes1[[#This Row],[CUIT]]="","-",VLOOKUP(compras_mes1[[#This Row],[CUIT]],Lista_CUIT[#All],4,0)),"CUIT NO CARGADO")</f>
        <v>CABA</v>
      </c>
    </row>
    <row r="37" spans="2:18" s="56" customFormat="1">
      <c r="B37" s="329">
        <v>45316</v>
      </c>
      <c r="C37" s="330">
        <v>1</v>
      </c>
      <c r="D37" s="331">
        <v>10</v>
      </c>
      <c r="E37" s="332">
        <v>14433</v>
      </c>
      <c r="F37" s="333">
        <v>30568459500</v>
      </c>
      <c r="G37" s="334" t="str">
        <f>IFERROR(IF(compras_mes1[[#This Row],[CUIT]]="","-",VLOOKUP(compras_mes1[[#This Row],[CUIT]],Lista_CUIT[#All],2,0)),"CUIT NO CARGADO")</f>
        <v>ESTACION DE SERVICIO AXION KUKE SRL</v>
      </c>
      <c r="H37" s="335">
        <v>8042.16</v>
      </c>
      <c r="I37" s="336">
        <f>IF(compras_mes1[[#This Row],[NETO GRAVADO]]="","",compras_mes1[[#This Row],[NETO GRAVADO]]*0.21)</f>
        <v>1688.8535999999999</v>
      </c>
      <c r="J37" s="336"/>
      <c r="K37" s="336"/>
      <c r="L37" s="336"/>
      <c r="M37" s="336"/>
      <c r="N37" s="336"/>
      <c r="O37" s="336">
        <v>268.99</v>
      </c>
      <c r="P37" s="337">
        <f>SUM(compras_mes1[[#This Row],[NETO GRAVADO]:[Otros / No Grav.]])</f>
        <v>10000.0036</v>
      </c>
      <c r="Q37" s="334" t="str">
        <f>IFERROR(IF(compras_mes1[[#This Row],[CUIT]]="","-",VLOOKUP(compras_mes1[[#This Row],[CUIT]],Lista_CUIT[#All],3,0)),"CUIT NO CARGADO")</f>
        <v>Combustible</v>
      </c>
      <c r="R37" s="338" t="str">
        <f>IFERROR(IF(compras_mes1[[#This Row],[CUIT]]="","-",VLOOKUP(compras_mes1[[#This Row],[CUIT]],Lista_CUIT[#All],4,0)),"CUIT NO CARGADO")</f>
        <v>CABA</v>
      </c>
    </row>
    <row r="38" spans="2:18">
      <c r="B38" s="329">
        <v>45317</v>
      </c>
      <c r="C38" s="330">
        <v>1</v>
      </c>
      <c r="D38" s="331">
        <v>14</v>
      </c>
      <c r="E38" s="332">
        <v>20464</v>
      </c>
      <c r="F38" s="333">
        <v>30647082293</v>
      </c>
      <c r="G38" s="334" t="str">
        <f>IFERROR(IF(compras_mes1[[#This Row],[CUIT]]="","-",VLOOKUP(compras_mes1[[#This Row],[CUIT]],Lista_CUIT[#All],2,0)),"CUIT NO CARGADO")</f>
        <v>CHARATA SRL</v>
      </c>
      <c r="H38" s="335">
        <v>51834.9</v>
      </c>
      <c r="I38" s="336">
        <f>IF(compras_mes1[[#This Row],[NETO GRAVADO]]="","",compras_mes1[[#This Row],[NETO GRAVADO]]*0.21)</f>
        <v>10885.329</v>
      </c>
      <c r="J38" s="336"/>
      <c r="K38" s="336"/>
      <c r="L38" s="336"/>
      <c r="M38" s="336"/>
      <c r="N38" s="336"/>
      <c r="O38" s="336">
        <v>779.78</v>
      </c>
      <c r="P38" s="337">
        <f>SUM(compras_mes1[[#This Row],[NETO GRAVADO]:[Otros / No Grav.]])</f>
        <v>63500.008999999998</v>
      </c>
      <c r="Q38" s="334" t="str">
        <f>IFERROR(IF(compras_mes1[[#This Row],[CUIT]]="","-",VLOOKUP(compras_mes1[[#This Row],[CUIT]],Lista_CUIT[#All],3,0)),"CUIT NO CARGADO")</f>
        <v>Combustible</v>
      </c>
      <c r="R38" s="338">
        <f>IFERROR(IF(compras_mes1[[#This Row],[CUIT]]="","-",VLOOKUP(compras_mes1[[#This Row],[CUIT]],Lista_CUIT[#All],4,0)),"CUIT NO CARGADO")</f>
        <v>0</v>
      </c>
    </row>
    <row r="39" spans="2:18">
      <c r="B39" s="329">
        <v>45317</v>
      </c>
      <c r="C39" s="330">
        <v>1</v>
      </c>
      <c r="D39" s="331">
        <v>14</v>
      </c>
      <c r="E39" s="332">
        <v>20465</v>
      </c>
      <c r="F39" s="333">
        <v>30647082293</v>
      </c>
      <c r="G39" s="334" t="str">
        <f>IFERROR(IF(compras_mes1[[#This Row],[CUIT]]="","-",VLOOKUP(compras_mes1[[#This Row],[CUIT]],Lista_CUIT[#All],2,0)),"CUIT NO CARGADO")</f>
        <v>CHARATA SRL</v>
      </c>
      <c r="H39" s="335">
        <v>19454.95</v>
      </c>
      <c r="I39" s="336">
        <f>IF(compras_mes1[[#This Row],[NETO GRAVADO]]="","",compras_mes1[[#This Row],[NETO GRAVADO]]*0.21)</f>
        <v>4085.5394999999999</v>
      </c>
      <c r="J39" s="336"/>
      <c r="K39" s="336"/>
      <c r="L39" s="336"/>
      <c r="M39" s="336"/>
      <c r="N39" s="336"/>
      <c r="O39" s="336">
        <v>459.5</v>
      </c>
      <c r="P39" s="337">
        <f>SUM(compras_mes1[[#This Row],[NETO GRAVADO]:[Otros / No Grav.]])</f>
        <v>23999.9895</v>
      </c>
      <c r="Q39" s="334" t="str">
        <f>IFERROR(IF(compras_mes1[[#This Row],[CUIT]]="","-",VLOOKUP(compras_mes1[[#This Row],[CUIT]],Lista_CUIT[#All],3,0)),"CUIT NO CARGADO")</f>
        <v>Combustible</v>
      </c>
      <c r="R39" s="338">
        <f>IFERROR(IF(compras_mes1[[#This Row],[CUIT]]="","-",VLOOKUP(compras_mes1[[#This Row],[CUIT]],Lista_CUIT[#All],4,0)),"CUIT NO CARGADO")</f>
        <v>0</v>
      </c>
    </row>
    <row r="40" spans="2:18">
      <c r="B40" s="329">
        <v>45318</v>
      </c>
      <c r="C40" s="330">
        <v>1</v>
      </c>
      <c r="D40" s="331">
        <v>12</v>
      </c>
      <c r="E40" s="332">
        <v>41419</v>
      </c>
      <c r="F40" s="333">
        <v>30696131003</v>
      </c>
      <c r="G40" s="334" t="str">
        <f>IFERROR(IF(compras_mes1[[#This Row],[CUIT]]="","-",VLOOKUP(compras_mes1[[#This Row],[CUIT]],Lista_CUIT[#All],2,0)),"CUIT NO CARGADO")</f>
        <v>Petrolfe S.A.</v>
      </c>
      <c r="H40" s="335">
        <v>61251.22</v>
      </c>
      <c r="I40" s="336">
        <f>IF(compras_mes1[[#This Row],[NETO GRAVADO]]="","",compras_mes1[[#This Row],[NETO GRAVADO]]*0.21)</f>
        <v>12862.7562</v>
      </c>
      <c r="J40" s="336"/>
      <c r="K40" s="336"/>
      <c r="L40" s="336"/>
      <c r="M40" s="336"/>
      <c r="N40" s="336"/>
      <c r="O40" s="336">
        <v>2674.04</v>
      </c>
      <c r="P40" s="337">
        <f>SUM(compras_mes1[[#This Row],[NETO GRAVADO]:[Otros / No Grav.]])</f>
        <v>76788.016199999998</v>
      </c>
      <c r="Q40" s="334" t="str">
        <f>IFERROR(IF(compras_mes1[[#This Row],[CUIT]]="","-",VLOOKUP(compras_mes1[[#This Row],[CUIT]],Lista_CUIT[#All],3,0)),"CUIT NO CARGADO")</f>
        <v>Combustible</v>
      </c>
      <c r="R40" s="338">
        <f>IFERROR(IF(compras_mes1[[#This Row],[CUIT]]="","-",VLOOKUP(compras_mes1[[#This Row],[CUIT]],Lista_CUIT[#All],4,0)),"CUIT NO CARGADO")</f>
        <v>0</v>
      </c>
    </row>
    <row r="41" spans="2:18">
      <c r="B41" s="167">
        <v>45299</v>
      </c>
      <c r="C41" s="168">
        <v>1</v>
      </c>
      <c r="D41" s="169">
        <v>234</v>
      </c>
      <c r="E41" s="170">
        <v>21</v>
      </c>
      <c r="F41" s="171">
        <v>33708711999</v>
      </c>
      <c r="G41" s="172" t="str">
        <f>IFERROR(IF(compras_mes1[[#This Row],[CUIT]]="","-",VLOOKUP(compras_mes1[[#This Row],[CUIT]],Lista_CUIT[#All],2,0)),"CUIT NO CARGADO")</f>
        <v>MARANSI S.A.</v>
      </c>
      <c r="H41" s="173">
        <v>509979.73</v>
      </c>
      <c r="I41" s="174">
        <f>IF(compras_mes1[[#This Row],[NETO GRAVADO]]="","",compras_mes1[[#This Row],[NETO GRAVADO]]*0.21)</f>
        <v>107095.74329999999</v>
      </c>
      <c r="J41" s="174"/>
      <c r="K41" s="174"/>
      <c r="L41" s="174"/>
      <c r="M41" s="174"/>
      <c r="N41" s="174">
        <v>30598.78</v>
      </c>
      <c r="O41" s="174">
        <v>0</v>
      </c>
      <c r="P41" s="175">
        <f>SUM(compras_mes1[[#This Row],[NETO GRAVADO]:[Otros / No Grav.]])</f>
        <v>647674.25329999998</v>
      </c>
      <c r="Q41" s="172" t="str">
        <f>IFERROR(IF(compras_mes1[[#This Row],[CUIT]]="","-",VLOOKUP(compras_mes1[[#This Row],[CUIT]],Lista_CUIT[#All],3,0)),"CUIT NO CARGADO")</f>
        <v>Gastos Oficina</v>
      </c>
      <c r="R41" s="176">
        <f>IFERROR(IF(compras_mes1[[#This Row],[CUIT]]="","-",VLOOKUP(compras_mes1[[#This Row],[CUIT]],Lista_CUIT[#All],4,0)),"CUIT NO CARGADO")</f>
        <v>0</v>
      </c>
    </row>
    <row r="42" spans="2:18">
      <c r="B42" s="167">
        <v>45301</v>
      </c>
      <c r="C42" s="168">
        <v>1</v>
      </c>
      <c r="D42" s="169">
        <v>6</v>
      </c>
      <c r="E42" s="170">
        <v>15332267</v>
      </c>
      <c r="F42" s="171">
        <v>30620177497</v>
      </c>
      <c r="G42" s="172" t="str">
        <f>IFERROR(IF(compras_mes1[[#This Row],[CUIT]]="","-",VLOOKUP(compras_mes1[[#This Row],[CUIT]],Lista_CUIT[#All],2,0)),"CUIT NO CARGADO")</f>
        <v>POSNET SRL</v>
      </c>
      <c r="H42" s="173">
        <v>11000</v>
      </c>
      <c r="I42" s="174">
        <f>IF(compras_mes1[[#This Row],[NETO GRAVADO]]="","",compras_mes1[[#This Row],[NETO GRAVADO]]*0.21)</f>
        <v>2310</v>
      </c>
      <c r="J42" s="174"/>
      <c r="K42" s="174"/>
      <c r="L42" s="174"/>
      <c r="M42" s="174"/>
      <c r="N42" s="174">
        <v>990</v>
      </c>
      <c r="O42" s="174">
        <v>0</v>
      </c>
      <c r="P42" s="175">
        <f>SUM(compras_mes1[[#This Row],[NETO GRAVADO]:[Otros / No Grav.]])</f>
        <v>14300</v>
      </c>
      <c r="Q42" s="172" t="str">
        <f>IFERROR(IF(compras_mes1[[#This Row],[CUIT]]="","-",VLOOKUP(compras_mes1[[#This Row],[CUIT]],Lista_CUIT[#All],3,0)),"CUIT NO CARGADO")</f>
        <v>Gastos Comercializacion</v>
      </c>
      <c r="R42" s="176">
        <f>IFERROR(IF(compras_mes1[[#This Row],[CUIT]]="","-",VLOOKUP(compras_mes1[[#This Row],[CUIT]],Lista_CUIT[#All],4,0)),"CUIT NO CARGADO")</f>
        <v>0</v>
      </c>
    </row>
    <row r="43" spans="2:18">
      <c r="B43" s="167">
        <v>45301</v>
      </c>
      <c r="C43" s="168">
        <v>1</v>
      </c>
      <c r="D43" s="169">
        <v>6</v>
      </c>
      <c r="E43" s="170">
        <v>15332252</v>
      </c>
      <c r="F43" s="171">
        <v>30620177497</v>
      </c>
      <c r="G43" s="172" t="str">
        <f>IFERROR(IF(compras_mes1[[#This Row],[CUIT]]="","-",VLOOKUP(compras_mes1[[#This Row],[CUIT]],Lista_CUIT[#All],2,0)),"CUIT NO CARGADO")</f>
        <v>POSNET SRL</v>
      </c>
      <c r="H43" s="173">
        <v>11000</v>
      </c>
      <c r="I43" s="174">
        <f>IF(compras_mes1[[#This Row],[NETO GRAVADO]]="","",compras_mes1[[#This Row],[NETO GRAVADO]]*0.21)</f>
        <v>2310</v>
      </c>
      <c r="J43" s="174"/>
      <c r="K43" s="174"/>
      <c r="L43" s="174"/>
      <c r="M43" s="174"/>
      <c r="N43" s="174">
        <v>990</v>
      </c>
      <c r="O43" s="174">
        <v>0</v>
      </c>
      <c r="P43" s="175">
        <f>SUM(compras_mes1[[#This Row],[NETO GRAVADO]:[Otros / No Grav.]])</f>
        <v>14300</v>
      </c>
      <c r="Q43" s="172" t="str">
        <f>IFERROR(IF(compras_mes1[[#This Row],[CUIT]]="","-",VLOOKUP(compras_mes1[[#This Row],[CUIT]],Lista_CUIT[#All],3,0)),"CUIT NO CARGADO")</f>
        <v>Gastos Comercializacion</v>
      </c>
      <c r="R43" s="176">
        <f>IFERROR(IF(compras_mes1[[#This Row],[CUIT]]="","-",VLOOKUP(compras_mes1[[#This Row],[CUIT]],Lista_CUIT[#All],4,0)),"CUIT NO CARGADO")</f>
        <v>0</v>
      </c>
    </row>
    <row r="44" spans="2:18">
      <c r="B44" s="167">
        <v>45301</v>
      </c>
      <c r="C44" s="168">
        <v>1</v>
      </c>
      <c r="D44" s="169">
        <v>6</v>
      </c>
      <c r="E44" s="170">
        <v>15358698</v>
      </c>
      <c r="F44" s="171">
        <v>30620177497</v>
      </c>
      <c r="G44" s="172" t="str">
        <f>IFERROR(IF(compras_mes1[[#This Row],[CUIT]]="","-",VLOOKUP(compras_mes1[[#This Row],[CUIT]],Lista_CUIT[#All],2,0)),"CUIT NO CARGADO")</f>
        <v>POSNET SRL</v>
      </c>
      <c r="H44" s="173">
        <v>33000</v>
      </c>
      <c r="I44" s="174">
        <f>IF(compras_mes1[[#This Row],[NETO GRAVADO]]="","",compras_mes1[[#This Row],[NETO GRAVADO]]*0.21)</f>
        <v>6930</v>
      </c>
      <c r="J44" s="174"/>
      <c r="K44" s="174"/>
      <c r="L44" s="174"/>
      <c r="M44" s="174"/>
      <c r="N44" s="174">
        <v>2970</v>
      </c>
      <c r="O44" s="174">
        <v>0</v>
      </c>
      <c r="P44" s="175">
        <f>SUM(compras_mes1[[#This Row],[NETO GRAVADO]:[Otros / No Grav.]])</f>
        <v>42900</v>
      </c>
      <c r="Q44" s="172" t="str">
        <f>IFERROR(IF(compras_mes1[[#This Row],[CUIT]]="","-",VLOOKUP(compras_mes1[[#This Row],[CUIT]],Lista_CUIT[#All],3,0)),"CUIT NO CARGADO")</f>
        <v>Gastos Comercializacion</v>
      </c>
      <c r="R44" s="176">
        <f>IFERROR(IF(compras_mes1[[#This Row],[CUIT]]="","-",VLOOKUP(compras_mes1[[#This Row],[CUIT]],Lista_CUIT[#All],4,0)),"CUIT NO CARGADO")</f>
        <v>0</v>
      </c>
    </row>
    <row r="45" spans="2:18">
      <c r="B45" s="167">
        <v>45301</v>
      </c>
      <c r="C45" s="168">
        <v>1</v>
      </c>
      <c r="D45" s="169">
        <v>6</v>
      </c>
      <c r="E45" s="170">
        <v>15345714</v>
      </c>
      <c r="F45" s="171">
        <v>30620177497</v>
      </c>
      <c r="G45" s="172" t="str">
        <f>IFERROR(IF(compras_mes1[[#This Row],[CUIT]]="","-",VLOOKUP(compras_mes1[[#This Row],[CUIT]],Lista_CUIT[#All],2,0)),"CUIT NO CARGADO")</f>
        <v>POSNET SRL</v>
      </c>
      <c r="H45" s="173">
        <v>11000</v>
      </c>
      <c r="I45" s="174">
        <f>IF(compras_mes1[[#This Row],[NETO GRAVADO]]="","",compras_mes1[[#This Row],[NETO GRAVADO]]*0.21)</f>
        <v>2310</v>
      </c>
      <c r="J45" s="174"/>
      <c r="K45" s="174"/>
      <c r="L45" s="174"/>
      <c r="M45" s="174"/>
      <c r="N45" s="174">
        <v>990</v>
      </c>
      <c r="O45" s="174">
        <v>0</v>
      </c>
      <c r="P45" s="175">
        <f>SUM(compras_mes1[[#This Row],[NETO GRAVADO]:[Otros / No Grav.]])</f>
        <v>14300</v>
      </c>
      <c r="Q45" s="172" t="str">
        <f>IFERROR(IF(compras_mes1[[#This Row],[CUIT]]="","-",VLOOKUP(compras_mes1[[#This Row],[CUIT]],Lista_CUIT[#All],3,0)),"CUIT NO CARGADO")</f>
        <v>Gastos Comercializacion</v>
      </c>
      <c r="R45" s="176">
        <f>IFERROR(IF(compras_mes1[[#This Row],[CUIT]]="","-",VLOOKUP(compras_mes1[[#This Row],[CUIT]],Lista_CUIT[#All],4,0)),"CUIT NO CARGADO")</f>
        <v>0</v>
      </c>
    </row>
    <row r="46" spans="2:18">
      <c r="B46" s="329">
        <v>45303</v>
      </c>
      <c r="C46" s="330">
        <v>1</v>
      </c>
      <c r="D46" s="331">
        <v>14</v>
      </c>
      <c r="E46" s="332">
        <v>10838</v>
      </c>
      <c r="F46" s="333">
        <v>30715186256</v>
      </c>
      <c r="G46" s="334" t="str">
        <f>IFERROR(IF(compras_mes1[[#This Row],[CUIT]]="","-",VLOOKUP(compras_mes1[[#This Row],[CUIT]],Lista_CUIT[#All],2,0)),"CUIT NO CARGADO")</f>
        <v>FRIGORIFICO ALIMENTIC</v>
      </c>
      <c r="H46" s="335">
        <v>63193.72</v>
      </c>
      <c r="I46" s="336"/>
      <c r="J46" s="336"/>
      <c r="K46" s="336">
        <v>6635.34</v>
      </c>
      <c r="L46" s="336"/>
      <c r="M46" s="336"/>
      <c r="N46" s="336"/>
      <c r="O46" s="336"/>
      <c r="P46" s="337">
        <f>SUM(compras_mes1[[#This Row],[NETO GRAVADO]:[Otros / No Grav.]])</f>
        <v>69829.06</v>
      </c>
      <c r="Q46" s="334" t="str">
        <f>IFERROR(IF(compras_mes1[[#This Row],[CUIT]]="","-",VLOOKUP(compras_mes1[[#This Row],[CUIT]],Lista_CUIT[#All],3,0)),"CUIT NO CARGADO")</f>
        <v>Gastos Comercializacion - Feria</v>
      </c>
      <c r="R46" s="338">
        <f>IFERROR(IF(compras_mes1[[#This Row],[CUIT]]="","-",VLOOKUP(compras_mes1[[#This Row],[CUIT]],Lista_CUIT[#All],4,0)),"CUIT NO CARGADO")</f>
        <v>0</v>
      </c>
    </row>
    <row r="47" spans="2:18">
      <c r="B47" s="329">
        <v>45303</v>
      </c>
      <c r="C47" s="330">
        <v>1</v>
      </c>
      <c r="D47" s="331">
        <v>14</v>
      </c>
      <c r="E47" s="332">
        <v>10848</v>
      </c>
      <c r="F47" s="333">
        <v>30715186256</v>
      </c>
      <c r="G47" s="334" t="str">
        <f>IFERROR(IF(compras_mes1[[#This Row],[CUIT]]="","-",VLOOKUP(compras_mes1[[#This Row],[CUIT]],Lista_CUIT[#All],2,0)),"CUIT NO CARGADO")</f>
        <v>FRIGORIFICO ALIMENTIC</v>
      </c>
      <c r="H47" s="335">
        <v>14452.94</v>
      </c>
      <c r="I47" s="336"/>
      <c r="J47" s="336"/>
      <c r="K47" s="336">
        <v>1517.56</v>
      </c>
      <c r="L47" s="336"/>
      <c r="M47" s="336"/>
      <c r="N47" s="336"/>
      <c r="O47" s="336"/>
      <c r="P47" s="337">
        <f>SUM(compras_mes1[[#This Row],[NETO GRAVADO]:[Otros / No Grav.]])</f>
        <v>15970.5</v>
      </c>
      <c r="Q47" s="334" t="str">
        <f>IFERROR(IF(compras_mes1[[#This Row],[CUIT]]="","-",VLOOKUP(compras_mes1[[#This Row],[CUIT]],Lista_CUIT[#All],3,0)),"CUIT NO CARGADO")</f>
        <v>Gastos Comercializacion - Feria</v>
      </c>
      <c r="R47" s="338">
        <f>IFERROR(IF(compras_mes1[[#This Row],[CUIT]]="","-",VLOOKUP(compras_mes1[[#This Row],[CUIT]],Lista_CUIT[#All],4,0)),"CUIT NO CARGADO")</f>
        <v>0</v>
      </c>
    </row>
    <row r="48" spans="2:18">
      <c r="B48" s="329">
        <v>45300</v>
      </c>
      <c r="C48" s="330">
        <v>1</v>
      </c>
      <c r="D48" s="331">
        <v>3</v>
      </c>
      <c r="E48" s="332">
        <v>894</v>
      </c>
      <c r="F48" s="333">
        <v>20308960782</v>
      </c>
      <c r="G48" s="334" t="str">
        <f>IFERROR(IF(compras_mes1[[#This Row],[CUIT]]="","-",VLOOKUP(compras_mes1[[#This Row],[CUIT]],Lista_CUIT[#All],2,0)),"CUIT NO CARGADO")</f>
        <v>OSSANDON ROBERTO SAUL</v>
      </c>
      <c r="H48" s="335">
        <v>8264.4599999999991</v>
      </c>
      <c r="I48" s="336">
        <f>IF(compras_mes1[[#This Row],[NETO GRAVADO]]="","",compras_mes1[[#This Row],[NETO GRAVADO]]*0.21)</f>
        <v>1735.5365999999997</v>
      </c>
      <c r="J48" s="336"/>
      <c r="K48" s="336"/>
      <c r="L48" s="336"/>
      <c r="M48" s="336"/>
      <c r="N48" s="336"/>
      <c r="O48" s="336">
        <v>0</v>
      </c>
      <c r="P48" s="337">
        <f>SUM(compras_mes1[[#This Row],[NETO GRAVADO]:[Otros / No Grav.]])</f>
        <v>9999.9965999999986</v>
      </c>
      <c r="Q48" s="334" t="str">
        <f>IFERROR(IF(compras_mes1[[#This Row],[CUIT]]="","-",VLOOKUP(compras_mes1[[#This Row],[CUIT]],Lista_CUIT[#All],3,0)),"CUIT NO CARGADO")</f>
        <v>Gastos Limpieza</v>
      </c>
      <c r="R48" s="338">
        <f>IFERROR(IF(compras_mes1[[#This Row],[CUIT]]="","-",VLOOKUP(compras_mes1[[#This Row],[CUIT]],Lista_CUIT[#All],4,0)),"CUIT NO CARGADO")</f>
        <v>0</v>
      </c>
    </row>
    <row r="49" spans="2:18">
      <c r="B49" s="329">
        <v>45303</v>
      </c>
      <c r="C49" s="330">
        <v>1</v>
      </c>
      <c r="D49" s="331">
        <v>3</v>
      </c>
      <c r="E49" s="332">
        <v>903</v>
      </c>
      <c r="F49" s="333">
        <v>20308960782</v>
      </c>
      <c r="G49" s="334" t="str">
        <f>IFERROR(IF(compras_mes1[[#This Row],[CUIT]]="","-",VLOOKUP(compras_mes1[[#This Row],[CUIT]],Lista_CUIT[#All],2,0)),"CUIT NO CARGADO")</f>
        <v>OSSANDON ROBERTO SAUL</v>
      </c>
      <c r="H49" s="335">
        <v>9421.49</v>
      </c>
      <c r="I49" s="336">
        <f>IF(compras_mes1[[#This Row],[NETO GRAVADO]]="","",compras_mes1[[#This Row],[NETO GRAVADO]]*0.21)</f>
        <v>1978.5128999999999</v>
      </c>
      <c r="J49" s="336"/>
      <c r="K49" s="336"/>
      <c r="L49" s="336"/>
      <c r="M49" s="336"/>
      <c r="N49" s="336"/>
      <c r="O49" s="336"/>
      <c r="P49" s="337">
        <f>SUM(compras_mes1[[#This Row],[NETO GRAVADO]:[Otros / No Grav.]])</f>
        <v>11400.002899999999</v>
      </c>
      <c r="Q49" s="334" t="str">
        <f>IFERROR(IF(compras_mes1[[#This Row],[CUIT]]="","-",VLOOKUP(compras_mes1[[#This Row],[CUIT]],Lista_CUIT[#All],3,0)),"CUIT NO CARGADO")</f>
        <v>Gastos Limpieza</v>
      </c>
      <c r="R49" s="338">
        <f>IFERROR(IF(compras_mes1[[#This Row],[CUIT]]="","-",VLOOKUP(compras_mes1[[#This Row],[CUIT]],Lista_CUIT[#All],4,0)),"CUIT NO CARGADO")</f>
        <v>0</v>
      </c>
    </row>
    <row r="50" spans="2:18">
      <c r="B50" s="167">
        <v>45308</v>
      </c>
      <c r="C50" s="168">
        <v>1</v>
      </c>
      <c r="D50" s="169">
        <v>113</v>
      </c>
      <c r="E50" s="170">
        <v>3463160</v>
      </c>
      <c r="F50" s="171">
        <v>30577207190</v>
      </c>
      <c r="G50" s="172" t="str">
        <f>IFERROR(IF(compras_mes1[[#This Row],[CUIT]]="","-",VLOOKUP(compras_mes1[[#This Row],[CUIT]],Lista_CUIT[#All],2,0)),"CUIT NO CARGADO")</f>
        <v>COORDINACION ECOLOGICA AREA METROPOLITANA SOCIEDAD DEL ESTADO</v>
      </c>
      <c r="H50" s="173">
        <v>3563.64</v>
      </c>
      <c r="I50" s="174">
        <f>IF(compras_mes1[[#This Row],[NETO GRAVADO]]="","",compras_mes1[[#This Row],[NETO GRAVADO]]*0.21)</f>
        <v>748.36439999999993</v>
      </c>
      <c r="J50" s="174"/>
      <c r="K50" s="174"/>
      <c r="L50" s="174">
        <v>106.91</v>
      </c>
      <c r="M50" s="174"/>
      <c r="N50" s="174"/>
      <c r="O50" s="174"/>
      <c r="P50" s="175">
        <f>SUM(compras_mes1[[#This Row],[NETO GRAVADO]:[Otros / No Grav.]])</f>
        <v>4418.9143999999997</v>
      </c>
      <c r="Q50" s="172" t="str">
        <f>IFERROR(IF(compras_mes1[[#This Row],[CUIT]]="","-",VLOOKUP(compras_mes1[[#This Row],[CUIT]],Lista_CUIT[#All],3,0)),"CUIT NO CARGADO")</f>
        <v>Gastos Limpieza</v>
      </c>
      <c r="R50" s="176">
        <f>IFERROR(IF(compras_mes1[[#This Row],[CUIT]]="","-",VLOOKUP(compras_mes1[[#This Row],[CUIT]],Lista_CUIT[#All],4,0)),"CUIT NO CARGADO")</f>
        <v>0</v>
      </c>
    </row>
    <row r="51" spans="2:18">
      <c r="B51" s="329">
        <v>45310</v>
      </c>
      <c r="C51" s="330">
        <v>1</v>
      </c>
      <c r="D51" s="331">
        <v>7</v>
      </c>
      <c r="E51" s="332">
        <v>12726</v>
      </c>
      <c r="F51" s="333">
        <v>30715124919</v>
      </c>
      <c r="G51" s="334" t="str">
        <f>IFERROR(IF(compras_mes1[[#This Row],[CUIT]]="","-",VLOOKUP(compras_mes1[[#This Row],[CUIT]],Lista_CUIT[#All],2,0)),"CUIT NO CARGADO")</f>
        <v>CLEAN LAB SRL</v>
      </c>
      <c r="H51" s="335">
        <v>48927.3</v>
      </c>
      <c r="I51" s="336">
        <f>IF(compras_mes1[[#This Row],[NETO GRAVADO]]="","",compras_mes1[[#This Row],[NETO GRAVADO]]*0.21)</f>
        <v>10274.733</v>
      </c>
      <c r="J51" s="336"/>
      <c r="K51" s="336"/>
      <c r="L51" s="336"/>
      <c r="M51" s="336"/>
      <c r="N51" s="336"/>
      <c r="O51" s="336"/>
      <c r="P51" s="337">
        <f>SUM(compras_mes1[[#This Row],[NETO GRAVADO]:[Otros / No Grav.]])</f>
        <v>59202.033000000003</v>
      </c>
      <c r="Q51" s="334" t="str">
        <f>IFERROR(IF(compras_mes1[[#This Row],[CUIT]]="","-",VLOOKUP(compras_mes1[[#This Row],[CUIT]],Lista_CUIT[#All],3,0)),"CUIT NO CARGADO")</f>
        <v>Gastos Limpieza</v>
      </c>
      <c r="R51" s="338">
        <f>IFERROR(IF(compras_mes1[[#This Row],[CUIT]]="","-",VLOOKUP(compras_mes1[[#This Row],[CUIT]],Lista_CUIT[#All],4,0)),"CUIT NO CARGADO")</f>
        <v>0</v>
      </c>
    </row>
    <row r="52" spans="2:18">
      <c r="B52" s="329">
        <v>45310</v>
      </c>
      <c r="C52" s="330">
        <v>1</v>
      </c>
      <c r="D52" s="331">
        <v>7</v>
      </c>
      <c r="E52" s="332">
        <v>12727</v>
      </c>
      <c r="F52" s="333">
        <v>30715124919</v>
      </c>
      <c r="G52" s="334" t="str">
        <f>IFERROR(IF(compras_mes1[[#This Row],[CUIT]]="","-",VLOOKUP(compras_mes1[[#This Row],[CUIT]],Lista_CUIT[#All],2,0)),"CUIT NO CARGADO")</f>
        <v>CLEAN LAB SRL</v>
      </c>
      <c r="H52" s="335">
        <v>31501.66</v>
      </c>
      <c r="I52" s="336">
        <f>IF(compras_mes1[[#This Row],[NETO GRAVADO]]="","",compras_mes1[[#This Row],[NETO GRAVADO]]*0.21)</f>
        <v>6615.3485999999994</v>
      </c>
      <c r="J52" s="336"/>
      <c r="K52" s="336"/>
      <c r="L52" s="336"/>
      <c r="M52" s="336"/>
      <c r="N52" s="336"/>
      <c r="O52" s="336"/>
      <c r="P52" s="337">
        <f>SUM(compras_mes1[[#This Row],[NETO GRAVADO]:[Otros / No Grav.]])</f>
        <v>38117.008600000001</v>
      </c>
      <c r="Q52" s="334" t="str">
        <f>IFERROR(IF(compras_mes1[[#This Row],[CUIT]]="","-",VLOOKUP(compras_mes1[[#This Row],[CUIT]],Lista_CUIT[#All],3,0)),"CUIT NO CARGADO")</f>
        <v>Gastos Limpieza</v>
      </c>
      <c r="R52" s="338">
        <f>IFERROR(IF(compras_mes1[[#This Row],[CUIT]]="","-",VLOOKUP(compras_mes1[[#This Row],[CUIT]],Lista_CUIT[#All],4,0)),"CUIT NO CARGADO")</f>
        <v>0</v>
      </c>
    </row>
    <row r="53" spans="2:18">
      <c r="B53" s="329">
        <v>45310</v>
      </c>
      <c r="C53" s="330">
        <v>1</v>
      </c>
      <c r="D53" s="331">
        <v>7</v>
      </c>
      <c r="E53" s="332">
        <v>12725</v>
      </c>
      <c r="F53" s="333">
        <v>30715124919</v>
      </c>
      <c r="G53" s="334" t="str">
        <f>IFERROR(IF(compras_mes1[[#This Row],[CUIT]]="","-",VLOOKUP(compras_mes1[[#This Row],[CUIT]],Lista_CUIT[#All],2,0)),"CUIT NO CARGADO")</f>
        <v>CLEAN LAB SRL</v>
      </c>
      <c r="H53" s="335">
        <v>64007.42</v>
      </c>
      <c r="I53" s="336">
        <f>IF(compras_mes1[[#This Row],[NETO GRAVADO]]="","",compras_mes1[[#This Row],[NETO GRAVADO]]*0.21)</f>
        <v>13441.558199999999</v>
      </c>
      <c r="J53" s="336"/>
      <c r="K53" s="336"/>
      <c r="L53" s="336"/>
      <c r="M53" s="336"/>
      <c r="N53" s="336"/>
      <c r="O53" s="336"/>
      <c r="P53" s="337">
        <f>SUM(compras_mes1[[#This Row],[NETO GRAVADO]:[Otros / No Grav.]])</f>
        <v>77448.978199999998</v>
      </c>
      <c r="Q53" s="334" t="str">
        <f>IFERROR(IF(compras_mes1[[#This Row],[CUIT]]="","-",VLOOKUP(compras_mes1[[#This Row],[CUIT]],Lista_CUIT[#All],3,0)),"CUIT NO CARGADO")</f>
        <v>Gastos Limpieza</v>
      </c>
      <c r="R53" s="338">
        <f>IFERROR(IF(compras_mes1[[#This Row],[CUIT]]="","-",VLOOKUP(compras_mes1[[#This Row],[CUIT]],Lista_CUIT[#All],4,0)),"CUIT NO CARGADO")</f>
        <v>0</v>
      </c>
    </row>
    <row r="54" spans="2:18">
      <c r="B54" s="329">
        <v>45311</v>
      </c>
      <c r="C54" s="330">
        <v>1</v>
      </c>
      <c r="D54" s="331">
        <v>5</v>
      </c>
      <c r="E54" s="332">
        <v>4007</v>
      </c>
      <c r="F54" s="333">
        <v>30714910694</v>
      </c>
      <c r="G54" s="334" t="str">
        <f>IFERROR(IF(compras_mes1[[#This Row],[CUIT]]="","-",VLOOKUP(compras_mes1[[#This Row],[CUIT]],Lista_CUIT[#All],2,0)),"CUIT NO CARGADO")</f>
        <v>GRUPO TRI&amp;CO S.A.</v>
      </c>
      <c r="H54" s="335">
        <v>34809.919999999998</v>
      </c>
      <c r="I54" s="336">
        <f>IF(compras_mes1[[#This Row],[NETO GRAVADO]]="","",compras_mes1[[#This Row],[NETO GRAVADO]]*0.21)</f>
        <v>7310.0831999999991</v>
      </c>
      <c r="J54" s="336"/>
      <c r="K54" s="336"/>
      <c r="L54" s="336"/>
      <c r="M54" s="336"/>
      <c r="N54" s="336"/>
      <c r="O54" s="336"/>
      <c r="P54" s="337">
        <f>SUM(compras_mes1[[#This Row],[NETO GRAVADO]:[Otros / No Grav.]])</f>
        <v>42120.003199999999</v>
      </c>
      <c r="Q54" s="334" t="str">
        <f>IFERROR(IF(compras_mes1[[#This Row],[CUIT]]="","-",VLOOKUP(compras_mes1[[#This Row],[CUIT]],Lista_CUIT[#All],3,0)),"CUIT NO CARGADO")</f>
        <v>Gastos Limpieza</v>
      </c>
      <c r="R54" s="338">
        <f>IFERROR(IF(compras_mes1[[#This Row],[CUIT]]="","-",VLOOKUP(compras_mes1[[#This Row],[CUIT]],Lista_CUIT[#All],4,0)),"CUIT NO CARGADO")</f>
        <v>0</v>
      </c>
    </row>
    <row r="55" spans="2:18">
      <c r="B55" s="40">
        <v>45313</v>
      </c>
      <c r="C55" s="41">
        <v>1</v>
      </c>
      <c r="D55" s="42">
        <v>3</v>
      </c>
      <c r="E55" s="43">
        <v>916</v>
      </c>
      <c r="F55" s="44">
        <v>20308960782</v>
      </c>
      <c r="G55" s="45" t="str">
        <f>IFERROR(IF(compras_mes1[[#This Row],[CUIT]]="","-",VLOOKUP(compras_mes1[[#This Row],[CUIT]],Lista_CUIT[#All],2,0)),"CUIT NO CARGADO")</f>
        <v>OSSANDON ROBERTO SAUL</v>
      </c>
      <c r="H55" s="46">
        <v>6363.64</v>
      </c>
      <c r="I55" s="85">
        <f>IF(compras_mes1[[#This Row],[NETO GRAVADO]]="","",compras_mes1[[#This Row],[NETO GRAVADO]]*0.21)</f>
        <v>1336.3643999999999</v>
      </c>
      <c r="J55" s="85"/>
      <c r="K55" s="85"/>
      <c r="L55" s="85"/>
      <c r="M55" s="85"/>
      <c r="N55" s="85"/>
      <c r="O55" s="85"/>
      <c r="P55" s="48">
        <f>SUM(compras_mes1[[#This Row],[NETO GRAVADO]:[Otros / No Grav.]])</f>
        <v>7700.0043999999998</v>
      </c>
      <c r="Q55" s="45" t="str">
        <f>IFERROR(IF(compras_mes1[[#This Row],[CUIT]]="","-",VLOOKUP(compras_mes1[[#This Row],[CUIT]],Lista_CUIT[#All],3,0)),"CUIT NO CARGADO")</f>
        <v>Gastos Limpieza</v>
      </c>
      <c r="R55" s="49">
        <f>IFERROR(IF(compras_mes1[[#This Row],[CUIT]]="","-",VLOOKUP(compras_mes1[[#This Row],[CUIT]],Lista_CUIT[#All],4,0)),"CUIT NO CARGADO")</f>
        <v>0</v>
      </c>
    </row>
    <row r="56" spans="2:18">
      <c r="B56" s="329">
        <v>45296</v>
      </c>
      <c r="C56" s="330">
        <v>1</v>
      </c>
      <c r="D56" s="331">
        <v>2</v>
      </c>
      <c r="E56" s="332">
        <v>37962</v>
      </c>
      <c r="F56" s="333">
        <v>33714232199</v>
      </c>
      <c r="G56" s="334" t="str">
        <f>IFERROR(IF(compras_mes1[[#This Row],[CUIT]]="","-",VLOOKUP(compras_mes1[[#This Row],[CUIT]],Lista_CUIT[#All],2,0)),"CUIT NO CARGADO")</f>
        <v>NUAGE SYSTEMS S.A.</v>
      </c>
      <c r="H56" s="335">
        <v>149400</v>
      </c>
      <c r="I56" s="336">
        <f>IF(compras_mes1[[#This Row],[NETO GRAVADO]]="","",compras_mes1[[#This Row],[NETO GRAVADO]]*0.21)</f>
        <v>31374</v>
      </c>
      <c r="J56" s="336"/>
      <c r="K56" s="336"/>
      <c r="L56" s="336"/>
      <c r="M56" s="336"/>
      <c r="N56" s="336"/>
      <c r="O56" s="336">
        <v>0</v>
      </c>
      <c r="P56" s="337">
        <f>SUM(compras_mes1[[#This Row],[NETO GRAVADO]:[Otros / No Grav.]])</f>
        <v>180774</v>
      </c>
      <c r="Q56" s="334" t="str">
        <f>IFERROR(IF(compras_mes1[[#This Row],[CUIT]]="","-",VLOOKUP(compras_mes1[[#This Row],[CUIT]],Lista_CUIT[#All],3,0)),"CUIT NO CARGADO")</f>
        <v>Gastos Oficina</v>
      </c>
      <c r="R56" s="338">
        <f>IFERROR(IF(compras_mes1[[#This Row],[CUIT]]="","-",VLOOKUP(compras_mes1[[#This Row],[CUIT]],Lista_CUIT[#All],4,0)),"CUIT NO CARGADO")</f>
        <v>0</v>
      </c>
    </row>
    <row r="57" spans="2:18">
      <c r="B57" s="167">
        <v>45301</v>
      </c>
      <c r="C57" s="168">
        <v>1</v>
      </c>
      <c r="D57" s="169">
        <v>5</v>
      </c>
      <c r="E57" s="170">
        <v>21758</v>
      </c>
      <c r="F57" s="171">
        <v>27178797935</v>
      </c>
      <c r="G57" s="172" t="str">
        <f>IFERROR(IF(compras_mes1[[#This Row],[CUIT]]="","-",VLOOKUP(compras_mes1[[#This Row],[CUIT]],Lista_CUIT[#All],2,0)),"CUIT NO CARGADO")</f>
        <v>FARFAN MARIA ELSA</v>
      </c>
      <c r="H57" s="173">
        <v>19413.22</v>
      </c>
      <c r="I57" s="174">
        <f>IF(compras_mes1[[#This Row],[NETO GRAVADO]]="","",compras_mes1[[#This Row],[NETO GRAVADO]]*0.21)</f>
        <v>4076.7762000000002</v>
      </c>
      <c r="J57" s="174"/>
      <c r="K57" s="174"/>
      <c r="L57" s="174"/>
      <c r="M57" s="174"/>
      <c r="N57" s="174"/>
      <c r="O57" s="174"/>
      <c r="P57" s="175">
        <f>SUM(compras_mes1[[#This Row],[NETO GRAVADO]:[Otros / No Grav.]])</f>
        <v>23489.996200000001</v>
      </c>
      <c r="Q57" s="172" t="str">
        <f>IFERROR(IF(compras_mes1[[#This Row],[CUIT]]="","-",VLOOKUP(compras_mes1[[#This Row],[CUIT]],Lista_CUIT[#All],3,0)),"CUIT NO CARGADO")</f>
        <v>Gastos Oficina</v>
      </c>
      <c r="R57" s="176">
        <f>IFERROR(IF(compras_mes1[[#This Row],[CUIT]]="","-",VLOOKUP(compras_mes1[[#This Row],[CUIT]],Lista_CUIT[#All],4,0)),"CUIT NO CARGADO")</f>
        <v>0</v>
      </c>
    </row>
    <row r="58" spans="2:18" ht="17.25" customHeight="1">
      <c r="B58" s="329">
        <v>45307</v>
      </c>
      <c r="C58" s="330">
        <v>1</v>
      </c>
      <c r="D58" s="331">
        <v>36</v>
      </c>
      <c r="E58" s="332">
        <v>127054</v>
      </c>
      <c r="F58" s="333">
        <v>33677414419</v>
      </c>
      <c r="G58" s="334" t="str">
        <f>IFERROR(IF(compras_mes1[[#This Row],[CUIT]]="","-",VLOOKUP(compras_mes1[[#This Row],[CUIT]],Lista_CUIT[#All],2,0)),"CUIT NO CARGADO")</f>
        <v>MULTIPOINT SA</v>
      </c>
      <c r="H58" s="335">
        <v>372732.99</v>
      </c>
      <c r="I58" s="336">
        <f>IF(compras_mes1[[#This Row],[NETO GRAVADO]]="","",compras_mes1[[#This Row],[NETO GRAVADO]]*0.21)</f>
        <v>78273.927899999995</v>
      </c>
      <c r="J58" s="336"/>
      <c r="K58" s="336"/>
      <c r="L58" s="336"/>
      <c r="M58" s="336"/>
      <c r="N58" s="336">
        <v>22363.98</v>
      </c>
      <c r="O58" s="336"/>
      <c r="P58" s="337">
        <f>SUM(compras_mes1[[#This Row],[NETO GRAVADO]:[Otros / No Grav.]])</f>
        <v>473370.89789999998</v>
      </c>
      <c r="Q58" s="334" t="str">
        <f>IFERROR(IF(compras_mes1[[#This Row],[CUIT]]="","-",VLOOKUP(compras_mes1[[#This Row],[CUIT]],Lista_CUIT[#All],3,0)),"CUIT NO CARGADO")</f>
        <v>Gastos Oficina</v>
      </c>
      <c r="R58" s="338">
        <f>IFERROR(IF(compras_mes1[[#This Row],[CUIT]]="","-",VLOOKUP(compras_mes1[[#This Row],[CUIT]],Lista_CUIT[#All],4,0)),"CUIT NO CARGADO")</f>
        <v>0</v>
      </c>
    </row>
    <row r="59" spans="2:18">
      <c r="B59" s="167">
        <v>45307</v>
      </c>
      <c r="C59" s="168">
        <v>3</v>
      </c>
      <c r="D59" s="169">
        <v>36</v>
      </c>
      <c r="E59" s="170">
        <v>26970</v>
      </c>
      <c r="F59" s="171">
        <v>33677414419</v>
      </c>
      <c r="G59" s="172" t="str">
        <f>IFERROR(IF(compras_mes1[[#This Row],[CUIT]]="","-",VLOOKUP(compras_mes1[[#This Row],[CUIT]],Lista_CUIT[#All],2,0)),"CUIT NO CARGADO")</f>
        <v>MULTIPOINT SA</v>
      </c>
      <c r="H59" s="173">
        <v>-372732.99</v>
      </c>
      <c r="I59" s="174">
        <f>IF(compras_mes1[[#This Row],[NETO GRAVADO]]="","",compras_mes1[[#This Row],[NETO GRAVADO]]*0.21)</f>
        <v>-78273.927899999995</v>
      </c>
      <c r="J59" s="174"/>
      <c r="K59" s="174"/>
      <c r="L59" s="174"/>
      <c r="M59" s="174"/>
      <c r="N59" s="174">
        <v>-22363.98</v>
      </c>
      <c r="O59" s="174"/>
      <c r="P59" s="175">
        <f>SUM(compras_mes1[[#This Row],[NETO GRAVADO]:[Otros / No Grav.]])</f>
        <v>-473370.89789999998</v>
      </c>
      <c r="Q59" s="172" t="str">
        <f>IFERROR(IF(compras_mes1[[#This Row],[CUIT]]="","-",VLOOKUP(compras_mes1[[#This Row],[CUIT]],Lista_CUIT[#All],3,0)),"CUIT NO CARGADO")</f>
        <v>Gastos Oficina</v>
      </c>
      <c r="R59" s="176">
        <f>IFERROR(IF(compras_mes1[[#This Row],[CUIT]]="","-",VLOOKUP(compras_mes1[[#This Row],[CUIT]],Lista_CUIT[#All],4,0)),"CUIT NO CARGADO")</f>
        <v>0</v>
      </c>
    </row>
    <row r="60" spans="2:18">
      <c r="B60" s="167">
        <v>45315</v>
      </c>
      <c r="C60" s="168">
        <v>1</v>
      </c>
      <c r="D60" s="169">
        <v>4</v>
      </c>
      <c r="E60" s="170">
        <v>4690</v>
      </c>
      <c r="F60" s="171">
        <v>20204428566</v>
      </c>
      <c r="G60" s="172" t="str">
        <f>IFERROR(IF(compras_mes1[[#This Row],[CUIT]]="","-",VLOOKUP(compras_mes1[[#This Row],[CUIT]],Lista_CUIT[#All],2,0)),"CUIT NO CARGADO")</f>
        <v>CORANA HERNAN SILVIO</v>
      </c>
      <c r="H60" s="173">
        <v>85420.81</v>
      </c>
      <c r="I60" s="174"/>
      <c r="J60" s="174"/>
      <c r="K60" s="174">
        <v>8969.18</v>
      </c>
      <c r="L60" s="174"/>
      <c r="M60" s="174"/>
      <c r="N60" s="174"/>
      <c r="O60" s="174"/>
      <c r="P60" s="175">
        <f>SUM(compras_mes1[[#This Row],[NETO GRAVADO]:[Otros / No Grav.]])</f>
        <v>94389.989999999991</v>
      </c>
      <c r="Q60" s="172" t="str">
        <f>IFERROR(IF(compras_mes1[[#This Row],[CUIT]]="","-",VLOOKUP(compras_mes1[[#This Row],[CUIT]],Lista_CUIT[#All],3,0)),"CUIT NO CARGADO")</f>
        <v>Gastos Oficina</v>
      </c>
      <c r="R60" s="176">
        <f>IFERROR(IF(compras_mes1[[#This Row],[CUIT]]="","-",VLOOKUP(compras_mes1[[#This Row],[CUIT]],Lista_CUIT[#All],4,0)),"CUIT NO CARGADO")</f>
        <v>0</v>
      </c>
    </row>
    <row r="61" spans="2:18">
      <c r="B61" s="329">
        <v>45303</v>
      </c>
      <c r="C61" s="330">
        <v>1</v>
      </c>
      <c r="D61" s="331">
        <v>5</v>
      </c>
      <c r="E61" s="332">
        <v>27491</v>
      </c>
      <c r="F61" s="333">
        <v>30663891142</v>
      </c>
      <c r="G61" s="334" t="str">
        <f>IFERROR(IF(compras_mes1[[#This Row],[CUIT]]="","-",VLOOKUP(compras_mes1[[#This Row],[CUIT]],Lista_CUIT[#All],2,0)),"CUIT NO CARGADO")</f>
        <v>HERRAJES MAGLIOLA  S A</v>
      </c>
      <c r="H61" s="335">
        <v>6212.69</v>
      </c>
      <c r="I61" s="336">
        <f>IF(compras_mes1[[#This Row],[NETO GRAVADO]]="","",compras_mes1[[#This Row],[NETO GRAVADO]]*0.21)</f>
        <v>1304.6648999999998</v>
      </c>
      <c r="J61" s="336"/>
      <c r="K61" s="336"/>
      <c r="L61" s="336"/>
      <c r="M61" s="336"/>
      <c r="N61" s="336"/>
      <c r="O61" s="336"/>
      <c r="P61" s="337">
        <f>SUM(compras_mes1[[#This Row],[NETO GRAVADO]:[Otros / No Grav.]])</f>
        <v>7517.3548999999994</v>
      </c>
      <c r="Q61" s="334" t="str">
        <f>IFERROR(IF(compras_mes1[[#This Row],[CUIT]]="","-",VLOOKUP(compras_mes1[[#This Row],[CUIT]],Lista_CUIT[#All],3,0)),"CUIT NO CARGADO")</f>
        <v>Gastos Varios</v>
      </c>
      <c r="R61" s="338">
        <f>IFERROR(IF(compras_mes1[[#This Row],[CUIT]]="","-",VLOOKUP(compras_mes1[[#This Row],[CUIT]],Lista_CUIT[#All],4,0)),"CUIT NO CARGADO")</f>
        <v>0</v>
      </c>
    </row>
    <row r="62" spans="2:18">
      <c r="B62" s="329">
        <v>45311</v>
      </c>
      <c r="C62" s="330">
        <v>1</v>
      </c>
      <c r="D62" s="331">
        <v>7</v>
      </c>
      <c r="E62" s="332">
        <v>1144</v>
      </c>
      <c r="F62" s="333">
        <v>30713842504</v>
      </c>
      <c r="G62" s="334" t="str">
        <f>IFERROR(IF(compras_mes1[[#This Row],[CUIT]]="","-",VLOOKUP(compras_mes1[[#This Row],[CUIT]],Lista_CUIT[#All],2,0)),"CUIT NO CARGADO")</f>
        <v>CAOBA GROUP SRL</v>
      </c>
      <c r="H62" s="335">
        <v>6086.43</v>
      </c>
      <c r="I62" s="336">
        <f>IF(compras_mes1[[#This Row],[NETO GRAVADO]]="","",compras_mes1[[#This Row],[NETO GRAVADO]]*0.21)</f>
        <v>1278.1503</v>
      </c>
      <c r="J62" s="336"/>
      <c r="K62" s="336"/>
      <c r="L62" s="336"/>
      <c r="M62" s="336"/>
      <c r="N62" s="336"/>
      <c r="O62" s="336"/>
      <c r="P62" s="337">
        <f>SUM(compras_mes1[[#This Row],[NETO GRAVADO]:[Otros / No Grav.]])</f>
        <v>7364.5803000000005</v>
      </c>
      <c r="Q62" s="334" t="str">
        <f>IFERROR(IF(compras_mes1[[#This Row],[CUIT]]="","-",VLOOKUP(compras_mes1[[#This Row],[CUIT]],Lista_CUIT[#All],3,0)),"CUIT NO CARGADO")</f>
        <v>Gastos Varios</v>
      </c>
      <c r="R62" s="338">
        <f>IFERROR(IF(compras_mes1[[#This Row],[CUIT]]="","-",VLOOKUP(compras_mes1[[#This Row],[CUIT]],Lista_CUIT[#All],4,0)),"CUIT NO CARGADO")</f>
        <v>0</v>
      </c>
    </row>
    <row r="63" spans="2:18">
      <c r="B63" s="329">
        <v>45298</v>
      </c>
      <c r="C63" s="330">
        <v>1</v>
      </c>
      <c r="D63" s="331">
        <v>12</v>
      </c>
      <c r="E63" s="332">
        <v>3023</v>
      </c>
      <c r="F63" s="333">
        <v>30715294598</v>
      </c>
      <c r="G63" s="334" t="str">
        <f>IFERROR(IF(compras_mes1[[#This Row],[CUIT]]="","-",VLOOKUP(compras_mes1[[#This Row],[CUIT]],Lista_CUIT[#All],2,0)),"CUIT NO CARGADO")</f>
        <v>PASTA MIX S.A.</v>
      </c>
      <c r="H63" s="335">
        <v>9421.4500000000007</v>
      </c>
      <c r="I63" s="336">
        <f>IF(compras_mes1[[#This Row],[NETO GRAVADO]]="","",compras_mes1[[#This Row],[NETO GRAVADO]]*0.21)</f>
        <v>1978.5045</v>
      </c>
      <c r="J63" s="336"/>
      <c r="K63" s="336"/>
      <c r="L63" s="336"/>
      <c r="M63" s="336"/>
      <c r="N63" s="336"/>
      <c r="O63" s="336"/>
      <c r="P63" s="337">
        <f>SUM(compras_mes1[[#This Row],[NETO GRAVADO]:[Otros / No Grav.]])</f>
        <v>11399.9545</v>
      </c>
      <c r="Q63" s="334" t="str">
        <f>IFERROR(IF(compras_mes1[[#This Row],[CUIT]]="","-",VLOOKUP(compras_mes1[[#This Row],[CUIT]],Lista_CUIT[#All],3,0)),"CUIT NO CARGADO")</f>
        <v>Gastos Varios</v>
      </c>
      <c r="R63" s="338">
        <f>IFERROR(IF(compras_mes1[[#This Row],[CUIT]]="","-",VLOOKUP(compras_mes1[[#This Row],[CUIT]],Lista_CUIT[#All],4,0)),"CUIT NO CARGADO")</f>
        <v>0</v>
      </c>
    </row>
    <row r="64" spans="2:18">
      <c r="B64" s="329">
        <v>45293</v>
      </c>
      <c r="C64" s="330">
        <v>1</v>
      </c>
      <c r="D64" s="331">
        <v>2199</v>
      </c>
      <c r="E64" s="332">
        <v>26446</v>
      </c>
      <c r="F64" s="333">
        <v>30548083156</v>
      </c>
      <c r="G64" s="334" t="str">
        <f>IFERROR(IF(compras_mes1[[#This Row],[CUIT]]="","-",VLOOKUP(compras_mes1[[#This Row],[CUIT]],Lista_CUIT[#All],2,0)),"CUIT NO CARGADO")</f>
        <v>COTO CENTRO INTEGRAL DE COMERCIALIZACION SOCIEDAD ANONIMA</v>
      </c>
      <c r="H64" s="335">
        <v>21680.240000000002</v>
      </c>
      <c r="I64" s="336">
        <v>2023.49</v>
      </c>
      <c r="J64" s="336"/>
      <c r="K64" s="336">
        <v>1264.68</v>
      </c>
      <c r="L64" s="336"/>
      <c r="M64" s="336"/>
      <c r="N64" s="336"/>
      <c r="O64" s="336">
        <v>1331.26</v>
      </c>
      <c r="P64" s="337">
        <f>SUM(compras_mes1[[#This Row],[NETO GRAVADO]:[Otros / No Grav.]])</f>
        <v>26299.670000000002</v>
      </c>
      <c r="Q64" s="334" t="str">
        <f>IFERROR(IF(compras_mes1[[#This Row],[CUIT]]="","-",VLOOKUP(compras_mes1[[#This Row],[CUIT]],Lista_CUIT[#All],3,0)),"CUIT NO CARGADO")</f>
        <v>Gastos Varios</v>
      </c>
      <c r="R64" s="338">
        <f>IFERROR(IF(compras_mes1[[#This Row],[CUIT]]="","-",VLOOKUP(compras_mes1[[#This Row],[CUIT]],Lista_CUIT[#All],4,0)),"CUIT NO CARGADO")</f>
        <v>0</v>
      </c>
    </row>
    <row r="65" spans="2:18">
      <c r="B65" s="329">
        <v>45297</v>
      </c>
      <c r="C65" s="330">
        <v>1</v>
      </c>
      <c r="D65" s="331">
        <v>2199</v>
      </c>
      <c r="E65" s="332">
        <v>26517</v>
      </c>
      <c r="F65" s="333">
        <v>30548083156</v>
      </c>
      <c r="G65" s="334" t="str">
        <f>IFERROR(IF(compras_mes1[[#This Row],[CUIT]]="","-",VLOOKUP(compras_mes1[[#This Row],[CUIT]],Lista_CUIT[#All],2,0)),"CUIT NO CARGADO")</f>
        <v>COTO CENTRO INTEGRAL DE COMERCIALIZACION SOCIEDAD ANONIMA</v>
      </c>
      <c r="H65" s="335">
        <v>15169.49</v>
      </c>
      <c r="I65" s="336">
        <v>349.85</v>
      </c>
      <c r="J65" s="336"/>
      <c r="K65" s="336">
        <v>1417.87</v>
      </c>
      <c r="L65" s="336"/>
      <c r="M65" s="336"/>
      <c r="N65" s="336"/>
      <c r="O65" s="336">
        <v>1112.72</v>
      </c>
      <c r="P65" s="337">
        <f>SUM(compras_mes1[[#This Row],[NETO GRAVADO]:[Otros / No Grav.]])</f>
        <v>18049.93</v>
      </c>
      <c r="Q65" s="334" t="str">
        <f>IFERROR(IF(compras_mes1[[#This Row],[CUIT]]="","-",VLOOKUP(compras_mes1[[#This Row],[CUIT]],Lista_CUIT[#All],3,0)),"CUIT NO CARGADO")</f>
        <v>Gastos Varios</v>
      </c>
      <c r="R65" s="338">
        <f>IFERROR(IF(compras_mes1[[#This Row],[CUIT]]="","-",VLOOKUP(compras_mes1[[#This Row],[CUIT]],Lista_CUIT[#All],4,0)),"CUIT NO CARGADO")</f>
        <v>0</v>
      </c>
    </row>
    <row r="66" spans="2:18">
      <c r="B66" s="329">
        <v>45304</v>
      </c>
      <c r="C66" s="330">
        <v>1</v>
      </c>
      <c r="D66" s="331">
        <v>2188</v>
      </c>
      <c r="E66" s="332">
        <v>109552</v>
      </c>
      <c r="F66" s="333">
        <v>30548083156</v>
      </c>
      <c r="G66" s="334" t="str">
        <f>IFERROR(IF(compras_mes1[[#This Row],[CUIT]]="","-",VLOOKUP(compras_mes1[[#This Row],[CUIT]],Lista_CUIT[#All],2,0)),"CUIT NO CARGADO")</f>
        <v>COTO CENTRO INTEGRAL DE COMERCIALIZACION SOCIEDAD ANONIMA</v>
      </c>
      <c r="H66" s="335">
        <v>16263.52</v>
      </c>
      <c r="I66" s="336">
        <v>2990.07</v>
      </c>
      <c r="J66" s="336"/>
      <c r="K66" s="336">
        <v>212.63</v>
      </c>
      <c r="L66" s="336"/>
      <c r="M66" s="336"/>
      <c r="N66" s="336"/>
      <c r="O66" s="336">
        <v>1333.36</v>
      </c>
      <c r="P66" s="337">
        <f>SUM(compras_mes1[[#This Row],[NETO GRAVADO]:[Otros / No Grav.]])</f>
        <v>20799.580000000002</v>
      </c>
      <c r="Q66" s="334" t="str">
        <f>IFERROR(IF(compras_mes1[[#This Row],[CUIT]]="","-",VLOOKUP(compras_mes1[[#This Row],[CUIT]],Lista_CUIT[#All],3,0)),"CUIT NO CARGADO")</f>
        <v>Gastos Varios</v>
      </c>
      <c r="R66" s="338">
        <f>IFERROR(IF(compras_mes1[[#This Row],[CUIT]]="","-",VLOOKUP(compras_mes1[[#This Row],[CUIT]],Lista_CUIT[#All],4,0)),"CUIT NO CARGADO")</f>
        <v>0</v>
      </c>
    </row>
    <row r="67" spans="2:18">
      <c r="B67" s="329">
        <v>45304</v>
      </c>
      <c r="C67" s="330">
        <v>1</v>
      </c>
      <c r="D67" s="331">
        <v>2199</v>
      </c>
      <c r="E67" s="332">
        <v>26659</v>
      </c>
      <c r="F67" s="333">
        <v>30548083156</v>
      </c>
      <c r="G67" s="334" t="str">
        <f>IFERROR(IF(compras_mes1[[#This Row],[CUIT]]="","-",VLOOKUP(compras_mes1[[#This Row],[CUIT]],Lista_CUIT[#All],2,0)),"CUIT NO CARGADO")</f>
        <v>COTO CENTRO INTEGRAL DE COMERCIALIZACION SOCIEDAD ANONIMA</v>
      </c>
      <c r="H67" s="335">
        <v>50994.55</v>
      </c>
      <c r="I67" s="336">
        <v>6968.1</v>
      </c>
      <c r="J67" s="336"/>
      <c r="K67" s="336">
        <v>1870.38</v>
      </c>
      <c r="L67" s="336"/>
      <c r="M67" s="336"/>
      <c r="N67" s="336"/>
      <c r="O67" s="336">
        <v>3683</v>
      </c>
      <c r="P67" s="337">
        <f>SUM(compras_mes1[[#This Row],[NETO GRAVADO]:[Otros / No Grav.]])</f>
        <v>63516.03</v>
      </c>
      <c r="Q67" s="334" t="str">
        <f>IFERROR(IF(compras_mes1[[#This Row],[CUIT]]="","-",VLOOKUP(compras_mes1[[#This Row],[CUIT]],Lista_CUIT[#All],3,0)),"CUIT NO CARGADO")</f>
        <v>Gastos Varios</v>
      </c>
      <c r="R67" s="338">
        <f>IFERROR(IF(compras_mes1[[#This Row],[CUIT]]="","-",VLOOKUP(compras_mes1[[#This Row],[CUIT]],Lista_CUIT[#All],4,0)),"CUIT NO CARGADO")</f>
        <v>0</v>
      </c>
    </row>
    <row r="68" spans="2:18">
      <c r="B68" s="329">
        <v>45310</v>
      </c>
      <c r="C68" s="330">
        <v>1</v>
      </c>
      <c r="D68" s="331">
        <v>2188</v>
      </c>
      <c r="E68" s="332">
        <v>110023</v>
      </c>
      <c r="F68" s="333">
        <v>30548083156</v>
      </c>
      <c r="G68" s="334" t="str">
        <f>IFERROR(IF(compras_mes1[[#This Row],[CUIT]]="","-",VLOOKUP(compras_mes1[[#This Row],[CUIT]],Lista_CUIT[#All],2,0)),"CUIT NO CARGADO")</f>
        <v>COTO CENTRO INTEGRAL DE COMERCIALIZACION SOCIEDAD ANONIMA</v>
      </c>
      <c r="H68" s="335">
        <v>35274.1</v>
      </c>
      <c r="I68" s="336">
        <v>6652.57</v>
      </c>
      <c r="J68" s="336"/>
      <c r="K68" s="336">
        <v>377.49</v>
      </c>
      <c r="L68" s="336"/>
      <c r="M68" s="336"/>
      <c r="N68" s="336"/>
      <c r="O68" s="336">
        <v>2975.24</v>
      </c>
      <c r="P68" s="337">
        <f>SUM(compras_mes1[[#This Row],[NETO GRAVADO]:[Otros / No Grav.]])</f>
        <v>45279.399999999994</v>
      </c>
      <c r="Q68" s="334" t="str">
        <f>IFERROR(IF(compras_mes1[[#This Row],[CUIT]]="","-",VLOOKUP(compras_mes1[[#This Row],[CUIT]],Lista_CUIT[#All],3,0)),"CUIT NO CARGADO")</f>
        <v>Gastos Varios</v>
      </c>
      <c r="R68" s="338">
        <f>IFERROR(IF(compras_mes1[[#This Row],[CUIT]]="","-",VLOOKUP(compras_mes1[[#This Row],[CUIT]],Lista_CUIT[#All],4,0)),"CUIT NO CARGADO")</f>
        <v>0</v>
      </c>
    </row>
    <row r="69" spans="2:18">
      <c r="B69" s="329">
        <v>45315</v>
      </c>
      <c r="C69" s="330">
        <v>1</v>
      </c>
      <c r="D69" s="331">
        <v>2199</v>
      </c>
      <c r="E69" s="332">
        <v>26870</v>
      </c>
      <c r="F69" s="333">
        <v>30548083156</v>
      </c>
      <c r="G69" s="334" t="str">
        <f>IFERROR(IF(compras_mes1[[#This Row],[CUIT]]="","-",VLOOKUP(compras_mes1[[#This Row],[CUIT]],Lista_CUIT[#All],2,0)),"CUIT NO CARGADO")</f>
        <v>COTO CENTRO INTEGRAL DE COMERCIALIZACION SOCIEDAD ANONIMA</v>
      </c>
      <c r="H69" s="335">
        <v>33143.25</v>
      </c>
      <c r="I69" s="336">
        <v>4486.32</v>
      </c>
      <c r="J69" s="336"/>
      <c r="K69" s="336">
        <v>1236.8800000000001</v>
      </c>
      <c r="L69" s="336"/>
      <c r="M69" s="336"/>
      <c r="N69" s="336"/>
      <c r="O69" s="336">
        <v>2460.5500000000002</v>
      </c>
      <c r="P69" s="337">
        <f>SUM(compras_mes1[[#This Row],[NETO GRAVADO]:[Otros / No Grav.]])</f>
        <v>41327</v>
      </c>
      <c r="Q69" s="334" t="str">
        <f>IFERROR(IF(compras_mes1[[#This Row],[CUIT]]="","-",VLOOKUP(compras_mes1[[#This Row],[CUIT]],Lista_CUIT[#All],3,0)),"CUIT NO CARGADO")</f>
        <v>Gastos Varios</v>
      </c>
      <c r="R69" s="338">
        <f>IFERROR(IF(compras_mes1[[#This Row],[CUIT]]="","-",VLOOKUP(compras_mes1[[#This Row],[CUIT]],Lista_CUIT[#All],4,0)),"CUIT NO CARGADO")</f>
        <v>0</v>
      </c>
    </row>
    <row r="70" spans="2:18">
      <c r="B70" s="329">
        <v>45293</v>
      </c>
      <c r="C70" s="330">
        <v>1</v>
      </c>
      <c r="D70" s="331">
        <v>1</v>
      </c>
      <c r="E70" s="332">
        <v>1148</v>
      </c>
      <c r="F70" s="333">
        <v>27276370575</v>
      </c>
      <c r="G70" s="334" t="str">
        <f>IFERROR(IF(compras_mes1[[#This Row],[CUIT]]="","-",VLOOKUP(compras_mes1[[#This Row],[CUIT]],Lista_CUIT[#All],2,0)),"CUIT NO CARGADO")</f>
        <v>MAMANI PAULA ANALIA</v>
      </c>
      <c r="H70" s="335">
        <v>10433.67</v>
      </c>
      <c r="I70" s="336">
        <f>IF(compras_mes1[[#This Row],[NETO GRAVADO]]="","",compras_mes1[[#This Row],[NETO GRAVADO]]*0.21)</f>
        <v>2191.0706999999998</v>
      </c>
      <c r="J70" s="336"/>
      <c r="K70" s="336"/>
      <c r="L70" s="336"/>
      <c r="M70" s="336"/>
      <c r="N70" s="336"/>
      <c r="O70" s="336"/>
      <c r="P70" s="337">
        <f>SUM(compras_mes1[[#This Row],[NETO GRAVADO]:[Otros / No Grav.]])</f>
        <v>12624.7407</v>
      </c>
      <c r="Q70" s="334" t="str">
        <f>IFERROR(IF(compras_mes1[[#This Row],[CUIT]]="","-",VLOOKUP(compras_mes1[[#This Row],[CUIT]],Lista_CUIT[#All],3,0)),"CUIT NO CARGADO")</f>
        <v>Gastos Varios</v>
      </c>
      <c r="R70" s="338">
        <f>IFERROR(IF(compras_mes1[[#This Row],[CUIT]]="","-",VLOOKUP(compras_mes1[[#This Row],[CUIT]],Lista_CUIT[#All],4,0)),"CUIT NO CARGADO")</f>
        <v>0</v>
      </c>
    </row>
    <row r="71" spans="2:18">
      <c r="B71" s="167">
        <v>45296</v>
      </c>
      <c r="C71" s="168">
        <v>1</v>
      </c>
      <c r="D71" s="169">
        <v>9</v>
      </c>
      <c r="E71" s="170">
        <v>540</v>
      </c>
      <c r="F71" s="171">
        <v>20134664518</v>
      </c>
      <c r="G71" s="172" t="str">
        <f>IFERROR(IF(compras_mes1[[#This Row],[CUIT]]="","-",VLOOKUP(compras_mes1[[#This Row],[CUIT]],Lista_CUIT[#All],2,0)),"CUIT NO CARGADO")</f>
        <v>HOKAMA SERGIO ENRIQUE</v>
      </c>
      <c r="H71" s="173">
        <v>32265.55</v>
      </c>
      <c r="I71" s="174">
        <f>IF(compras_mes1[[#This Row],[NETO GRAVADO]]="","",compras_mes1[[#This Row],[NETO GRAVADO]]*0.21)</f>
        <v>6775.7654999999995</v>
      </c>
      <c r="J71" s="174"/>
      <c r="K71" s="174"/>
      <c r="L71" s="174"/>
      <c r="M71" s="174"/>
      <c r="N71" s="174"/>
      <c r="O71" s="174">
        <v>0</v>
      </c>
      <c r="P71" s="175">
        <f>SUM(compras_mes1[[#This Row],[NETO GRAVADO]:[Otros / No Grav.]])</f>
        <v>39041.315499999997</v>
      </c>
      <c r="Q71" s="172" t="str">
        <f>IFERROR(IF(compras_mes1[[#This Row],[CUIT]]="","-",VLOOKUP(compras_mes1[[#This Row],[CUIT]],Lista_CUIT[#All],3,0)),"CUIT NO CARGADO")</f>
        <v>Gastos Varios</v>
      </c>
      <c r="R71" s="176" t="str">
        <f>IFERROR(IF(compras_mes1[[#This Row],[CUIT]]="","-",VLOOKUP(compras_mes1[[#This Row],[CUIT]],Lista_CUIT[#All],4,0)),"CUIT NO CARGADO")</f>
        <v>BUENOS AIRES</v>
      </c>
    </row>
    <row r="72" spans="2:18">
      <c r="B72" s="167">
        <v>45298</v>
      </c>
      <c r="C72" s="168">
        <v>1</v>
      </c>
      <c r="D72" s="169">
        <v>6</v>
      </c>
      <c r="E72" s="170">
        <v>88</v>
      </c>
      <c r="F72" s="171">
        <v>30717906833</v>
      </c>
      <c r="G72" s="172" t="str">
        <f>IFERROR(IF(compras_mes1[[#This Row],[CUIT]]="","-",VLOOKUP(compras_mes1[[#This Row],[CUIT]],Lista_CUIT[#All],2,0)),"CUIT NO CARGADO")</f>
        <v>WALJUL</v>
      </c>
      <c r="H72" s="173">
        <v>58099.19</v>
      </c>
      <c r="I72" s="174">
        <f>IF(compras_mes1[[#This Row],[NETO GRAVADO]]="","",compras_mes1[[#This Row],[NETO GRAVADO]]*0.21)</f>
        <v>12200.829900000001</v>
      </c>
      <c r="J72" s="174"/>
      <c r="K72" s="174"/>
      <c r="L72" s="174"/>
      <c r="M72" s="174"/>
      <c r="N72" s="174"/>
      <c r="O72" s="174">
        <v>0</v>
      </c>
      <c r="P72" s="175">
        <f>SUM(compras_mes1[[#This Row],[NETO GRAVADO]:[Otros / No Grav.]])</f>
        <v>70300.019899999999</v>
      </c>
      <c r="Q72" s="172" t="str">
        <f>IFERROR(IF(compras_mes1[[#This Row],[CUIT]]="","-",VLOOKUP(compras_mes1[[#This Row],[CUIT]],Lista_CUIT[#All],3,0)),"CUIT NO CARGADO")</f>
        <v>Gastos Varios</v>
      </c>
      <c r="R72" s="176">
        <f>IFERROR(IF(compras_mes1[[#This Row],[CUIT]]="","-",VLOOKUP(compras_mes1[[#This Row],[CUIT]],Lista_CUIT[#All],4,0)),"CUIT NO CARGADO")</f>
        <v>0</v>
      </c>
    </row>
    <row r="73" spans="2:18">
      <c r="B73" s="329">
        <v>45300</v>
      </c>
      <c r="C73" s="330">
        <v>1</v>
      </c>
      <c r="D73" s="331">
        <v>1678</v>
      </c>
      <c r="E73" s="332">
        <v>29734</v>
      </c>
      <c r="F73" s="333">
        <v>30589621499</v>
      </c>
      <c r="G73" s="334" t="str">
        <f>IFERROR(IF(compras_mes1[[#This Row],[CUIT]]="","-",VLOOKUP(compras_mes1[[#This Row],[CUIT]],Lista_CUIT[#All],2,0)),"CUIT NO CARGADO")</f>
        <v>MAKRO SA</v>
      </c>
      <c r="H73" s="335">
        <v>65285.7</v>
      </c>
      <c r="I73" s="336">
        <f>IF(compras_mes1[[#This Row],[NETO GRAVADO]]="","",compras_mes1[[#This Row],[NETO GRAVADO]]*0.21)</f>
        <v>13709.996999999999</v>
      </c>
      <c r="J73" s="336"/>
      <c r="K73" s="336"/>
      <c r="L73" s="336">
        <v>1958.57</v>
      </c>
      <c r="M73" s="336"/>
      <c r="N73" s="336">
        <v>3917.14</v>
      </c>
      <c r="O73" s="336">
        <v>0</v>
      </c>
      <c r="P73" s="337">
        <f>SUM(compras_mes1[[#This Row],[NETO GRAVADO]:[Otros / No Grav.]])</f>
        <v>84871.407000000007</v>
      </c>
      <c r="Q73" s="334" t="str">
        <f>IFERROR(IF(compras_mes1[[#This Row],[CUIT]]="","-",VLOOKUP(compras_mes1[[#This Row],[CUIT]],Lista_CUIT[#All],3,0)),"CUIT NO CARGADO")</f>
        <v>Gastos Varios</v>
      </c>
      <c r="R73" s="338">
        <f>IFERROR(IF(compras_mes1[[#This Row],[CUIT]]="","-",VLOOKUP(compras_mes1[[#This Row],[CUIT]],Lista_CUIT[#All],4,0)),"CUIT NO CARGADO")</f>
        <v>0</v>
      </c>
    </row>
    <row r="74" spans="2:18">
      <c r="B74" s="329">
        <v>45301</v>
      </c>
      <c r="C74" s="330">
        <v>1</v>
      </c>
      <c r="D74" s="331">
        <v>1005</v>
      </c>
      <c r="E74" s="332">
        <v>43748</v>
      </c>
      <c r="F74" s="333">
        <v>20338116978</v>
      </c>
      <c r="G74" s="334" t="str">
        <f>IFERROR(IF(compras_mes1[[#This Row],[CUIT]]="","-",VLOOKUP(compras_mes1[[#This Row],[CUIT]],Lista_CUIT[#All],2,0)),"CUIT NO CARGADO")</f>
        <v>HERBAS ESPINOZA GABRIEL MATIAS</v>
      </c>
      <c r="H74" s="335">
        <v>57024.79</v>
      </c>
      <c r="I74" s="336">
        <f>IF(compras_mes1[[#This Row],[NETO GRAVADO]]="","",compras_mes1[[#This Row],[NETO GRAVADO]]*0.21)</f>
        <v>11975.205899999999</v>
      </c>
      <c r="J74" s="336"/>
      <c r="K74" s="336"/>
      <c r="L74" s="336"/>
      <c r="M74" s="336"/>
      <c r="N74" s="336"/>
      <c r="O74" s="336">
        <v>0</v>
      </c>
      <c r="P74" s="337">
        <f>SUM(compras_mes1[[#This Row],[NETO GRAVADO]:[Otros / No Grav.]])</f>
        <v>68999.995899999994</v>
      </c>
      <c r="Q74" s="334" t="str">
        <f>IFERROR(IF(compras_mes1[[#This Row],[CUIT]]="","-",VLOOKUP(compras_mes1[[#This Row],[CUIT]],Lista_CUIT[#All],3,0)),"CUIT NO CARGADO")</f>
        <v>Gastos Varios</v>
      </c>
      <c r="R74" s="338">
        <f>IFERROR(IF(compras_mes1[[#This Row],[CUIT]]="","-",VLOOKUP(compras_mes1[[#This Row],[CUIT]],Lista_CUIT[#All],4,0)),"CUIT NO CARGADO")</f>
        <v>0</v>
      </c>
    </row>
    <row r="75" spans="2:18">
      <c r="B75" s="167">
        <v>45302</v>
      </c>
      <c r="C75" s="168">
        <v>1</v>
      </c>
      <c r="D75" s="169">
        <v>8</v>
      </c>
      <c r="E75" s="170">
        <v>939</v>
      </c>
      <c r="F75" s="171">
        <v>30714454265</v>
      </c>
      <c r="G75" s="172" t="str">
        <f>IFERROR(IF(compras_mes1[[#This Row],[CUIT]]="","-",VLOOKUP(compras_mes1[[#This Row],[CUIT]],Lista_CUIT[#All],2,0)),"CUIT NO CARGADO")</f>
        <v>JOTAPLAY SOCIEDAD ANONIMA</v>
      </c>
      <c r="H75" s="173">
        <v>15701.65</v>
      </c>
      <c r="I75" s="174">
        <f>IF(compras_mes1[[#This Row],[NETO GRAVADO]]="","",compras_mes1[[#This Row],[NETO GRAVADO]]*0.21)</f>
        <v>3297.3464999999997</v>
      </c>
      <c r="J75" s="174"/>
      <c r="K75" s="174"/>
      <c r="L75" s="174"/>
      <c r="M75" s="174"/>
      <c r="N75" s="174"/>
      <c r="O75" s="174"/>
      <c r="P75" s="175">
        <f>SUM(compras_mes1[[#This Row],[NETO GRAVADO]:[Otros / No Grav.]])</f>
        <v>18998.996500000001</v>
      </c>
      <c r="Q75" s="172" t="str">
        <f>IFERROR(IF(compras_mes1[[#This Row],[CUIT]]="","-",VLOOKUP(compras_mes1[[#This Row],[CUIT]],Lista_CUIT[#All],3,0)),"CUIT NO CARGADO")</f>
        <v>Gastos Varios</v>
      </c>
      <c r="R75" s="176">
        <f>IFERROR(IF(compras_mes1[[#This Row],[CUIT]]="","-",VLOOKUP(compras_mes1[[#This Row],[CUIT]],Lista_CUIT[#All],4,0)),"CUIT NO CARGADO")</f>
        <v>0</v>
      </c>
    </row>
    <row r="76" spans="2:18">
      <c r="B76" s="329">
        <v>45303</v>
      </c>
      <c r="C76" s="330">
        <v>1</v>
      </c>
      <c r="D76" s="331">
        <v>9</v>
      </c>
      <c r="E76" s="332">
        <v>561</v>
      </c>
      <c r="F76" s="333">
        <v>20134664518</v>
      </c>
      <c r="G76" s="334" t="str">
        <f>IFERROR(IF(compras_mes1[[#This Row],[CUIT]]="","-",VLOOKUP(compras_mes1[[#This Row],[CUIT]],Lista_CUIT[#All],2,0)),"CUIT NO CARGADO")</f>
        <v>HOKAMA SERGIO ENRIQUE</v>
      </c>
      <c r="H76" s="335">
        <v>42025.22</v>
      </c>
      <c r="I76" s="336">
        <f>IF(compras_mes1[[#This Row],[NETO GRAVADO]]="","",compras_mes1[[#This Row],[NETO GRAVADO]]*0.21)</f>
        <v>8825.2962000000007</v>
      </c>
      <c r="J76" s="336"/>
      <c r="K76" s="336"/>
      <c r="L76" s="336"/>
      <c r="M76" s="336"/>
      <c r="N76" s="336"/>
      <c r="O76" s="336"/>
      <c r="P76" s="337">
        <f>SUM(compras_mes1[[#This Row],[NETO GRAVADO]:[Otros / No Grav.]])</f>
        <v>50850.516199999998</v>
      </c>
      <c r="Q76" s="334" t="str">
        <f>IFERROR(IF(compras_mes1[[#This Row],[CUIT]]="","-",VLOOKUP(compras_mes1[[#This Row],[CUIT]],Lista_CUIT[#All],3,0)),"CUIT NO CARGADO")</f>
        <v>Gastos Varios</v>
      </c>
      <c r="R76" s="338" t="str">
        <f>IFERROR(IF(compras_mes1[[#This Row],[CUIT]]="","-",VLOOKUP(compras_mes1[[#This Row],[CUIT]],Lista_CUIT[#All],4,0)),"CUIT NO CARGADO")</f>
        <v>BUENOS AIRES</v>
      </c>
    </row>
    <row r="77" spans="2:18">
      <c r="B77" s="329">
        <v>45303</v>
      </c>
      <c r="C77" s="330">
        <v>1</v>
      </c>
      <c r="D77" s="331">
        <v>38</v>
      </c>
      <c r="E77" s="332">
        <v>93</v>
      </c>
      <c r="F77" s="333">
        <v>30707984208</v>
      </c>
      <c r="G77" s="334" t="str">
        <f>IFERROR(IF(compras_mes1[[#This Row],[CUIT]]="","-",VLOOKUP(compras_mes1[[#This Row],[CUIT]],Lista_CUIT[#All],2,0)),"CUIT NO CARGADO")</f>
        <v>ONE STEP ARGENTINA SA</v>
      </c>
      <c r="H77" s="335">
        <v>18208.259999999998</v>
      </c>
      <c r="I77" s="336">
        <f>IF(compras_mes1[[#This Row],[NETO GRAVADO]]="","",compras_mes1[[#This Row],[NETO GRAVADO]]*0.21)</f>
        <v>3823.7345999999993</v>
      </c>
      <c r="J77" s="336"/>
      <c r="K77" s="336"/>
      <c r="L77" s="336"/>
      <c r="M77" s="336"/>
      <c r="N77" s="336"/>
      <c r="O77" s="336"/>
      <c r="P77" s="337">
        <f>SUM(compras_mes1[[#This Row],[NETO GRAVADO]:[Otros / No Grav.]])</f>
        <v>22031.994599999998</v>
      </c>
      <c r="Q77" s="334" t="str">
        <f>IFERROR(IF(compras_mes1[[#This Row],[CUIT]]="","-",VLOOKUP(compras_mes1[[#This Row],[CUIT]],Lista_CUIT[#All],3,0)),"CUIT NO CARGADO")</f>
        <v>Gastos Varios</v>
      </c>
      <c r="R77" s="338" t="str">
        <f>IFERROR(IF(compras_mes1[[#This Row],[CUIT]]="","-",VLOOKUP(compras_mes1[[#This Row],[CUIT]],Lista_CUIT[#All],4,0)),"CUIT NO CARGADO")</f>
        <v>BUENOS AIRES</v>
      </c>
    </row>
    <row r="78" spans="2:18">
      <c r="B78" s="329">
        <v>45304</v>
      </c>
      <c r="C78" s="330">
        <v>1</v>
      </c>
      <c r="D78" s="331">
        <v>8</v>
      </c>
      <c r="E78" s="332">
        <v>78</v>
      </c>
      <c r="F78" s="333">
        <v>20134664518</v>
      </c>
      <c r="G78" s="334" t="str">
        <f>IFERROR(IF(compras_mes1[[#This Row],[CUIT]]="","-",VLOOKUP(compras_mes1[[#This Row],[CUIT]],Lista_CUIT[#All],2,0)),"CUIT NO CARGADO")</f>
        <v>HOKAMA SERGIO ENRIQUE</v>
      </c>
      <c r="H78" s="335">
        <v>5500</v>
      </c>
      <c r="I78" s="336">
        <f>IF(compras_mes1[[#This Row],[NETO GRAVADO]]="","",compras_mes1[[#This Row],[NETO GRAVADO]]*0.21)</f>
        <v>1155</v>
      </c>
      <c r="J78" s="336"/>
      <c r="K78" s="336"/>
      <c r="L78" s="336"/>
      <c r="M78" s="336"/>
      <c r="N78" s="336"/>
      <c r="O78" s="336"/>
      <c r="P78" s="337">
        <f>SUM(compras_mes1[[#This Row],[NETO GRAVADO]:[Otros / No Grav.]])</f>
        <v>6655</v>
      </c>
      <c r="Q78" s="334" t="str">
        <f>IFERROR(IF(compras_mes1[[#This Row],[CUIT]]="","-",VLOOKUP(compras_mes1[[#This Row],[CUIT]],Lista_CUIT[#All],3,0)),"CUIT NO CARGADO")</f>
        <v>Gastos Varios</v>
      </c>
      <c r="R78" s="338" t="str">
        <f>IFERROR(IF(compras_mes1[[#This Row],[CUIT]]="","-",VLOOKUP(compras_mes1[[#This Row],[CUIT]],Lista_CUIT[#All],4,0)),"CUIT NO CARGADO")</f>
        <v>BUENOS AIRES</v>
      </c>
    </row>
    <row r="79" spans="2:18">
      <c r="B79" s="329">
        <v>45309</v>
      </c>
      <c r="C79" s="330">
        <v>1</v>
      </c>
      <c r="D79" s="331">
        <v>9</v>
      </c>
      <c r="E79" s="332">
        <v>575</v>
      </c>
      <c r="F79" s="333">
        <v>20134664518</v>
      </c>
      <c r="G79" s="334" t="str">
        <f>IFERROR(IF(compras_mes1[[#This Row],[CUIT]]="","-",VLOOKUP(compras_mes1[[#This Row],[CUIT]],Lista_CUIT[#All],2,0)),"CUIT NO CARGADO")</f>
        <v>HOKAMA SERGIO ENRIQUE</v>
      </c>
      <c r="H79" s="335">
        <v>45190.81</v>
      </c>
      <c r="I79" s="336">
        <f>IF(compras_mes1[[#This Row],[NETO GRAVADO]]="","",compras_mes1[[#This Row],[NETO GRAVADO]]*0.21)</f>
        <v>9490.070099999999</v>
      </c>
      <c r="J79" s="336"/>
      <c r="K79" s="336"/>
      <c r="L79" s="336"/>
      <c r="M79" s="336"/>
      <c r="N79" s="336"/>
      <c r="O79" s="336"/>
      <c r="P79" s="337">
        <f>SUM(compras_mes1[[#This Row],[NETO GRAVADO]:[Otros / No Grav.]])</f>
        <v>54680.880099999995</v>
      </c>
      <c r="Q79" s="334" t="str">
        <f>IFERROR(IF(compras_mes1[[#This Row],[CUIT]]="","-",VLOOKUP(compras_mes1[[#This Row],[CUIT]],Lista_CUIT[#All],3,0)),"CUIT NO CARGADO")</f>
        <v>Gastos Varios</v>
      </c>
      <c r="R79" s="338" t="str">
        <f>IFERROR(IF(compras_mes1[[#This Row],[CUIT]]="","-",VLOOKUP(compras_mes1[[#This Row],[CUIT]],Lista_CUIT[#All],4,0)),"CUIT NO CARGADO")</f>
        <v>BUENOS AIRES</v>
      </c>
    </row>
    <row r="80" spans="2:18">
      <c r="B80" s="329">
        <v>45312</v>
      </c>
      <c r="C80" s="330">
        <v>1</v>
      </c>
      <c r="D80" s="331">
        <v>7</v>
      </c>
      <c r="E80" s="332">
        <v>2324</v>
      </c>
      <c r="F80" s="333">
        <v>20134664518</v>
      </c>
      <c r="G80" s="334" t="str">
        <f>IFERROR(IF(compras_mes1[[#This Row],[CUIT]]="","-",VLOOKUP(compras_mes1[[#This Row],[CUIT]],Lista_CUIT[#All],2,0)),"CUIT NO CARGADO")</f>
        <v>HOKAMA SERGIO ENRIQUE</v>
      </c>
      <c r="H80" s="335">
        <v>10370.24</v>
      </c>
      <c r="I80" s="336">
        <f>IF(compras_mes1[[#This Row],[NETO GRAVADO]]="","",compras_mes1[[#This Row],[NETO GRAVADO]]*0.21)</f>
        <v>2177.7503999999999</v>
      </c>
      <c r="J80" s="336"/>
      <c r="K80" s="336"/>
      <c r="L80" s="336"/>
      <c r="M80" s="336"/>
      <c r="N80" s="336"/>
      <c r="O80" s="336"/>
      <c r="P80" s="337">
        <f>SUM(compras_mes1[[#This Row],[NETO GRAVADO]:[Otros / No Grav.]])</f>
        <v>12547.990399999999</v>
      </c>
      <c r="Q80" s="334" t="str">
        <f>IFERROR(IF(compras_mes1[[#This Row],[CUIT]]="","-",VLOOKUP(compras_mes1[[#This Row],[CUIT]],Lista_CUIT[#All],3,0)),"CUIT NO CARGADO")</f>
        <v>Gastos Varios</v>
      </c>
      <c r="R80" s="338" t="str">
        <f>IFERROR(IF(compras_mes1[[#This Row],[CUIT]]="","-",VLOOKUP(compras_mes1[[#This Row],[CUIT]],Lista_CUIT[#All],4,0)),"CUIT NO CARGADO")</f>
        <v>BUENOS AIRES</v>
      </c>
    </row>
    <row r="81" spans="2:18">
      <c r="B81" s="329">
        <v>45314</v>
      </c>
      <c r="C81" s="330">
        <v>1</v>
      </c>
      <c r="D81" s="331">
        <v>2</v>
      </c>
      <c r="E81" s="332">
        <v>288</v>
      </c>
      <c r="F81" s="333">
        <v>27422248426</v>
      </c>
      <c r="G81" s="334" t="str">
        <f>IFERROR(IF(compras_mes1[[#This Row],[CUIT]]="","-",VLOOKUP(compras_mes1[[#This Row],[CUIT]],Lista_CUIT[#All],2,0)),"CUIT NO CARGADO")</f>
        <v>CARRERA VICTORIA</v>
      </c>
      <c r="H81" s="335">
        <v>30644.77</v>
      </c>
      <c r="I81" s="336">
        <f>IF(compras_mes1[[#This Row],[NETO GRAVADO]]="","",compras_mes1[[#This Row],[NETO GRAVADO]]*0.21)</f>
        <v>6435.4016999999994</v>
      </c>
      <c r="J81" s="336"/>
      <c r="K81" s="336"/>
      <c r="L81" s="336"/>
      <c r="M81" s="336"/>
      <c r="N81" s="336"/>
      <c r="O81" s="336"/>
      <c r="P81" s="337">
        <f>SUM(compras_mes1[[#This Row],[NETO GRAVADO]:[Otros / No Grav.]])</f>
        <v>37080.171699999999</v>
      </c>
      <c r="Q81" s="334" t="str">
        <f>IFERROR(IF(compras_mes1[[#This Row],[CUIT]]="","-",VLOOKUP(compras_mes1[[#This Row],[CUIT]],Lista_CUIT[#All],3,0)),"CUIT NO CARGADO")</f>
        <v>Gastos Varios</v>
      </c>
      <c r="R81" s="338">
        <f>IFERROR(IF(compras_mes1[[#This Row],[CUIT]]="","-",VLOOKUP(compras_mes1[[#This Row],[CUIT]],Lista_CUIT[#All],4,0)),"CUIT NO CARGADO")</f>
        <v>0</v>
      </c>
    </row>
    <row r="82" spans="2:18">
      <c r="B82" s="329">
        <v>45314</v>
      </c>
      <c r="C82" s="330">
        <v>1</v>
      </c>
      <c r="D82" s="331">
        <v>2</v>
      </c>
      <c r="E82" s="332">
        <v>289</v>
      </c>
      <c r="F82" s="333">
        <v>27422248426</v>
      </c>
      <c r="G82" s="334" t="str">
        <f>IFERROR(IF(compras_mes1[[#This Row],[CUIT]]="","-",VLOOKUP(compras_mes1[[#This Row],[CUIT]],Lista_CUIT[#All],2,0)),"CUIT NO CARGADO")</f>
        <v>CARRERA VICTORIA</v>
      </c>
      <c r="H82" s="335">
        <v>4925.6400000000003</v>
      </c>
      <c r="I82" s="336">
        <f>IF(compras_mes1[[#This Row],[NETO GRAVADO]]="","",compras_mes1[[#This Row],[NETO GRAVADO]]*0.21)</f>
        <v>1034.3844000000001</v>
      </c>
      <c r="J82" s="336"/>
      <c r="K82" s="336"/>
      <c r="L82" s="336"/>
      <c r="M82" s="336"/>
      <c r="N82" s="336"/>
      <c r="O82" s="336"/>
      <c r="P82" s="337">
        <f>SUM(compras_mes1[[#This Row],[NETO GRAVADO]:[Otros / No Grav.]])</f>
        <v>5960.0244000000002</v>
      </c>
      <c r="Q82" s="334" t="str">
        <f>IFERROR(IF(compras_mes1[[#This Row],[CUIT]]="","-",VLOOKUP(compras_mes1[[#This Row],[CUIT]],Lista_CUIT[#All],3,0)),"CUIT NO CARGADO")</f>
        <v>Gastos Varios</v>
      </c>
      <c r="R82" s="338">
        <f>IFERROR(IF(compras_mes1[[#This Row],[CUIT]]="","-",VLOOKUP(compras_mes1[[#This Row],[CUIT]],Lista_CUIT[#All],4,0)),"CUIT NO CARGADO")</f>
        <v>0</v>
      </c>
    </row>
    <row r="83" spans="2:18">
      <c r="B83" s="329">
        <v>45315</v>
      </c>
      <c r="C83" s="330">
        <v>1</v>
      </c>
      <c r="D83" s="331">
        <v>7</v>
      </c>
      <c r="E83" s="332">
        <v>2345</v>
      </c>
      <c r="F83" s="333">
        <v>20134664518</v>
      </c>
      <c r="G83" s="334" t="str">
        <f>IFERROR(IF(compras_mes1[[#This Row],[CUIT]]="","-",VLOOKUP(compras_mes1[[#This Row],[CUIT]],Lista_CUIT[#All],2,0)),"CUIT NO CARGADO")</f>
        <v>HOKAMA SERGIO ENRIQUE</v>
      </c>
      <c r="H83" s="335">
        <v>11672.23</v>
      </c>
      <c r="I83" s="336">
        <f>IF(compras_mes1[[#This Row],[NETO GRAVADO]]="","",compras_mes1[[#This Row],[NETO GRAVADO]]*0.21)</f>
        <v>2451.1682999999998</v>
      </c>
      <c r="J83" s="336"/>
      <c r="K83" s="336"/>
      <c r="L83" s="336"/>
      <c r="M83" s="336"/>
      <c r="N83" s="336"/>
      <c r="O83" s="336"/>
      <c r="P83" s="337">
        <f>SUM(compras_mes1[[#This Row],[NETO GRAVADO]:[Otros / No Grav.]])</f>
        <v>14123.398299999999</v>
      </c>
      <c r="Q83" s="334" t="str">
        <f>IFERROR(IF(compras_mes1[[#This Row],[CUIT]]="","-",VLOOKUP(compras_mes1[[#This Row],[CUIT]],Lista_CUIT[#All],3,0)),"CUIT NO CARGADO")</f>
        <v>Gastos Varios</v>
      </c>
      <c r="R83" s="338" t="str">
        <f>IFERROR(IF(compras_mes1[[#This Row],[CUIT]]="","-",VLOOKUP(compras_mes1[[#This Row],[CUIT]],Lista_CUIT[#All],4,0)),"CUIT NO CARGADO")</f>
        <v>BUENOS AIRES</v>
      </c>
    </row>
    <row r="84" spans="2:18">
      <c r="B84" s="167">
        <v>45316</v>
      </c>
      <c r="C84" s="168">
        <v>1</v>
      </c>
      <c r="D84" s="169">
        <v>8</v>
      </c>
      <c r="E84" s="170">
        <v>87</v>
      </c>
      <c r="F84" s="171">
        <v>20134664518</v>
      </c>
      <c r="G84" s="172" t="str">
        <f>IFERROR(IF(compras_mes1[[#This Row],[CUIT]]="","-",VLOOKUP(compras_mes1[[#This Row],[CUIT]],Lista_CUIT[#All],2,0)),"CUIT NO CARGADO")</f>
        <v>HOKAMA SERGIO ENRIQUE</v>
      </c>
      <c r="H84" s="173">
        <v>5500</v>
      </c>
      <c r="I84" s="174">
        <f>IF(compras_mes1[[#This Row],[NETO GRAVADO]]="","",compras_mes1[[#This Row],[NETO GRAVADO]]*0.21)</f>
        <v>1155</v>
      </c>
      <c r="J84" s="174"/>
      <c r="K84" s="174"/>
      <c r="L84" s="174"/>
      <c r="M84" s="174"/>
      <c r="N84" s="174"/>
      <c r="O84" s="174"/>
      <c r="P84" s="175">
        <f>SUM(compras_mes1[[#This Row],[NETO GRAVADO]:[Otros / No Grav.]])</f>
        <v>6655</v>
      </c>
      <c r="Q84" s="172" t="str">
        <f>IFERROR(IF(compras_mes1[[#This Row],[CUIT]]="","-",VLOOKUP(compras_mes1[[#This Row],[CUIT]],Lista_CUIT[#All],3,0)),"CUIT NO CARGADO")</f>
        <v>Gastos Varios</v>
      </c>
      <c r="R84" s="176" t="str">
        <f>IFERROR(IF(compras_mes1[[#This Row],[CUIT]]="","-",VLOOKUP(compras_mes1[[#This Row],[CUIT]],Lista_CUIT[#All],4,0)),"CUIT NO CARGADO")</f>
        <v>BUENOS AIRES</v>
      </c>
    </row>
    <row r="85" spans="2:18">
      <c r="B85" s="329">
        <v>45318</v>
      </c>
      <c r="C85" s="330">
        <v>1</v>
      </c>
      <c r="D85" s="331">
        <v>7</v>
      </c>
      <c r="E85" s="332">
        <v>2360</v>
      </c>
      <c r="F85" s="333">
        <v>20134664518</v>
      </c>
      <c r="G85" s="334" t="str">
        <f>IFERROR(IF(compras_mes1[[#This Row],[CUIT]]="","-",VLOOKUP(compras_mes1[[#This Row],[CUIT]],Lista_CUIT[#All],2,0)),"CUIT NO CARGADO")</f>
        <v>HOKAMA SERGIO ENRIQUE</v>
      </c>
      <c r="H85" s="335">
        <v>53706.36</v>
      </c>
      <c r="I85" s="336">
        <f>IF(compras_mes1[[#This Row],[NETO GRAVADO]]="","",compras_mes1[[#This Row],[NETO GRAVADO]]*0.21)</f>
        <v>11278.3356</v>
      </c>
      <c r="J85" s="336"/>
      <c r="K85" s="336"/>
      <c r="L85" s="336"/>
      <c r="M85" s="336"/>
      <c r="N85" s="336"/>
      <c r="O85" s="336"/>
      <c r="P85" s="337">
        <f>SUM(compras_mes1[[#This Row],[NETO GRAVADO]:[Otros / No Grav.]])</f>
        <v>64984.695599999999</v>
      </c>
      <c r="Q85" s="334" t="str">
        <f>IFERROR(IF(compras_mes1[[#This Row],[CUIT]]="","-",VLOOKUP(compras_mes1[[#This Row],[CUIT]],Lista_CUIT[#All],3,0)),"CUIT NO CARGADO")</f>
        <v>Gastos Varios</v>
      </c>
      <c r="R85" s="338" t="str">
        <f>IFERROR(IF(compras_mes1[[#This Row],[CUIT]]="","-",VLOOKUP(compras_mes1[[#This Row],[CUIT]],Lista_CUIT[#All],4,0)),"CUIT NO CARGADO")</f>
        <v>BUENOS AIRES</v>
      </c>
    </row>
    <row r="86" spans="2:18">
      <c r="B86" s="329">
        <v>45319</v>
      </c>
      <c r="C86" s="330">
        <v>1</v>
      </c>
      <c r="D86" s="331">
        <v>11839</v>
      </c>
      <c r="E86" s="332">
        <v>1101</v>
      </c>
      <c r="F86" s="333">
        <v>30590360763</v>
      </c>
      <c r="G86" s="334" t="str">
        <f>IFERROR(IF(compras_mes1[[#This Row],[CUIT]]="","-",VLOOKUP(compras_mes1[[#This Row],[CUIT]],Lista_CUIT[#All],2,0)),"CUIT NO CARGADO")</f>
        <v>CENCOSUD S.A</v>
      </c>
      <c r="H86" s="335">
        <v>6108.26</v>
      </c>
      <c r="I86" s="336">
        <f>IF(compras_mes1[[#This Row],[NETO GRAVADO]]="","",compras_mes1[[#This Row],[NETO GRAVADO]]*0.21)</f>
        <v>1282.7346</v>
      </c>
      <c r="J86" s="336"/>
      <c r="K86" s="336"/>
      <c r="L86" s="336">
        <v>183.25</v>
      </c>
      <c r="M86" s="336"/>
      <c r="N86" s="336">
        <v>366.5</v>
      </c>
      <c r="O86" s="336"/>
      <c r="P86" s="337">
        <f>SUM(compras_mes1[[#This Row],[NETO GRAVADO]:[Otros / No Grav.]])</f>
        <v>7940.7446</v>
      </c>
      <c r="Q86" s="334" t="str">
        <f>IFERROR(IF(compras_mes1[[#This Row],[CUIT]]="","-",VLOOKUP(compras_mes1[[#This Row],[CUIT]],Lista_CUIT[#All],3,0)),"CUIT NO CARGADO")</f>
        <v>Gastos Varios</v>
      </c>
      <c r="R86" s="338">
        <f>IFERROR(IF(compras_mes1[[#This Row],[CUIT]]="","-",VLOOKUP(compras_mes1[[#This Row],[CUIT]],Lista_CUIT[#All],4,0)),"CUIT NO CARGADO")</f>
        <v>0</v>
      </c>
    </row>
    <row r="87" spans="2:18">
      <c r="B87" s="167">
        <v>45320</v>
      </c>
      <c r="C87" s="168">
        <v>1</v>
      </c>
      <c r="D87" s="169">
        <v>27</v>
      </c>
      <c r="E87" s="170">
        <v>2084877</v>
      </c>
      <c r="F87" s="171">
        <v>30703088534</v>
      </c>
      <c r="G87" s="172" t="str">
        <f>IFERROR(IF(compras_mes1[[#This Row],[CUIT]]="","-",VLOOKUP(compras_mes1[[#This Row],[CUIT]],Lista_CUIT[#All],2,0)),"CUIT NO CARGADO")</f>
        <v>MERCADO LIBRE SRL</v>
      </c>
      <c r="H87" s="173">
        <v>354084.24</v>
      </c>
      <c r="I87" s="174">
        <f>IF(compras_mes1[[#This Row],[NETO GRAVADO]]="","",compras_mes1[[#This Row],[NETO GRAVADO]]*0.21)</f>
        <v>74357.690399999992</v>
      </c>
      <c r="J87" s="174"/>
      <c r="K87" s="174"/>
      <c r="L87" s="174"/>
      <c r="M87" s="174"/>
      <c r="N87" s="174"/>
      <c r="O87" s="174">
        <v>35408.43</v>
      </c>
      <c r="P87" s="175">
        <f>SUM(compras_mes1[[#This Row],[NETO GRAVADO]:[Otros / No Grav.]])</f>
        <v>463850.36039999995</v>
      </c>
      <c r="Q87" s="172" t="str">
        <f>IFERROR(IF(compras_mes1[[#This Row],[CUIT]]="","-",VLOOKUP(compras_mes1[[#This Row],[CUIT]],Lista_CUIT[#All],3,0)),"CUIT NO CARGADO")</f>
        <v>Gastos Varios</v>
      </c>
      <c r="R87" s="176" t="str">
        <f>IFERROR(IF(compras_mes1[[#This Row],[CUIT]]="","-",VLOOKUP(compras_mes1[[#This Row],[CUIT]],Lista_CUIT[#All],4,0)),"CUIT NO CARGADO")</f>
        <v>CABA</v>
      </c>
    </row>
    <row r="88" spans="2:18">
      <c r="B88" s="167">
        <v>45320</v>
      </c>
      <c r="C88" s="168">
        <v>3</v>
      </c>
      <c r="D88" s="169">
        <v>27</v>
      </c>
      <c r="E88" s="170">
        <v>90704</v>
      </c>
      <c r="F88" s="171">
        <v>30703088534</v>
      </c>
      <c r="G88" s="172" t="str">
        <f>IFERROR(IF(compras_mes1[[#This Row],[CUIT]]="","-",VLOOKUP(compras_mes1[[#This Row],[CUIT]],Lista_CUIT[#All],2,0)),"CUIT NO CARGADO")</f>
        <v>MERCADO LIBRE SRL</v>
      </c>
      <c r="H88" s="173">
        <v>-83.77</v>
      </c>
      <c r="I88" s="174">
        <f>IF(compras_mes1[[#This Row],[NETO GRAVADO]]="","",compras_mes1[[#This Row],[NETO GRAVADO]]*0.21)</f>
        <v>-17.591699999999999</v>
      </c>
      <c r="J88" s="174"/>
      <c r="K88" s="174"/>
      <c r="L88" s="174"/>
      <c r="M88" s="174"/>
      <c r="N88" s="174"/>
      <c r="O88" s="174">
        <v>-3.35</v>
      </c>
      <c r="P88" s="175">
        <f>SUM(compras_mes1[[#This Row],[NETO GRAVADO]:[Otros / No Grav.]])</f>
        <v>-104.71169999999999</v>
      </c>
      <c r="Q88" s="172" t="str">
        <f>IFERROR(IF(compras_mes1[[#This Row],[CUIT]]="","-",VLOOKUP(compras_mes1[[#This Row],[CUIT]],Lista_CUIT[#All],3,0)),"CUIT NO CARGADO")</f>
        <v>Gastos Varios</v>
      </c>
      <c r="R88" s="176" t="str">
        <f>IFERROR(IF(compras_mes1[[#This Row],[CUIT]]="","-",VLOOKUP(compras_mes1[[#This Row],[CUIT]],Lista_CUIT[#All],4,0)),"CUIT NO CARGADO")</f>
        <v>CABA</v>
      </c>
    </row>
    <row r="89" spans="2:18">
      <c r="B89" s="329">
        <v>45304</v>
      </c>
      <c r="C89" s="330">
        <v>1</v>
      </c>
      <c r="D89" s="331">
        <v>2</v>
      </c>
      <c r="E89" s="332">
        <v>64</v>
      </c>
      <c r="F89" s="333">
        <v>20954203817</v>
      </c>
      <c r="G89" s="334" t="str">
        <f>IFERROR(IF(compras_mes1[[#This Row],[CUIT]]="","-",VLOOKUP(compras_mes1[[#This Row],[CUIT]],Lista_CUIT[#All],2,0)),"CUIT NO CARGADO")</f>
        <v>TAN SONGLIN</v>
      </c>
      <c r="H89" s="335">
        <v>6239.67</v>
      </c>
      <c r="I89" s="336">
        <f>IF(compras_mes1[[#This Row],[NETO GRAVADO]]="","",compras_mes1[[#This Row],[NETO GRAVADO]]*0.21)</f>
        <v>1310.3307</v>
      </c>
      <c r="J89" s="336"/>
      <c r="K89" s="336"/>
      <c r="L89" s="336"/>
      <c r="M89" s="336"/>
      <c r="N89" s="336"/>
      <c r="O89" s="336"/>
      <c r="P89" s="337">
        <f>SUM(compras_mes1[[#This Row],[NETO GRAVADO]:[Otros / No Grav.]])</f>
        <v>7550.0007000000005</v>
      </c>
      <c r="Q89" s="334" t="str">
        <f>IFERROR(IF(compras_mes1[[#This Row],[CUIT]]="","-",VLOOKUP(compras_mes1[[#This Row],[CUIT]],Lista_CUIT[#All],3,0)),"CUIT NO CARGADO")</f>
        <v>Gastos Varios</v>
      </c>
      <c r="R89" s="338">
        <f>IFERROR(IF(compras_mes1[[#This Row],[CUIT]]="","-",VLOOKUP(compras_mes1[[#This Row],[CUIT]],Lista_CUIT[#All],4,0)),"CUIT NO CARGADO")</f>
        <v>0</v>
      </c>
    </row>
    <row r="90" spans="2:18">
      <c r="B90" s="40">
        <v>45322</v>
      </c>
      <c r="C90" s="41">
        <v>1</v>
      </c>
      <c r="D90" s="42">
        <v>3</v>
      </c>
      <c r="E90" s="43">
        <v>853</v>
      </c>
      <c r="F90" s="44">
        <v>27180890101</v>
      </c>
      <c r="G90" s="45" t="str">
        <f>IFERROR(IF(compras_mes1[[#This Row],[CUIT]]="","-",VLOOKUP(compras_mes1[[#This Row],[CUIT]],Lista_CUIT[#All],2,0)),"CUIT NO CARGADO")</f>
        <v>TUSTANOSKI BEATRIZ NOEMI</v>
      </c>
      <c r="H90" s="46">
        <v>100221.14</v>
      </c>
      <c r="I90" s="85">
        <f>IF(compras_mes1[[#This Row],[NETO GRAVADO]]="","",compras_mes1[[#This Row],[NETO GRAVADO]]*0.21)</f>
        <v>21046.439399999999</v>
      </c>
      <c r="J90" s="85"/>
      <c r="K90" s="85"/>
      <c r="L90" s="85"/>
      <c r="M90" s="85"/>
      <c r="N90" s="85"/>
      <c r="O90" s="85"/>
      <c r="P90" s="48">
        <f>SUM(compras_mes1[[#This Row],[NETO GRAVADO]:[Otros / No Grav.]])</f>
        <v>121267.5794</v>
      </c>
      <c r="Q90" s="45" t="str">
        <f>IFERROR(IF(compras_mes1[[#This Row],[CUIT]]="","-",VLOOKUP(compras_mes1[[#This Row],[CUIT]],Lista_CUIT[#All],3,0)),"CUIT NO CARGADO")</f>
        <v>Gastos Varios</v>
      </c>
      <c r="R90" s="49">
        <f>IFERROR(IF(compras_mes1[[#This Row],[CUIT]]="","-",VLOOKUP(compras_mes1[[#This Row],[CUIT]],Lista_CUIT[#All],4,0)),"CUIT NO CARGADO")</f>
        <v>0</v>
      </c>
    </row>
    <row r="91" spans="2:18">
      <c r="B91" s="329">
        <v>45303</v>
      </c>
      <c r="C91" s="330">
        <v>1</v>
      </c>
      <c r="D91" s="331">
        <v>6</v>
      </c>
      <c r="E91" s="332">
        <v>2973</v>
      </c>
      <c r="F91" s="333">
        <v>30574603788</v>
      </c>
      <c r="G91" s="334" t="str">
        <f>IFERROR(IF(compras_mes1[[#This Row],[CUIT]]="","-",VLOOKUP(compras_mes1[[#This Row],[CUIT]],Lista_CUIT[#All],2,0)),"CUIT NO CARGADO")</f>
        <v>CODAC SRL</v>
      </c>
      <c r="H91" s="335">
        <v>1575212</v>
      </c>
      <c r="I91" s="336">
        <f>IF(compras_mes1[[#This Row],[NETO GRAVADO]]="","",compras_mes1[[#This Row],[NETO GRAVADO]]*0.21)</f>
        <v>330794.51999999996</v>
      </c>
      <c r="J91" s="336"/>
      <c r="K91" s="336"/>
      <c r="L91" s="336"/>
      <c r="M91" s="336"/>
      <c r="N91" s="336"/>
      <c r="O91" s="336"/>
      <c r="P91" s="337">
        <f>SUM(compras_mes1[[#This Row],[NETO GRAVADO]:[Otros / No Grav.]])</f>
        <v>1906006.52</v>
      </c>
      <c r="Q91" s="334" t="str">
        <f>IFERROR(IF(compras_mes1[[#This Row],[CUIT]]="","-",VLOOKUP(compras_mes1[[#This Row],[CUIT]],Lista_CUIT[#All],3,0)),"CUIT NO CARGADO")</f>
        <v>Productos Venta</v>
      </c>
      <c r="R91" s="338" t="str">
        <f>IFERROR(IF(compras_mes1[[#This Row],[CUIT]]="","-",VLOOKUP(compras_mes1[[#This Row],[CUIT]],Lista_CUIT[#All],4,0)),"CUIT NO CARGADO")</f>
        <v>BUENOS AIRES</v>
      </c>
    </row>
    <row r="92" spans="2:18">
      <c r="B92" s="329">
        <v>45308</v>
      </c>
      <c r="C92" s="330">
        <v>1</v>
      </c>
      <c r="D92" s="331">
        <v>6</v>
      </c>
      <c r="E92" s="332">
        <v>2980</v>
      </c>
      <c r="F92" s="333">
        <v>30574603788</v>
      </c>
      <c r="G92" s="334" t="str">
        <f>IFERROR(IF(compras_mes1[[#This Row],[CUIT]]="","-",VLOOKUP(compras_mes1[[#This Row],[CUIT]],Lista_CUIT[#All],2,0)),"CUIT NO CARGADO")</f>
        <v>CODAC SRL</v>
      </c>
      <c r="H92" s="335">
        <v>1110836</v>
      </c>
      <c r="I92" s="336">
        <f>IF(compras_mes1[[#This Row],[NETO GRAVADO]]="","",compras_mes1[[#This Row],[NETO GRAVADO]]*0.21)</f>
        <v>233275.56</v>
      </c>
      <c r="J92" s="336"/>
      <c r="K92" s="336"/>
      <c r="L92" s="336"/>
      <c r="M92" s="336"/>
      <c r="N92" s="336"/>
      <c r="O92" s="336"/>
      <c r="P92" s="337">
        <f>SUM(compras_mes1[[#This Row],[NETO GRAVADO]:[Otros / No Grav.]])</f>
        <v>1344111.56</v>
      </c>
      <c r="Q92" s="334" t="str">
        <f>IFERROR(IF(compras_mes1[[#This Row],[CUIT]]="","-",VLOOKUP(compras_mes1[[#This Row],[CUIT]],Lista_CUIT[#All],3,0)),"CUIT NO CARGADO")</f>
        <v>Productos Venta</v>
      </c>
      <c r="R92" s="338" t="str">
        <f>IFERROR(IF(compras_mes1[[#This Row],[CUIT]]="","-",VLOOKUP(compras_mes1[[#This Row],[CUIT]],Lista_CUIT[#All],4,0)),"CUIT NO CARGADO")</f>
        <v>BUENOS AIRES</v>
      </c>
    </row>
    <row r="93" spans="2:18">
      <c r="B93" s="329">
        <v>45309</v>
      </c>
      <c r="C93" s="330">
        <v>1</v>
      </c>
      <c r="D93" s="331">
        <v>6</v>
      </c>
      <c r="E93" s="332">
        <v>2983</v>
      </c>
      <c r="F93" s="333">
        <v>30574603788</v>
      </c>
      <c r="G93" s="334" t="str">
        <f>IFERROR(IF(compras_mes1[[#This Row],[CUIT]]="","-",VLOOKUP(compras_mes1[[#This Row],[CUIT]],Lista_CUIT[#All],2,0)),"CUIT NO CARGADO")</f>
        <v>CODAC SRL</v>
      </c>
      <c r="H93" s="335">
        <v>871461</v>
      </c>
      <c r="I93" s="336">
        <f>IF(compras_mes1[[#This Row],[NETO GRAVADO]]="","",compras_mes1[[#This Row],[NETO GRAVADO]]*0.21)</f>
        <v>183006.81</v>
      </c>
      <c r="J93" s="336"/>
      <c r="K93" s="336"/>
      <c r="L93" s="336"/>
      <c r="M93" s="336"/>
      <c r="N93" s="336"/>
      <c r="O93" s="336"/>
      <c r="P93" s="337">
        <f>SUM(compras_mes1[[#This Row],[NETO GRAVADO]:[Otros / No Grav.]])</f>
        <v>1054467.81</v>
      </c>
      <c r="Q93" s="334" t="str">
        <f>IFERROR(IF(compras_mes1[[#This Row],[CUIT]]="","-",VLOOKUP(compras_mes1[[#This Row],[CUIT]],Lista_CUIT[#All],3,0)),"CUIT NO CARGADO")</f>
        <v>Productos Venta</v>
      </c>
      <c r="R93" s="338" t="str">
        <f>IFERROR(IF(compras_mes1[[#This Row],[CUIT]]="","-",VLOOKUP(compras_mes1[[#This Row],[CUIT]],Lista_CUIT[#All],4,0)),"CUIT NO CARGADO")</f>
        <v>BUENOS AIRES</v>
      </c>
    </row>
    <row r="94" spans="2:18">
      <c r="B94" s="329">
        <v>45317</v>
      </c>
      <c r="C94" s="330">
        <v>1</v>
      </c>
      <c r="D94" s="331">
        <v>6</v>
      </c>
      <c r="E94" s="332">
        <v>2991</v>
      </c>
      <c r="F94" s="333">
        <v>30574603788</v>
      </c>
      <c r="G94" s="334" t="str">
        <f>IFERROR(IF(compras_mes1[[#This Row],[CUIT]]="","-",VLOOKUP(compras_mes1[[#This Row],[CUIT]],Lista_CUIT[#All],2,0)),"CUIT NO CARGADO")</f>
        <v>CODAC SRL</v>
      </c>
      <c r="H94" s="335">
        <v>1675803</v>
      </c>
      <c r="I94" s="336">
        <f>IF(compras_mes1[[#This Row],[NETO GRAVADO]]="","",compras_mes1[[#This Row],[NETO GRAVADO]]*0.21)</f>
        <v>351918.63</v>
      </c>
      <c r="J94" s="336"/>
      <c r="K94" s="336"/>
      <c r="L94" s="336"/>
      <c r="M94" s="336"/>
      <c r="N94" s="336"/>
      <c r="O94" s="336"/>
      <c r="P94" s="337">
        <f>SUM(compras_mes1[[#This Row],[NETO GRAVADO]:[Otros / No Grav.]])</f>
        <v>2027721.63</v>
      </c>
      <c r="Q94" s="334" t="str">
        <f>IFERROR(IF(compras_mes1[[#This Row],[CUIT]]="","-",VLOOKUP(compras_mes1[[#This Row],[CUIT]],Lista_CUIT[#All],3,0)),"CUIT NO CARGADO")</f>
        <v>Productos Venta</v>
      </c>
      <c r="R94" s="338" t="str">
        <f>IFERROR(IF(compras_mes1[[#This Row],[CUIT]]="","-",VLOOKUP(compras_mes1[[#This Row],[CUIT]],Lista_CUIT[#All],4,0)),"CUIT NO CARGADO")</f>
        <v>BUENOS AIRES</v>
      </c>
    </row>
    <row r="95" spans="2:18">
      <c r="B95" s="329">
        <v>45299</v>
      </c>
      <c r="C95" s="330">
        <v>1</v>
      </c>
      <c r="D95" s="331">
        <v>1</v>
      </c>
      <c r="E95" s="332">
        <v>367</v>
      </c>
      <c r="F95" s="333">
        <v>30717768511</v>
      </c>
      <c r="G95" s="334" t="str">
        <f>IFERROR(IF(compras_mes1[[#This Row],[CUIT]]="","-",VLOOKUP(compras_mes1[[#This Row],[CUIT]],Lista_CUIT[#All],2,0)),"CUIT NO CARGADO")</f>
        <v>DEALER S. CAP I SECC IV</v>
      </c>
      <c r="H95" s="335">
        <v>10700.34</v>
      </c>
      <c r="I95" s="336">
        <f>IF(compras_mes1[[#This Row],[NETO GRAVADO]]="","",compras_mes1[[#This Row],[NETO GRAVADO]]*0.21)</f>
        <v>2247.0713999999998</v>
      </c>
      <c r="J95" s="336"/>
      <c r="K95" s="336"/>
      <c r="L95" s="336"/>
      <c r="M95" s="336"/>
      <c r="N95" s="336"/>
      <c r="O95" s="336"/>
      <c r="P95" s="337">
        <f>SUM(compras_mes1[[#This Row],[NETO GRAVADO]:[Otros / No Grav.]])</f>
        <v>12947.411400000001</v>
      </c>
      <c r="Q95" s="334" t="str">
        <f>IFERROR(IF(compras_mes1[[#This Row],[CUIT]]="","-",VLOOKUP(compras_mes1[[#This Row],[CUIT]],Lista_CUIT[#All],3,0)),"CUIT NO CARGADO")</f>
        <v>LIBRERÍA</v>
      </c>
      <c r="R95" s="338">
        <f>IFERROR(IF(compras_mes1[[#This Row],[CUIT]]="","-",VLOOKUP(compras_mes1[[#This Row],[CUIT]],Lista_CUIT[#All],4,0)),"CUIT NO CARGADO")</f>
        <v>0</v>
      </c>
    </row>
    <row r="96" spans="2:18">
      <c r="B96" s="329">
        <v>45306</v>
      </c>
      <c r="C96" s="330">
        <v>1</v>
      </c>
      <c r="D96" s="331">
        <v>2</v>
      </c>
      <c r="E96" s="332">
        <v>464</v>
      </c>
      <c r="F96" s="333">
        <v>30717768511</v>
      </c>
      <c r="G96" s="334" t="str">
        <f>IFERROR(IF(compras_mes1[[#This Row],[CUIT]]="","-",VLOOKUP(compras_mes1[[#This Row],[CUIT]],Lista_CUIT[#All],2,0)),"CUIT NO CARGADO")</f>
        <v>DEALER S. CAP I SECC IV</v>
      </c>
      <c r="H96" s="335">
        <v>85602.72</v>
      </c>
      <c r="I96" s="336">
        <f>IF(compras_mes1[[#This Row],[NETO GRAVADO]]="","",compras_mes1[[#This Row],[NETO GRAVADO]]*0.21)</f>
        <v>17976.571199999998</v>
      </c>
      <c r="J96" s="336"/>
      <c r="K96" s="336"/>
      <c r="L96" s="336"/>
      <c r="M96" s="336"/>
      <c r="N96" s="336"/>
      <c r="O96" s="336"/>
      <c r="P96" s="337">
        <f>SUM(compras_mes1[[#This Row],[NETO GRAVADO]:[Otros / No Grav.]])</f>
        <v>103579.29120000001</v>
      </c>
      <c r="Q96" s="334" t="str">
        <f>IFERROR(IF(compras_mes1[[#This Row],[CUIT]]="","-",VLOOKUP(compras_mes1[[#This Row],[CUIT]],Lista_CUIT[#All],3,0)),"CUIT NO CARGADO")</f>
        <v>LIBRERÍA</v>
      </c>
      <c r="R96" s="338">
        <f>IFERROR(IF(compras_mes1[[#This Row],[CUIT]]="","-",VLOOKUP(compras_mes1[[#This Row],[CUIT]],Lista_CUIT[#All],4,0)),"CUIT NO CARGADO")</f>
        <v>0</v>
      </c>
    </row>
    <row r="97" spans="2:18">
      <c r="B97" s="329">
        <v>45301</v>
      </c>
      <c r="C97" s="330">
        <v>1</v>
      </c>
      <c r="D97" s="331">
        <v>4</v>
      </c>
      <c r="E97" s="332">
        <v>7541</v>
      </c>
      <c r="F97" s="333">
        <v>30519492136</v>
      </c>
      <c r="G97" s="334" t="str">
        <f>IFERROR(IF(compras_mes1[[#This Row],[CUIT]]="","-",VLOOKUP(compras_mes1[[#This Row],[CUIT]],Lista_CUIT[#All],2,0)),"CUIT NO CARGADO")</f>
        <v>PERFIMET COMERCIAL E INDUSTRIAL S R L</v>
      </c>
      <c r="H97" s="335">
        <v>5206.6099999999997</v>
      </c>
      <c r="I97" s="336">
        <f>IF(compras_mes1[[#This Row],[NETO GRAVADO]]="","",compras_mes1[[#This Row],[NETO GRAVADO]]*0.21)</f>
        <v>1093.3880999999999</v>
      </c>
      <c r="J97" s="336"/>
      <c r="K97" s="336"/>
      <c r="L97" s="336"/>
      <c r="M97" s="336"/>
      <c r="N97" s="336"/>
      <c r="O97" s="336"/>
      <c r="P97" s="337">
        <f>SUM(compras_mes1[[#This Row],[NETO GRAVADO]:[Otros / No Grav.]])</f>
        <v>6299.9980999999998</v>
      </c>
      <c r="Q97" s="334" t="str">
        <f>IFERROR(IF(compras_mes1[[#This Row],[CUIT]]="","-",VLOOKUP(compras_mes1[[#This Row],[CUIT]],Lista_CUIT[#All],3,0)),"CUIT NO CARGADO")</f>
        <v>Mantenimiento Rodado</v>
      </c>
      <c r="R97" s="338">
        <f>IFERROR(IF(compras_mes1[[#This Row],[CUIT]]="","-",VLOOKUP(compras_mes1[[#This Row],[CUIT]],Lista_CUIT[#All],4,0)),"CUIT NO CARGADO")</f>
        <v>0</v>
      </c>
    </row>
    <row r="98" spans="2:18">
      <c r="B98" s="329">
        <v>45307</v>
      </c>
      <c r="C98" s="330">
        <v>1</v>
      </c>
      <c r="D98" s="331">
        <v>9</v>
      </c>
      <c r="E98" s="332">
        <v>192</v>
      </c>
      <c r="F98" s="333">
        <v>30708456329</v>
      </c>
      <c r="G98" s="334" t="str">
        <f>IFERROR(IF(compras_mes1[[#This Row],[CUIT]]="","-",VLOOKUP(compras_mes1[[#This Row],[CUIT]],Lista_CUIT[#All],2,0)),"CUIT NO CARGADO")</f>
        <v>MOVIL GAS S.A.</v>
      </c>
      <c r="H98" s="335">
        <v>99338.86</v>
      </c>
      <c r="I98" s="336">
        <f>IF(compras_mes1[[#This Row],[NETO GRAVADO]]="","",compras_mes1[[#This Row],[NETO GRAVADO]]*0.21)</f>
        <v>20861.160599999999</v>
      </c>
      <c r="J98" s="336"/>
      <c r="K98" s="336"/>
      <c r="L98" s="336"/>
      <c r="M98" s="336"/>
      <c r="N98" s="336"/>
      <c r="O98" s="336"/>
      <c r="P98" s="337">
        <f>SUM(compras_mes1[[#This Row],[NETO GRAVADO]:[Otros / No Grav.]])</f>
        <v>120200.0206</v>
      </c>
      <c r="Q98" s="334" t="str">
        <f>IFERROR(IF(compras_mes1[[#This Row],[CUIT]]="","-",VLOOKUP(compras_mes1[[#This Row],[CUIT]],Lista_CUIT[#All],3,0)),"CUIT NO CARGADO")</f>
        <v>Mantenimiento Rodado</v>
      </c>
      <c r="R98" s="338">
        <f>IFERROR(IF(compras_mes1[[#This Row],[CUIT]]="","-",VLOOKUP(compras_mes1[[#This Row],[CUIT]],Lista_CUIT[#All],4,0)),"CUIT NO CARGADO")</f>
        <v>0</v>
      </c>
    </row>
    <row r="99" spans="2:18">
      <c r="B99" s="329">
        <v>45302</v>
      </c>
      <c r="C99" s="330">
        <v>1</v>
      </c>
      <c r="D99" s="331">
        <v>32</v>
      </c>
      <c r="E99" s="332">
        <v>2101</v>
      </c>
      <c r="F99" s="333">
        <v>30696106068</v>
      </c>
      <c r="G99" s="334" t="str">
        <f>IFERROR(IF(compras_mes1[[#This Row],[CUIT]]="","-",VLOOKUP(compras_mes1[[#This Row],[CUIT]],Lista_CUIT[#All],2,0)),"CUIT NO CARGADO")</f>
        <v>PINTURERIAS LIBERATO SRL</v>
      </c>
      <c r="H99" s="335">
        <v>27645.33</v>
      </c>
      <c r="I99" s="336">
        <f>IF(compras_mes1[[#This Row],[NETO GRAVADO]]="","",compras_mes1[[#This Row],[NETO GRAVADO]]*0.21)</f>
        <v>5805.5192999999999</v>
      </c>
      <c r="J99" s="336"/>
      <c r="K99" s="336"/>
      <c r="L99" s="336"/>
      <c r="M99" s="336"/>
      <c r="N99" s="336"/>
      <c r="O99" s="336"/>
      <c r="P99" s="337">
        <f>SUM(compras_mes1[[#This Row],[NETO GRAVADO]:[Otros / No Grav.]])</f>
        <v>33450.849300000002</v>
      </c>
      <c r="Q99" s="334" t="str">
        <f>IFERROR(IF(compras_mes1[[#This Row],[CUIT]]="","-",VLOOKUP(compras_mes1[[#This Row],[CUIT]],Lista_CUIT[#All],3,0)),"CUIT NO CARGADO")</f>
        <v>Mantenimiento Locales</v>
      </c>
      <c r="R99" s="338">
        <f>IFERROR(IF(compras_mes1[[#This Row],[CUIT]]="","-",VLOOKUP(compras_mes1[[#This Row],[CUIT]],Lista_CUIT[#All],4,0)),"CUIT NO CARGADO")</f>
        <v>0</v>
      </c>
    </row>
    <row r="100" spans="2:18">
      <c r="B100" s="329">
        <v>45299</v>
      </c>
      <c r="C100" s="330">
        <v>1</v>
      </c>
      <c r="D100" s="331">
        <v>15</v>
      </c>
      <c r="E100" s="332">
        <v>529</v>
      </c>
      <c r="F100" s="333">
        <v>30716339757</v>
      </c>
      <c r="G100" s="334" t="str">
        <f>IFERROR(IF(compras_mes1[[#This Row],[CUIT]]="","-",VLOOKUP(compras_mes1[[#This Row],[CUIT]],Lista_CUIT[#All],2,0)),"CUIT NO CARGADO")</f>
        <v>PINTURERIAS EXPRESS SRL</v>
      </c>
      <c r="H100" s="335">
        <v>7971</v>
      </c>
      <c r="I100" s="336">
        <f>IF(compras_mes1[[#This Row],[NETO GRAVADO]]="","",compras_mes1[[#This Row],[NETO GRAVADO]]*0.21)</f>
        <v>1673.9099999999999</v>
      </c>
      <c r="J100" s="336"/>
      <c r="K100" s="336"/>
      <c r="L100" s="336"/>
      <c r="M100" s="336"/>
      <c r="N100" s="336"/>
      <c r="O100" s="336">
        <v>0</v>
      </c>
      <c r="P100" s="337">
        <f>SUM(compras_mes1[[#This Row],[NETO GRAVADO]:[Otros / No Grav.]])</f>
        <v>9644.91</v>
      </c>
      <c r="Q100" s="334" t="str">
        <f>IFERROR(IF(compras_mes1[[#This Row],[CUIT]]="","-",VLOOKUP(compras_mes1[[#This Row],[CUIT]],Lista_CUIT[#All],3,0)),"CUIT NO CARGADO")</f>
        <v>Mantenimiento Locales</v>
      </c>
      <c r="R100" s="338">
        <f>IFERROR(IF(compras_mes1[[#This Row],[CUIT]]="","-",VLOOKUP(compras_mes1[[#This Row],[CUIT]],Lista_CUIT[#All],4,0)),"CUIT NO CARGADO")</f>
        <v>0</v>
      </c>
    </row>
    <row r="101" spans="2:18">
      <c r="B101" s="329">
        <v>45295</v>
      </c>
      <c r="C101" s="330">
        <v>1</v>
      </c>
      <c r="D101" s="331">
        <v>3</v>
      </c>
      <c r="E101" s="332">
        <v>20417</v>
      </c>
      <c r="F101" s="333">
        <v>30707463143</v>
      </c>
      <c r="G101" s="334" t="str">
        <f>IFERROR(IF(compras_mes1[[#This Row],[CUIT]]="","-",VLOOKUP(compras_mes1[[#This Row],[CUIT]],Lista_CUIT[#All],2,0)),"CUIT NO CARGADO")</f>
        <v>AROMATICA S.A.</v>
      </c>
      <c r="H101" s="335">
        <v>2212122</v>
      </c>
      <c r="I101" s="336">
        <f>IF(compras_mes1[[#This Row],[NETO GRAVADO]]="","",compras_mes1[[#This Row],[NETO GRAVADO]]*0.21)</f>
        <v>464545.62</v>
      </c>
      <c r="J101" s="336"/>
      <c r="K101" s="336"/>
      <c r="L101" s="336"/>
      <c r="M101" s="336"/>
      <c r="N101" s="336"/>
      <c r="O101" s="336">
        <v>0</v>
      </c>
      <c r="P101" s="337">
        <f>SUM(compras_mes1[[#This Row],[NETO GRAVADO]:[Otros / No Grav.]])</f>
        <v>2676667.62</v>
      </c>
      <c r="Q101" s="334" t="str">
        <f>IFERROR(IF(compras_mes1[[#This Row],[CUIT]]="","-",VLOOKUP(compras_mes1[[#This Row],[CUIT]],Lista_CUIT[#All],3,0)),"CUIT NO CARGADO")</f>
        <v>Materia Prima</v>
      </c>
      <c r="R101" s="338">
        <f>IFERROR(IF(compras_mes1[[#This Row],[CUIT]]="","-",VLOOKUP(compras_mes1[[#This Row],[CUIT]],Lista_CUIT[#All],4,0)),"CUIT NO CARGADO")</f>
        <v>0</v>
      </c>
    </row>
    <row r="102" spans="2:18">
      <c r="B102" s="329">
        <v>45299</v>
      </c>
      <c r="C102" s="330">
        <v>1</v>
      </c>
      <c r="D102" s="331">
        <v>4</v>
      </c>
      <c r="E102" s="332">
        <v>44931</v>
      </c>
      <c r="F102" s="333">
        <v>30709863076</v>
      </c>
      <c r="G102" s="334" t="str">
        <f>IFERROR(IF(compras_mes1[[#This Row],[CUIT]]="","-",VLOOKUP(compras_mes1[[#This Row],[CUIT]],Lista_CUIT[#All],2,0)),"CUIT NO CARGADO")</f>
        <v>INDUSTRIAS PLASTICOS SALTA S.R.L.</v>
      </c>
      <c r="H102" s="335">
        <v>47500</v>
      </c>
      <c r="I102" s="336">
        <f>IF(compras_mes1[[#This Row],[NETO GRAVADO]]="","",compras_mes1[[#This Row],[NETO GRAVADO]]*0.21)</f>
        <v>9975</v>
      </c>
      <c r="J102" s="336"/>
      <c r="K102" s="336"/>
      <c r="L102" s="336"/>
      <c r="M102" s="336"/>
      <c r="N102" s="336"/>
      <c r="O102" s="336">
        <v>0</v>
      </c>
      <c r="P102" s="337">
        <f>SUM(compras_mes1[[#This Row],[NETO GRAVADO]:[Otros / No Grav.]])</f>
        <v>57475</v>
      </c>
      <c r="Q102" s="334" t="str">
        <f>IFERROR(IF(compras_mes1[[#This Row],[CUIT]]="","-",VLOOKUP(compras_mes1[[#This Row],[CUIT]],Lista_CUIT[#All],3,0)),"CUIT NO CARGADO")</f>
        <v>Materia Prima</v>
      </c>
      <c r="R102" s="338">
        <f>IFERROR(IF(compras_mes1[[#This Row],[CUIT]]="","-",VLOOKUP(compras_mes1[[#This Row],[CUIT]],Lista_CUIT[#All],4,0)),"CUIT NO CARGADO")</f>
        <v>0</v>
      </c>
    </row>
    <row r="103" spans="2:18">
      <c r="B103" s="329">
        <v>45300</v>
      </c>
      <c r="C103" s="330">
        <v>1</v>
      </c>
      <c r="D103" s="331">
        <v>4</v>
      </c>
      <c r="E103" s="332">
        <v>44959</v>
      </c>
      <c r="F103" s="333">
        <v>30709863076</v>
      </c>
      <c r="G103" s="334" t="str">
        <f>IFERROR(IF(compras_mes1[[#This Row],[CUIT]]="","-",VLOOKUP(compras_mes1[[#This Row],[CUIT]],Lista_CUIT[#All],2,0)),"CUIT NO CARGADO")</f>
        <v>INDUSTRIAS PLASTICOS SALTA S.R.L.</v>
      </c>
      <c r="H103" s="335">
        <v>191404.96</v>
      </c>
      <c r="I103" s="336">
        <f>IF(compras_mes1[[#This Row],[NETO GRAVADO]]="","",compras_mes1[[#This Row],[NETO GRAVADO]]*0.21)</f>
        <v>40195.041599999997</v>
      </c>
      <c r="J103" s="336"/>
      <c r="K103" s="336"/>
      <c r="L103" s="336"/>
      <c r="M103" s="336"/>
      <c r="N103" s="336"/>
      <c r="O103" s="336">
        <v>0</v>
      </c>
      <c r="P103" s="337">
        <f>SUM(compras_mes1[[#This Row],[NETO GRAVADO]:[Otros / No Grav.]])</f>
        <v>231600.00159999999</v>
      </c>
      <c r="Q103" s="334" t="str">
        <f>IFERROR(IF(compras_mes1[[#This Row],[CUIT]]="","-",VLOOKUP(compras_mes1[[#This Row],[CUIT]],Lista_CUIT[#All],3,0)),"CUIT NO CARGADO")</f>
        <v>Materia Prima</v>
      </c>
      <c r="R103" s="338">
        <f>IFERROR(IF(compras_mes1[[#This Row],[CUIT]]="","-",VLOOKUP(compras_mes1[[#This Row],[CUIT]],Lista_CUIT[#All],4,0)),"CUIT NO CARGADO")</f>
        <v>0</v>
      </c>
    </row>
    <row r="104" spans="2:18">
      <c r="B104" s="329">
        <v>45321</v>
      </c>
      <c r="C104" s="330">
        <v>1</v>
      </c>
      <c r="D104" s="331">
        <v>2</v>
      </c>
      <c r="E104" s="332">
        <v>1731</v>
      </c>
      <c r="F104" s="333">
        <v>30717140725</v>
      </c>
      <c r="G104" s="334" t="str">
        <f>IFERROR(IF(compras_mes1[[#This Row],[CUIT]]="","-",VLOOKUP(compras_mes1[[#This Row],[CUIT]],Lista_CUIT[#All],2,0)),"CUIT NO CARGADO")</f>
        <v>TODOSECO S.A.</v>
      </c>
      <c r="H104" s="335">
        <v>1399432.36</v>
      </c>
      <c r="I104" s="336">
        <f>IF(compras_mes1[[#This Row],[NETO GRAVADO]]="","",compras_mes1[[#This Row],[NETO GRAVADO]]*0.21)</f>
        <v>293880.79560000001</v>
      </c>
      <c r="J104" s="336"/>
      <c r="K104" s="336"/>
      <c r="L104" s="336"/>
      <c r="M104" s="336"/>
      <c r="N104" s="336"/>
      <c r="O104" s="336"/>
      <c r="P104" s="337">
        <f>SUM(compras_mes1[[#This Row],[NETO GRAVADO]:[Otros / No Grav.]])</f>
        <v>1693313.1556000002</v>
      </c>
      <c r="Q104" s="334" t="str">
        <f>IFERROR(IF(compras_mes1[[#This Row],[CUIT]]="","-",VLOOKUP(compras_mes1[[#This Row],[CUIT]],Lista_CUIT[#All],3,0)),"CUIT NO CARGADO")</f>
        <v>Materia Prima</v>
      </c>
      <c r="R104" s="338">
        <f>IFERROR(IF(compras_mes1[[#This Row],[CUIT]]="","-",VLOOKUP(compras_mes1[[#This Row],[CUIT]],Lista_CUIT[#All],4,0)),"CUIT NO CARGADO")</f>
        <v>0</v>
      </c>
    </row>
    <row r="105" spans="2:18">
      <c r="B105" s="329">
        <v>45296</v>
      </c>
      <c r="C105" s="330">
        <v>1</v>
      </c>
      <c r="D105" s="331">
        <v>6</v>
      </c>
      <c r="E105" s="332">
        <v>24432</v>
      </c>
      <c r="F105" s="333">
        <v>33640878679</v>
      </c>
      <c r="G105" s="334" t="str">
        <f>IFERROR(IF(compras_mes1[[#This Row],[CUIT]]="","-",VLOOKUP(compras_mes1[[#This Row],[CUIT]],Lista_CUIT[#All],2,0)),"CUIT NO CARGADO")</f>
        <v>DHACAM S R L</v>
      </c>
      <c r="H105" s="335">
        <v>1189640</v>
      </c>
      <c r="I105" s="336">
        <f>IF(compras_mes1[[#This Row],[NETO GRAVADO]]="","",compras_mes1[[#This Row],[NETO GRAVADO]]*0.21)</f>
        <v>249824.4</v>
      </c>
      <c r="J105" s="336"/>
      <c r="K105" s="336"/>
      <c r="L105" s="336"/>
      <c r="M105" s="336"/>
      <c r="N105" s="336"/>
      <c r="O105" s="336">
        <v>0</v>
      </c>
      <c r="P105" s="337">
        <f>SUM(compras_mes1[[#This Row],[NETO GRAVADO]:[Otros / No Grav.]])</f>
        <v>1439464.4</v>
      </c>
      <c r="Q105" s="334" t="str">
        <f>IFERROR(IF(compras_mes1[[#This Row],[CUIT]]="","-",VLOOKUP(compras_mes1[[#This Row],[CUIT]],Lista_CUIT[#All],3,0)),"CUIT NO CARGADO")</f>
        <v>Materia Prima</v>
      </c>
      <c r="R105" s="338">
        <f>IFERROR(IF(compras_mes1[[#This Row],[CUIT]]="","-",VLOOKUP(compras_mes1[[#This Row],[CUIT]],Lista_CUIT[#All],4,0)),"CUIT NO CARGADO")</f>
        <v>0</v>
      </c>
    </row>
    <row r="106" spans="2:18">
      <c r="B106" s="329">
        <v>45300</v>
      </c>
      <c r="C106" s="330">
        <v>1</v>
      </c>
      <c r="D106" s="331">
        <v>3</v>
      </c>
      <c r="E106" s="332">
        <v>1924</v>
      </c>
      <c r="F106" s="333">
        <v>30715434276</v>
      </c>
      <c r="G106" s="334" t="str">
        <f>IFERROR(IF(compras_mes1[[#This Row],[CUIT]]="","-",VLOOKUP(compras_mes1[[#This Row],[CUIT]],Lista_CUIT[#All],2,0)),"CUIT NO CARGADO")</f>
        <v>BRUAYAFA S.A.</v>
      </c>
      <c r="H106" s="335">
        <v>16450</v>
      </c>
      <c r="I106" s="336">
        <f>IF(compras_mes1[[#This Row],[NETO GRAVADO]]="","",compras_mes1[[#This Row],[NETO GRAVADO]]*0.21)</f>
        <v>3454.5</v>
      </c>
      <c r="J106" s="336"/>
      <c r="K106" s="336"/>
      <c r="L106" s="336"/>
      <c r="M106" s="336"/>
      <c r="N106" s="336"/>
      <c r="O106" s="336">
        <v>0</v>
      </c>
      <c r="P106" s="337">
        <f>SUM(compras_mes1[[#This Row],[NETO GRAVADO]:[Otros / No Grav.]])</f>
        <v>19904.5</v>
      </c>
      <c r="Q106" s="334" t="str">
        <f>IFERROR(IF(compras_mes1[[#This Row],[CUIT]]="","-",VLOOKUP(compras_mes1[[#This Row],[CUIT]],Lista_CUIT[#All],3,0)),"CUIT NO CARGADO")</f>
        <v>Material de Empaque</v>
      </c>
      <c r="R106" s="338">
        <f>IFERROR(IF(compras_mes1[[#This Row],[CUIT]]="","-",VLOOKUP(compras_mes1[[#This Row],[CUIT]],Lista_CUIT[#All],4,0)),"CUIT NO CARGADO")</f>
        <v>0</v>
      </c>
    </row>
    <row r="107" spans="2:18">
      <c r="B107" s="329">
        <v>45301</v>
      </c>
      <c r="C107" s="330">
        <v>1</v>
      </c>
      <c r="D107" s="331">
        <v>10</v>
      </c>
      <c r="E107" s="332">
        <v>5849</v>
      </c>
      <c r="F107" s="333">
        <v>20217646414</v>
      </c>
      <c r="G107" s="334" t="str">
        <f>IFERROR(IF(compras_mes1[[#This Row],[CUIT]]="","-",VLOOKUP(compras_mes1[[#This Row],[CUIT]],Lista_CUIT[#All],2,0)),"CUIT NO CARGADO")</f>
        <v>FARBER HERMAN</v>
      </c>
      <c r="H107" s="335">
        <v>591240</v>
      </c>
      <c r="I107" s="336">
        <f>IF(compras_mes1[[#This Row],[NETO GRAVADO]]="","",compras_mes1[[#This Row],[NETO GRAVADO]]*0.21)</f>
        <v>124160.4</v>
      </c>
      <c r="J107" s="336"/>
      <c r="K107" s="336"/>
      <c r="L107" s="336"/>
      <c r="M107" s="336"/>
      <c r="N107" s="336"/>
      <c r="O107" s="336"/>
      <c r="P107" s="337">
        <f>SUM(compras_mes1[[#This Row],[NETO GRAVADO]:[Otros / No Grav.]])</f>
        <v>715400.4</v>
      </c>
      <c r="Q107" s="334" t="str">
        <f>IFERROR(IF(compras_mes1[[#This Row],[CUIT]]="","-",VLOOKUP(compras_mes1[[#This Row],[CUIT]],Lista_CUIT[#All],3,0)),"CUIT NO CARGADO")</f>
        <v>Material de Empaque</v>
      </c>
      <c r="R107" s="338">
        <f>IFERROR(IF(compras_mes1[[#This Row],[CUIT]]="","-",VLOOKUP(compras_mes1[[#This Row],[CUIT]],Lista_CUIT[#All],4,0)),"CUIT NO CARGADO")</f>
        <v>0</v>
      </c>
    </row>
    <row r="108" spans="2:18">
      <c r="B108" s="329">
        <v>45301</v>
      </c>
      <c r="C108" s="330">
        <v>1</v>
      </c>
      <c r="D108" s="331">
        <v>1</v>
      </c>
      <c r="E108" s="332">
        <v>207</v>
      </c>
      <c r="F108" s="333">
        <v>20077604627</v>
      </c>
      <c r="G108" s="334" t="str">
        <f>IFERROR(IF(compras_mes1[[#This Row],[CUIT]]="","-",VLOOKUP(compras_mes1[[#This Row],[CUIT]],Lista_CUIT[#All],2,0)),"CUIT NO CARGADO")</f>
        <v>OCAÑO ENRIQUE</v>
      </c>
      <c r="H108" s="335">
        <v>1583712</v>
      </c>
      <c r="I108" s="336">
        <f>IF(compras_mes1[[#This Row],[NETO GRAVADO]]="","",compras_mes1[[#This Row],[NETO GRAVADO]]*0.21)</f>
        <v>332579.51999999996</v>
      </c>
      <c r="J108" s="336"/>
      <c r="K108" s="336"/>
      <c r="L108" s="336"/>
      <c r="M108" s="336"/>
      <c r="N108" s="336"/>
      <c r="O108" s="336"/>
      <c r="P108" s="337">
        <f>SUM(compras_mes1[[#This Row],[NETO GRAVADO]:[Otros / No Grav.]])</f>
        <v>1916291.52</v>
      </c>
      <c r="Q108" s="334" t="str">
        <f>IFERROR(IF(compras_mes1[[#This Row],[CUIT]]="","-",VLOOKUP(compras_mes1[[#This Row],[CUIT]],Lista_CUIT[#All],3,0)),"CUIT NO CARGADO")</f>
        <v>Material de Empaque</v>
      </c>
      <c r="R108" s="338">
        <f>IFERROR(IF(compras_mes1[[#This Row],[CUIT]]="","-",VLOOKUP(compras_mes1[[#This Row],[CUIT]],Lista_CUIT[#All],4,0)),"CUIT NO CARGADO")</f>
        <v>0</v>
      </c>
    </row>
    <row r="109" spans="2:18">
      <c r="B109" s="329">
        <v>45303</v>
      </c>
      <c r="C109" s="330">
        <v>1</v>
      </c>
      <c r="D109" s="331">
        <v>1</v>
      </c>
      <c r="E109" s="332">
        <v>2470</v>
      </c>
      <c r="F109" s="333">
        <v>27181689183</v>
      </c>
      <c r="G109" s="334" t="str">
        <f>IFERROR(IF(compras_mes1[[#This Row],[CUIT]]="","-",VLOOKUP(compras_mes1[[#This Row],[CUIT]],Lista_CUIT[#All],2,0)),"CUIT NO CARGADO")</f>
        <v>REPETTO MARIA FERNANDA</v>
      </c>
      <c r="H109" s="335">
        <v>636460</v>
      </c>
      <c r="I109" s="336">
        <f>IF(compras_mes1[[#This Row],[NETO GRAVADO]]="","",compras_mes1[[#This Row],[NETO GRAVADO]]*0.21)</f>
        <v>133656.6</v>
      </c>
      <c r="J109" s="336"/>
      <c r="K109" s="336"/>
      <c r="L109" s="336"/>
      <c r="M109" s="336"/>
      <c r="N109" s="336"/>
      <c r="O109" s="336"/>
      <c r="P109" s="337">
        <f>SUM(compras_mes1[[#This Row],[NETO GRAVADO]:[Otros / No Grav.]])</f>
        <v>770116.6</v>
      </c>
      <c r="Q109" s="334" t="str">
        <f>IFERROR(IF(compras_mes1[[#This Row],[CUIT]]="","-",VLOOKUP(compras_mes1[[#This Row],[CUIT]],Lista_CUIT[#All],3,0)),"CUIT NO CARGADO")</f>
        <v>Material de Empaque</v>
      </c>
      <c r="R109" s="338">
        <f>IFERROR(IF(compras_mes1[[#This Row],[CUIT]]="","-",VLOOKUP(compras_mes1[[#This Row],[CUIT]],Lista_CUIT[#All],4,0)),"CUIT NO CARGADO")</f>
        <v>0</v>
      </c>
    </row>
    <row r="110" spans="2:18">
      <c r="B110" s="329">
        <v>45303</v>
      </c>
      <c r="C110" s="330">
        <v>1</v>
      </c>
      <c r="D110" s="331">
        <v>5</v>
      </c>
      <c r="E110" s="332">
        <v>50865</v>
      </c>
      <c r="F110" s="333">
        <v>30709932876</v>
      </c>
      <c r="G110" s="334" t="str">
        <f>IFERROR(IF(compras_mes1[[#This Row],[CUIT]]="","-",VLOOKUP(compras_mes1[[#This Row],[CUIT]],Lista_CUIT[#All],2,0)),"CUIT NO CARGADO")</f>
        <v>Mega Envases S.A.</v>
      </c>
      <c r="H110" s="335">
        <v>12442584.4</v>
      </c>
      <c r="I110" s="336">
        <f>IF(compras_mes1[[#This Row],[NETO GRAVADO]]="","",compras_mes1[[#This Row],[NETO GRAVADO]]*0.21)</f>
        <v>2612942.7239999999</v>
      </c>
      <c r="J110" s="336"/>
      <c r="K110" s="336"/>
      <c r="L110" s="336"/>
      <c r="M110" s="336"/>
      <c r="N110" s="336">
        <v>746555.06</v>
      </c>
      <c r="O110" s="336"/>
      <c r="P110" s="337">
        <f>SUM(compras_mes1[[#This Row],[NETO GRAVADO]:[Otros / No Grav.]])</f>
        <v>15802082.184</v>
      </c>
      <c r="Q110" s="334" t="str">
        <f>IFERROR(IF(compras_mes1[[#This Row],[CUIT]]="","-",VLOOKUP(compras_mes1[[#This Row],[CUIT]],Lista_CUIT[#All],3,0)),"CUIT NO CARGADO")</f>
        <v>Material de Empaque</v>
      </c>
      <c r="R110" s="338">
        <f>IFERROR(IF(compras_mes1[[#This Row],[CUIT]]="","-",VLOOKUP(compras_mes1[[#This Row],[CUIT]],Lista_CUIT[#All],4,0)),"CUIT NO CARGADO")</f>
        <v>0</v>
      </c>
    </row>
    <row r="111" spans="2:18">
      <c r="B111" s="329">
        <v>45313</v>
      </c>
      <c r="C111" s="330">
        <v>1</v>
      </c>
      <c r="D111" s="331">
        <v>2</v>
      </c>
      <c r="E111" s="332">
        <v>1142</v>
      </c>
      <c r="F111" s="333">
        <v>20172319743</v>
      </c>
      <c r="G111" s="334" t="str">
        <f>IFERROR(IF(compras_mes1[[#This Row],[CUIT]]="","-",VLOOKUP(compras_mes1[[#This Row],[CUIT]],Lista_CUIT[#All],2,0)),"CUIT NO CARGADO")</f>
        <v>IACONIS SERGIO OMAR</v>
      </c>
      <c r="H111" s="335">
        <v>1782188.2200000002</v>
      </c>
      <c r="I111" s="336">
        <f>IF(compras_mes1[[#This Row],[NETO GRAVADO]]="","",compras_mes1[[#This Row],[NETO GRAVADO]]*0.21)</f>
        <v>374259.52620000002</v>
      </c>
      <c r="J111" s="336"/>
      <c r="K111" s="336"/>
      <c r="L111" s="336"/>
      <c r="M111" s="336"/>
      <c r="N111" s="336"/>
      <c r="O111" s="336"/>
      <c r="P111" s="337">
        <f>SUM(compras_mes1[[#This Row],[NETO GRAVADO]:[Otros / No Grav.]])</f>
        <v>2156447.7462000004</v>
      </c>
      <c r="Q111" s="334" t="str">
        <f>IFERROR(IF(compras_mes1[[#This Row],[CUIT]]="","-",VLOOKUP(compras_mes1[[#This Row],[CUIT]],Lista_CUIT[#All],3,0)),"CUIT NO CARGADO")</f>
        <v>Material de Empaque</v>
      </c>
      <c r="R111" s="338">
        <f>IFERROR(IF(compras_mes1[[#This Row],[CUIT]]="","-",VLOOKUP(compras_mes1[[#This Row],[CUIT]],Lista_CUIT[#All],4,0)),"CUIT NO CARGADO")</f>
        <v>0</v>
      </c>
    </row>
    <row r="112" spans="2:18">
      <c r="B112" s="329">
        <v>45320</v>
      </c>
      <c r="C112" s="330">
        <v>1</v>
      </c>
      <c r="D112" s="331">
        <v>4</v>
      </c>
      <c r="E112" s="332">
        <v>41954</v>
      </c>
      <c r="F112" s="333">
        <v>30585948817</v>
      </c>
      <c r="G112" s="334" t="str">
        <f>IFERROR(IF(compras_mes1[[#This Row],[CUIT]]="","-",VLOOKUP(compras_mes1[[#This Row],[CUIT]],Lista_CUIT[#All],2,0)),"CUIT NO CARGADO")</f>
        <v xml:space="preserve">GLASCAR </v>
      </c>
      <c r="H112" s="335">
        <v>6522258.7000000002</v>
      </c>
      <c r="I112" s="336">
        <f>IF(compras_mes1[[#This Row],[NETO GRAVADO]]="","",compras_mes1[[#This Row],[NETO GRAVADO]]*0.21)</f>
        <v>1369674.327</v>
      </c>
      <c r="J112" s="336"/>
      <c r="K112" s="336"/>
      <c r="L112" s="336"/>
      <c r="M112" s="336"/>
      <c r="N112" s="336">
        <v>391335.52</v>
      </c>
      <c r="O112" s="336"/>
      <c r="P112" s="337">
        <f>SUM(compras_mes1[[#This Row],[NETO GRAVADO]:[Otros / No Grav.]])</f>
        <v>8283268.5470000003</v>
      </c>
      <c r="Q112" s="334" t="str">
        <f>IFERROR(IF(compras_mes1[[#This Row],[CUIT]]="","-",VLOOKUP(compras_mes1[[#This Row],[CUIT]],Lista_CUIT[#All],3,0)),"CUIT NO CARGADO")</f>
        <v>Material de Empaque</v>
      </c>
      <c r="R112" s="338">
        <f>IFERROR(IF(compras_mes1[[#This Row],[CUIT]]="","-",VLOOKUP(compras_mes1[[#This Row],[CUIT]],Lista_CUIT[#All],4,0)),"CUIT NO CARGADO")</f>
        <v>0</v>
      </c>
    </row>
    <row r="113" spans="2:18">
      <c r="B113" s="329">
        <v>45320</v>
      </c>
      <c r="C113" s="330">
        <v>1</v>
      </c>
      <c r="D113" s="331">
        <v>1</v>
      </c>
      <c r="E113" s="332">
        <v>210</v>
      </c>
      <c r="F113" s="333">
        <v>20077604627</v>
      </c>
      <c r="G113" s="334" t="str">
        <f>IFERROR(IF(compras_mes1[[#This Row],[CUIT]]="","-",VLOOKUP(compras_mes1[[#This Row],[CUIT]],Lista_CUIT[#All],2,0)),"CUIT NO CARGADO")</f>
        <v>OCAÑO ENRIQUE</v>
      </c>
      <c r="H113" s="335">
        <v>2901038.1</v>
      </c>
      <c r="I113" s="336">
        <f>IF(compras_mes1[[#This Row],[NETO GRAVADO]]="","",compras_mes1[[#This Row],[NETO GRAVADO]]*0.21)</f>
        <v>609218.00100000005</v>
      </c>
      <c r="J113" s="336"/>
      <c r="K113" s="336"/>
      <c r="L113" s="336"/>
      <c r="M113" s="336"/>
      <c r="N113" s="336"/>
      <c r="O113" s="336"/>
      <c r="P113" s="337">
        <f>SUM(compras_mes1[[#This Row],[NETO GRAVADO]:[Otros / No Grav.]])</f>
        <v>3510256.1010000003</v>
      </c>
      <c r="Q113" s="334" t="str">
        <f>IFERROR(IF(compras_mes1[[#This Row],[CUIT]]="","-",VLOOKUP(compras_mes1[[#This Row],[CUIT]],Lista_CUIT[#All],3,0)),"CUIT NO CARGADO")</f>
        <v>Material de Empaque</v>
      </c>
      <c r="R113" s="338">
        <f>IFERROR(IF(compras_mes1[[#This Row],[CUIT]]="","-",VLOOKUP(compras_mes1[[#This Row],[CUIT]],Lista_CUIT[#All],4,0)),"CUIT NO CARGADO")</f>
        <v>0</v>
      </c>
    </row>
    <row r="114" spans="2:18">
      <c r="B114" s="329">
        <v>45320</v>
      </c>
      <c r="C114" s="330">
        <v>1</v>
      </c>
      <c r="D114" s="331">
        <v>1</v>
      </c>
      <c r="E114" s="332">
        <v>209</v>
      </c>
      <c r="F114" s="333">
        <v>20077604627</v>
      </c>
      <c r="G114" s="334" t="str">
        <f>IFERROR(IF(compras_mes1[[#This Row],[CUIT]]="","-",VLOOKUP(compras_mes1[[#This Row],[CUIT]],Lista_CUIT[#All],2,0)),"CUIT NO CARGADO")</f>
        <v>OCAÑO ENRIQUE</v>
      </c>
      <c r="H114" s="335">
        <v>946218</v>
      </c>
      <c r="I114" s="336">
        <f>IF(compras_mes1[[#This Row],[NETO GRAVADO]]="","",compras_mes1[[#This Row],[NETO GRAVADO]]*0.21)</f>
        <v>198705.78</v>
      </c>
      <c r="J114" s="336"/>
      <c r="K114" s="336"/>
      <c r="L114" s="336"/>
      <c r="M114" s="336"/>
      <c r="N114" s="336"/>
      <c r="O114" s="336"/>
      <c r="P114" s="337">
        <f>SUM(compras_mes1[[#This Row],[NETO GRAVADO]:[Otros / No Grav.]])</f>
        <v>1144923.78</v>
      </c>
      <c r="Q114" s="334" t="str">
        <f>IFERROR(IF(compras_mes1[[#This Row],[CUIT]]="","-",VLOOKUP(compras_mes1[[#This Row],[CUIT]],Lista_CUIT[#All],3,0)),"CUIT NO CARGADO")</f>
        <v>Material de Empaque</v>
      </c>
      <c r="R114" s="338">
        <f>IFERROR(IF(compras_mes1[[#This Row],[CUIT]]="","-",VLOOKUP(compras_mes1[[#This Row],[CUIT]],Lista_CUIT[#All],4,0)),"CUIT NO CARGADO")</f>
        <v>0</v>
      </c>
    </row>
    <row r="115" spans="2:18">
      <c r="B115" s="329">
        <v>45321</v>
      </c>
      <c r="C115" s="330">
        <v>1</v>
      </c>
      <c r="D115" s="331">
        <v>4</v>
      </c>
      <c r="E115" s="332">
        <v>2930</v>
      </c>
      <c r="F115" s="333">
        <v>30708669306</v>
      </c>
      <c r="G115" s="334" t="str">
        <f>IFERROR(IF(compras_mes1[[#This Row],[CUIT]]="","-",VLOOKUP(compras_mes1[[#This Row],[CUIT]],Lista_CUIT[#All],2,0)),"CUIT NO CARGADO")</f>
        <v>MAYOLAS S.R.L.</v>
      </c>
      <c r="H115" s="335">
        <v>946400</v>
      </c>
      <c r="I115" s="336">
        <f>IF(compras_mes1[[#This Row],[NETO GRAVADO]]="","",compras_mes1[[#This Row],[NETO GRAVADO]]*0.21)</f>
        <v>198744</v>
      </c>
      <c r="J115" s="336"/>
      <c r="K115" s="336"/>
      <c r="L115" s="336"/>
      <c r="M115" s="336"/>
      <c r="N115" s="336"/>
      <c r="O115" s="336"/>
      <c r="P115" s="337">
        <f>SUM(compras_mes1[[#This Row],[NETO GRAVADO]:[Otros / No Grav.]])</f>
        <v>1145144</v>
      </c>
      <c r="Q115" s="334" t="str">
        <f>IFERROR(IF(compras_mes1[[#This Row],[CUIT]]="","-",VLOOKUP(compras_mes1[[#This Row],[CUIT]],Lista_CUIT[#All],3,0)),"CUIT NO CARGADO")</f>
        <v>Material de Empaque</v>
      </c>
      <c r="R115" s="338">
        <f>IFERROR(IF(compras_mes1[[#This Row],[CUIT]]="","-",VLOOKUP(compras_mes1[[#This Row],[CUIT]],Lista_CUIT[#All],4,0)),"CUIT NO CARGADO")</f>
        <v>0</v>
      </c>
    </row>
    <row r="116" spans="2:18">
      <c r="B116" s="167">
        <v>45322</v>
      </c>
      <c r="C116" s="168">
        <v>1</v>
      </c>
      <c r="D116" s="169">
        <v>1</v>
      </c>
      <c r="E116" s="170">
        <v>212</v>
      </c>
      <c r="F116" s="171">
        <v>20077604627</v>
      </c>
      <c r="G116" s="172" t="str">
        <f>IFERROR(IF(compras_mes1[[#This Row],[CUIT]]="","-",VLOOKUP(compras_mes1[[#This Row],[CUIT]],Lista_CUIT[#All],2,0)),"CUIT NO CARGADO")</f>
        <v>OCAÑO ENRIQUE</v>
      </c>
      <c r="H116" s="173">
        <v>2933017.52</v>
      </c>
      <c r="I116" s="174">
        <f>IF(compras_mes1[[#This Row],[NETO GRAVADO]]="","",compras_mes1[[#This Row],[NETO GRAVADO]]*0.21)</f>
        <v>615933.67920000001</v>
      </c>
      <c r="J116" s="174"/>
      <c r="K116" s="174"/>
      <c r="L116" s="174"/>
      <c r="M116" s="174"/>
      <c r="N116" s="174"/>
      <c r="O116" s="174"/>
      <c r="P116" s="175">
        <f>SUM(compras_mes1[[#This Row],[NETO GRAVADO]:[Otros / No Grav.]])</f>
        <v>3548951.1992000001</v>
      </c>
      <c r="Q116" s="172" t="str">
        <f>IFERROR(IF(compras_mes1[[#This Row],[CUIT]]="","-",VLOOKUP(compras_mes1[[#This Row],[CUIT]],Lista_CUIT[#All],3,0)),"CUIT NO CARGADO")</f>
        <v>Material de Empaque</v>
      </c>
      <c r="R116" s="176">
        <f>IFERROR(IF(compras_mes1[[#This Row],[CUIT]]="","-",VLOOKUP(compras_mes1[[#This Row],[CUIT]],Lista_CUIT[#All],4,0)),"CUIT NO CARGADO")</f>
        <v>0</v>
      </c>
    </row>
    <row r="117" spans="2:18">
      <c r="B117" s="329">
        <v>45300</v>
      </c>
      <c r="C117" s="330">
        <v>1</v>
      </c>
      <c r="D117" s="331">
        <v>2</v>
      </c>
      <c r="E117" s="332">
        <v>732</v>
      </c>
      <c r="F117" s="333">
        <v>20103069832</v>
      </c>
      <c r="G117" s="334" t="str">
        <f>IFERROR(IF(compras_mes1[[#This Row],[CUIT]]="","-",VLOOKUP(compras_mes1[[#This Row],[CUIT]],Lista_CUIT[#All],2,0)),"CUIT NO CARGADO")</f>
        <v>DE LUCA HECTOR RAFAEL FRANCI</v>
      </c>
      <c r="H117" s="335">
        <v>2000000</v>
      </c>
      <c r="I117" s="336">
        <f>IF(compras_mes1[[#This Row],[NETO GRAVADO]]="","",compras_mes1[[#This Row],[NETO GRAVADO]]*0.21)</f>
        <v>420000</v>
      </c>
      <c r="J117" s="336"/>
      <c r="K117" s="336"/>
      <c r="L117" s="336"/>
      <c r="M117" s="336"/>
      <c r="N117" s="336"/>
      <c r="O117" s="336">
        <v>0</v>
      </c>
      <c r="P117" s="337">
        <f>SUM(compras_mes1[[#This Row],[NETO GRAVADO]:[Otros / No Grav.]])</f>
        <v>2420000</v>
      </c>
      <c r="Q117" s="334" t="str">
        <f>IFERROR(IF(compras_mes1[[#This Row],[CUIT]]="","-",VLOOKUP(compras_mes1[[#This Row],[CUIT]],Lista_CUIT[#All],3,0)),"CUIT NO CARGADO")</f>
        <v>Material de Empaque</v>
      </c>
      <c r="R117" s="338">
        <f>IFERROR(IF(compras_mes1[[#This Row],[CUIT]]="","-",VLOOKUP(compras_mes1[[#This Row],[CUIT]],Lista_CUIT[#All],4,0)),"CUIT NO CARGADO")</f>
        <v>0</v>
      </c>
    </row>
    <row r="118" spans="2:18">
      <c r="B118" s="329">
        <v>45296</v>
      </c>
      <c r="C118" s="330">
        <v>1</v>
      </c>
      <c r="D118" s="331">
        <v>4</v>
      </c>
      <c r="E118" s="332">
        <v>23350</v>
      </c>
      <c r="F118" s="333">
        <v>30552433595</v>
      </c>
      <c r="G118" s="334" t="str">
        <f>IFERROR(IF(compras_mes1[[#This Row],[CUIT]]="","-",VLOOKUP(compras_mes1[[#This Row],[CUIT]],Lista_CUIT[#All],2,0)),"CUIT NO CARGADO")</f>
        <v>PIROPLAST SRL</v>
      </c>
      <c r="H118" s="335">
        <v>3027824.1</v>
      </c>
      <c r="I118" s="336">
        <f>IF(compras_mes1[[#This Row],[NETO GRAVADO]]="","",compras_mes1[[#This Row],[NETO GRAVADO]]*0.21)</f>
        <v>635843.06099999999</v>
      </c>
      <c r="J118" s="336"/>
      <c r="K118" s="336"/>
      <c r="L118" s="336"/>
      <c r="M118" s="336"/>
      <c r="N118" s="336"/>
      <c r="O118" s="336">
        <v>0</v>
      </c>
      <c r="P118" s="337">
        <f>SUM(compras_mes1[[#This Row],[NETO GRAVADO]:[Otros / No Grav.]])</f>
        <v>3663667.1610000003</v>
      </c>
      <c r="Q118" s="334" t="str">
        <f>IFERROR(IF(compras_mes1[[#This Row],[CUIT]]="","-",VLOOKUP(compras_mes1[[#This Row],[CUIT]],Lista_CUIT[#All],3,0)),"CUIT NO CARGADO")</f>
        <v>Material de Empaque</v>
      </c>
      <c r="R118" s="338">
        <f>IFERROR(IF(compras_mes1[[#This Row],[CUIT]]="","-",VLOOKUP(compras_mes1[[#This Row],[CUIT]],Lista_CUIT[#All],4,0)),"CUIT NO CARGADO")</f>
        <v>0</v>
      </c>
    </row>
    <row r="119" spans="2:18">
      <c r="B119" s="329">
        <v>45302</v>
      </c>
      <c r="C119" s="330">
        <v>1</v>
      </c>
      <c r="D119" s="331">
        <v>4</v>
      </c>
      <c r="E119" s="332">
        <v>23402</v>
      </c>
      <c r="F119" s="333">
        <v>30552433595</v>
      </c>
      <c r="G119" s="334" t="str">
        <f>IFERROR(IF(compras_mes1[[#This Row],[CUIT]]="","-",VLOOKUP(compras_mes1[[#This Row],[CUIT]],Lista_CUIT[#All],2,0)),"CUIT NO CARGADO")</f>
        <v>PIROPLAST SRL</v>
      </c>
      <c r="H119" s="335">
        <v>998298</v>
      </c>
      <c r="I119" s="336">
        <f>IF(compras_mes1[[#This Row],[NETO GRAVADO]]="","",compras_mes1[[#This Row],[NETO GRAVADO]]*0.21)</f>
        <v>209642.58</v>
      </c>
      <c r="J119" s="336"/>
      <c r="K119" s="336"/>
      <c r="L119" s="336"/>
      <c r="M119" s="336"/>
      <c r="N119" s="336"/>
      <c r="O119" s="336"/>
      <c r="P119" s="337">
        <f>SUM(compras_mes1[[#This Row],[NETO GRAVADO]:[Otros / No Grav.]])</f>
        <v>1207940.58</v>
      </c>
      <c r="Q119" s="334" t="str">
        <f>IFERROR(IF(compras_mes1[[#This Row],[CUIT]]="","-",VLOOKUP(compras_mes1[[#This Row],[CUIT]],Lista_CUIT[#All],3,0)),"CUIT NO CARGADO")</f>
        <v>Material de Empaque</v>
      </c>
      <c r="R119" s="338">
        <f>IFERROR(IF(compras_mes1[[#This Row],[CUIT]]="","-",VLOOKUP(compras_mes1[[#This Row],[CUIT]],Lista_CUIT[#All],4,0)),"CUIT NO CARGADO")</f>
        <v>0</v>
      </c>
    </row>
    <row r="120" spans="2:18">
      <c r="B120" s="167">
        <v>45294</v>
      </c>
      <c r="C120" s="168">
        <v>1</v>
      </c>
      <c r="D120" s="169">
        <v>711</v>
      </c>
      <c r="E120" s="170">
        <v>5187692</v>
      </c>
      <c r="F120" s="171">
        <v>30677237119</v>
      </c>
      <c r="G120" s="172" t="str">
        <f>IFERROR(IF(compras_mes1[[#This Row],[CUIT]]="","-",VLOOKUP(compras_mes1[[#This Row],[CUIT]],Lista_CUIT[#All],2,0)),"CUIT NO CARGADO")</f>
        <v>AUTOPISTAS DEL SOL S A</v>
      </c>
      <c r="H120" s="173">
        <v>4772.66</v>
      </c>
      <c r="I120" s="174">
        <f>IF(compras_mes1[[#This Row],[NETO GRAVADO]]="","",compras_mes1[[#This Row],[NETO GRAVADO]]*0.21)</f>
        <v>1002.2585999999999</v>
      </c>
      <c r="J120" s="174"/>
      <c r="K120" s="174"/>
      <c r="L120" s="174"/>
      <c r="M120" s="174"/>
      <c r="N120" s="174"/>
      <c r="O120" s="174">
        <v>143.18</v>
      </c>
      <c r="P120" s="175">
        <f>SUM(compras_mes1[[#This Row],[NETO GRAVADO]:[Otros / No Grav.]])</f>
        <v>5918.0986000000003</v>
      </c>
      <c r="Q120" s="172" t="str">
        <f>IFERROR(IF(compras_mes1[[#This Row],[CUIT]]="","-",VLOOKUP(compras_mes1[[#This Row],[CUIT]],Lista_CUIT[#All],3,0)),"CUIT NO CARGADO")</f>
        <v>Peajes</v>
      </c>
      <c r="R120" s="176">
        <f>IFERROR(IF(compras_mes1[[#This Row],[CUIT]]="","-",VLOOKUP(compras_mes1[[#This Row],[CUIT]],Lista_CUIT[#All],4,0)),"CUIT NO CARGADO")</f>
        <v>0</v>
      </c>
    </row>
    <row r="121" spans="2:18">
      <c r="B121" s="167">
        <v>45294</v>
      </c>
      <c r="C121" s="168">
        <v>1</v>
      </c>
      <c r="D121" s="169">
        <v>5014</v>
      </c>
      <c r="E121" s="170">
        <v>557018</v>
      </c>
      <c r="F121" s="171">
        <v>30574876474</v>
      </c>
      <c r="G121" s="172" t="str">
        <f>IFERROR(IF(compras_mes1[[#This Row],[CUIT]]="","-",VLOOKUP(compras_mes1[[#This Row],[CUIT]],Lista_CUIT[#All],2,0)),"CUIT NO CARGADO")</f>
        <v>AUTOPISTAS URBANAS S A</v>
      </c>
      <c r="H121" s="173">
        <v>36841.449999999997</v>
      </c>
      <c r="I121" s="174">
        <f>IF(compras_mes1[[#This Row],[NETO GRAVADO]]="","",compras_mes1[[#This Row],[NETO GRAVADO]]*0.21)</f>
        <v>7736.7044999999989</v>
      </c>
      <c r="J121" s="174"/>
      <c r="K121" s="174"/>
      <c r="L121" s="174"/>
      <c r="M121" s="174"/>
      <c r="N121" s="174">
        <v>3684.07</v>
      </c>
      <c r="O121" s="174">
        <v>1105.22</v>
      </c>
      <c r="P121" s="175">
        <f>SUM(compras_mes1[[#This Row],[NETO GRAVADO]:[Otros / No Grav.]])</f>
        <v>49367.444499999998</v>
      </c>
      <c r="Q121" s="172" t="str">
        <f>IFERROR(IF(compras_mes1[[#This Row],[CUIT]]="","-",VLOOKUP(compras_mes1[[#This Row],[CUIT]],Lista_CUIT[#All],3,0)),"CUIT NO CARGADO")</f>
        <v>Peajes</v>
      </c>
      <c r="R121" s="176">
        <f>IFERROR(IF(compras_mes1[[#This Row],[CUIT]]="","-",VLOOKUP(compras_mes1[[#This Row],[CUIT]],Lista_CUIT[#All],4,0)),"CUIT NO CARGADO")</f>
        <v>0</v>
      </c>
    </row>
    <row r="122" spans="2:18">
      <c r="B122" s="167">
        <v>45294</v>
      </c>
      <c r="C122" s="168">
        <v>1</v>
      </c>
      <c r="D122" s="169">
        <v>629</v>
      </c>
      <c r="E122" s="170">
        <v>4783884</v>
      </c>
      <c r="F122" s="171">
        <v>30663498513</v>
      </c>
      <c r="G122" s="172" t="str">
        <f>IFERROR(IF(compras_mes1[[#This Row],[CUIT]]="","-",VLOOKUP(compras_mes1[[#This Row],[CUIT]],Lista_CUIT[#All],2,0)),"CUIT NO CARGADO")</f>
        <v>GRUPO CONCES. DEL OESTE SA</v>
      </c>
      <c r="H122" s="173">
        <v>11404.82</v>
      </c>
      <c r="I122" s="174">
        <f>IF(compras_mes1[[#This Row],[NETO GRAVADO]]="","",compras_mes1[[#This Row],[NETO GRAVADO]]*0.21)</f>
        <v>2395.0121999999997</v>
      </c>
      <c r="J122" s="174"/>
      <c r="K122" s="174"/>
      <c r="L122" s="174"/>
      <c r="M122" s="174"/>
      <c r="N122" s="174"/>
      <c r="O122" s="174">
        <v>0</v>
      </c>
      <c r="P122" s="175">
        <f>SUM(compras_mes1[[#This Row],[NETO GRAVADO]:[Otros / No Grav.]])</f>
        <v>13799.832199999999</v>
      </c>
      <c r="Q122" s="172" t="str">
        <f>IFERROR(IF(compras_mes1[[#This Row],[CUIT]]="","-",VLOOKUP(compras_mes1[[#This Row],[CUIT]],Lista_CUIT[#All],3,0)),"CUIT NO CARGADO")</f>
        <v>Peajes</v>
      </c>
      <c r="R122" s="176">
        <f>IFERROR(IF(compras_mes1[[#This Row],[CUIT]]="","-",VLOOKUP(compras_mes1[[#This Row],[CUIT]],Lista_CUIT[#All],4,0)),"CUIT NO CARGADO")</f>
        <v>0</v>
      </c>
    </row>
    <row r="123" spans="2:18">
      <c r="B123" s="167">
        <v>45300</v>
      </c>
      <c r="C123" s="168">
        <v>1</v>
      </c>
      <c r="D123" s="169">
        <v>700</v>
      </c>
      <c r="E123" s="170">
        <v>1389521</v>
      </c>
      <c r="F123" s="171">
        <v>30715804812</v>
      </c>
      <c r="G123" s="172" t="str">
        <f>IFERROR(IF(compras_mes1[[#This Row],[CUIT]]="","-",VLOOKUP(compras_mes1[[#This Row],[CUIT]],Lista_CUIT[#All],2,0)),"CUIT NO CARGADO")</f>
        <v>CORREDORES VIALES SOCIEDAD ANONIMA</v>
      </c>
      <c r="H123" s="173">
        <v>2768.59</v>
      </c>
      <c r="I123" s="174">
        <f>IF(compras_mes1[[#This Row],[NETO GRAVADO]]="","",compras_mes1[[#This Row],[NETO GRAVADO]]*0.21)</f>
        <v>581.40390000000002</v>
      </c>
      <c r="J123" s="174"/>
      <c r="K123" s="174"/>
      <c r="L123" s="174"/>
      <c r="M123" s="174"/>
      <c r="N123" s="174"/>
      <c r="O123" s="174">
        <v>0</v>
      </c>
      <c r="P123" s="175">
        <f>SUM(compras_mes1[[#This Row],[NETO GRAVADO]:[Otros / No Grav.]])</f>
        <v>3349.9939000000004</v>
      </c>
      <c r="Q123" s="172" t="str">
        <f>IFERROR(IF(compras_mes1[[#This Row],[CUIT]]="","-",VLOOKUP(compras_mes1[[#This Row],[CUIT]],Lista_CUIT[#All],3,0)),"CUIT NO CARGADO")</f>
        <v>Peajes</v>
      </c>
      <c r="R123" s="176">
        <f>IFERROR(IF(compras_mes1[[#This Row],[CUIT]]="","-",VLOOKUP(compras_mes1[[#This Row],[CUIT]],Lista_CUIT[#All],4,0)),"CUIT NO CARGADO")</f>
        <v>0</v>
      </c>
    </row>
    <row r="124" spans="2:18">
      <c r="B124" s="167">
        <v>45308</v>
      </c>
      <c r="C124" s="168">
        <v>1</v>
      </c>
      <c r="D124" s="169">
        <v>629</v>
      </c>
      <c r="E124" s="170">
        <v>4822622</v>
      </c>
      <c r="F124" s="171">
        <v>30663498513</v>
      </c>
      <c r="G124" s="172" t="str">
        <f>IFERROR(IF(compras_mes1[[#This Row],[CUIT]]="","-",VLOOKUP(compras_mes1[[#This Row],[CUIT]],Lista_CUIT[#All],2,0)),"CUIT NO CARGADO")</f>
        <v>GRUPO CONCES. DEL OESTE SA</v>
      </c>
      <c r="H124" s="173">
        <v>11032.92</v>
      </c>
      <c r="I124" s="174">
        <f>IF(compras_mes1[[#This Row],[NETO GRAVADO]]="","",compras_mes1[[#This Row],[NETO GRAVADO]]*0.21)</f>
        <v>2316.9132</v>
      </c>
      <c r="J124" s="174"/>
      <c r="K124" s="174"/>
      <c r="L124" s="174"/>
      <c r="M124" s="174"/>
      <c r="N124" s="174"/>
      <c r="O124" s="174"/>
      <c r="P124" s="175">
        <f>SUM(compras_mes1[[#This Row],[NETO GRAVADO]:[Otros / No Grav.]])</f>
        <v>13349.833200000001</v>
      </c>
      <c r="Q124" s="172" t="str">
        <f>IFERROR(IF(compras_mes1[[#This Row],[CUIT]]="","-",VLOOKUP(compras_mes1[[#This Row],[CUIT]],Lista_CUIT[#All],3,0)),"CUIT NO CARGADO")</f>
        <v>Peajes</v>
      </c>
      <c r="R124" s="176">
        <f>IFERROR(IF(compras_mes1[[#This Row],[CUIT]]="","-",VLOOKUP(compras_mes1[[#This Row],[CUIT]],Lista_CUIT[#All],4,0)),"CUIT NO CARGADO")</f>
        <v>0</v>
      </c>
    </row>
    <row r="125" spans="2:18">
      <c r="B125" s="167">
        <v>45308</v>
      </c>
      <c r="C125" s="168">
        <v>1</v>
      </c>
      <c r="D125" s="169">
        <v>711</v>
      </c>
      <c r="E125" s="170">
        <v>5244404</v>
      </c>
      <c r="F125" s="171">
        <v>30677237119</v>
      </c>
      <c r="G125" s="172" t="str">
        <f>IFERROR(IF(compras_mes1[[#This Row],[CUIT]]="","-",VLOOKUP(compras_mes1[[#This Row],[CUIT]],Lista_CUIT[#All],2,0)),"CUIT NO CARGADO")</f>
        <v>AUTOPISTAS DEL SOL S A</v>
      </c>
      <c r="H125" s="173">
        <v>7107.35</v>
      </c>
      <c r="I125" s="174">
        <f>IF(compras_mes1[[#This Row],[NETO GRAVADO]]="","",compras_mes1[[#This Row],[NETO GRAVADO]]*0.21)</f>
        <v>1492.5435</v>
      </c>
      <c r="J125" s="174"/>
      <c r="K125" s="174"/>
      <c r="L125" s="174"/>
      <c r="M125" s="174"/>
      <c r="N125" s="174"/>
      <c r="O125" s="174">
        <v>213.22</v>
      </c>
      <c r="P125" s="175">
        <f>SUM(compras_mes1[[#This Row],[NETO GRAVADO]:[Otros / No Grav.]])</f>
        <v>8813.1134999999995</v>
      </c>
      <c r="Q125" s="172" t="str">
        <f>IFERROR(IF(compras_mes1[[#This Row],[CUIT]]="","-",VLOOKUP(compras_mes1[[#This Row],[CUIT]],Lista_CUIT[#All],3,0)),"CUIT NO CARGADO")</f>
        <v>Peajes</v>
      </c>
      <c r="R125" s="176">
        <f>IFERROR(IF(compras_mes1[[#This Row],[CUIT]]="","-",VLOOKUP(compras_mes1[[#This Row],[CUIT]],Lista_CUIT[#All],4,0)),"CUIT NO CARGADO")</f>
        <v>0</v>
      </c>
    </row>
    <row r="126" spans="2:18">
      <c r="B126" s="167">
        <v>45309</v>
      </c>
      <c r="C126" s="168">
        <v>1</v>
      </c>
      <c r="D126" s="169">
        <v>5014</v>
      </c>
      <c r="E126" s="170">
        <v>563960</v>
      </c>
      <c r="F126" s="171">
        <v>30574876474</v>
      </c>
      <c r="G126" s="172" t="str">
        <f>IFERROR(IF(compras_mes1[[#This Row],[CUIT]]="","-",VLOOKUP(compras_mes1[[#This Row],[CUIT]],Lista_CUIT[#All],2,0)),"CUIT NO CARGADO")</f>
        <v>AUTOPISTAS URBANAS S A</v>
      </c>
      <c r="H126" s="173">
        <v>48826.48</v>
      </c>
      <c r="I126" s="174">
        <f>IF(compras_mes1[[#This Row],[NETO GRAVADO]]="","",compras_mes1[[#This Row],[NETO GRAVADO]]*0.21)</f>
        <v>10253.560800000001</v>
      </c>
      <c r="J126" s="174"/>
      <c r="K126" s="174"/>
      <c r="L126" s="174"/>
      <c r="M126" s="174"/>
      <c r="N126" s="174">
        <v>4882.62</v>
      </c>
      <c r="O126" s="174">
        <v>1464.78</v>
      </c>
      <c r="P126" s="175">
        <f>SUM(compras_mes1[[#This Row],[NETO GRAVADO]:[Otros / No Grav.]])</f>
        <v>65427.440800000004</v>
      </c>
      <c r="Q126" s="172" t="str">
        <f>IFERROR(IF(compras_mes1[[#This Row],[CUIT]]="","-",VLOOKUP(compras_mes1[[#This Row],[CUIT]],Lista_CUIT[#All],3,0)),"CUIT NO CARGADO")</f>
        <v>Peajes</v>
      </c>
      <c r="R126" s="176">
        <f>IFERROR(IF(compras_mes1[[#This Row],[CUIT]]="","-",VLOOKUP(compras_mes1[[#This Row],[CUIT]],Lista_CUIT[#All],4,0)),"CUIT NO CARGADO")</f>
        <v>0</v>
      </c>
    </row>
    <row r="127" spans="2:18">
      <c r="B127" s="167">
        <v>45316</v>
      </c>
      <c r="C127" s="168">
        <v>1</v>
      </c>
      <c r="D127" s="169">
        <v>700</v>
      </c>
      <c r="E127" s="170">
        <v>1422758</v>
      </c>
      <c r="F127" s="171">
        <v>30715804812</v>
      </c>
      <c r="G127" s="172" t="str">
        <f>IFERROR(IF(compras_mes1[[#This Row],[CUIT]]="","-",VLOOKUP(compras_mes1[[#This Row],[CUIT]],Lista_CUIT[#All],2,0)),"CUIT NO CARGADO")</f>
        <v>CORREDORES VIALES SOCIEDAD ANONIMA</v>
      </c>
      <c r="H127" s="173">
        <v>1611.57</v>
      </c>
      <c r="I127" s="174">
        <f>IF(compras_mes1[[#This Row],[NETO GRAVADO]]="","",compras_mes1[[#This Row],[NETO GRAVADO]]*0.21)</f>
        <v>338.42969999999997</v>
      </c>
      <c r="J127" s="174"/>
      <c r="K127" s="174"/>
      <c r="L127" s="174"/>
      <c r="M127" s="174"/>
      <c r="N127" s="174"/>
      <c r="O127" s="174"/>
      <c r="P127" s="175">
        <f>SUM(compras_mes1[[#This Row],[NETO GRAVADO]:[Otros / No Grav.]])</f>
        <v>1949.9996999999998</v>
      </c>
      <c r="Q127" s="172" t="str">
        <f>IFERROR(IF(compras_mes1[[#This Row],[CUIT]]="","-",VLOOKUP(compras_mes1[[#This Row],[CUIT]],Lista_CUIT[#All],3,0)),"CUIT NO CARGADO")</f>
        <v>Peajes</v>
      </c>
      <c r="R127" s="176">
        <f>IFERROR(IF(compras_mes1[[#This Row],[CUIT]]="","-",VLOOKUP(compras_mes1[[#This Row],[CUIT]],Lista_CUIT[#All],4,0)),"CUIT NO CARGADO")</f>
        <v>0</v>
      </c>
    </row>
    <row r="128" spans="2:18">
      <c r="B128" s="167">
        <v>45322</v>
      </c>
      <c r="C128" s="168">
        <v>1</v>
      </c>
      <c r="D128" s="169">
        <v>50</v>
      </c>
      <c r="E128" s="170">
        <v>3447877</v>
      </c>
      <c r="F128" s="171">
        <v>30714112836</v>
      </c>
      <c r="G128" s="172" t="str">
        <f>IFERROR(IF(compras_mes1[[#This Row],[CUIT]]="","-",VLOOKUP(compras_mes1[[#This Row],[CUIT]],Lista_CUIT[#All],2,0)),"CUIT NO CARGADO")</f>
        <v>AUTOPISTAS DE BS AS</v>
      </c>
      <c r="H128" s="173">
        <v>17863.64</v>
      </c>
      <c r="I128" s="174">
        <f>IF(compras_mes1[[#This Row],[NETO GRAVADO]]="","",compras_mes1[[#This Row],[NETO GRAVADO]]*0.21)</f>
        <v>3751.3643999999999</v>
      </c>
      <c r="J128" s="174"/>
      <c r="K128" s="174"/>
      <c r="L128" s="174">
        <v>535.91</v>
      </c>
      <c r="M128" s="174"/>
      <c r="N128" s="174"/>
      <c r="O128" s="174"/>
      <c r="P128" s="175">
        <f>SUM(compras_mes1[[#This Row],[NETO GRAVADO]:[Otros / No Grav.]])</f>
        <v>22150.914399999998</v>
      </c>
      <c r="Q128" s="172" t="str">
        <f>IFERROR(IF(compras_mes1[[#This Row],[CUIT]]="","-",VLOOKUP(compras_mes1[[#This Row],[CUIT]],Lista_CUIT[#All],3,0)),"CUIT NO CARGADO")</f>
        <v>Peajes</v>
      </c>
      <c r="R128" s="176">
        <f>IFERROR(IF(compras_mes1[[#This Row],[CUIT]]="","-",VLOOKUP(compras_mes1[[#This Row],[CUIT]],Lista_CUIT[#All],4,0)),"CUIT NO CARGADO")</f>
        <v>0</v>
      </c>
    </row>
    <row r="129" spans="2:18">
      <c r="B129" s="329">
        <v>45313</v>
      </c>
      <c r="C129" s="330">
        <v>1</v>
      </c>
      <c r="D129" s="331">
        <v>2</v>
      </c>
      <c r="E129" s="332">
        <v>7318</v>
      </c>
      <c r="F129" s="333">
        <v>33714677239</v>
      </c>
      <c r="G129" s="334" t="str">
        <f>IFERROR(IF(compras_mes1[[#This Row],[CUIT]]="","-",VLOOKUP(compras_mes1[[#This Row],[CUIT]],Lista_CUIT[#All],2,0)),"CUIT NO CARGADO")</f>
        <v xml:space="preserve">BOMBAS VAPORIZADORAS </v>
      </c>
      <c r="H129" s="335">
        <v>3440924</v>
      </c>
      <c r="I129" s="336">
        <f>IF(compras_mes1[[#This Row],[NETO GRAVADO]]="","",compras_mes1[[#This Row],[NETO GRAVADO]]*0.21)</f>
        <v>722594.03999999992</v>
      </c>
      <c r="J129" s="336"/>
      <c r="K129" s="336"/>
      <c r="L129" s="336"/>
      <c r="M129" s="336"/>
      <c r="N129" s="336"/>
      <c r="O129" s="336"/>
      <c r="P129" s="337">
        <f>SUM(compras_mes1[[#This Row],[NETO GRAVADO]:[Otros / No Grav.]])</f>
        <v>4163518.04</v>
      </c>
      <c r="Q129" s="334" t="str">
        <f>IFERROR(IF(compras_mes1[[#This Row],[CUIT]]="","-",VLOOKUP(compras_mes1[[#This Row],[CUIT]],Lista_CUIT[#All],3,0)),"CUIT NO CARGADO")</f>
        <v>Productos Venta</v>
      </c>
      <c r="R129" s="338">
        <f>IFERROR(IF(compras_mes1[[#This Row],[CUIT]]="","-",VLOOKUP(compras_mes1[[#This Row],[CUIT]],Lista_CUIT[#All],4,0)),"CUIT NO CARGADO")</f>
        <v>0</v>
      </c>
    </row>
    <row r="130" spans="2:18">
      <c r="B130" s="329">
        <v>45293</v>
      </c>
      <c r="C130" s="330">
        <v>1</v>
      </c>
      <c r="D130" s="331">
        <v>1</v>
      </c>
      <c r="E130" s="332">
        <v>66</v>
      </c>
      <c r="F130" s="333">
        <v>30718148207</v>
      </c>
      <c r="G130" s="334" t="str">
        <f>IFERROR(IF(compras_mes1[[#This Row],[CUIT]]="","-",VLOOKUP(compras_mes1[[#This Row],[CUIT]],Lista_CUIT[#All],2,0)),"CUIT NO CARGADO")</f>
        <v>VIPA INTERNATIONAL S.R.L.</v>
      </c>
      <c r="H130" s="335">
        <v>2200000</v>
      </c>
      <c r="I130" s="336">
        <f>IF(compras_mes1[[#This Row],[NETO GRAVADO]]="","",compras_mes1[[#This Row],[NETO GRAVADO]]*0.21)</f>
        <v>462000</v>
      </c>
      <c r="J130" s="336"/>
      <c r="K130" s="336"/>
      <c r="L130" s="336"/>
      <c r="M130" s="336"/>
      <c r="N130" s="336"/>
      <c r="O130" s="336">
        <v>0</v>
      </c>
      <c r="P130" s="337">
        <f>SUM(compras_mes1[[#This Row],[NETO GRAVADO]:[Otros / No Grav.]])</f>
        <v>2662000</v>
      </c>
      <c r="Q130" s="334" t="str">
        <f>IFERROR(IF(compras_mes1[[#This Row],[CUIT]]="","-",VLOOKUP(compras_mes1[[#This Row],[CUIT]],Lista_CUIT[#All],3,0)),"CUIT NO CARGADO")</f>
        <v>Productos Venta</v>
      </c>
      <c r="R130" s="338">
        <f>IFERROR(IF(compras_mes1[[#This Row],[CUIT]]="","-",VLOOKUP(compras_mes1[[#This Row],[CUIT]],Lista_CUIT[#All],4,0)),"CUIT NO CARGADO")</f>
        <v>0</v>
      </c>
    </row>
    <row r="131" spans="2:18">
      <c r="B131" s="329">
        <v>45316</v>
      </c>
      <c r="C131" s="330">
        <v>1</v>
      </c>
      <c r="D131" s="331">
        <v>1</v>
      </c>
      <c r="E131" s="332">
        <v>82</v>
      </c>
      <c r="F131" s="333">
        <v>30718148207</v>
      </c>
      <c r="G131" s="334" t="str">
        <f>IFERROR(IF(compras_mes1[[#This Row],[CUIT]]="","-",VLOOKUP(compras_mes1[[#This Row],[CUIT]],Lista_CUIT[#All],2,0)),"CUIT NO CARGADO")</f>
        <v>VIPA INTERNATIONAL S.R.L.</v>
      </c>
      <c r="H131" s="335">
        <v>750000</v>
      </c>
      <c r="I131" s="336">
        <f>IF(compras_mes1[[#This Row],[NETO GRAVADO]]="","",compras_mes1[[#This Row],[NETO GRAVADO]]*0.21)</f>
        <v>157500</v>
      </c>
      <c r="J131" s="336"/>
      <c r="K131" s="336"/>
      <c r="L131" s="336"/>
      <c r="M131" s="336"/>
      <c r="N131" s="336"/>
      <c r="O131" s="336"/>
      <c r="P131" s="337">
        <f>SUM(compras_mes1[[#This Row],[NETO GRAVADO]:[Otros / No Grav.]])</f>
        <v>907500</v>
      </c>
      <c r="Q131" s="334" t="str">
        <f>IFERROR(IF(compras_mes1[[#This Row],[CUIT]]="","-",VLOOKUP(compras_mes1[[#This Row],[CUIT]],Lista_CUIT[#All],3,0)),"CUIT NO CARGADO")</f>
        <v>Productos Venta</v>
      </c>
      <c r="R131" s="338">
        <f>IFERROR(IF(compras_mes1[[#This Row],[CUIT]]="","-",VLOOKUP(compras_mes1[[#This Row],[CUIT]],Lista_CUIT[#All],4,0)),"CUIT NO CARGADO")</f>
        <v>0</v>
      </c>
    </row>
    <row r="132" spans="2:18">
      <c r="B132" s="329">
        <v>45295</v>
      </c>
      <c r="C132" s="330">
        <v>1</v>
      </c>
      <c r="D132" s="331">
        <v>2</v>
      </c>
      <c r="E132" s="332">
        <v>3564</v>
      </c>
      <c r="F132" s="333">
        <v>30629863571</v>
      </c>
      <c r="G132" s="334" t="str">
        <f>IFERROR(IF(compras_mes1[[#This Row],[CUIT]]="","-",VLOOKUP(compras_mes1[[#This Row],[CUIT]],Lista_CUIT[#All],2,0)),"CUIT NO CARGADO")</f>
        <v>TECNIMAR S R L</v>
      </c>
      <c r="H132" s="335">
        <v>4931982.1399999997</v>
      </c>
      <c r="I132" s="336">
        <f>IF(compras_mes1[[#This Row],[NETO GRAVADO]]="","",compras_mes1[[#This Row],[NETO GRAVADO]]*0.21)</f>
        <v>1035716.2493999999</v>
      </c>
      <c r="J132" s="336"/>
      <c r="K132" s="336"/>
      <c r="L132" s="336"/>
      <c r="M132" s="336"/>
      <c r="N132" s="336"/>
      <c r="O132" s="336">
        <v>0</v>
      </c>
      <c r="P132" s="337">
        <f>SUM(compras_mes1[[#This Row],[NETO GRAVADO]:[Otros / No Grav.]])</f>
        <v>5967698.3893999998</v>
      </c>
      <c r="Q132" s="334" t="str">
        <f>IFERROR(IF(compras_mes1[[#This Row],[CUIT]]="","-",VLOOKUP(compras_mes1[[#This Row],[CUIT]],Lista_CUIT[#All],3,0)),"CUIT NO CARGADO")</f>
        <v>Productos Venta</v>
      </c>
      <c r="R132" s="338">
        <f>IFERROR(IF(compras_mes1[[#This Row],[CUIT]]="","-",VLOOKUP(compras_mes1[[#This Row],[CUIT]],Lista_CUIT[#All],4,0)),"CUIT NO CARGADO")</f>
        <v>0</v>
      </c>
    </row>
    <row r="133" spans="2:18">
      <c r="B133" s="329">
        <v>45300</v>
      </c>
      <c r="C133" s="330">
        <v>1</v>
      </c>
      <c r="D133" s="331">
        <v>2</v>
      </c>
      <c r="E133" s="332">
        <v>3570</v>
      </c>
      <c r="F133" s="333">
        <v>30629863571</v>
      </c>
      <c r="G133" s="334" t="str">
        <f>IFERROR(IF(compras_mes1[[#This Row],[CUIT]]="","-",VLOOKUP(compras_mes1[[#This Row],[CUIT]],Lista_CUIT[#All],2,0)),"CUIT NO CARGADO")</f>
        <v>TECNIMAR S R L</v>
      </c>
      <c r="H133" s="335">
        <v>6528285.6200000001</v>
      </c>
      <c r="I133" s="336">
        <f>IF(compras_mes1[[#This Row],[NETO GRAVADO]]="","",compras_mes1[[#This Row],[NETO GRAVADO]]*0.21)</f>
        <v>1370939.9801999999</v>
      </c>
      <c r="J133" s="336"/>
      <c r="K133" s="336"/>
      <c r="L133" s="336"/>
      <c r="M133" s="336"/>
      <c r="N133" s="336"/>
      <c r="O133" s="336">
        <v>0</v>
      </c>
      <c r="P133" s="337">
        <f>SUM(compras_mes1[[#This Row],[NETO GRAVADO]:[Otros / No Grav.]])</f>
        <v>7899225.6002000002</v>
      </c>
      <c r="Q133" s="334" t="str">
        <f>IFERROR(IF(compras_mes1[[#This Row],[CUIT]]="","-",VLOOKUP(compras_mes1[[#This Row],[CUIT]],Lista_CUIT[#All],3,0)),"CUIT NO CARGADO")</f>
        <v>Productos Venta</v>
      </c>
      <c r="R133" s="338">
        <f>IFERROR(IF(compras_mes1[[#This Row],[CUIT]]="","-",VLOOKUP(compras_mes1[[#This Row],[CUIT]],Lista_CUIT[#All],4,0)),"CUIT NO CARGADO")</f>
        <v>0</v>
      </c>
    </row>
    <row r="134" spans="2:18">
      <c r="B134" s="329">
        <v>45301</v>
      </c>
      <c r="C134" s="330">
        <v>1</v>
      </c>
      <c r="D134" s="331">
        <v>2</v>
      </c>
      <c r="E134" s="332">
        <v>3571</v>
      </c>
      <c r="F134" s="333">
        <v>30629863571</v>
      </c>
      <c r="G134" s="334" t="str">
        <f>IFERROR(IF(compras_mes1[[#This Row],[CUIT]]="","-",VLOOKUP(compras_mes1[[#This Row],[CUIT]],Lista_CUIT[#All],2,0)),"CUIT NO CARGADO")</f>
        <v>TECNIMAR S R L</v>
      </c>
      <c r="H134" s="335">
        <v>5450043.6699999999</v>
      </c>
      <c r="I134" s="336">
        <f>IF(compras_mes1[[#This Row],[NETO GRAVADO]]="","",compras_mes1[[#This Row],[NETO GRAVADO]]*0.21)</f>
        <v>1144509.1706999999</v>
      </c>
      <c r="J134" s="336"/>
      <c r="K134" s="336"/>
      <c r="L134" s="336"/>
      <c r="M134" s="336"/>
      <c r="N134" s="336"/>
      <c r="O134" s="336"/>
      <c r="P134" s="337">
        <f>SUM(compras_mes1[[#This Row],[NETO GRAVADO]:[Otros / No Grav.]])</f>
        <v>6594552.8406999996</v>
      </c>
      <c r="Q134" s="334" t="str">
        <f>IFERROR(IF(compras_mes1[[#This Row],[CUIT]]="","-",VLOOKUP(compras_mes1[[#This Row],[CUIT]],Lista_CUIT[#All],3,0)),"CUIT NO CARGADO")</f>
        <v>Productos Venta</v>
      </c>
      <c r="R134" s="338">
        <f>IFERROR(IF(compras_mes1[[#This Row],[CUIT]]="","-",VLOOKUP(compras_mes1[[#This Row],[CUIT]],Lista_CUIT[#All],4,0)),"CUIT NO CARGADO")</f>
        <v>0</v>
      </c>
    </row>
    <row r="135" spans="2:18">
      <c r="B135" s="329">
        <v>45320</v>
      </c>
      <c r="C135" s="330">
        <v>1</v>
      </c>
      <c r="D135" s="331">
        <v>2</v>
      </c>
      <c r="E135" s="332">
        <v>3576</v>
      </c>
      <c r="F135" s="333">
        <v>30629863571</v>
      </c>
      <c r="G135" s="334" t="str">
        <f>IFERROR(IF(compras_mes1[[#This Row],[CUIT]]="","-",VLOOKUP(compras_mes1[[#This Row],[CUIT]],Lista_CUIT[#All],2,0)),"CUIT NO CARGADO")</f>
        <v>TECNIMAR S R L</v>
      </c>
      <c r="H135" s="335">
        <v>5977241.71</v>
      </c>
      <c r="I135" s="336">
        <f>IF(compras_mes1[[#This Row],[NETO GRAVADO]]="","",compras_mes1[[#This Row],[NETO GRAVADO]]*0.21)</f>
        <v>1255220.7590999999</v>
      </c>
      <c r="J135" s="336"/>
      <c r="K135" s="336"/>
      <c r="L135" s="336"/>
      <c r="M135" s="336"/>
      <c r="N135" s="336"/>
      <c r="O135" s="336"/>
      <c r="P135" s="337">
        <f>SUM(compras_mes1[[#This Row],[NETO GRAVADO]:[Otros / No Grav.]])</f>
        <v>7232462.4691000003</v>
      </c>
      <c r="Q135" s="334" t="str">
        <f>IFERROR(IF(compras_mes1[[#This Row],[CUIT]]="","-",VLOOKUP(compras_mes1[[#This Row],[CUIT]],Lista_CUIT[#All],3,0)),"CUIT NO CARGADO")</f>
        <v>Productos Venta</v>
      </c>
      <c r="R135" s="338">
        <f>IFERROR(IF(compras_mes1[[#This Row],[CUIT]]="","-",VLOOKUP(compras_mes1[[#This Row],[CUIT]],Lista_CUIT[#All],4,0)),"CUIT NO CARGADO")</f>
        <v>0</v>
      </c>
    </row>
    <row r="136" spans="2:18">
      <c r="B136" s="329">
        <v>45310</v>
      </c>
      <c r="C136" s="330">
        <v>1</v>
      </c>
      <c r="D136" s="331">
        <v>3</v>
      </c>
      <c r="E136" s="332">
        <v>6726</v>
      </c>
      <c r="F136" s="333">
        <v>30708006420</v>
      </c>
      <c r="G136" s="334" t="str">
        <f>IFERROR(IF(compras_mes1[[#This Row],[CUIT]]="","-",VLOOKUP(compras_mes1[[#This Row],[CUIT]],Lista_CUIT[#All],2,0)),"CUIT NO CARGADO")</f>
        <v>MEDILEA S.A.</v>
      </c>
      <c r="H136" s="335">
        <v>1500000</v>
      </c>
      <c r="I136" s="336">
        <f>IF(compras_mes1[[#This Row],[NETO GRAVADO]]="","",compras_mes1[[#This Row],[NETO GRAVADO]]*0.21)</f>
        <v>315000</v>
      </c>
      <c r="J136" s="336"/>
      <c r="K136" s="336"/>
      <c r="L136" s="336"/>
      <c r="M136" s="336"/>
      <c r="N136" s="336"/>
      <c r="O136" s="336"/>
      <c r="P136" s="337">
        <f>SUM(compras_mes1[[#This Row],[NETO GRAVADO]:[Otros / No Grav.]])</f>
        <v>1815000</v>
      </c>
      <c r="Q136" s="334" t="str">
        <f>IFERROR(IF(compras_mes1[[#This Row],[CUIT]]="","-",VLOOKUP(compras_mes1[[#This Row],[CUIT]],Lista_CUIT[#All],3,0)),"CUIT NO CARGADO")</f>
        <v>Productos Venta</v>
      </c>
      <c r="R136" s="338">
        <f>IFERROR(IF(compras_mes1[[#This Row],[CUIT]]="","-",VLOOKUP(compras_mes1[[#This Row],[CUIT]],Lista_CUIT[#All],4,0)),"CUIT NO CARGADO")</f>
        <v>0</v>
      </c>
    </row>
    <row r="137" spans="2:18">
      <c r="B137" s="329">
        <v>45294</v>
      </c>
      <c r="C137" s="330">
        <v>1</v>
      </c>
      <c r="D137" s="331">
        <v>3099</v>
      </c>
      <c r="E137" s="332">
        <v>2001</v>
      </c>
      <c r="F137" s="333">
        <v>30678814357</v>
      </c>
      <c r="G137" s="334" t="str">
        <f>IFERROR(IF(compras_mes1[[#This Row],[CUIT]]="","-",VLOOKUP(compras_mes1[[#This Row],[CUIT]],Lista_CUIT[#All],2,0)),"CUIT NO CARGADO")</f>
        <v>TELEFONICA MOVILES ARG</v>
      </c>
      <c r="H137" s="335">
        <v>42287.6</v>
      </c>
      <c r="I137" s="336"/>
      <c r="J137" s="336">
        <v>11417.65</v>
      </c>
      <c r="K137" s="336"/>
      <c r="L137" s="336">
        <v>1268.6300000000001</v>
      </c>
      <c r="M137" s="336"/>
      <c r="N137" s="336">
        <v>2537.2600000000002</v>
      </c>
      <c r="O137" s="336">
        <v>0</v>
      </c>
      <c r="P137" s="337">
        <f>SUM(compras_mes1[[#This Row],[NETO GRAVADO]:[Otros / No Grav.]])</f>
        <v>57511.14</v>
      </c>
      <c r="Q137" s="334" t="str">
        <f>IFERROR(IF(compras_mes1[[#This Row],[CUIT]]="","-",VLOOKUP(compras_mes1[[#This Row],[CUIT]],Lista_CUIT[#All],3,0)),"CUIT NO CARGADO")</f>
        <v>Servicios Gas, Luz, etc.</v>
      </c>
      <c r="R137" s="338">
        <f>IFERROR(IF(compras_mes1[[#This Row],[CUIT]]="","-",VLOOKUP(compras_mes1[[#This Row],[CUIT]],Lista_CUIT[#All],4,0)),"CUIT NO CARGADO")</f>
        <v>0</v>
      </c>
    </row>
    <row r="138" spans="2:18">
      <c r="B138" s="329">
        <v>45300</v>
      </c>
      <c r="C138" s="330">
        <v>1</v>
      </c>
      <c r="D138" s="331">
        <v>3101</v>
      </c>
      <c r="E138" s="332">
        <v>1157</v>
      </c>
      <c r="F138" s="333">
        <v>30678814357</v>
      </c>
      <c r="G138" s="334" t="str">
        <f>IFERROR(IF(compras_mes1[[#This Row],[CUIT]]="","-",VLOOKUP(compras_mes1[[#This Row],[CUIT]],Lista_CUIT[#All],2,0)),"CUIT NO CARGADO")</f>
        <v>TELEFONICA MOVILES ARG</v>
      </c>
      <c r="H138" s="335">
        <v>12479.45</v>
      </c>
      <c r="I138" s="336"/>
      <c r="J138" s="336">
        <v>3369.45</v>
      </c>
      <c r="K138" s="336"/>
      <c r="L138" s="336">
        <v>374.38</v>
      </c>
      <c r="M138" s="336"/>
      <c r="N138" s="336">
        <v>748.77</v>
      </c>
      <c r="O138" s="336">
        <v>0</v>
      </c>
      <c r="P138" s="337">
        <f>SUM(compras_mes1[[#This Row],[NETO GRAVADO]:[Otros / No Grav.]])</f>
        <v>16972.05</v>
      </c>
      <c r="Q138" s="334" t="str">
        <f>IFERROR(IF(compras_mes1[[#This Row],[CUIT]]="","-",VLOOKUP(compras_mes1[[#This Row],[CUIT]],Lista_CUIT[#All],3,0)),"CUIT NO CARGADO")</f>
        <v>Servicios Gas, Luz, etc.</v>
      </c>
      <c r="R138" s="338">
        <f>IFERROR(IF(compras_mes1[[#This Row],[CUIT]]="","-",VLOOKUP(compras_mes1[[#This Row],[CUIT]],Lista_CUIT[#All],4,0)),"CUIT NO CARGADO")</f>
        <v>0</v>
      </c>
    </row>
    <row r="139" spans="2:18">
      <c r="B139" s="329">
        <v>45301</v>
      </c>
      <c r="C139" s="330">
        <v>1</v>
      </c>
      <c r="D139" s="331">
        <v>6364</v>
      </c>
      <c r="E139" s="332">
        <v>8051167</v>
      </c>
      <c r="F139" s="333">
        <v>30639453738</v>
      </c>
      <c r="G139" s="334" t="str">
        <f>IFERROR(IF(compras_mes1[[#This Row],[CUIT]]="","-",VLOOKUP(compras_mes1[[#This Row],[CUIT]],Lista_CUIT[#All],2,0)),"CUIT NO CARGADO")</f>
        <v>TELECOM ARG SA</v>
      </c>
      <c r="H139" s="335">
        <v>121022.76</v>
      </c>
      <c r="I139" s="336">
        <v>24469.58</v>
      </c>
      <c r="J139" s="336">
        <v>1215.25</v>
      </c>
      <c r="K139" s="336"/>
      <c r="L139" s="336">
        <v>3630.68</v>
      </c>
      <c r="M139" s="336">
        <v>9.82</v>
      </c>
      <c r="N139" s="336">
        <v>6729.3</v>
      </c>
      <c r="O139" s="336">
        <v>83.64</v>
      </c>
      <c r="P139" s="337">
        <f>SUM(compras_mes1[[#This Row],[NETO GRAVADO]:[Otros / No Grav.]])</f>
        <v>157161.03</v>
      </c>
      <c r="Q139" s="334" t="str">
        <f>IFERROR(IF(compras_mes1[[#This Row],[CUIT]]="","-",VLOOKUP(compras_mes1[[#This Row],[CUIT]],Lista_CUIT[#All],3,0)),"CUIT NO CARGADO")</f>
        <v>Servicios Gas, Luz, etc.</v>
      </c>
      <c r="R139" s="338">
        <f>IFERROR(IF(compras_mes1[[#This Row],[CUIT]]="","-",VLOOKUP(compras_mes1[[#This Row],[CUIT]],Lista_CUIT[#All],4,0)),"CUIT NO CARGADO")</f>
        <v>0</v>
      </c>
    </row>
    <row r="140" spans="2:18">
      <c r="B140" s="167">
        <v>45306</v>
      </c>
      <c r="C140" s="168">
        <v>1</v>
      </c>
      <c r="D140" s="169">
        <v>4264</v>
      </c>
      <c r="E140" s="170">
        <v>3198890</v>
      </c>
      <c r="F140" s="171">
        <v>30639453738</v>
      </c>
      <c r="G140" s="172" t="str">
        <f>IFERROR(IF(compras_mes1[[#This Row],[CUIT]]="","-",VLOOKUP(compras_mes1[[#This Row],[CUIT]],Lista_CUIT[#All],2,0)),"CUIT NO CARGADO")</f>
        <v>TELECOM ARG SA</v>
      </c>
      <c r="H140" s="173">
        <v>26000</v>
      </c>
      <c r="I140" s="174">
        <f>IF(compras_mes1[[#This Row],[NETO GRAVADO]]="","",compras_mes1[[#This Row],[NETO GRAVADO]]*0.21)</f>
        <v>5460</v>
      </c>
      <c r="J140" s="174"/>
      <c r="K140" s="174"/>
      <c r="L140" s="174"/>
      <c r="M140" s="174"/>
      <c r="N140" s="174">
        <v>780</v>
      </c>
      <c r="O140" s="174"/>
      <c r="P140" s="175">
        <f>SUM(compras_mes1[[#This Row],[NETO GRAVADO]:[Otros / No Grav.]])</f>
        <v>32240</v>
      </c>
      <c r="Q140" s="172" t="str">
        <f>IFERROR(IF(compras_mes1[[#This Row],[CUIT]]="","-",VLOOKUP(compras_mes1[[#This Row],[CUIT]],Lista_CUIT[#All],3,0)),"CUIT NO CARGADO")</f>
        <v>Servicios Gas, Luz, etc.</v>
      </c>
      <c r="R140" s="176">
        <f>IFERROR(IF(compras_mes1[[#This Row],[CUIT]]="","-",VLOOKUP(compras_mes1[[#This Row],[CUIT]],Lista_CUIT[#All],4,0)),"CUIT NO CARGADO")</f>
        <v>0</v>
      </c>
    </row>
    <row r="141" spans="2:18">
      <c r="B141" s="329">
        <v>45306</v>
      </c>
      <c r="C141" s="330">
        <v>1</v>
      </c>
      <c r="D141" s="331">
        <v>4264</v>
      </c>
      <c r="E141" s="332">
        <v>3243515</v>
      </c>
      <c r="F141" s="333">
        <v>30639453738</v>
      </c>
      <c r="G141" s="334" t="str">
        <f>IFERROR(IF(compras_mes1[[#This Row],[CUIT]]="","-",VLOOKUP(compras_mes1[[#This Row],[CUIT]],Lista_CUIT[#All],2,0)),"CUIT NO CARGADO")</f>
        <v>TELECOM ARG SA</v>
      </c>
      <c r="H141" s="335">
        <v>70000</v>
      </c>
      <c r="I141" s="336">
        <f>IF(compras_mes1[[#This Row],[NETO GRAVADO]]="","",compras_mes1[[#This Row],[NETO GRAVADO]]*0.21)</f>
        <v>14700</v>
      </c>
      <c r="J141" s="336"/>
      <c r="K141" s="336"/>
      <c r="L141" s="336">
        <v>2100</v>
      </c>
      <c r="M141" s="336">
        <v>4200</v>
      </c>
      <c r="N141" s="336"/>
      <c r="O141" s="336"/>
      <c r="P141" s="337">
        <f>SUM(compras_mes1[[#This Row],[NETO GRAVADO]:[Otros / No Grav.]])</f>
        <v>91000</v>
      </c>
      <c r="Q141" s="334" t="str">
        <f>IFERROR(IF(compras_mes1[[#This Row],[CUIT]]="","-",VLOOKUP(compras_mes1[[#This Row],[CUIT]],Lista_CUIT[#All],3,0)),"CUIT NO CARGADO")</f>
        <v>Servicios Gas, Luz, etc.</v>
      </c>
      <c r="R141" s="338">
        <f>IFERROR(IF(compras_mes1[[#This Row],[CUIT]]="","-",VLOOKUP(compras_mes1[[#This Row],[CUIT]],Lista_CUIT[#All],4,0)),"CUIT NO CARGADO")</f>
        <v>0</v>
      </c>
    </row>
    <row r="142" spans="2:18">
      <c r="B142" s="167">
        <v>45306</v>
      </c>
      <c r="C142" s="168">
        <v>1</v>
      </c>
      <c r="D142" s="169">
        <v>4264</v>
      </c>
      <c r="E142" s="170">
        <v>3195886</v>
      </c>
      <c r="F142" s="171">
        <v>30639453738</v>
      </c>
      <c r="G142" s="172" t="str">
        <f>IFERROR(IF(compras_mes1[[#This Row],[CUIT]]="","-",VLOOKUP(compras_mes1[[#This Row],[CUIT]],Lista_CUIT[#All],2,0)),"CUIT NO CARGADO")</f>
        <v>TELECOM ARG SA</v>
      </c>
      <c r="H142" s="173">
        <v>35000</v>
      </c>
      <c r="I142" s="174">
        <f>IF(compras_mes1[[#This Row],[NETO GRAVADO]]="","",compras_mes1[[#This Row],[NETO GRAVADO]]*0.21)</f>
        <v>7350</v>
      </c>
      <c r="J142" s="174"/>
      <c r="K142" s="174"/>
      <c r="L142" s="174"/>
      <c r="M142" s="174"/>
      <c r="N142" s="174">
        <v>3150</v>
      </c>
      <c r="O142" s="174"/>
      <c r="P142" s="175">
        <f>SUM(compras_mes1[[#This Row],[NETO GRAVADO]:[Otros / No Grav.]])</f>
        <v>45500</v>
      </c>
      <c r="Q142" s="172" t="str">
        <f>IFERROR(IF(compras_mes1[[#This Row],[CUIT]]="","-",VLOOKUP(compras_mes1[[#This Row],[CUIT]],Lista_CUIT[#All],3,0)),"CUIT NO CARGADO")</f>
        <v>Servicios Gas, Luz, etc.</v>
      </c>
      <c r="R142" s="176">
        <f>IFERROR(IF(compras_mes1[[#This Row],[CUIT]]="","-",VLOOKUP(compras_mes1[[#This Row],[CUIT]],Lista_CUIT[#All],4,0)),"CUIT NO CARGADO")</f>
        <v>0</v>
      </c>
    </row>
    <row r="143" spans="2:18">
      <c r="B143" s="167">
        <v>45313</v>
      </c>
      <c r="C143" s="168">
        <v>1</v>
      </c>
      <c r="D143" s="169">
        <v>5</v>
      </c>
      <c r="E143" s="170">
        <v>2950480</v>
      </c>
      <c r="F143" s="171">
        <v>30702652975</v>
      </c>
      <c r="G143" s="172" t="str">
        <f>IFERROR(IF(compras_mes1[[#This Row],[CUIT]]="","-",VLOOKUP(compras_mes1[[#This Row],[CUIT]],Lista_CUIT[#All],2,0)),"CUIT NO CARGADO")</f>
        <v>NSS SA</v>
      </c>
      <c r="H143" s="173">
        <v>20731.32</v>
      </c>
      <c r="I143" s="174">
        <f>IF(compras_mes1[[#This Row],[NETO GRAVADO]]="","",compras_mes1[[#This Row],[NETO GRAVADO]]*0.21)</f>
        <v>4353.5771999999997</v>
      </c>
      <c r="J143" s="174"/>
      <c r="K143" s="174"/>
      <c r="L143" s="174"/>
      <c r="M143" s="174"/>
      <c r="N143" s="174">
        <v>1243.8800000000001</v>
      </c>
      <c r="O143" s="174"/>
      <c r="P143" s="175">
        <f>SUM(compras_mes1[[#This Row],[NETO GRAVADO]:[Otros / No Grav.]])</f>
        <v>26328.7772</v>
      </c>
      <c r="Q143" s="172" t="str">
        <f>IFERROR(IF(compras_mes1[[#This Row],[CUIT]]="","-",VLOOKUP(compras_mes1[[#This Row],[CUIT]],Lista_CUIT[#All],3,0)),"CUIT NO CARGADO")</f>
        <v>Servicios Gas, Luz, etc.</v>
      </c>
      <c r="R143" s="176">
        <f>IFERROR(IF(compras_mes1[[#This Row],[CUIT]]="","-",VLOOKUP(compras_mes1[[#This Row],[CUIT]],Lista_CUIT[#All],4,0)),"CUIT NO CARGADO")</f>
        <v>0</v>
      </c>
    </row>
    <row r="144" spans="2:18">
      <c r="B144" s="329">
        <v>45296</v>
      </c>
      <c r="C144" s="330">
        <v>1</v>
      </c>
      <c r="D144" s="331">
        <v>3</v>
      </c>
      <c r="E144" s="332">
        <v>18565</v>
      </c>
      <c r="F144" s="333">
        <v>33707953549</v>
      </c>
      <c r="G144" s="334" t="str">
        <f>IFERROR(IF(compras_mes1[[#This Row],[CUIT]]="","-",VLOOKUP(compras_mes1[[#This Row],[CUIT]],Lista_CUIT[#All],2,0)),"CUIT NO CARGADO")</f>
        <v>TELESMART</v>
      </c>
      <c r="H144" s="335">
        <v>9212</v>
      </c>
      <c r="I144" s="336">
        <f>IF(compras_mes1[[#This Row],[NETO GRAVADO]]="","",compras_mes1[[#This Row],[NETO GRAVADO]]*0.21)</f>
        <v>1934.52</v>
      </c>
      <c r="J144" s="336"/>
      <c r="K144" s="336"/>
      <c r="L144" s="336"/>
      <c r="M144" s="336"/>
      <c r="N144" s="336"/>
      <c r="O144" s="336">
        <v>0</v>
      </c>
      <c r="P144" s="337">
        <f>SUM(compras_mes1[[#This Row],[NETO GRAVADO]:[Otros / No Grav.]])</f>
        <v>11146.52</v>
      </c>
      <c r="Q144" s="334" t="str">
        <f>IFERROR(IF(compras_mes1[[#This Row],[CUIT]]="","-",VLOOKUP(compras_mes1[[#This Row],[CUIT]],Lista_CUIT[#All],3,0)),"CUIT NO CARGADO")</f>
        <v>Servicios Gas, Luz, etc.</v>
      </c>
      <c r="R144" s="338">
        <f>IFERROR(IF(compras_mes1[[#This Row],[CUIT]]="","-",VLOOKUP(compras_mes1[[#This Row],[CUIT]],Lista_CUIT[#All],4,0)),"CUIT NO CARGADO")</f>
        <v>0</v>
      </c>
    </row>
    <row r="145" spans="2:18">
      <c r="B145" s="329">
        <v>45296</v>
      </c>
      <c r="C145" s="330">
        <v>1</v>
      </c>
      <c r="D145" s="331">
        <v>63</v>
      </c>
      <c r="E145" s="332">
        <v>2675969</v>
      </c>
      <c r="F145" s="333">
        <v>30640897267</v>
      </c>
      <c r="G145" s="334" t="str">
        <f>IFERROR(IF(compras_mes1[[#This Row],[CUIT]]="","-",VLOOKUP(compras_mes1[[#This Row],[CUIT]],Lista_CUIT[#All],2,0)),"CUIT NO CARGADO")</f>
        <v>TELECENTRO S.A.</v>
      </c>
      <c r="H145" s="335">
        <v>23320.41</v>
      </c>
      <c r="I145" s="336">
        <f>IF(compras_mes1[[#This Row],[NETO GRAVADO]]="","",compras_mes1[[#This Row],[NETO GRAVADO]]*0.21)</f>
        <v>4897.2860999999994</v>
      </c>
      <c r="J145" s="336"/>
      <c r="K145" s="336"/>
      <c r="L145" s="336">
        <v>699.61</v>
      </c>
      <c r="M145" s="336"/>
      <c r="N145" s="336">
        <v>1399.22</v>
      </c>
      <c r="O145" s="336">
        <v>0</v>
      </c>
      <c r="P145" s="337">
        <f>SUM(compras_mes1[[#This Row],[NETO GRAVADO]:[Otros / No Grav.]])</f>
        <v>30316.526100000003</v>
      </c>
      <c r="Q145" s="334" t="str">
        <f>IFERROR(IF(compras_mes1[[#This Row],[CUIT]]="","-",VLOOKUP(compras_mes1[[#This Row],[CUIT]],Lista_CUIT[#All],3,0)),"CUIT NO CARGADO")</f>
        <v>Servicios Gas, Luz, etc.</v>
      </c>
      <c r="R145" s="338">
        <f>IFERROR(IF(compras_mes1[[#This Row],[CUIT]]="","-",VLOOKUP(compras_mes1[[#This Row],[CUIT]],Lista_CUIT[#All],4,0)),"CUIT NO CARGADO")</f>
        <v>0</v>
      </c>
    </row>
    <row r="146" spans="2:18">
      <c r="B146" s="329">
        <v>45296</v>
      </c>
      <c r="C146" s="330">
        <v>1</v>
      </c>
      <c r="D146" s="331">
        <v>63</v>
      </c>
      <c r="E146" s="332">
        <v>2675242</v>
      </c>
      <c r="F146" s="333">
        <v>30640897267</v>
      </c>
      <c r="G146" s="334" t="str">
        <f>IFERROR(IF(compras_mes1[[#This Row],[CUIT]]="","-",VLOOKUP(compras_mes1[[#This Row],[CUIT]],Lista_CUIT[#All],2,0)),"CUIT NO CARGADO")</f>
        <v>TELECENTRO S.A.</v>
      </c>
      <c r="H146" s="335">
        <v>23320.41</v>
      </c>
      <c r="I146" s="336">
        <f>IF(compras_mes1[[#This Row],[NETO GRAVADO]]="","",compras_mes1[[#This Row],[NETO GRAVADO]]*0.21)</f>
        <v>4897.2860999999994</v>
      </c>
      <c r="J146" s="336"/>
      <c r="K146" s="336"/>
      <c r="L146" s="336">
        <v>699.61</v>
      </c>
      <c r="M146" s="336"/>
      <c r="N146" s="336">
        <v>1399.22</v>
      </c>
      <c r="O146" s="336">
        <v>0</v>
      </c>
      <c r="P146" s="337">
        <f>SUM(compras_mes1[[#This Row],[NETO GRAVADO]:[Otros / No Grav.]])</f>
        <v>30316.526100000003</v>
      </c>
      <c r="Q146" s="334" t="str">
        <f>IFERROR(IF(compras_mes1[[#This Row],[CUIT]]="","-",VLOOKUP(compras_mes1[[#This Row],[CUIT]],Lista_CUIT[#All],3,0)),"CUIT NO CARGADO")</f>
        <v>Servicios Gas, Luz, etc.</v>
      </c>
      <c r="R146" s="338">
        <f>IFERROR(IF(compras_mes1[[#This Row],[CUIT]]="","-",VLOOKUP(compras_mes1[[#This Row],[CUIT]],Lista_CUIT[#All],4,0)),"CUIT NO CARGADO")</f>
        <v>0</v>
      </c>
    </row>
    <row r="147" spans="2:18">
      <c r="B147" s="96" t="s">
        <v>103</v>
      </c>
      <c r="C147" s="96"/>
      <c r="D147" s="96"/>
      <c r="E147" s="96"/>
      <c r="F147" s="96"/>
      <c r="G147" s="97"/>
      <c r="H147" s="98">
        <f>SUBTOTAL(109,compras_mes1[NETO GRAVADO])</f>
        <v>82630121</v>
      </c>
      <c r="I147" s="98">
        <f>SUBTOTAL(109,compras_mes1[IVA 21 %])</f>
        <v>17292875.079699997</v>
      </c>
      <c r="J147" s="98">
        <f>SUBTOTAL(109,compras_mes1[IVA 27%])</f>
        <v>16002.349999999999</v>
      </c>
      <c r="K147" s="98">
        <f>SUBTOTAL(109,compras_mes1[IVA 10,5%])</f>
        <v>23502.010000000006</v>
      </c>
      <c r="L147" s="98">
        <f>SUBTOTAL(109,compras_mes1[PERC. IVA])</f>
        <v>11678.11</v>
      </c>
      <c r="M147" s="98">
        <f>SUBTOTAL(109,compras_mes1[PERC IIBB 
BS AS])</f>
        <v>4209.82</v>
      </c>
      <c r="N147" s="98">
        <f>SUBTOTAL(109,compras_mes1[PERC. IIBB CABA])</f>
        <v>1205516.6500000001</v>
      </c>
      <c r="O147" s="98">
        <f>SUBTOTAL(109,compras_mes1[Otros / No Grav.])</f>
        <v>76707.299999999988</v>
      </c>
      <c r="P147" s="98">
        <f>SUBTOTAL(109,compras_mes1[TOTAL])</f>
        <v>101260612.31969999</v>
      </c>
      <c r="Q147" s="96"/>
      <c r="R147" s="96"/>
    </row>
    <row r="148" spans="2:18">
      <c r="B148" s="40"/>
      <c r="C148" s="41"/>
      <c r="D148" s="42"/>
      <c r="E148" s="43"/>
      <c r="F148" s="44"/>
      <c r="G148" s="45"/>
      <c r="H148" s="46"/>
      <c r="I148" s="47"/>
      <c r="J148" s="47"/>
      <c r="K148" s="47"/>
      <c r="L148" s="47"/>
      <c r="M148" s="47"/>
      <c r="N148" s="47"/>
      <c r="O148" s="47"/>
      <c r="P148" s="48"/>
      <c r="Q148" s="49"/>
      <c r="R148" s="49"/>
    </row>
    <row r="149" spans="2:18">
      <c r="B149" s="40"/>
      <c r="C149" s="41"/>
      <c r="D149" s="42"/>
      <c r="E149" s="43"/>
      <c r="F149" s="44"/>
      <c r="G149" s="45"/>
      <c r="H149" s="46"/>
      <c r="I149" s="47"/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>
      <c r="B150" s="40"/>
      <c r="C150" s="41"/>
      <c r="D150" s="42"/>
      <c r="E150" s="43"/>
      <c r="F150" s="44"/>
      <c r="G150" s="45"/>
      <c r="H150" s="46"/>
      <c r="I150" s="47"/>
      <c r="J150" s="47"/>
      <c r="K150" s="47"/>
      <c r="L150" s="47"/>
      <c r="M150" s="47"/>
      <c r="N150" s="47"/>
      <c r="O150" s="47"/>
      <c r="P150" s="48">
        <v>500400</v>
      </c>
      <c r="Q150" s="49" t="s">
        <v>2696</v>
      </c>
      <c r="R150" t="s">
        <v>2695</v>
      </c>
    </row>
    <row r="151" spans="2:18">
      <c r="B151" s="40"/>
      <c r="C151" s="41"/>
      <c r="D151" s="42"/>
      <c r="E151" s="43"/>
      <c r="F151" s="44"/>
      <c r="G151" s="45"/>
      <c r="H151" s="46"/>
      <c r="I151" s="47"/>
      <c r="J151" s="47"/>
      <c r="K151" s="47"/>
      <c r="L151" s="47"/>
      <c r="P151" s="682">
        <v>500180</v>
      </c>
      <c r="Q151" t="s">
        <v>2679</v>
      </c>
      <c r="R151" t="s">
        <v>2695</v>
      </c>
    </row>
    <row r="152" spans="2:18" ht="21">
      <c r="D152" s="712" t="s">
        <v>15</v>
      </c>
      <c r="E152" s="712"/>
      <c r="F152" s="712"/>
      <c r="G152" s="712"/>
      <c r="H152" s="712"/>
      <c r="I152" s="712"/>
      <c r="J152" s="712"/>
      <c r="K152" s="712"/>
      <c r="L152" s="712"/>
      <c r="P152" s="682">
        <v>500350</v>
      </c>
      <c r="Q152" t="s">
        <v>2693</v>
      </c>
      <c r="R152" t="s">
        <v>2694</v>
      </c>
    </row>
    <row r="153" spans="2:18" ht="15.75">
      <c r="D153" s="73" t="s">
        <v>0</v>
      </c>
      <c r="E153" s="74" t="s">
        <v>26</v>
      </c>
      <c r="F153" s="74" t="s">
        <v>16</v>
      </c>
      <c r="G153" s="74" t="s">
        <v>5</v>
      </c>
      <c r="H153" s="74" t="s">
        <v>17</v>
      </c>
      <c r="I153" s="74" t="s">
        <v>7</v>
      </c>
      <c r="J153" s="75" t="s">
        <v>18</v>
      </c>
      <c r="K153" s="75" t="s">
        <v>19</v>
      </c>
      <c r="L153" s="76" t="s">
        <v>20</v>
      </c>
    </row>
    <row r="154" spans="2:18">
      <c r="D154" s="339">
        <v>45309</v>
      </c>
      <c r="E154" s="340">
        <v>18012024</v>
      </c>
      <c r="F154" s="341" t="s">
        <v>2081</v>
      </c>
      <c r="G154" s="342">
        <v>196716.98966666666</v>
      </c>
      <c r="H154" s="342">
        <f>extracto_banco_mes1[[#This Row],[NETO]]*0.21</f>
        <v>41310.56783</v>
      </c>
      <c r="I154" s="342"/>
      <c r="J154" s="342">
        <v>418613.37</v>
      </c>
      <c r="K154" s="342">
        <v>39500.94</v>
      </c>
      <c r="L154" s="342"/>
    </row>
    <row r="155" spans="2:18">
      <c r="D155" s="50">
        <v>45322</v>
      </c>
      <c r="E155" s="180">
        <v>31012024</v>
      </c>
      <c r="F155" s="186" t="s">
        <v>2082</v>
      </c>
      <c r="G155" s="81">
        <v>40368.74</v>
      </c>
      <c r="H155" s="81">
        <f>extracto_banco_mes1[[#This Row],[NETO]]*0.21</f>
        <v>8477.4353999999985</v>
      </c>
      <c r="I155" s="81"/>
      <c r="J155" s="81">
        <v>2091.42</v>
      </c>
      <c r="K155" s="81">
        <v>1049.4000000000001</v>
      </c>
      <c r="L155" s="81"/>
    </row>
    <row r="156" spans="2:18">
      <c r="D156" s="50">
        <v>45322</v>
      </c>
      <c r="E156" s="180">
        <v>20240131</v>
      </c>
      <c r="F156" s="186" t="s">
        <v>2083</v>
      </c>
      <c r="G156" s="81">
        <v>13856.19</v>
      </c>
      <c r="H156" s="81">
        <f>extracto_banco_mes1[[#This Row],[NETO]]*0.21</f>
        <v>2909.7999</v>
      </c>
      <c r="I156" s="81"/>
      <c r="J156" s="81">
        <v>787.5</v>
      </c>
      <c r="K156" s="81">
        <v>393.75</v>
      </c>
      <c r="L156" s="81"/>
    </row>
    <row r="157" spans="2:18">
      <c r="D157" s="50">
        <v>45322</v>
      </c>
      <c r="E157" s="180">
        <v>31202401</v>
      </c>
      <c r="F157" s="186" t="s">
        <v>2084</v>
      </c>
      <c r="G157" s="81">
        <v>1008565.362</v>
      </c>
      <c r="H157" s="81">
        <v>44786.366099999992</v>
      </c>
      <c r="I157" s="81">
        <v>83506.180000000008</v>
      </c>
      <c r="J157" s="81">
        <v>113519.01</v>
      </c>
      <c r="K157" s="81">
        <v>187.74999999999997</v>
      </c>
      <c r="L157" s="81"/>
    </row>
    <row r="158" spans="2:18">
      <c r="D158" s="50">
        <v>45322</v>
      </c>
      <c r="E158" s="180">
        <v>31242001</v>
      </c>
      <c r="F158" s="186" t="s">
        <v>2085</v>
      </c>
      <c r="G158" s="81">
        <v>167.48</v>
      </c>
      <c r="H158" s="81">
        <f>extracto_banco_mes1[[#This Row],[NETO]]*0.21</f>
        <v>35.1708</v>
      </c>
      <c r="I158" s="81"/>
      <c r="J158" s="81">
        <v>934.54</v>
      </c>
      <c r="K158" s="81"/>
      <c r="L158" s="81"/>
    </row>
    <row r="159" spans="2:18">
      <c r="D159" s="50">
        <v>45322</v>
      </c>
      <c r="E159" s="180">
        <v>12024020</v>
      </c>
      <c r="F159" s="186" t="s">
        <v>2086</v>
      </c>
      <c r="G159" s="81">
        <v>1500</v>
      </c>
      <c r="H159" s="81">
        <f>extracto_banco_mes1[[#This Row],[NETO]]*0.21</f>
        <v>315</v>
      </c>
      <c r="I159" s="81"/>
      <c r="J159" s="81">
        <v>4743.3099999999995</v>
      </c>
      <c r="K159" s="81"/>
      <c r="L159" s="81"/>
    </row>
    <row r="160" spans="2:18">
      <c r="D160" s="50">
        <v>45322</v>
      </c>
      <c r="E160" s="180">
        <v>31012224</v>
      </c>
      <c r="F160" s="186" t="s">
        <v>2087</v>
      </c>
      <c r="G160" s="81">
        <v>71995</v>
      </c>
      <c r="H160" s="81">
        <f>extracto_banco_mes1[[#This Row],[NETO]]*0.21</f>
        <v>15118.949999999999</v>
      </c>
      <c r="I160" s="81"/>
      <c r="J160" s="81"/>
      <c r="K160" s="81"/>
      <c r="L160" s="81"/>
    </row>
    <row r="161" spans="4:12">
      <c r="D161" s="50">
        <v>45322</v>
      </c>
      <c r="E161" s="180">
        <v>1022024</v>
      </c>
      <c r="F161" s="186" t="s">
        <v>2088</v>
      </c>
      <c r="G161" s="81">
        <v>2400</v>
      </c>
      <c r="H161" s="81">
        <v>504</v>
      </c>
      <c r="I161" s="81"/>
      <c r="J161" s="81">
        <v>5112.2699999999995</v>
      </c>
      <c r="K161" s="81"/>
      <c r="L161" s="81"/>
    </row>
    <row r="162" spans="4:12">
      <c r="D162" s="82" t="s">
        <v>103</v>
      </c>
      <c r="E162" s="80"/>
      <c r="F162" s="80"/>
      <c r="G162" s="83">
        <f>SUBTOTAL(109,extracto_banco_mes1[NETO])</f>
        <v>1335569.7616666667</v>
      </c>
      <c r="H162" s="83">
        <f>SUBTOTAL(109,extracto_banco_mes1[IVA 21%])</f>
        <v>113457.29003</v>
      </c>
      <c r="I162" s="83">
        <f>SUBTOTAL(109,extracto_banco_mes1[IVA 10,5%])</f>
        <v>83506.180000000008</v>
      </c>
      <c r="J162" s="83">
        <f>SUBTOTAL(109,extracto_banco_mes1[RET IIBB CABA])</f>
        <v>545801.42000000004</v>
      </c>
      <c r="K162" s="83">
        <f>SUBTOTAL(109,extracto_banco_mes1[PERC IVA])</f>
        <v>41131.840000000004</v>
      </c>
      <c r="L162" s="83">
        <f>SUBTOTAL(109,extracto_banco_mes1[PERC IIBB])</f>
        <v>0</v>
      </c>
    </row>
    <row r="165" spans="4:12" ht="21">
      <c r="D165" s="712" t="s">
        <v>25</v>
      </c>
      <c r="E165" s="712"/>
      <c r="F165" s="712"/>
      <c r="G165" s="712"/>
      <c r="H165" s="712"/>
      <c r="I165" s="712"/>
      <c r="J165" s="712"/>
      <c r="K165" s="712"/>
    </row>
    <row r="166" spans="4:12">
      <c r="D166" s="51" t="s">
        <v>0</v>
      </c>
      <c r="E166" s="51" t="s">
        <v>2</v>
      </c>
      <c r="F166" s="51" t="s">
        <v>74</v>
      </c>
      <c r="G166" s="51" t="s">
        <v>3</v>
      </c>
      <c r="H166" s="51" t="s">
        <v>4</v>
      </c>
      <c r="I166" s="52" t="s">
        <v>10</v>
      </c>
      <c r="J166" s="51" t="s">
        <v>13</v>
      </c>
      <c r="K166" s="51" t="s">
        <v>38</v>
      </c>
    </row>
    <row r="167" spans="4:12">
      <c r="D167" s="50">
        <v>45292</v>
      </c>
      <c r="E167" s="132">
        <v>3</v>
      </c>
      <c r="F167" s="132">
        <v>249</v>
      </c>
      <c r="G167" s="44">
        <v>20226549758</v>
      </c>
      <c r="H167" s="53" t="str">
        <f>IFERROR(IF(factura_c_mes1[[#This Row],[CUIT]]="","-",VLOOKUP(factura_c_mes1[[#This Row],[CUIT]],Lista_CUIT[#All],2,0)),"CUIT NO CARGADO")</f>
        <v>JANEIRO VERONICA BELEN</v>
      </c>
      <c r="I167" s="328">
        <v>160000</v>
      </c>
      <c r="J167" s="54" t="str">
        <f>IFERROR(IF(factura_c_mes1[[#This Row],[CUIT]]="","-",VLOOKUP(factura_c_mes1[[#This Row],[CUIT]],Lista_CUIT[#All],3,0)),"CUIT NO CARGADO")</f>
        <v>Gastos Varios</v>
      </c>
      <c r="K167" s="54">
        <f>IFERROR(IF(factura_c_mes1[[#This Row],[CUIT]]="","-",VLOOKUP(factura_c_mes1[[#This Row],[CUIT]],Lista_CUIT[#All],4,0)),"CUIT NO CARGADO")</f>
        <v>0</v>
      </c>
    </row>
    <row r="168" spans="4:12">
      <c r="D168" s="50">
        <v>45300</v>
      </c>
      <c r="E168" s="324">
        <v>2</v>
      </c>
      <c r="F168" s="324">
        <v>3957</v>
      </c>
      <c r="G168" s="325">
        <v>20136536320</v>
      </c>
      <c r="H168" s="326" t="str">
        <f>IFERROR(IF(factura_c_mes1[[#This Row],[CUIT]]="","-",VLOOKUP(factura_c_mes1[[#This Row],[CUIT]],Lista_CUIT[#All],2,0)),"CUIT NO CARGADO")</f>
        <v>FONTENLA ERNESTO MARIO</v>
      </c>
      <c r="I168" s="328">
        <v>1500</v>
      </c>
      <c r="J168" s="327" t="str">
        <f>IFERROR(IF(factura_c_mes1[[#This Row],[CUIT]]="","-",VLOOKUP(factura_c_mes1[[#This Row],[CUIT]],Lista_CUIT[#All],3,0)),"CUIT NO CARGADO")</f>
        <v>Gastos Varios</v>
      </c>
      <c r="K168" s="327" t="str">
        <f>IFERROR(IF(factura_c_mes1[[#This Row],[CUIT]]="","-",VLOOKUP(factura_c_mes1[[#This Row],[CUIT]],Lista_CUIT[#All],4,0)),"CUIT NO CARGADO")</f>
        <v>CABA</v>
      </c>
    </row>
    <row r="169" spans="4:12">
      <c r="D169" s="50">
        <v>45301</v>
      </c>
      <c r="E169" s="324">
        <v>2</v>
      </c>
      <c r="F169" s="324">
        <v>3960</v>
      </c>
      <c r="G169" s="325">
        <v>20136536320</v>
      </c>
      <c r="H169" s="326" t="str">
        <f>IFERROR(IF(factura_c_mes1[[#This Row],[CUIT]]="","-",VLOOKUP(factura_c_mes1[[#This Row],[CUIT]],Lista_CUIT[#All],2,0)),"CUIT NO CARGADO")</f>
        <v>FONTENLA ERNESTO MARIO</v>
      </c>
      <c r="I169" s="328">
        <v>1500</v>
      </c>
      <c r="J169" s="327" t="str">
        <f>IFERROR(IF(factura_c_mes1[[#This Row],[CUIT]]="","-",VLOOKUP(factura_c_mes1[[#This Row],[CUIT]],Lista_CUIT[#All],3,0)),"CUIT NO CARGADO")</f>
        <v>Gastos Varios</v>
      </c>
      <c r="K169" s="327" t="str">
        <f>IFERROR(IF(factura_c_mes1[[#This Row],[CUIT]]="","-",VLOOKUP(factura_c_mes1[[#This Row],[CUIT]],Lista_CUIT[#All],4,0)),"CUIT NO CARGADO")</f>
        <v>CABA</v>
      </c>
    </row>
    <row r="170" spans="4:12">
      <c r="D170" s="50">
        <v>45306</v>
      </c>
      <c r="E170" s="132">
        <v>3</v>
      </c>
      <c r="F170" s="132">
        <v>832</v>
      </c>
      <c r="G170" s="44">
        <v>20173025557</v>
      </c>
      <c r="H170" s="53" t="str">
        <f>IFERROR(IF(factura_c_mes1[[#This Row],[CUIT]]="","-",VLOOKUP(factura_c_mes1[[#This Row],[CUIT]],Lista_CUIT[#All],2,0)),"CUIT NO CARGADO")</f>
        <v>MARAUDA HECTOR</v>
      </c>
      <c r="I170" s="328">
        <v>4000</v>
      </c>
      <c r="J170" s="54" t="str">
        <f>IFERROR(IF(factura_c_mes1[[#This Row],[CUIT]]="","-",VLOOKUP(factura_c_mes1[[#This Row],[CUIT]],Lista_CUIT[#All],3,0)),"CUIT NO CARGADO")</f>
        <v>Gastos Varios</v>
      </c>
      <c r="K170" s="54">
        <f>IFERROR(IF(factura_c_mes1[[#This Row],[CUIT]]="","-",VLOOKUP(factura_c_mes1[[#This Row],[CUIT]],Lista_CUIT[#All],4,0)),"CUIT NO CARGADO")</f>
        <v>0</v>
      </c>
    </row>
    <row r="171" spans="4:12">
      <c r="D171" s="50">
        <v>45310</v>
      </c>
      <c r="E171" s="132">
        <v>2</v>
      </c>
      <c r="F171" s="132">
        <v>208</v>
      </c>
      <c r="G171" s="44">
        <v>30646718151</v>
      </c>
      <c r="H171" s="53" t="str">
        <f>IFERROR(IF(factura_c_mes1[[#This Row],[CUIT]]="","-",VLOOKUP(factura_c_mes1[[#This Row],[CUIT]],Lista_CUIT[#All],2,0)),"CUIT NO CARGADO")</f>
        <v>ASOCIACION ARGENTINA DE COSMETOLOGIA Y ESTETICA</v>
      </c>
      <c r="I171" s="328">
        <v>60000</v>
      </c>
      <c r="J171" s="54" t="str">
        <f>IFERROR(IF(factura_c_mes1[[#This Row],[CUIT]]="","-",VLOOKUP(factura_c_mes1[[#This Row],[CUIT]],Lista_CUIT[#All],3,0)),"CUIT NO CARGADO")</f>
        <v>Gastos Varios</v>
      </c>
      <c r="K171" s="54">
        <f>IFERROR(IF(factura_c_mes1[[#This Row],[CUIT]]="","-",VLOOKUP(factura_c_mes1[[#This Row],[CUIT]],Lista_CUIT[#All],4,0)),"CUIT NO CARGADO")</f>
        <v>0</v>
      </c>
    </row>
    <row r="172" spans="4:12">
      <c r="D172" s="50">
        <v>45314</v>
      </c>
      <c r="E172" s="132">
        <v>2</v>
      </c>
      <c r="F172" s="132">
        <v>3974</v>
      </c>
      <c r="G172" s="44">
        <v>20136536320</v>
      </c>
      <c r="H172" s="53" t="str">
        <f>IFERROR(IF(factura_c_mes1[[#This Row],[CUIT]]="","-",VLOOKUP(factura_c_mes1[[#This Row],[CUIT]],Lista_CUIT[#All],2,0)),"CUIT NO CARGADO")</f>
        <v>FONTENLA ERNESTO MARIO</v>
      </c>
      <c r="I172" s="328">
        <v>22800</v>
      </c>
      <c r="J172" s="54" t="str">
        <f>IFERROR(IF(factura_c_mes1[[#This Row],[CUIT]]="","-",VLOOKUP(factura_c_mes1[[#This Row],[CUIT]],Lista_CUIT[#All],3,0)),"CUIT NO CARGADO")</f>
        <v>Gastos Varios</v>
      </c>
      <c r="K172" s="54" t="str">
        <f>IFERROR(IF(factura_c_mes1[[#This Row],[CUIT]]="","-",VLOOKUP(factura_c_mes1[[#This Row],[CUIT]],Lista_CUIT[#All],4,0)),"CUIT NO CARGADO")</f>
        <v>CABA</v>
      </c>
    </row>
    <row r="173" spans="4:12">
      <c r="D173" s="50">
        <v>45296</v>
      </c>
      <c r="E173" s="324">
        <v>1</v>
      </c>
      <c r="F173" s="324">
        <v>10</v>
      </c>
      <c r="G173" s="325">
        <v>20394167216</v>
      </c>
      <c r="H173" s="326" t="str">
        <f>IFERROR(IF(factura_c_mes1[[#This Row],[CUIT]]="","-",VLOOKUP(factura_c_mes1[[#This Row],[CUIT]],Lista_CUIT[#All],2,0)),"CUIT NO CARGADO")</f>
        <v>CASTILLO SANTIAGO JESUS</v>
      </c>
      <c r="I173" s="328">
        <v>300000</v>
      </c>
      <c r="J173" s="327" t="str">
        <f>IFERROR(IF(factura_c_mes1[[#This Row],[CUIT]]="","-",VLOOKUP(factura_c_mes1[[#This Row],[CUIT]],Lista_CUIT[#All],3,0)),"CUIT NO CARGADO")</f>
        <v>Honorarios Administrativos</v>
      </c>
      <c r="K173" s="327">
        <f>IFERROR(IF(factura_c_mes1[[#This Row],[CUIT]]="","-",VLOOKUP(factura_c_mes1[[#This Row],[CUIT]],Lista_CUIT[#All],4,0)),"CUIT NO CARGADO")</f>
        <v>0</v>
      </c>
    </row>
    <row r="174" spans="4:12">
      <c r="D174" s="50">
        <v>45295</v>
      </c>
      <c r="E174" s="132">
        <v>2</v>
      </c>
      <c r="F174" s="132">
        <v>276</v>
      </c>
      <c r="G174" s="44">
        <v>23319210954</v>
      </c>
      <c r="H174" s="53" t="str">
        <f>IFERROR(IF(factura_c_mes1[[#This Row],[CUIT]]="","-",VLOOKUP(factura_c_mes1[[#This Row],[CUIT]],Lista_CUIT[#All],2,0)),"CUIT NO CARGADO")</f>
        <v>CAFFARATTI ROMINA PAOLA</v>
      </c>
      <c r="I174" s="328">
        <v>82500</v>
      </c>
      <c r="J174" s="54" t="str">
        <f>IFERROR(IF(factura_c_mes1[[#This Row],[CUIT]]="","-",VLOOKUP(factura_c_mes1[[#This Row],[CUIT]],Lista_CUIT[#All],3,0)),"CUIT NO CARGADO")</f>
        <v>Honorarios Contables</v>
      </c>
      <c r="K174" s="54">
        <f>IFERROR(IF(factura_c_mes1[[#This Row],[CUIT]]="","-",VLOOKUP(factura_c_mes1[[#This Row],[CUIT]],Lista_CUIT[#All],4,0)),"CUIT NO CARGADO")</f>
        <v>0</v>
      </c>
    </row>
    <row r="175" spans="4:12">
      <c r="D175" s="50">
        <v>45293</v>
      </c>
      <c r="E175" s="132">
        <v>3</v>
      </c>
      <c r="F175" s="132">
        <v>807</v>
      </c>
      <c r="G175" s="44">
        <v>20086277523</v>
      </c>
      <c r="H175" s="53" t="str">
        <f>IFERROR(IF(factura_c_mes1[[#This Row],[CUIT]]="","-",VLOOKUP(factura_c_mes1[[#This Row],[CUIT]],Lista_CUIT[#All],2,0)),"CUIT NO CARGADO")</f>
        <v>BOTINDARI JUAN CARLOS</v>
      </c>
      <c r="I175" s="328">
        <v>140000</v>
      </c>
      <c r="J175" s="54" t="str">
        <f>IFERROR(IF(factura_c_mes1[[#This Row],[CUIT]]="","-",VLOOKUP(factura_c_mes1[[#This Row],[CUIT]],Lista_CUIT[#All],3,0)),"CUIT NO CARGADO")</f>
        <v>Honorarios Contables</v>
      </c>
      <c r="K175" s="54">
        <f>IFERROR(IF(factura_c_mes1[[#This Row],[CUIT]]="","-",VLOOKUP(factura_c_mes1[[#This Row],[CUIT]],Lista_CUIT[#All],4,0)),"CUIT NO CARGADO")</f>
        <v>0</v>
      </c>
    </row>
    <row r="176" spans="4:12">
      <c r="D176" s="50">
        <v>45293</v>
      </c>
      <c r="E176" s="132">
        <v>3</v>
      </c>
      <c r="F176" s="132">
        <v>454</v>
      </c>
      <c r="G176" s="44">
        <v>20210551574</v>
      </c>
      <c r="H176" s="53" t="str">
        <f>IFERROR(IF(factura_c_mes1[[#This Row],[CUIT]]="","-",VLOOKUP(factura_c_mes1[[#This Row],[CUIT]],Lista_CUIT[#All],2,0)),"CUIT NO CARGADO")</f>
        <v>REUS JORGE DIEGO</v>
      </c>
      <c r="I176" s="328">
        <v>100000</v>
      </c>
      <c r="J176" s="54" t="str">
        <f>IFERROR(IF(factura_c_mes1[[#This Row],[CUIT]]="","-",VLOOKUP(factura_c_mes1[[#This Row],[CUIT]],Lista_CUIT[#All],3,0)),"CUIT NO CARGADO")</f>
        <v>Honorarios Legales</v>
      </c>
      <c r="K176" s="54">
        <f>IFERROR(IF(factura_c_mes1[[#This Row],[CUIT]]="","-",VLOOKUP(factura_c_mes1[[#This Row],[CUIT]],Lista_CUIT[#All],4,0)),"CUIT NO CARGADO")</f>
        <v>0</v>
      </c>
    </row>
    <row r="177" spans="2:18">
      <c r="D177" s="50">
        <v>45296</v>
      </c>
      <c r="E177" s="324">
        <v>1</v>
      </c>
      <c r="F177" s="324">
        <v>35</v>
      </c>
      <c r="G177" s="325">
        <v>20176922363</v>
      </c>
      <c r="H177" s="326" t="str">
        <f>IFERROR(IF(factura_c_mes1[[#This Row],[CUIT]]="","-",VLOOKUP(factura_c_mes1[[#This Row],[CUIT]],Lista_CUIT[#All],2,0)),"CUIT NO CARGADO")</f>
        <v>CASTILLO JUAN RAMON</v>
      </c>
      <c r="I177" s="328">
        <v>370000</v>
      </c>
      <c r="J177" s="327" t="str">
        <f>IFERROR(IF(factura_c_mes1[[#This Row],[CUIT]]="","-",VLOOKUP(factura_c_mes1[[#This Row],[CUIT]],Lista_CUIT[#All],3,0)),"CUIT NO CARGADO")</f>
        <v>Honorarios Profesionales</v>
      </c>
      <c r="K177" s="327">
        <f>IFERROR(IF(factura_c_mes1[[#This Row],[CUIT]]="","-",VLOOKUP(factura_c_mes1[[#This Row],[CUIT]],Lista_CUIT[#All],4,0)),"CUIT NO CARGADO")</f>
        <v>0</v>
      </c>
    </row>
    <row r="178" spans="2:18">
      <c r="D178" s="50">
        <v>45296</v>
      </c>
      <c r="E178" s="324">
        <v>1</v>
      </c>
      <c r="F178" s="324">
        <v>34</v>
      </c>
      <c r="G178" s="325">
        <v>20176922363</v>
      </c>
      <c r="H178" s="326" t="str">
        <f>IFERROR(IF(factura_c_mes1[[#This Row],[CUIT]]="","-",VLOOKUP(factura_c_mes1[[#This Row],[CUIT]],Lista_CUIT[#All],2,0)),"CUIT NO CARGADO")</f>
        <v>CASTILLO JUAN RAMON</v>
      </c>
      <c r="I178" s="328">
        <v>380000</v>
      </c>
      <c r="J178" s="327" t="str">
        <f>IFERROR(IF(factura_c_mes1[[#This Row],[CUIT]]="","-",VLOOKUP(factura_c_mes1[[#This Row],[CUIT]],Lista_CUIT[#All],3,0)),"CUIT NO CARGADO")</f>
        <v>Honorarios Profesionales</v>
      </c>
      <c r="K178" s="327">
        <f>IFERROR(IF(factura_c_mes1[[#This Row],[CUIT]]="","-",VLOOKUP(factura_c_mes1[[#This Row],[CUIT]],Lista_CUIT[#All],4,0)),"CUIT NO CARGADO")</f>
        <v>0</v>
      </c>
    </row>
    <row r="179" spans="2:18">
      <c r="D179" s="50">
        <v>45296</v>
      </c>
      <c r="E179" s="324">
        <v>1</v>
      </c>
      <c r="F179" s="324">
        <v>33</v>
      </c>
      <c r="G179" s="325">
        <v>20176922363</v>
      </c>
      <c r="H179" s="326" t="str">
        <f>IFERROR(IF(factura_c_mes1[[#This Row],[CUIT]]="","-",VLOOKUP(factura_c_mes1[[#This Row],[CUIT]],Lista_CUIT[#All],2,0)),"CUIT NO CARGADO")</f>
        <v>CASTILLO JUAN RAMON</v>
      </c>
      <c r="I179" s="328">
        <v>630000</v>
      </c>
      <c r="J179" s="327" t="str">
        <f>IFERROR(IF(factura_c_mes1[[#This Row],[CUIT]]="","-",VLOOKUP(factura_c_mes1[[#This Row],[CUIT]],Lista_CUIT[#All],3,0)),"CUIT NO CARGADO")</f>
        <v>Honorarios Profesionales</v>
      </c>
      <c r="K179" s="327">
        <f>IFERROR(IF(factura_c_mes1[[#This Row],[CUIT]]="","-",VLOOKUP(factura_c_mes1[[#This Row],[CUIT]],Lista_CUIT[#All],4,0)),"CUIT NO CARGADO")</f>
        <v>0</v>
      </c>
    </row>
    <row r="180" spans="2:18">
      <c r="D180" s="50">
        <v>45320</v>
      </c>
      <c r="E180" s="132">
        <v>1</v>
      </c>
      <c r="F180" s="132">
        <v>39</v>
      </c>
      <c r="G180" s="44">
        <v>20176922363</v>
      </c>
      <c r="H180" s="53" t="str">
        <f>IFERROR(IF(factura_c_mes1[[#This Row],[CUIT]]="","-",VLOOKUP(factura_c_mes1[[#This Row],[CUIT]],Lista_CUIT[#All],2,0)),"CUIT NO CARGADO")</f>
        <v>CASTILLO JUAN RAMON</v>
      </c>
      <c r="I180" s="328">
        <v>420000</v>
      </c>
      <c r="J180" s="54" t="str">
        <f>IFERROR(IF(factura_c_mes1[[#This Row],[CUIT]]="","-",VLOOKUP(factura_c_mes1[[#This Row],[CUIT]],Lista_CUIT[#All],3,0)),"CUIT NO CARGADO")</f>
        <v>Honorarios Profesionales</v>
      </c>
      <c r="K180" s="54">
        <f>IFERROR(IF(factura_c_mes1[[#This Row],[CUIT]]="","-",VLOOKUP(factura_c_mes1[[#This Row],[CUIT]],Lista_CUIT[#All],4,0)),"CUIT NO CARGADO")</f>
        <v>0</v>
      </c>
    </row>
    <row r="181" spans="2:18">
      <c r="D181" s="50">
        <v>45320</v>
      </c>
      <c r="E181" s="132">
        <v>1</v>
      </c>
      <c r="F181" s="132">
        <v>38</v>
      </c>
      <c r="G181" s="44">
        <v>20176922363</v>
      </c>
      <c r="H181" s="53" t="str">
        <f>IFERROR(IF(factura_c_mes1[[#This Row],[CUIT]]="","-",VLOOKUP(factura_c_mes1[[#This Row],[CUIT]],Lista_CUIT[#All],2,0)),"CUIT NO CARGADO")</f>
        <v>CASTILLO JUAN RAMON</v>
      </c>
      <c r="I181" s="328">
        <v>450000</v>
      </c>
      <c r="J181" s="54" t="str">
        <f>IFERROR(IF(factura_c_mes1[[#This Row],[CUIT]]="","-",VLOOKUP(factura_c_mes1[[#This Row],[CUIT]],Lista_CUIT[#All],3,0)),"CUIT NO CARGADO")</f>
        <v>Honorarios Profesionales</v>
      </c>
      <c r="K181" s="54">
        <f>IFERROR(IF(factura_c_mes1[[#This Row],[CUIT]]="","-",VLOOKUP(factura_c_mes1[[#This Row],[CUIT]],Lista_CUIT[#All],4,0)),"CUIT NO CARGADO")</f>
        <v>0</v>
      </c>
    </row>
    <row r="182" spans="2:18">
      <c r="D182" s="50">
        <v>45320</v>
      </c>
      <c r="E182" s="324">
        <v>1</v>
      </c>
      <c r="F182" s="324">
        <v>37</v>
      </c>
      <c r="G182" s="325">
        <v>20176922363</v>
      </c>
      <c r="H182" s="326" t="str">
        <f>IFERROR(IF(factura_c_mes1[[#This Row],[CUIT]]="","-",VLOOKUP(factura_c_mes1[[#This Row],[CUIT]],Lista_CUIT[#All],2,0)),"CUIT NO CARGADO")</f>
        <v>CASTILLO JUAN RAMON</v>
      </c>
      <c r="I182" s="328">
        <v>680000</v>
      </c>
      <c r="J182" s="327" t="str">
        <f>IFERROR(IF(factura_c_mes1[[#This Row],[CUIT]]="","-",VLOOKUP(factura_c_mes1[[#This Row],[CUIT]],Lista_CUIT[#All],3,0)),"CUIT NO CARGADO")</f>
        <v>Honorarios Profesionales</v>
      </c>
      <c r="K182" s="327">
        <f>IFERROR(IF(factura_c_mes1[[#This Row],[CUIT]]="","-",VLOOKUP(factura_c_mes1[[#This Row],[CUIT]],Lista_CUIT[#All],4,0)),"CUIT NO CARGADO")</f>
        <v>0</v>
      </c>
    </row>
    <row r="183" spans="2:18">
      <c r="D183" s="50">
        <v>45293</v>
      </c>
      <c r="E183" s="132">
        <v>2</v>
      </c>
      <c r="F183" s="132">
        <v>320</v>
      </c>
      <c r="G183" s="44">
        <v>20300814094</v>
      </c>
      <c r="H183" s="53" t="str">
        <f>IFERROR(IF(factura_c_mes1[[#This Row],[CUIT]]="","-",VLOOKUP(factura_c_mes1[[#This Row],[CUIT]],Lista_CUIT[#All],2,0)),"CUIT NO CARGADO")</f>
        <v>FARRAPEIRA OSCAR MAXIMO</v>
      </c>
      <c r="I183" s="328">
        <v>306543.59999999998</v>
      </c>
      <c r="J183" s="54" t="str">
        <f>IFERROR(IF(factura_c_mes1[[#This Row],[CUIT]]="","-",VLOOKUP(factura_c_mes1[[#This Row],[CUIT]],Lista_CUIT[#All],3,0)),"CUIT NO CARGADO")</f>
        <v>Material de Empaque</v>
      </c>
      <c r="K183" s="54">
        <f>IFERROR(IF(factura_c_mes1[[#This Row],[CUIT]]="","-",VLOOKUP(factura_c_mes1[[#This Row],[CUIT]],Lista_CUIT[#All],4,0)),"CUIT NO CARGADO")</f>
        <v>0</v>
      </c>
    </row>
    <row r="184" spans="2:18">
      <c r="D184" s="50">
        <v>45295</v>
      </c>
      <c r="E184" s="324">
        <v>2</v>
      </c>
      <c r="F184" s="324">
        <v>322</v>
      </c>
      <c r="G184" s="325">
        <v>20300814094</v>
      </c>
      <c r="H184" s="326" t="str">
        <f>IFERROR(IF(factura_c_mes1[[#This Row],[CUIT]]="","-",VLOOKUP(factura_c_mes1[[#This Row],[CUIT]],Lista_CUIT[#All],2,0)),"CUIT NO CARGADO")</f>
        <v>FARRAPEIRA OSCAR MAXIMO</v>
      </c>
      <c r="I184" s="328">
        <v>289916</v>
      </c>
      <c r="J184" s="327" t="str">
        <f>IFERROR(IF(factura_c_mes1[[#This Row],[CUIT]]="","-",VLOOKUP(factura_c_mes1[[#This Row],[CUIT]],Lista_CUIT[#All],3,0)),"CUIT NO CARGADO")</f>
        <v>Material de Empaque</v>
      </c>
      <c r="K184" s="327">
        <f>IFERROR(IF(factura_c_mes1[[#This Row],[CUIT]]="","-",VLOOKUP(factura_c_mes1[[#This Row],[CUIT]],Lista_CUIT[#All],4,0)),"CUIT NO CARGADO")</f>
        <v>0</v>
      </c>
    </row>
    <row r="185" spans="2:18">
      <c r="D185" s="50">
        <v>45304</v>
      </c>
      <c r="E185" s="132">
        <v>2</v>
      </c>
      <c r="F185" s="132">
        <v>324</v>
      </c>
      <c r="G185" s="44">
        <v>20300814094</v>
      </c>
      <c r="H185" s="53" t="str">
        <f>IFERROR(IF(factura_c_mes1[[#This Row],[CUIT]]="","-",VLOOKUP(factura_c_mes1[[#This Row],[CUIT]],Lista_CUIT[#All],2,0)),"CUIT NO CARGADO")</f>
        <v>FARRAPEIRA OSCAR MAXIMO</v>
      </c>
      <c r="I185" s="328">
        <v>1103064</v>
      </c>
      <c r="J185" s="54" t="str">
        <f>IFERROR(IF(factura_c_mes1[[#This Row],[CUIT]]="","-",VLOOKUP(factura_c_mes1[[#This Row],[CUIT]],Lista_CUIT[#All],3,0)),"CUIT NO CARGADO")</f>
        <v>Material de Empaque</v>
      </c>
      <c r="K185" s="54">
        <f>IFERROR(IF(factura_c_mes1[[#This Row],[CUIT]]="","-",VLOOKUP(factura_c_mes1[[#This Row],[CUIT]],Lista_CUIT[#All],4,0)),"CUIT NO CARGADO")</f>
        <v>0</v>
      </c>
    </row>
    <row r="186" spans="2:18">
      <c r="D186" s="50">
        <v>45318</v>
      </c>
      <c r="E186" s="132">
        <v>2</v>
      </c>
      <c r="F186" s="132">
        <v>327</v>
      </c>
      <c r="G186" s="44">
        <v>20300814094</v>
      </c>
      <c r="H186" s="53" t="str">
        <f>IFERROR(IF(factura_c_mes1[[#This Row],[CUIT]]="","-",VLOOKUP(factura_c_mes1[[#This Row],[CUIT]],Lista_CUIT[#All],2,0)),"CUIT NO CARGADO")</f>
        <v>FARRAPEIRA OSCAR MAXIMO</v>
      </c>
      <c r="I186" s="328">
        <v>504230</v>
      </c>
      <c r="J186" s="54" t="str">
        <f>IFERROR(IF(factura_c_mes1[[#This Row],[CUIT]]="","-",VLOOKUP(factura_c_mes1[[#This Row],[CUIT]],Lista_CUIT[#All],3,0)),"CUIT NO CARGADO")</f>
        <v>Material de Empaque</v>
      </c>
      <c r="K186" s="54">
        <f>IFERROR(IF(factura_c_mes1[[#This Row],[CUIT]]="","-",VLOOKUP(factura_c_mes1[[#This Row],[CUIT]],Lista_CUIT[#All],4,0)),"CUIT NO CARGADO")</f>
        <v>0</v>
      </c>
    </row>
    <row r="187" spans="2:18">
      <c r="D187" s="50">
        <v>45294</v>
      </c>
      <c r="E187" s="132">
        <v>1</v>
      </c>
      <c r="F187" s="132">
        <v>62</v>
      </c>
      <c r="G187" s="44">
        <v>20299505430</v>
      </c>
      <c r="H187" s="53" t="str">
        <f>IFERROR(IF(factura_c_mes1[[#This Row],[CUIT]]="","-",VLOOKUP(factura_c_mes1[[#This Row],[CUIT]],Lista_CUIT[#All],2,0)),"CUIT NO CARGADO")</f>
        <v>PRADO EMILIANO HERNAN</v>
      </c>
      <c r="I187" s="328">
        <v>436632</v>
      </c>
      <c r="J187" s="54" t="str">
        <f>IFERROR(IF(factura_c_mes1[[#This Row],[CUIT]]="","-",VLOOKUP(factura_c_mes1[[#This Row],[CUIT]],Lista_CUIT[#All],3,0)),"CUIT NO CARGADO")</f>
        <v>Material de Empaque</v>
      </c>
      <c r="K187" s="54">
        <f>IFERROR(IF(factura_c_mes1[[#This Row],[CUIT]]="","-",VLOOKUP(factura_c_mes1[[#This Row],[CUIT]],Lista_CUIT[#All],4,0)),"CUIT NO CARGADO")</f>
        <v>0</v>
      </c>
    </row>
    <row r="188" spans="2:18">
      <c r="D188" s="50">
        <v>45294</v>
      </c>
      <c r="E188" s="132">
        <v>1</v>
      </c>
      <c r="F188" s="132">
        <v>61</v>
      </c>
      <c r="G188" s="44">
        <v>20299505430</v>
      </c>
      <c r="H188" s="53" t="str">
        <f>IFERROR(IF(factura_c_mes1[[#This Row],[CUIT]]="","-",VLOOKUP(factura_c_mes1[[#This Row],[CUIT]],Lista_CUIT[#All],2,0)),"CUIT NO CARGADO")</f>
        <v>PRADO EMILIANO HERNAN</v>
      </c>
      <c r="I188" s="328">
        <v>587677.5</v>
      </c>
      <c r="J188" s="54" t="str">
        <f>IFERROR(IF(factura_c_mes1[[#This Row],[CUIT]]="","-",VLOOKUP(factura_c_mes1[[#This Row],[CUIT]],Lista_CUIT[#All],3,0)),"CUIT NO CARGADO")</f>
        <v>Material de Empaque</v>
      </c>
      <c r="K188" s="54">
        <f>IFERROR(IF(factura_c_mes1[[#This Row],[CUIT]]="","-",VLOOKUP(factura_c_mes1[[#This Row],[CUIT]],Lista_CUIT[#All],4,0)),"CUIT NO CARGADO")</f>
        <v>0</v>
      </c>
    </row>
    <row r="189" spans="2:18">
      <c r="D189" s="50">
        <v>45294</v>
      </c>
      <c r="E189" s="132">
        <v>1</v>
      </c>
      <c r="F189" s="132">
        <v>60</v>
      </c>
      <c r="G189" s="44">
        <v>20299505430</v>
      </c>
      <c r="H189" s="53" t="str">
        <f>IFERROR(IF(factura_c_mes1[[#This Row],[CUIT]]="","-",VLOOKUP(factura_c_mes1[[#This Row],[CUIT]],Lista_CUIT[#All],2,0)),"CUIT NO CARGADO")</f>
        <v>PRADO EMILIANO HERNAN</v>
      </c>
      <c r="I189" s="328">
        <v>289997.5</v>
      </c>
      <c r="J189" s="54" t="str">
        <f>IFERROR(IF(factura_c_mes1[[#This Row],[CUIT]]="","-",VLOOKUP(factura_c_mes1[[#This Row],[CUIT]],Lista_CUIT[#All],3,0)),"CUIT NO CARGADO")</f>
        <v>Material de Empaque</v>
      </c>
      <c r="K189" s="54">
        <f>IFERROR(IF(factura_c_mes1[[#This Row],[CUIT]]="","-",VLOOKUP(factura_c_mes1[[#This Row],[CUIT]],Lista_CUIT[#All],4,0)),"CUIT NO CARGADO")</f>
        <v>0</v>
      </c>
    </row>
    <row r="190" spans="2:18">
      <c r="D190" s="50">
        <v>45314</v>
      </c>
      <c r="E190" s="132">
        <v>1</v>
      </c>
      <c r="F190" s="132">
        <v>64</v>
      </c>
      <c r="G190" s="44">
        <v>20299505430</v>
      </c>
      <c r="H190" s="53" t="str">
        <f>IFERROR(IF(factura_c_mes1[[#This Row],[CUIT]]="","-",VLOOKUP(factura_c_mes1[[#This Row],[CUIT]],Lista_CUIT[#All],2,0)),"CUIT NO CARGADO")</f>
        <v>PRADO EMILIANO HERNAN</v>
      </c>
      <c r="I190" s="328">
        <v>397808</v>
      </c>
      <c r="J190" s="54" t="str">
        <f>IFERROR(IF(factura_c_mes1[[#This Row],[CUIT]]="","-",VLOOKUP(factura_c_mes1[[#This Row],[CUIT]],Lista_CUIT[#All],3,0)),"CUIT NO CARGADO")</f>
        <v>Material de Empaque</v>
      </c>
      <c r="K190" s="54">
        <f>IFERROR(IF(factura_c_mes1[[#This Row],[CUIT]]="","-",VLOOKUP(factura_c_mes1[[#This Row],[CUIT]],Lista_CUIT[#All],4,0)),"CUIT NO CARGADO")</f>
        <v>0</v>
      </c>
    </row>
    <row r="191" spans="2:18">
      <c r="D191" s="50">
        <v>45314</v>
      </c>
      <c r="E191" s="132">
        <v>8</v>
      </c>
      <c r="F191" s="132">
        <v>531</v>
      </c>
      <c r="G191" s="44">
        <v>27409592487</v>
      </c>
      <c r="H191" s="53" t="str">
        <f>IFERROR(IF(factura_c_mes1[[#This Row],[CUIT]]="","-",VLOOKUP(factura_c_mes1[[#This Row],[CUIT]],Lista_CUIT[#All],2,0)),"CUIT NO CARGADO")</f>
        <v>BAUDONE ANTONELLA AGOSTINA</v>
      </c>
      <c r="I191" s="328">
        <v>110200</v>
      </c>
      <c r="J191" s="54" t="str">
        <f>IFERROR(IF(factura_c_mes1[[#This Row],[CUIT]]="","-",VLOOKUP(factura_c_mes1[[#This Row],[CUIT]],Lista_CUIT[#All],3,0)),"CUIT NO CARGADO")</f>
        <v>Material de Empaque</v>
      </c>
      <c r="K191" s="54">
        <f>IFERROR(IF(factura_c_mes1[[#This Row],[CUIT]]="","-",VLOOKUP(factura_c_mes1[[#This Row],[CUIT]],Lista_CUIT[#All],4,0)),"CUIT NO CARGADO")</f>
        <v>0</v>
      </c>
    </row>
    <row r="192" spans="2:18">
      <c r="B192" s="56"/>
      <c r="C192" s="56"/>
      <c r="D192" s="55" t="s">
        <v>103</v>
      </c>
      <c r="E192" s="55"/>
      <c r="F192" s="55"/>
      <c r="G192" s="55"/>
      <c r="H192" s="57"/>
      <c r="I192" s="58">
        <f>SUBTOTAL(109,factura_c_mes1[TOTAL])</f>
        <v>7828368.5999999996</v>
      </c>
      <c r="J192" s="55"/>
      <c r="K192" s="55"/>
      <c r="L192" s="56"/>
      <c r="M192" s="56"/>
      <c r="N192" s="56"/>
      <c r="O192" s="56"/>
      <c r="P192" s="56"/>
      <c r="Q192" s="56"/>
      <c r="R192" s="56"/>
    </row>
    <row r="197" spans="2:13" ht="26.25">
      <c r="B197" s="720" t="s">
        <v>29</v>
      </c>
      <c r="C197" s="720"/>
      <c r="D197" s="720"/>
      <c r="E197" s="720"/>
      <c r="F197" s="720"/>
      <c r="G197" s="720"/>
      <c r="H197" s="720"/>
      <c r="I197" s="720"/>
      <c r="J197" s="720"/>
      <c r="K197" s="716">
        <f>N1</f>
        <v>44927</v>
      </c>
      <c r="L197" s="716"/>
      <c r="M197" s="716"/>
    </row>
    <row r="199" spans="2:13" ht="21">
      <c r="B199" s="713" t="s">
        <v>30</v>
      </c>
      <c r="C199" s="713"/>
    </row>
    <row r="200" spans="2:13" ht="31.5">
      <c r="B200" s="60" t="s">
        <v>0</v>
      </c>
      <c r="C200" s="61" t="s">
        <v>1</v>
      </c>
      <c r="D200" s="61" t="s">
        <v>21</v>
      </c>
      <c r="E200" s="61" t="s">
        <v>22</v>
      </c>
      <c r="F200" s="61" t="s">
        <v>3</v>
      </c>
      <c r="G200" s="61" t="s">
        <v>4</v>
      </c>
      <c r="H200" s="61" t="s">
        <v>23</v>
      </c>
      <c r="I200" s="61" t="s">
        <v>17</v>
      </c>
      <c r="J200" s="61" t="s">
        <v>7</v>
      </c>
      <c r="K200" s="61" t="s">
        <v>24</v>
      </c>
      <c r="L200" s="61" t="s">
        <v>10</v>
      </c>
      <c r="M200" s="62" t="s">
        <v>38</v>
      </c>
    </row>
    <row r="201" spans="2:13">
      <c r="B201" s="40"/>
      <c r="C201" s="41"/>
      <c r="D201" s="42"/>
      <c r="E201" s="43"/>
      <c r="F201" s="44"/>
      <c r="G201" s="185" t="str">
        <f>IFERROR(IF(venta_a_mes1[[#This Row],[CUIT]]="","-",VLOOKUP(venta_a_mes1[[#This Row],[CUIT]],Lista_CUIT[#All],2,0)),"CUIT NO CARGADO")</f>
        <v>-</v>
      </c>
      <c r="H201" s="100"/>
      <c r="I201" s="101">
        <f>venta_a_mes1[[#This Row],[IMPORTE NETO]]*0.21</f>
        <v>0</v>
      </c>
      <c r="J201" s="65"/>
      <c r="K201" s="65"/>
      <c r="L201" s="65">
        <f>SUM(venta_a_mes1[[#This Row],[IMPORTE NETO]:[EXENTO]])</f>
        <v>0</v>
      </c>
      <c r="M201" s="59"/>
    </row>
    <row r="202" spans="2:13">
      <c r="B202" s="40"/>
      <c r="C202" s="41"/>
      <c r="D202" s="42"/>
      <c r="E202" s="43"/>
      <c r="F202" s="44"/>
      <c r="G202" s="185" t="str">
        <f>IFERROR(IF(venta_a_mes1[[#This Row],[CUIT]]="","-",VLOOKUP(venta_a_mes1[[#This Row],[CUIT]],Lista_CUIT[#All],2,0)),"CUIT NO CARGADO")</f>
        <v>-</v>
      </c>
      <c r="H202" s="100"/>
      <c r="I202" s="101">
        <f>venta_a_mes1[[#This Row],[IMPORTE NETO]]*0.21</f>
        <v>0</v>
      </c>
      <c r="J202" s="65"/>
      <c r="K202" s="65"/>
      <c r="L202" s="65">
        <f>SUM(venta_a_mes1[[#This Row],[IMPORTE NETO]:[EXENTO]])</f>
        <v>0</v>
      </c>
      <c r="M202" s="59"/>
    </row>
    <row r="203" spans="2:13">
      <c r="B203" s="109"/>
      <c r="C203" s="110"/>
      <c r="D203" s="111"/>
      <c r="E203" s="112"/>
      <c r="F203" s="113"/>
      <c r="G203" s="185" t="str">
        <f>IFERROR(IF(venta_a_mes1[[#This Row],[CUIT]]="","-",VLOOKUP(venta_a_mes1[[#This Row],[CUIT]],Lista_CUIT[#All],2,0)),"CUIT NO CARGADO")</f>
        <v>-</v>
      </c>
      <c r="H203" s="100"/>
      <c r="I203" s="101">
        <f>venta_a_mes1[[#This Row],[IMPORTE NETO]]*0.21</f>
        <v>0</v>
      </c>
      <c r="J203" s="65"/>
      <c r="K203" s="65"/>
      <c r="L203" s="65">
        <f>SUM(venta_a_mes1[[#This Row],[IMPORTE NETO]:[EXENTO]])</f>
        <v>0</v>
      </c>
      <c r="M203" s="59"/>
    </row>
    <row r="204" spans="2:13">
      <c r="B204" s="109"/>
      <c r="C204" s="110"/>
      <c r="D204" s="111"/>
      <c r="E204" s="112"/>
      <c r="F204" s="113"/>
      <c r="G204" s="185" t="str">
        <f>IFERROR(IF(venta_a_mes1[[#This Row],[CUIT]]="","-",VLOOKUP(venta_a_mes1[[#This Row],[CUIT]],Lista_CUIT[#All],2,0)),"CUIT NO CARGADO")</f>
        <v>-</v>
      </c>
      <c r="H204" s="100"/>
      <c r="I204" s="101">
        <f>venta_a_mes1[[#This Row],[IMPORTE NETO]]*0.21</f>
        <v>0</v>
      </c>
      <c r="J204" s="65"/>
      <c r="K204" s="65"/>
      <c r="L204" s="65">
        <f>SUM(venta_a_mes1[[#This Row],[IMPORTE NETO]:[EXENTO]])</f>
        <v>0</v>
      </c>
      <c r="M204" s="59"/>
    </row>
    <row r="205" spans="2:13">
      <c r="B205" s="109"/>
      <c r="C205" s="110"/>
      <c r="D205" s="111"/>
      <c r="E205" s="112"/>
      <c r="F205" s="113"/>
      <c r="G205" s="185" t="str">
        <f>IFERROR(IF(venta_a_mes1[[#This Row],[CUIT]]="","-",VLOOKUP(venta_a_mes1[[#This Row],[CUIT]],Lista_CUIT[#All],2,0)),"CUIT NO CARGADO")</f>
        <v>-</v>
      </c>
      <c r="H205" s="100"/>
      <c r="I205" s="101">
        <f>venta_a_mes1[[#This Row],[IMPORTE NETO]]*0.21</f>
        <v>0</v>
      </c>
      <c r="J205" s="65"/>
      <c r="K205" s="65"/>
      <c r="L205" s="65">
        <f>SUM(venta_a_mes1[[#This Row],[IMPORTE NETO]:[EXENTO]])</f>
        <v>0</v>
      </c>
      <c r="M205" s="59"/>
    </row>
    <row r="206" spans="2:13">
      <c r="B206" s="109"/>
      <c r="C206" s="110"/>
      <c r="D206" s="111"/>
      <c r="E206" s="112"/>
      <c r="F206" s="113"/>
      <c r="G206" s="185" t="str">
        <f>IFERROR(IF(venta_a_mes1[[#This Row],[CUIT]]="","-",VLOOKUP(venta_a_mes1[[#This Row],[CUIT]],Lista_CUIT[#All],2,0)),"CUIT NO CARGADO")</f>
        <v>-</v>
      </c>
      <c r="H206" s="100"/>
      <c r="I206" s="101">
        <f>venta_a_mes1[[#This Row],[IMPORTE NETO]]*0.21</f>
        <v>0</v>
      </c>
      <c r="J206" s="65"/>
      <c r="K206" s="65"/>
      <c r="L206" s="65">
        <f>SUM(venta_a_mes1[[#This Row],[IMPORTE NETO]:[EXENTO]])</f>
        <v>0</v>
      </c>
      <c r="M206" s="59"/>
    </row>
    <row r="207" spans="2:13">
      <c r="B207" s="109"/>
      <c r="C207" s="110"/>
      <c r="D207" s="111"/>
      <c r="E207" s="112"/>
      <c r="F207" s="113"/>
      <c r="G207" s="185" t="str">
        <f>IFERROR(IF(venta_a_mes1[[#This Row],[CUIT]]="","-",VLOOKUP(venta_a_mes1[[#This Row],[CUIT]],Lista_CUIT[#All],2,0)),"CUIT NO CARGADO")</f>
        <v>-</v>
      </c>
      <c r="H207" s="100"/>
      <c r="I207" s="101">
        <f>venta_a_mes1[[#This Row],[IMPORTE NETO]]*0.21</f>
        <v>0</v>
      </c>
      <c r="J207" s="65"/>
      <c r="K207" s="65"/>
      <c r="L207" s="65">
        <f>SUM(venta_a_mes1[[#This Row],[IMPORTE NETO]:[EXENTO]])</f>
        <v>0</v>
      </c>
      <c r="M207" s="59"/>
    </row>
    <row r="208" spans="2:13">
      <c r="B208" s="109"/>
      <c r="C208" s="110"/>
      <c r="D208" s="111"/>
      <c r="E208" s="112"/>
      <c r="F208" s="113"/>
      <c r="G208" s="185" t="str">
        <f>IFERROR(IF(venta_a_mes1[[#This Row],[CUIT]]="","-",VLOOKUP(venta_a_mes1[[#This Row],[CUIT]],Lista_CUIT[#All],2,0)),"CUIT NO CARGADO")</f>
        <v>-</v>
      </c>
      <c r="H208" s="100"/>
      <c r="I208" s="101">
        <f>venta_a_mes1[[#This Row],[IMPORTE NETO]]*0.21</f>
        <v>0</v>
      </c>
      <c r="J208" s="65"/>
      <c r="K208" s="65"/>
      <c r="L208" s="65">
        <f>SUM(venta_a_mes1[[#This Row],[IMPORTE NETO]:[EXENTO]])</f>
        <v>0</v>
      </c>
      <c r="M208" s="59"/>
    </row>
    <row r="209" spans="2:13">
      <c r="B209" s="109"/>
      <c r="C209" s="110"/>
      <c r="D209" s="111"/>
      <c r="E209" s="112"/>
      <c r="F209" s="113"/>
      <c r="G209" s="185" t="str">
        <f>IFERROR(IF(venta_a_mes1[[#This Row],[CUIT]]="","-",VLOOKUP(venta_a_mes1[[#This Row],[CUIT]],Lista_CUIT[#All],2,0)),"CUIT NO CARGADO")</f>
        <v>-</v>
      </c>
      <c r="H209" s="100"/>
      <c r="I209" s="101">
        <f>venta_a_mes1[[#This Row],[IMPORTE NETO]]*0.21</f>
        <v>0</v>
      </c>
      <c r="J209" s="65"/>
      <c r="K209" s="65"/>
      <c r="L209" s="65">
        <f>SUM(venta_a_mes1[[#This Row],[IMPORTE NETO]:[EXENTO]])</f>
        <v>0</v>
      </c>
      <c r="M209" s="59"/>
    </row>
    <row r="210" spans="2:13">
      <c r="B210" s="109"/>
      <c r="C210" s="110"/>
      <c r="D210" s="111"/>
      <c r="E210" s="112"/>
      <c r="F210" s="113"/>
      <c r="G210" s="185" t="str">
        <f>IFERROR(IF(venta_a_mes1[[#This Row],[CUIT]]="","-",VLOOKUP(venta_a_mes1[[#This Row],[CUIT]],Lista_CUIT[#All],2,0)),"CUIT NO CARGADO")</f>
        <v>-</v>
      </c>
      <c r="H210" s="100"/>
      <c r="I210" s="101">
        <f>venta_a_mes1[[#This Row],[IMPORTE NETO]]*0.21</f>
        <v>0</v>
      </c>
      <c r="J210" s="65"/>
      <c r="K210" s="65"/>
      <c r="L210" s="65">
        <f>SUM(venta_a_mes1[[#This Row],[IMPORTE NETO]:[EXENTO]])</f>
        <v>0</v>
      </c>
      <c r="M210" s="59"/>
    </row>
    <row r="211" spans="2:13">
      <c r="B211" s="109"/>
      <c r="C211" s="110"/>
      <c r="D211" s="111"/>
      <c r="E211" s="112"/>
      <c r="F211" s="113"/>
      <c r="G211" s="185" t="str">
        <f>IFERROR(IF(venta_a_mes1[[#This Row],[CUIT]]="","-",VLOOKUP(venta_a_mes1[[#This Row],[CUIT]],Lista_CUIT[#All],2,0)),"CUIT NO CARGADO")</f>
        <v>-</v>
      </c>
      <c r="H211" s="100"/>
      <c r="I211" s="101">
        <f>venta_a_mes1[[#This Row],[IMPORTE NETO]]*0.21</f>
        <v>0</v>
      </c>
      <c r="J211" s="65"/>
      <c r="K211" s="65"/>
      <c r="L211" s="65">
        <f>SUM(venta_a_mes1[[#This Row],[IMPORTE NETO]:[EXENTO]])</f>
        <v>0</v>
      </c>
      <c r="M211" s="59"/>
    </row>
    <row r="212" spans="2:13">
      <c r="B212" s="109"/>
      <c r="C212" s="110"/>
      <c r="D212" s="111"/>
      <c r="E212" s="112"/>
      <c r="F212" s="113"/>
      <c r="G212" s="185" t="str">
        <f>IFERROR(IF(venta_a_mes1[[#This Row],[CUIT]]="","-",VLOOKUP(venta_a_mes1[[#This Row],[CUIT]],Lista_CUIT[#All],2,0)),"CUIT NO CARGADO")</f>
        <v>-</v>
      </c>
      <c r="H212" s="100"/>
      <c r="I212" s="101">
        <f>venta_a_mes1[[#This Row],[IMPORTE NETO]]*0.21</f>
        <v>0</v>
      </c>
      <c r="J212" s="65"/>
      <c r="K212" s="65"/>
      <c r="L212" s="65">
        <f>SUM(venta_a_mes1[[#This Row],[IMPORTE NETO]:[EXENTO]])</f>
        <v>0</v>
      </c>
      <c r="M212" s="59"/>
    </row>
    <row r="213" spans="2:13">
      <c r="B213" s="109"/>
      <c r="C213" s="110"/>
      <c r="D213" s="111"/>
      <c r="E213" s="112"/>
      <c r="F213" s="113"/>
      <c r="G213" s="185" t="str">
        <f>IFERROR(IF(venta_a_mes1[[#This Row],[CUIT]]="","-",VLOOKUP(venta_a_mes1[[#This Row],[CUIT]],Lista_CUIT[#All],2,0)),"CUIT NO CARGADO")</f>
        <v>-</v>
      </c>
      <c r="H213" s="100"/>
      <c r="I213" s="101">
        <f>venta_a_mes1[[#This Row],[IMPORTE NETO]]*0.21</f>
        <v>0</v>
      </c>
      <c r="J213" s="65"/>
      <c r="K213" s="65"/>
      <c r="L213" s="65">
        <f>SUM(venta_a_mes1[[#This Row],[IMPORTE NETO]:[EXENTO]])</f>
        <v>0</v>
      </c>
      <c r="M213" s="59"/>
    </row>
    <row r="214" spans="2:13">
      <c r="B214" s="109"/>
      <c r="C214" s="110"/>
      <c r="D214" s="111"/>
      <c r="E214" s="112"/>
      <c r="F214" s="113"/>
      <c r="G214" s="185" t="str">
        <f>IFERROR(IF(venta_a_mes1[[#This Row],[CUIT]]="","-",VLOOKUP(venta_a_mes1[[#This Row],[CUIT]],Lista_CUIT[#All],2,0)),"CUIT NO CARGADO")</f>
        <v>-</v>
      </c>
      <c r="H214" s="100"/>
      <c r="I214" s="101">
        <f>venta_a_mes1[[#This Row],[IMPORTE NETO]]*0.21</f>
        <v>0</v>
      </c>
      <c r="J214" s="65"/>
      <c r="K214" s="65"/>
      <c r="L214" s="65">
        <f>SUM(venta_a_mes1[[#This Row],[IMPORTE NETO]:[EXENTO]])</f>
        <v>0</v>
      </c>
      <c r="M214" s="59"/>
    </row>
    <row r="215" spans="2:13">
      <c r="B215" s="109"/>
      <c r="C215" s="110"/>
      <c r="D215" s="111"/>
      <c r="E215" s="112"/>
      <c r="F215" s="113"/>
      <c r="G215" s="185" t="str">
        <f>IFERROR(IF(venta_a_mes1[[#This Row],[CUIT]]="","-",VLOOKUP(venta_a_mes1[[#This Row],[CUIT]],Lista_CUIT[#All],2,0)),"CUIT NO CARGADO")</f>
        <v>-</v>
      </c>
      <c r="H215" s="100"/>
      <c r="I215" s="101">
        <f>venta_a_mes1[[#This Row],[IMPORTE NETO]]*0.21</f>
        <v>0</v>
      </c>
      <c r="J215" s="65"/>
      <c r="K215" s="65"/>
      <c r="L215" s="65">
        <f>SUM(venta_a_mes1[[#This Row],[IMPORTE NETO]:[EXENTO]])</f>
        <v>0</v>
      </c>
      <c r="M215" s="59"/>
    </row>
    <row r="216" spans="2:13">
      <c r="B216" s="109"/>
      <c r="C216" s="110"/>
      <c r="D216" s="111"/>
      <c r="E216" s="112"/>
      <c r="F216" s="113"/>
      <c r="G216" s="185" t="str">
        <f>IFERROR(IF(venta_a_mes1[[#This Row],[CUIT]]="","-",VLOOKUP(venta_a_mes1[[#This Row],[CUIT]],Lista_CUIT[#All],2,0)),"CUIT NO CARGADO")</f>
        <v>-</v>
      </c>
      <c r="H216" s="100"/>
      <c r="I216" s="101">
        <f>venta_a_mes1[[#This Row],[IMPORTE NETO]]*0.21</f>
        <v>0</v>
      </c>
      <c r="J216" s="65"/>
      <c r="K216" s="65"/>
      <c r="L216" s="65">
        <f>SUM(venta_a_mes1[[#This Row],[IMPORTE NETO]:[EXENTO]])</f>
        <v>0</v>
      </c>
      <c r="M216" s="59"/>
    </row>
    <row r="217" spans="2:13">
      <c r="B217" s="109"/>
      <c r="C217" s="110"/>
      <c r="D217" s="111"/>
      <c r="E217" s="112"/>
      <c r="F217" s="113"/>
      <c r="G217" s="185" t="str">
        <f>IFERROR(IF(venta_a_mes1[[#This Row],[CUIT]]="","-",VLOOKUP(venta_a_mes1[[#This Row],[CUIT]],Lista_CUIT[#All],2,0)),"CUIT NO CARGADO")</f>
        <v>-</v>
      </c>
      <c r="H217" s="100"/>
      <c r="I217" s="101">
        <f>venta_a_mes1[[#This Row],[IMPORTE NETO]]*0.21</f>
        <v>0</v>
      </c>
      <c r="J217" s="65"/>
      <c r="K217" s="65"/>
      <c r="L217" s="65">
        <f>SUM(venta_a_mes1[[#This Row],[IMPORTE NETO]:[EXENTO]])</f>
        <v>0</v>
      </c>
      <c r="M217" s="59"/>
    </row>
    <row r="218" spans="2:13">
      <c r="B218" s="109"/>
      <c r="C218" s="110"/>
      <c r="D218" s="111"/>
      <c r="E218" s="112"/>
      <c r="F218" s="113"/>
      <c r="G218" s="185" t="str">
        <f>IFERROR(IF(venta_a_mes1[[#This Row],[CUIT]]="","-",VLOOKUP(venta_a_mes1[[#This Row],[CUIT]],Lista_CUIT[#All],2,0)),"CUIT NO CARGADO")</f>
        <v>-</v>
      </c>
      <c r="H218" s="100"/>
      <c r="I218" s="101">
        <f>venta_a_mes1[[#This Row],[IMPORTE NETO]]*0.21</f>
        <v>0</v>
      </c>
      <c r="J218" s="65"/>
      <c r="K218" s="65"/>
      <c r="L218" s="65">
        <f>SUM(venta_a_mes1[[#This Row],[IMPORTE NETO]:[EXENTO]])</f>
        <v>0</v>
      </c>
      <c r="M218" s="59"/>
    </row>
    <row r="219" spans="2:13">
      <c r="B219" s="109"/>
      <c r="C219" s="110"/>
      <c r="D219" s="111"/>
      <c r="E219" s="112"/>
      <c r="F219" s="113"/>
      <c r="G219" s="185" t="str">
        <f>IFERROR(IF(venta_a_mes1[[#This Row],[CUIT]]="","-",VLOOKUP(venta_a_mes1[[#This Row],[CUIT]],Lista_CUIT[#All],2,0)),"CUIT NO CARGADO")</f>
        <v>-</v>
      </c>
      <c r="H219" s="100"/>
      <c r="I219" s="101">
        <f>venta_a_mes1[[#This Row],[IMPORTE NETO]]*0.21</f>
        <v>0</v>
      </c>
      <c r="J219" s="65"/>
      <c r="K219" s="65"/>
      <c r="L219" s="65">
        <f>SUM(venta_a_mes1[[#This Row],[IMPORTE NETO]:[EXENTO]])</f>
        <v>0</v>
      </c>
      <c r="M219" s="59"/>
    </row>
    <row r="220" spans="2:13">
      <c r="B220" s="109"/>
      <c r="C220" s="110"/>
      <c r="D220" s="111"/>
      <c r="E220" s="112"/>
      <c r="F220" s="113"/>
      <c r="G220" s="185" t="str">
        <f>IFERROR(IF(venta_a_mes1[[#This Row],[CUIT]]="","-",VLOOKUP(venta_a_mes1[[#This Row],[CUIT]],Lista_CUIT[#All],2,0)),"CUIT NO CARGADO")</f>
        <v>-</v>
      </c>
      <c r="H220" s="100"/>
      <c r="I220" s="101">
        <f>venta_a_mes1[[#This Row],[IMPORTE NETO]]*0.21</f>
        <v>0</v>
      </c>
      <c r="J220" s="65"/>
      <c r="K220" s="65"/>
      <c r="L220" s="65">
        <f>SUM(venta_a_mes1[[#This Row],[IMPORTE NETO]:[EXENTO]])</f>
        <v>0</v>
      </c>
      <c r="M220" s="59"/>
    </row>
    <row r="221" spans="2:13">
      <c r="B221" s="109"/>
      <c r="C221" s="110"/>
      <c r="D221" s="111"/>
      <c r="E221" s="112"/>
      <c r="F221" s="113"/>
      <c r="G221" s="185" t="str">
        <f>IFERROR(IF(venta_a_mes1[[#This Row],[CUIT]]="","-",VLOOKUP(venta_a_mes1[[#This Row],[CUIT]],Lista_CUIT[#All],2,0)),"CUIT NO CARGADO")</f>
        <v>-</v>
      </c>
      <c r="H221" s="100"/>
      <c r="I221" s="101">
        <f>venta_a_mes1[[#This Row],[IMPORTE NETO]]*0.21</f>
        <v>0</v>
      </c>
      <c r="J221" s="65"/>
      <c r="K221" s="65"/>
      <c r="L221" s="65">
        <f>SUM(venta_a_mes1[[#This Row],[IMPORTE NETO]:[EXENTO]])</f>
        <v>0</v>
      </c>
      <c r="M221" s="59"/>
    </row>
    <row r="222" spans="2:13">
      <c r="B222" s="109"/>
      <c r="C222" s="110"/>
      <c r="D222" s="111"/>
      <c r="E222" s="112"/>
      <c r="F222" s="113"/>
      <c r="G222" s="185" t="str">
        <f>IFERROR(IF(venta_a_mes1[[#This Row],[CUIT]]="","-",VLOOKUP(venta_a_mes1[[#This Row],[CUIT]],Lista_CUIT[#All],2,0)),"CUIT NO CARGADO")</f>
        <v>-</v>
      </c>
      <c r="H222" s="100"/>
      <c r="I222" s="101">
        <f>venta_a_mes1[[#This Row],[IMPORTE NETO]]*0.21</f>
        <v>0</v>
      </c>
      <c r="J222" s="65"/>
      <c r="K222" s="65"/>
      <c r="L222" s="65">
        <f>SUM(venta_a_mes1[[#This Row],[IMPORTE NETO]:[EXENTO]])</f>
        <v>0</v>
      </c>
      <c r="M222" s="59"/>
    </row>
    <row r="223" spans="2:13">
      <c r="B223" s="109"/>
      <c r="C223" s="110"/>
      <c r="D223" s="111"/>
      <c r="E223" s="112"/>
      <c r="F223" s="113"/>
      <c r="G223" s="185" t="str">
        <f>IFERROR(IF(venta_a_mes1[[#This Row],[CUIT]]="","-",VLOOKUP(venta_a_mes1[[#This Row],[CUIT]],Lista_CUIT[#All],2,0)),"CUIT NO CARGADO")</f>
        <v>-</v>
      </c>
      <c r="H223" s="100"/>
      <c r="I223" s="101">
        <f>venta_a_mes1[[#This Row],[IMPORTE NETO]]*0.21</f>
        <v>0</v>
      </c>
      <c r="J223" s="65"/>
      <c r="K223" s="65"/>
      <c r="L223" s="65">
        <f>SUM(venta_a_mes1[[#This Row],[IMPORTE NETO]:[EXENTO]])</f>
        <v>0</v>
      </c>
      <c r="M223" s="59"/>
    </row>
    <row r="224" spans="2:13">
      <c r="B224" s="109"/>
      <c r="C224" s="110"/>
      <c r="D224" s="111"/>
      <c r="E224" s="112"/>
      <c r="F224" s="113"/>
      <c r="G224" s="185" t="str">
        <f>IFERROR(IF(venta_a_mes1[[#This Row],[CUIT]]="","-",VLOOKUP(venta_a_mes1[[#This Row],[CUIT]],Lista_CUIT[#All],2,0)),"CUIT NO CARGADO")</f>
        <v>-</v>
      </c>
      <c r="H224" s="100"/>
      <c r="I224" s="101">
        <f>venta_a_mes1[[#This Row],[IMPORTE NETO]]*0.21</f>
        <v>0</v>
      </c>
      <c r="J224" s="65"/>
      <c r="K224" s="65"/>
      <c r="L224" s="65">
        <f>SUM(venta_a_mes1[[#This Row],[IMPORTE NETO]:[EXENTO]])</f>
        <v>0</v>
      </c>
      <c r="M224" s="59"/>
    </row>
    <row r="225" spans="2:13">
      <c r="B225" s="109"/>
      <c r="C225" s="110"/>
      <c r="D225" s="111"/>
      <c r="E225" s="112"/>
      <c r="F225" s="113"/>
      <c r="G225" s="185" t="str">
        <f>IFERROR(IF(venta_a_mes1[[#This Row],[CUIT]]="","-",VLOOKUP(venta_a_mes1[[#This Row],[CUIT]],Lista_CUIT[#All],2,0)),"CUIT NO CARGADO")</f>
        <v>-</v>
      </c>
      <c r="H225" s="100"/>
      <c r="I225" s="101">
        <f>venta_a_mes1[[#This Row],[IMPORTE NETO]]*0.21</f>
        <v>0</v>
      </c>
      <c r="J225" s="65"/>
      <c r="K225" s="65"/>
      <c r="L225" s="65">
        <f>SUM(venta_a_mes1[[#This Row],[IMPORTE NETO]:[EXENTO]])</f>
        <v>0</v>
      </c>
      <c r="M225" s="59"/>
    </row>
    <row r="226" spans="2:13">
      <c r="B226" s="109"/>
      <c r="C226" s="110"/>
      <c r="D226" s="111"/>
      <c r="E226" s="112"/>
      <c r="F226" s="113"/>
      <c r="G226" s="185" t="str">
        <f>IFERROR(IF(venta_a_mes1[[#This Row],[CUIT]]="","-",VLOOKUP(venta_a_mes1[[#This Row],[CUIT]],Lista_CUIT[#All],2,0)),"CUIT NO CARGADO")</f>
        <v>-</v>
      </c>
      <c r="H226" s="100"/>
      <c r="I226" s="101">
        <f>venta_a_mes1[[#This Row],[IMPORTE NETO]]*0.21</f>
        <v>0</v>
      </c>
      <c r="J226" s="65"/>
      <c r="K226" s="65"/>
      <c r="L226" s="65">
        <f>SUM(venta_a_mes1[[#This Row],[IMPORTE NETO]:[EXENTO]])</f>
        <v>0</v>
      </c>
      <c r="M226" s="59"/>
    </row>
    <row r="227" spans="2:13">
      <c r="B227" s="109"/>
      <c r="C227" s="110"/>
      <c r="D227" s="111"/>
      <c r="E227" s="112"/>
      <c r="F227" s="113"/>
      <c r="G227" s="185" t="str">
        <f>IFERROR(IF(venta_a_mes1[[#This Row],[CUIT]]="","-",VLOOKUP(venta_a_mes1[[#This Row],[CUIT]],Lista_CUIT[#All],2,0)),"CUIT NO CARGADO")</f>
        <v>-</v>
      </c>
      <c r="H227" s="100"/>
      <c r="I227" s="101">
        <f>venta_a_mes1[[#This Row],[IMPORTE NETO]]*0.21</f>
        <v>0</v>
      </c>
      <c r="J227" s="65"/>
      <c r="K227" s="65"/>
      <c r="L227" s="65">
        <f>SUM(venta_a_mes1[[#This Row],[IMPORTE NETO]:[EXENTO]])</f>
        <v>0</v>
      </c>
      <c r="M227" s="59"/>
    </row>
    <row r="228" spans="2:13">
      <c r="B228" s="109"/>
      <c r="C228" s="110"/>
      <c r="D228" s="111"/>
      <c r="E228" s="112"/>
      <c r="F228" s="113"/>
      <c r="G228" s="185" t="str">
        <f>IFERROR(IF(venta_a_mes1[[#This Row],[CUIT]]="","-",VLOOKUP(venta_a_mes1[[#This Row],[CUIT]],Lista_CUIT[#All],2,0)),"CUIT NO CARGADO")</f>
        <v>-</v>
      </c>
      <c r="H228" s="100"/>
      <c r="I228" s="101">
        <f>venta_a_mes1[[#This Row],[IMPORTE NETO]]*0.21</f>
        <v>0</v>
      </c>
      <c r="J228" s="65"/>
      <c r="K228" s="65"/>
      <c r="L228" s="65">
        <f>SUM(venta_a_mes1[[#This Row],[IMPORTE NETO]:[EXENTO]])</f>
        <v>0</v>
      </c>
      <c r="M228" s="59"/>
    </row>
    <row r="229" spans="2:13">
      <c r="B229" s="109"/>
      <c r="C229" s="110"/>
      <c r="D229" s="111"/>
      <c r="E229" s="112"/>
      <c r="F229" s="113"/>
      <c r="G229" s="185" t="str">
        <f>IFERROR(IF(venta_a_mes1[[#This Row],[CUIT]]="","-",VLOOKUP(venta_a_mes1[[#This Row],[CUIT]],Lista_CUIT[#All],2,0)),"CUIT NO CARGADO")</f>
        <v>-</v>
      </c>
      <c r="H229" s="100"/>
      <c r="I229" s="101">
        <f>venta_a_mes1[[#This Row],[IMPORTE NETO]]*0.21</f>
        <v>0</v>
      </c>
      <c r="J229" s="65"/>
      <c r="K229" s="65"/>
      <c r="L229" s="65">
        <f>SUM(venta_a_mes1[[#This Row],[IMPORTE NETO]:[EXENTO]])</f>
        <v>0</v>
      </c>
      <c r="M229" s="59"/>
    </row>
    <row r="230" spans="2:13">
      <c r="B230" s="109"/>
      <c r="C230" s="110"/>
      <c r="D230" s="111"/>
      <c r="E230" s="112"/>
      <c r="F230" s="113"/>
      <c r="G230" s="185" t="str">
        <f>IFERROR(IF(venta_a_mes1[[#This Row],[CUIT]]="","-",VLOOKUP(venta_a_mes1[[#This Row],[CUIT]],Lista_CUIT[#All],2,0)),"CUIT NO CARGADO")</f>
        <v>-</v>
      </c>
      <c r="H230" s="100"/>
      <c r="I230" s="101">
        <f>venta_a_mes1[[#This Row],[IMPORTE NETO]]*0.21</f>
        <v>0</v>
      </c>
      <c r="J230" s="65"/>
      <c r="K230" s="65"/>
      <c r="L230" s="65">
        <f>SUM(venta_a_mes1[[#This Row],[IMPORTE NETO]:[EXENTO]])</f>
        <v>0</v>
      </c>
      <c r="M230" s="59"/>
    </row>
    <row r="231" spans="2:13">
      <c r="B231" s="109"/>
      <c r="C231" s="110"/>
      <c r="D231" s="111"/>
      <c r="E231" s="112"/>
      <c r="F231" s="113"/>
      <c r="G231" s="185" t="str">
        <f>IFERROR(IF(venta_a_mes1[[#This Row],[CUIT]]="","-",VLOOKUP(venta_a_mes1[[#This Row],[CUIT]],Lista_CUIT[#All],2,0)),"CUIT NO CARGADO")</f>
        <v>-</v>
      </c>
      <c r="H231" s="100"/>
      <c r="I231" s="101">
        <f>venta_a_mes1[[#This Row],[IMPORTE NETO]]*0.21</f>
        <v>0</v>
      </c>
      <c r="J231" s="65"/>
      <c r="K231" s="65"/>
      <c r="L231" s="65">
        <f>SUM(venta_a_mes1[[#This Row],[IMPORTE NETO]:[EXENTO]])</f>
        <v>0</v>
      </c>
      <c r="M231" s="59"/>
    </row>
    <row r="232" spans="2:13">
      <c r="B232" s="109"/>
      <c r="C232" s="110"/>
      <c r="D232" s="111"/>
      <c r="E232" s="112"/>
      <c r="F232" s="113"/>
      <c r="G232" s="185" t="str">
        <f>IFERROR(IF(venta_a_mes1[[#This Row],[CUIT]]="","-",VLOOKUP(venta_a_mes1[[#This Row],[CUIT]],Lista_CUIT[#All],2,0)),"CUIT NO CARGADO")</f>
        <v>-</v>
      </c>
      <c r="H232" s="100"/>
      <c r="I232" s="101">
        <f>venta_a_mes1[[#This Row],[IMPORTE NETO]]*0.21</f>
        <v>0</v>
      </c>
      <c r="J232" s="65"/>
      <c r="K232" s="65"/>
      <c r="L232" s="65">
        <f>SUM(venta_a_mes1[[#This Row],[IMPORTE NETO]:[EXENTO]])</f>
        <v>0</v>
      </c>
      <c r="M232" s="59"/>
    </row>
    <row r="233" spans="2:13">
      <c r="B233" s="109"/>
      <c r="C233" s="110"/>
      <c r="D233" s="111"/>
      <c r="E233" s="112"/>
      <c r="F233" s="113"/>
      <c r="G233" s="185" t="str">
        <f>IFERROR(IF(venta_a_mes1[[#This Row],[CUIT]]="","-",VLOOKUP(venta_a_mes1[[#This Row],[CUIT]],Lista_CUIT[#All],2,0)),"CUIT NO CARGADO")</f>
        <v>-</v>
      </c>
      <c r="H233" s="100"/>
      <c r="I233" s="101">
        <f>venta_a_mes1[[#This Row],[IMPORTE NETO]]*0.21</f>
        <v>0</v>
      </c>
      <c r="J233" s="65"/>
      <c r="K233" s="65"/>
      <c r="L233" s="65">
        <f>SUM(venta_a_mes1[[#This Row],[IMPORTE NETO]:[EXENTO]])</f>
        <v>0</v>
      </c>
      <c r="M233" s="59"/>
    </row>
    <row r="234" spans="2:13">
      <c r="B234" s="109"/>
      <c r="C234" s="110"/>
      <c r="D234" s="111"/>
      <c r="E234" s="112"/>
      <c r="F234" s="113"/>
      <c r="G234" s="185" t="str">
        <f>IFERROR(IF(venta_a_mes1[[#This Row],[CUIT]]="","-",VLOOKUP(venta_a_mes1[[#This Row],[CUIT]],Lista_CUIT[#All],2,0)),"CUIT NO CARGADO")</f>
        <v>-</v>
      </c>
      <c r="H234" s="100"/>
      <c r="I234" s="101">
        <f>venta_a_mes1[[#This Row],[IMPORTE NETO]]*0.21</f>
        <v>0</v>
      </c>
      <c r="J234" s="65"/>
      <c r="K234" s="65"/>
      <c r="L234" s="65">
        <f>SUM(venta_a_mes1[[#This Row],[IMPORTE NETO]:[EXENTO]])</f>
        <v>0</v>
      </c>
      <c r="M234" s="59"/>
    </row>
    <row r="235" spans="2:13">
      <c r="B235" s="109"/>
      <c r="C235" s="110"/>
      <c r="D235" s="111"/>
      <c r="E235" s="112"/>
      <c r="F235" s="113"/>
      <c r="G235" s="185" t="str">
        <f>IFERROR(IF(venta_a_mes1[[#This Row],[CUIT]]="","-",VLOOKUP(venta_a_mes1[[#This Row],[CUIT]],Lista_CUIT[#All],2,0)),"CUIT NO CARGADO")</f>
        <v>-</v>
      </c>
      <c r="H235" s="100"/>
      <c r="I235" s="101">
        <f>venta_a_mes1[[#This Row],[IMPORTE NETO]]*0.21</f>
        <v>0</v>
      </c>
      <c r="J235" s="65"/>
      <c r="K235" s="65"/>
      <c r="L235" s="65">
        <f>SUM(venta_a_mes1[[#This Row],[IMPORTE NETO]:[EXENTO]])</f>
        <v>0</v>
      </c>
      <c r="M235" s="59"/>
    </row>
    <row r="236" spans="2:13">
      <c r="B236" s="109"/>
      <c r="C236" s="110"/>
      <c r="D236" s="111"/>
      <c r="E236" s="112"/>
      <c r="F236" s="113"/>
      <c r="G236" s="185" t="str">
        <f>IFERROR(IF(venta_a_mes1[[#This Row],[CUIT]]="","-",VLOOKUP(venta_a_mes1[[#This Row],[CUIT]],Lista_CUIT[#All],2,0)),"CUIT NO CARGADO")</f>
        <v>-</v>
      </c>
      <c r="H236" s="100"/>
      <c r="I236" s="101">
        <f>venta_a_mes1[[#This Row],[IMPORTE NETO]]*0.21</f>
        <v>0</v>
      </c>
      <c r="J236" s="65"/>
      <c r="K236" s="65"/>
      <c r="L236" s="65">
        <f>SUM(venta_a_mes1[[#This Row],[IMPORTE NETO]:[EXENTO]])</f>
        <v>0</v>
      </c>
      <c r="M236" s="59"/>
    </row>
    <row r="237" spans="2:13">
      <c r="B237" s="109"/>
      <c r="C237" s="110"/>
      <c r="D237" s="111"/>
      <c r="E237" s="112"/>
      <c r="F237" s="113"/>
      <c r="G237" s="185" t="str">
        <f>IFERROR(IF(venta_a_mes1[[#This Row],[CUIT]]="","-",VLOOKUP(venta_a_mes1[[#This Row],[CUIT]],Lista_CUIT[#All],2,0)),"CUIT NO CARGADO")</f>
        <v>-</v>
      </c>
      <c r="H237" s="100"/>
      <c r="I237" s="101">
        <f>venta_a_mes1[[#This Row],[IMPORTE NETO]]*0.21</f>
        <v>0</v>
      </c>
      <c r="J237" s="65"/>
      <c r="K237" s="65"/>
      <c r="L237" s="65">
        <f>SUM(venta_a_mes1[[#This Row],[IMPORTE NETO]:[EXENTO]])</f>
        <v>0</v>
      </c>
      <c r="M237" s="59"/>
    </row>
    <row r="238" spans="2:13">
      <c r="B238" s="109"/>
      <c r="C238" s="110"/>
      <c r="D238" s="111"/>
      <c r="E238" s="112"/>
      <c r="F238" s="113"/>
      <c r="G238" s="185" t="str">
        <f>IFERROR(IF(venta_a_mes1[[#This Row],[CUIT]]="","-",VLOOKUP(venta_a_mes1[[#This Row],[CUIT]],Lista_CUIT[#All],2,0)),"CUIT NO CARGADO")</f>
        <v>-</v>
      </c>
      <c r="H238" s="100"/>
      <c r="I238" s="101">
        <f>venta_a_mes1[[#This Row],[IMPORTE NETO]]*0.21</f>
        <v>0</v>
      </c>
      <c r="J238" s="65"/>
      <c r="K238" s="65"/>
      <c r="L238" s="65">
        <f>SUM(venta_a_mes1[[#This Row],[IMPORTE NETO]:[EXENTO]])</f>
        <v>0</v>
      </c>
      <c r="M238" s="59"/>
    </row>
    <row r="239" spans="2:13">
      <c r="B239" s="109"/>
      <c r="C239" s="110"/>
      <c r="D239" s="111"/>
      <c r="E239" s="112"/>
      <c r="F239" s="113"/>
      <c r="G239" s="185" t="str">
        <f>IFERROR(IF(venta_a_mes1[[#This Row],[CUIT]]="","-",VLOOKUP(venta_a_mes1[[#This Row],[CUIT]],Lista_CUIT[#All],2,0)),"CUIT NO CARGADO")</f>
        <v>-</v>
      </c>
      <c r="H239" s="100"/>
      <c r="I239" s="101">
        <f>venta_a_mes1[[#This Row],[IMPORTE NETO]]*0.21</f>
        <v>0</v>
      </c>
      <c r="J239" s="65"/>
      <c r="K239" s="65"/>
      <c r="L239" s="65">
        <f>SUM(venta_a_mes1[[#This Row],[IMPORTE NETO]:[EXENTO]])</f>
        <v>0</v>
      </c>
      <c r="M239" s="59"/>
    </row>
    <row r="240" spans="2:13">
      <c r="B240" s="109"/>
      <c r="C240" s="110"/>
      <c r="D240" s="111"/>
      <c r="E240" s="112"/>
      <c r="F240" s="113"/>
      <c r="G240" s="185" t="str">
        <f>IFERROR(IF(venta_a_mes1[[#This Row],[CUIT]]="","-",VLOOKUP(venta_a_mes1[[#This Row],[CUIT]],Lista_CUIT[#All],2,0)),"CUIT NO CARGADO")</f>
        <v>-</v>
      </c>
      <c r="H240" s="100"/>
      <c r="I240" s="101">
        <f>venta_a_mes1[[#This Row],[IMPORTE NETO]]*0.21</f>
        <v>0</v>
      </c>
      <c r="J240" s="65"/>
      <c r="K240" s="65"/>
      <c r="L240" s="65">
        <f>SUM(venta_a_mes1[[#This Row],[IMPORTE NETO]:[EXENTO]])</f>
        <v>0</v>
      </c>
      <c r="M240" s="59"/>
    </row>
    <row r="241" spans="2:13">
      <c r="B241" s="109"/>
      <c r="C241" s="110"/>
      <c r="D241" s="111"/>
      <c r="E241" s="112"/>
      <c r="F241" s="113"/>
      <c r="G241" s="185" t="str">
        <f>IFERROR(IF(venta_a_mes1[[#This Row],[CUIT]]="","-",VLOOKUP(venta_a_mes1[[#This Row],[CUIT]],Lista_CUIT[#All],2,0)),"CUIT NO CARGADO")</f>
        <v>-</v>
      </c>
      <c r="H241" s="100"/>
      <c r="I241" s="101">
        <f>venta_a_mes1[[#This Row],[IMPORTE NETO]]*0.21</f>
        <v>0</v>
      </c>
      <c r="J241" s="65"/>
      <c r="K241" s="65"/>
      <c r="L241" s="65">
        <f>SUM(venta_a_mes1[[#This Row],[IMPORTE NETO]:[EXENTO]])</f>
        <v>0</v>
      </c>
      <c r="M241" s="59"/>
    </row>
    <row r="242" spans="2:13">
      <c r="B242" s="109"/>
      <c r="C242" s="110"/>
      <c r="D242" s="111"/>
      <c r="E242" s="112"/>
      <c r="F242" s="113"/>
      <c r="G242" s="185" t="str">
        <f>IFERROR(IF(venta_a_mes1[[#This Row],[CUIT]]="","-",VLOOKUP(venta_a_mes1[[#This Row],[CUIT]],Lista_CUIT[#All],2,0)),"CUIT NO CARGADO")</f>
        <v>-</v>
      </c>
      <c r="H242" s="100"/>
      <c r="I242" s="101">
        <f>venta_a_mes1[[#This Row],[IMPORTE NETO]]*0.21</f>
        <v>0</v>
      </c>
      <c r="J242" s="65"/>
      <c r="K242" s="65"/>
      <c r="L242" s="65">
        <f>SUM(venta_a_mes1[[#This Row],[IMPORTE NETO]:[EXENTO]])</f>
        <v>0</v>
      </c>
      <c r="M242" s="59"/>
    </row>
    <row r="243" spans="2:13">
      <c r="B243" s="109"/>
      <c r="C243" s="110"/>
      <c r="D243" s="111"/>
      <c r="E243" s="112"/>
      <c r="F243" s="113"/>
      <c r="G243" s="185" t="str">
        <f>IFERROR(IF(venta_a_mes1[[#This Row],[CUIT]]="","-",VLOOKUP(venta_a_mes1[[#This Row],[CUIT]],Lista_CUIT[#All],2,0)),"CUIT NO CARGADO")</f>
        <v>-</v>
      </c>
      <c r="H243" s="100"/>
      <c r="I243" s="101">
        <f>venta_a_mes1[[#This Row],[IMPORTE NETO]]*0.21</f>
        <v>0</v>
      </c>
      <c r="J243" s="65"/>
      <c r="K243" s="65"/>
      <c r="L243" s="65">
        <f>SUM(venta_a_mes1[[#This Row],[IMPORTE NETO]:[EXENTO]])</f>
        <v>0</v>
      </c>
      <c r="M243" s="59"/>
    </row>
    <row r="244" spans="2:13">
      <c r="B244" s="109"/>
      <c r="C244" s="110"/>
      <c r="D244" s="111"/>
      <c r="E244" s="112"/>
      <c r="F244" s="113"/>
      <c r="G244" s="185" t="str">
        <f>IFERROR(IF(venta_a_mes1[[#This Row],[CUIT]]="","-",VLOOKUP(venta_a_mes1[[#This Row],[CUIT]],Lista_CUIT[#All],2,0)),"CUIT NO CARGADO")</f>
        <v>-</v>
      </c>
      <c r="H244" s="100"/>
      <c r="I244" s="101">
        <f>venta_a_mes1[[#This Row],[IMPORTE NETO]]*0.21</f>
        <v>0</v>
      </c>
      <c r="J244" s="65"/>
      <c r="K244" s="65"/>
      <c r="L244" s="65">
        <f>SUM(venta_a_mes1[[#This Row],[IMPORTE NETO]:[EXENTO]])</f>
        <v>0</v>
      </c>
      <c r="M244" s="59"/>
    </row>
    <row r="245" spans="2:13">
      <c r="B245" s="109"/>
      <c r="C245" s="110"/>
      <c r="D245" s="111"/>
      <c r="E245" s="112"/>
      <c r="F245" s="113"/>
      <c r="G245" s="185" t="str">
        <f>IFERROR(IF(venta_a_mes1[[#This Row],[CUIT]]="","-",VLOOKUP(venta_a_mes1[[#This Row],[CUIT]],Lista_CUIT[#All],2,0)),"CUIT NO CARGADO")</f>
        <v>-</v>
      </c>
      <c r="H245" s="100"/>
      <c r="I245" s="101">
        <f>venta_a_mes1[[#This Row],[IMPORTE NETO]]*0.21</f>
        <v>0</v>
      </c>
      <c r="J245" s="65"/>
      <c r="K245" s="65"/>
      <c r="L245" s="65">
        <f>SUM(venta_a_mes1[[#This Row],[IMPORTE NETO]:[EXENTO]])</f>
        <v>0</v>
      </c>
      <c r="M245" s="59"/>
    </row>
    <row r="246" spans="2:13">
      <c r="B246" s="109"/>
      <c r="C246" s="110"/>
      <c r="D246" s="111"/>
      <c r="E246" s="112"/>
      <c r="F246" s="113"/>
      <c r="G246" s="185" t="str">
        <f>IFERROR(IF(venta_a_mes1[[#This Row],[CUIT]]="","-",VLOOKUP(venta_a_mes1[[#This Row],[CUIT]],Lista_CUIT[#All],2,0)),"CUIT NO CARGADO")</f>
        <v>-</v>
      </c>
      <c r="H246" s="100"/>
      <c r="I246" s="101">
        <f>venta_a_mes1[[#This Row],[IMPORTE NETO]]*0.21</f>
        <v>0</v>
      </c>
      <c r="J246" s="65"/>
      <c r="K246" s="65"/>
      <c r="L246" s="65">
        <f>SUM(venta_a_mes1[[#This Row],[IMPORTE NETO]:[EXENTO]])</f>
        <v>0</v>
      </c>
      <c r="M246" s="59"/>
    </row>
    <row r="247" spans="2:13">
      <c r="B247" s="109"/>
      <c r="C247" s="110"/>
      <c r="D247" s="111"/>
      <c r="E247" s="112"/>
      <c r="F247" s="113"/>
      <c r="G247" s="185" t="str">
        <f>IFERROR(IF(venta_a_mes1[[#This Row],[CUIT]]="","-",VLOOKUP(venta_a_mes1[[#This Row],[CUIT]],Lista_CUIT[#All],2,0)),"CUIT NO CARGADO")</f>
        <v>-</v>
      </c>
      <c r="H247" s="100"/>
      <c r="I247" s="101">
        <f>venta_a_mes1[[#This Row],[IMPORTE NETO]]*0.21</f>
        <v>0</v>
      </c>
      <c r="J247" s="65"/>
      <c r="K247" s="65"/>
      <c r="L247" s="65">
        <f>SUM(venta_a_mes1[[#This Row],[IMPORTE NETO]:[EXENTO]])</f>
        <v>0</v>
      </c>
      <c r="M247" s="59"/>
    </row>
    <row r="248" spans="2:13">
      <c r="B248" s="109"/>
      <c r="C248" s="110"/>
      <c r="D248" s="111"/>
      <c r="E248" s="112"/>
      <c r="F248" s="113"/>
      <c r="G248" s="185" t="str">
        <f>IFERROR(IF(venta_a_mes1[[#This Row],[CUIT]]="","-",VLOOKUP(venta_a_mes1[[#This Row],[CUIT]],Lista_CUIT[#All],2,0)),"CUIT NO CARGADO")</f>
        <v>-</v>
      </c>
      <c r="H248" s="100"/>
      <c r="I248" s="101">
        <f>venta_a_mes1[[#This Row],[IMPORTE NETO]]*0.21</f>
        <v>0</v>
      </c>
      <c r="J248" s="65"/>
      <c r="K248" s="65"/>
      <c r="L248" s="65">
        <f>SUM(venta_a_mes1[[#This Row],[IMPORTE NETO]:[EXENTO]])</f>
        <v>0</v>
      </c>
      <c r="M248" s="59"/>
    </row>
    <row r="249" spans="2:13">
      <c r="B249" s="109"/>
      <c r="C249" s="110"/>
      <c r="D249" s="111"/>
      <c r="E249" s="112"/>
      <c r="F249" s="113"/>
      <c r="G249" s="185" t="str">
        <f>IFERROR(IF(venta_a_mes1[[#This Row],[CUIT]]="","-",VLOOKUP(venta_a_mes1[[#This Row],[CUIT]],Lista_CUIT[#All],2,0)),"CUIT NO CARGADO")</f>
        <v>-</v>
      </c>
      <c r="H249" s="100"/>
      <c r="I249" s="101">
        <f>venta_a_mes1[[#This Row],[IMPORTE NETO]]*0.21</f>
        <v>0</v>
      </c>
      <c r="J249" s="65"/>
      <c r="K249" s="65"/>
      <c r="L249" s="65">
        <f>SUM(venta_a_mes1[[#This Row],[IMPORTE NETO]:[EXENTO]])</f>
        <v>0</v>
      </c>
      <c r="M249" s="59"/>
    </row>
    <row r="250" spans="2:13">
      <c r="B250" s="109"/>
      <c r="C250" s="110"/>
      <c r="D250" s="111"/>
      <c r="E250" s="112"/>
      <c r="F250" s="113"/>
      <c r="G250" s="185" t="str">
        <f>IFERROR(IF(venta_a_mes1[[#This Row],[CUIT]]="","-",VLOOKUP(venta_a_mes1[[#This Row],[CUIT]],Lista_CUIT[#All],2,0)),"CUIT NO CARGADO")</f>
        <v>-</v>
      </c>
      <c r="H250" s="100"/>
      <c r="I250" s="101">
        <f>venta_a_mes1[[#This Row],[IMPORTE NETO]]*0.21</f>
        <v>0</v>
      </c>
      <c r="J250" s="65"/>
      <c r="K250" s="65"/>
      <c r="L250" s="65">
        <f>SUM(venta_a_mes1[[#This Row],[IMPORTE NETO]:[EXENTO]])</f>
        <v>0</v>
      </c>
      <c r="M250" s="59"/>
    </row>
    <row r="251" spans="2:13">
      <c r="B251" s="109"/>
      <c r="C251" s="110"/>
      <c r="D251" s="111"/>
      <c r="E251" s="112"/>
      <c r="F251" s="113"/>
      <c r="G251" s="185" t="str">
        <f>IFERROR(IF(venta_a_mes1[[#This Row],[CUIT]]="","-",VLOOKUP(venta_a_mes1[[#This Row],[CUIT]],Lista_CUIT[#All],2,0)),"CUIT NO CARGADO")</f>
        <v>-</v>
      </c>
      <c r="H251" s="100"/>
      <c r="I251" s="101">
        <f>venta_a_mes1[[#This Row],[IMPORTE NETO]]*0.21</f>
        <v>0</v>
      </c>
      <c r="J251" s="65"/>
      <c r="K251" s="65"/>
      <c r="L251" s="65">
        <f>SUM(venta_a_mes1[[#This Row],[IMPORTE NETO]:[EXENTO]])</f>
        <v>0</v>
      </c>
      <c r="M251" s="59"/>
    </row>
    <row r="252" spans="2:13">
      <c r="B252" s="109"/>
      <c r="C252" s="110"/>
      <c r="D252" s="111"/>
      <c r="E252" s="112"/>
      <c r="F252" s="113"/>
      <c r="G252" s="185" t="str">
        <f>IFERROR(IF(venta_a_mes1[[#This Row],[CUIT]]="","-",VLOOKUP(venta_a_mes1[[#This Row],[CUIT]],Lista_CUIT[#All],2,0)),"CUIT NO CARGADO")</f>
        <v>-</v>
      </c>
      <c r="H252" s="100"/>
      <c r="I252" s="101">
        <f>venta_a_mes1[[#This Row],[IMPORTE NETO]]*0.21</f>
        <v>0</v>
      </c>
      <c r="J252" s="65"/>
      <c r="K252" s="65"/>
      <c r="L252" s="65">
        <f>SUM(venta_a_mes1[[#This Row],[IMPORTE NETO]:[EXENTO]])</f>
        <v>0</v>
      </c>
      <c r="M252" s="59"/>
    </row>
    <row r="253" spans="2:13">
      <c r="B253" s="66" t="s">
        <v>103</v>
      </c>
      <c r="C253" s="67"/>
      <c r="D253" s="67"/>
      <c r="E253" s="67"/>
      <c r="F253" s="67"/>
      <c r="G253" s="67"/>
      <c r="H253" s="69">
        <f>SUBTOTAL(109,venta_a_mes1[IMPORTE NETO])</f>
        <v>0</v>
      </c>
      <c r="I253" s="70">
        <f>SUBTOTAL(109,venta_a_mes1[IVA 21%])</f>
        <v>0</v>
      </c>
      <c r="J253" s="71">
        <f>SUBTOTAL(109,venta_a_mes1[IVA 10,5%])</f>
        <v>0</v>
      </c>
      <c r="K253" s="71">
        <f>SUBTOTAL(109,venta_a_mes1[EXENTO])</f>
        <v>0</v>
      </c>
      <c r="L253" s="71">
        <f>SUBTOTAL(109,venta_a_mes1[TOTAL])</f>
        <v>0</v>
      </c>
      <c r="M253" s="68">
        <f>SUBTOTAL(103,venta_a_mes1[Provincia])</f>
        <v>0</v>
      </c>
    </row>
    <row r="256" spans="2:13" ht="21">
      <c r="B256" s="713" t="s">
        <v>31</v>
      </c>
      <c r="C256" s="713"/>
    </row>
    <row r="257" spans="2:13" ht="31.5">
      <c r="B257" s="60" t="s">
        <v>0</v>
      </c>
      <c r="C257" s="61" t="s">
        <v>1</v>
      </c>
      <c r="D257" s="61" t="s">
        <v>21</v>
      </c>
      <c r="E257" s="61" t="s">
        <v>22</v>
      </c>
      <c r="F257" s="61" t="s">
        <v>3</v>
      </c>
      <c r="G257" s="61" t="s">
        <v>4</v>
      </c>
      <c r="H257" s="61" t="s">
        <v>23</v>
      </c>
      <c r="I257" s="61" t="s">
        <v>17</v>
      </c>
      <c r="J257" s="61" t="s">
        <v>7</v>
      </c>
      <c r="K257" s="61" t="s">
        <v>24</v>
      </c>
      <c r="L257" s="61" t="s">
        <v>10</v>
      </c>
      <c r="M257" s="62" t="s">
        <v>38</v>
      </c>
    </row>
    <row r="258" spans="2:13">
      <c r="B258" s="135"/>
      <c r="C258" s="136"/>
      <c r="D258" s="137"/>
      <c r="E258" s="138"/>
      <c r="F258" s="139"/>
      <c r="G258" s="1" t="str">
        <f>IFERROR(IF(ventas_b_mes1[[#This Row],[CUIT]]="","-",VLOOKUP(ventas_b_mes1[[#This Row],[CUIT]],Lista_CUIT[#All],2,0)),"CUIT NO CARGADO")</f>
        <v>-</v>
      </c>
      <c r="H258" s="64">
        <f>ventas_b_mes1[[#This Row],[TOTAL]]/1.21</f>
        <v>0</v>
      </c>
      <c r="I258" s="140">
        <f>ventas_b_mes1[[#This Row],[IMPORTE NETO]]*0.21</f>
        <v>0</v>
      </c>
      <c r="J258" s="141"/>
      <c r="K258" s="141"/>
      <c r="L258" s="141"/>
      <c r="M258" s="59"/>
    </row>
    <row r="259" spans="2:13">
      <c r="B259" s="135"/>
      <c r="C259" s="136"/>
      <c r="D259" s="137"/>
      <c r="E259" s="138"/>
      <c r="F259" s="139"/>
      <c r="G259" s="1" t="str">
        <f>IFERROR(IF(ventas_b_mes1[[#This Row],[CUIT]]="","-",VLOOKUP(ventas_b_mes1[[#This Row],[CUIT]],Lista_CUIT[#All],2,0)),"CUIT NO CARGADO")</f>
        <v>-</v>
      </c>
      <c r="H259" s="64">
        <f>ventas_b_mes1[[#This Row],[TOTAL]]/1.21</f>
        <v>0</v>
      </c>
      <c r="I259" s="140">
        <f>ventas_b_mes1[[#This Row],[IMPORTE NETO]]*0.21</f>
        <v>0</v>
      </c>
      <c r="J259" s="141"/>
      <c r="K259" s="141"/>
      <c r="L259" s="141"/>
      <c r="M259" s="59"/>
    </row>
    <row r="260" spans="2:13">
      <c r="B260" s="135"/>
      <c r="C260" s="136"/>
      <c r="D260" s="137"/>
      <c r="E260" s="138"/>
      <c r="F260" s="139"/>
      <c r="G260" s="1" t="str">
        <f>IFERROR(IF(ventas_b_mes1[[#This Row],[CUIT]]="","-",VLOOKUP(ventas_b_mes1[[#This Row],[CUIT]],Lista_CUIT[#All],2,0)),"CUIT NO CARGADO")</f>
        <v>-</v>
      </c>
      <c r="H260" s="64">
        <f>ventas_b_mes1[[#This Row],[TOTAL]]/1.21</f>
        <v>0</v>
      </c>
      <c r="I260" s="140">
        <f>ventas_b_mes1[[#This Row],[IMPORTE NETO]]*0.21</f>
        <v>0</v>
      </c>
      <c r="J260" s="141"/>
      <c r="K260" s="141"/>
      <c r="L260" s="141"/>
      <c r="M260" s="59"/>
    </row>
    <row r="261" spans="2:13">
      <c r="B261" s="135"/>
      <c r="C261" s="136"/>
      <c r="D261" s="137"/>
      <c r="E261" s="138"/>
      <c r="F261" s="139"/>
      <c r="G261" s="1" t="str">
        <f>IFERROR(IF(ventas_b_mes1[[#This Row],[CUIT]]="","-",VLOOKUP(ventas_b_mes1[[#This Row],[CUIT]],Lista_CUIT[#All],2,0)),"CUIT NO CARGADO")</f>
        <v>-</v>
      </c>
      <c r="H261" s="64">
        <f>ventas_b_mes1[[#This Row],[TOTAL]]/1.21</f>
        <v>0</v>
      </c>
      <c r="I261" s="140">
        <f>ventas_b_mes1[[#This Row],[IMPORTE NETO]]*0.21</f>
        <v>0</v>
      </c>
      <c r="J261" s="141"/>
      <c r="K261" s="141"/>
      <c r="L261" s="141"/>
      <c r="M261" s="59"/>
    </row>
    <row r="262" spans="2:13">
      <c r="B262" s="135"/>
      <c r="C262" s="136"/>
      <c r="D262" s="137"/>
      <c r="E262" s="138"/>
      <c r="F262" s="139"/>
      <c r="G262" s="1" t="str">
        <f>IFERROR(IF(ventas_b_mes1[[#This Row],[CUIT]]="","-",VLOOKUP(ventas_b_mes1[[#This Row],[CUIT]],Lista_CUIT[#All],2,0)),"CUIT NO CARGADO")</f>
        <v>-</v>
      </c>
      <c r="H262" s="64">
        <f>ventas_b_mes1[[#This Row],[TOTAL]]/1.21</f>
        <v>0</v>
      </c>
      <c r="I262" s="140">
        <f>ventas_b_mes1[[#This Row],[IMPORTE NETO]]*0.21</f>
        <v>0</v>
      </c>
      <c r="J262" s="141"/>
      <c r="K262" s="141"/>
      <c r="L262" s="141"/>
      <c r="M262" s="59"/>
    </row>
    <row r="263" spans="2:13">
      <c r="B263" s="135"/>
      <c r="C263" s="136"/>
      <c r="D263" s="137"/>
      <c r="E263" s="138"/>
      <c r="F263" s="139"/>
      <c r="G263" s="1" t="str">
        <f>IFERROR(IF(ventas_b_mes1[[#This Row],[CUIT]]="","-",VLOOKUP(ventas_b_mes1[[#This Row],[CUIT]],Lista_CUIT[#All],2,0)),"CUIT NO CARGADO")</f>
        <v>-</v>
      </c>
      <c r="H263" s="64">
        <f>ventas_b_mes1[[#This Row],[TOTAL]]/1.21</f>
        <v>0</v>
      </c>
      <c r="I263" s="140">
        <f>ventas_b_mes1[[#This Row],[IMPORTE NETO]]*0.21</f>
        <v>0</v>
      </c>
      <c r="J263" s="141"/>
      <c r="K263" s="141"/>
      <c r="L263" s="141"/>
      <c r="M263" s="59"/>
    </row>
    <row r="264" spans="2:13">
      <c r="B264" s="135"/>
      <c r="C264" s="136"/>
      <c r="D264" s="137"/>
      <c r="E264" s="138"/>
      <c r="F264" s="139"/>
      <c r="G264" s="1" t="str">
        <f>IFERROR(IF(ventas_b_mes1[[#This Row],[CUIT]]="","-",VLOOKUP(ventas_b_mes1[[#This Row],[CUIT]],Lista_CUIT[#All],2,0)),"CUIT NO CARGADO")</f>
        <v>-</v>
      </c>
      <c r="H264" s="64">
        <f>ventas_b_mes1[[#This Row],[TOTAL]]/1.21</f>
        <v>0</v>
      </c>
      <c r="I264" s="140">
        <f>ventas_b_mes1[[#This Row],[IMPORTE NETO]]*0.21</f>
        <v>0</v>
      </c>
      <c r="J264" s="141"/>
      <c r="K264" s="141"/>
      <c r="L264" s="141"/>
      <c r="M264" s="59"/>
    </row>
    <row r="265" spans="2:13">
      <c r="B265" s="135"/>
      <c r="C265" s="136"/>
      <c r="D265" s="137"/>
      <c r="E265" s="138"/>
      <c r="F265" s="139"/>
      <c r="G265" s="1" t="str">
        <f>IFERROR(IF(ventas_b_mes1[[#This Row],[CUIT]]="","-",VLOOKUP(ventas_b_mes1[[#This Row],[CUIT]],Lista_CUIT[#All],2,0)),"CUIT NO CARGADO")</f>
        <v>-</v>
      </c>
      <c r="H265" s="64">
        <f>ventas_b_mes1[[#This Row],[TOTAL]]/1.21</f>
        <v>0</v>
      </c>
      <c r="I265" s="140">
        <f>ventas_b_mes1[[#This Row],[IMPORTE NETO]]*0.21</f>
        <v>0</v>
      </c>
      <c r="J265" s="141"/>
      <c r="K265" s="141"/>
      <c r="L265" s="141"/>
      <c r="M265" s="59"/>
    </row>
    <row r="266" spans="2:13">
      <c r="B266" s="135"/>
      <c r="C266" s="136"/>
      <c r="D266" s="137"/>
      <c r="E266" s="138"/>
      <c r="F266" s="139"/>
      <c r="G266" s="1" t="str">
        <f>IFERROR(IF(ventas_b_mes1[[#This Row],[CUIT]]="","-",VLOOKUP(ventas_b_mes1[[#This Row],[CUIT]],Lista_CUIT[#All],2,0)),"CUIT NO CARGADO")</f>
        <v>-</v>
      </c>
      <c r="H266" s="64">
        <f>ventas_b_mes1[[#This Row],[TOTAL]]/1.21</f>
        <v>0</v>
      </c>
      <c r="I266" s="140">
        <f>ventas_b_mes1[[#This Row],[IMPORTE NETO]]*0.21</f>
        <v>0</v>
      </c>
      <c r="J266" s="141"/>
      <c r="K266" s="141"/>
      <c r="L266" s="141"/>
      <c r="M266" s="59"/>
    </row>
    <row r="267" spans="2:13">
      <c r="B267" s="135"/>
      <c r="C267" s="136"/>
      <c r="D267" s="137"/>
      <c r="E267" s="138"/>
      <c r="F267" s="139"/>
      <c r="G267" s="1" t="str">
        <f>IFERROR(IF(ventas_b_mes1[[#This Row],[CUIT]]="","-",VLOOKUP(ventas_b_mes1[[#This Row],[CUIT]],Lista_CUIT[#All],2,0)),"CUIT NO CARGADO")</f>
        <v>-</v>
      </c>
      <c r="H267" s="64">
        <f>ventas_b_mes1[[#This Row],[TOTAL]]/1.21</f>
        <v>0</v>
      </c>
      <c r="I267" s="140">
        <f>ventas_b_mes1[[#This Row],[IMPORTE NETO]]*0.21</f>
        <v>0</v>
      </c>
      <c r="J267" s="141"/>
      <c r="K267" s="141"/>
      <c r="L267" s="141"/>
      <c r="M267" s="59"/>
    </row>
    <row r="268" spans="2:13">
      <c r="B268" s="135"/>
      <c r="C268" s="136"/>
      <c r="D268" s="137"/>
      <c r="E268" s="138"/>
      <c r="F268" s="139"/>
      <c r="G268" s="1" t="str">
        <f>IFERROR(IF(ventas_b_mes1[[#This Row],[CUIT]]="","-",VLOOKUP(ventas_b_mes1[[#This Row],[CUIT]],Lista_CUIT[#All],2,0)),"CUIT NO CARGADO")</f>
        <v>-</v>
      </c>
      <c r="H268" s="64">
        <f>ventas_b_mes1[[#This Row],[TOTAL]]/1.21</f>
        <v>0</v>
      </c>
      <c r="I268" s="140">
        <f>ventas_b_mes1[[#This Row],[IMPORTE NETO]]*0.21</f>
        <v>0</v>
      </c>
      <c r="J268" s="141"/>
      <c r="K268" s="141"/>
      <c r="L268" s="141"/>
      <c r="M268" s="59"/>
    </row>
    <row r="269" spans="2:13">
      <c r="B269" s="135"/>
      <c r="C269" s="136"/>
      <c r="D269" s="137"/>
      <c r="E269" s="138"/>
      <c r="F269" s="139"/>
      <c r="G269" s="1" t="str">
        <f>IFERROR(IF(ventas_b_mes1[[#This Row],[CUIT]]="","-",VLOOKUP(ventas_b_mes1[[#This Row],[CUIT]],Lista_CUIT[#All],2,0)),"CUIT NO CARGADO")</f>
        <v>-</v>
      </c>
      <c r="H269" s="64">
        <f>ventas_b_mes1[[#This Row],[TOTAL]]/1.21</f>
        <v>0</v>
      </c>
      <c r="I269" s="140">
        <f>ventas_b_mes1[[#This Row],[IMPORTE NETO]]*0.21</f>
        <v>0</v>
      </c>
      <c r="J269" s="141"/>
      <c r="K269" s="141"/>
      <c r="L269" s="141"/>
      <c r="M269" s="59"/>
    </row>
    <row r="270" spans="2:13">
      <c r="B270" s="135"/>
      <c r="C270" s="136"/>
      <c r="D270" s="137"/>
      <c r="E270" s="138"/>
      <c r="F270" s="139"/>
      <c r="G270" s="1" t="str">
        <f>IFERROR(IF(ventas_b_mes1[[#This Row],[CUIT]]="","-",VLOOKUP(ventas_b_mes1[[#This Row],[CUIT]],Lista_CUIT[#All],2,0)),"CUIT NO CARGADO")</f>
        <v>-</v>
      </c>
      <c r="H270" s="64">
        <f>ventas_b_mes1[[#This Row],[TOTAL]]/1.21</f>
        <v>0</v>
      </c>
      <c r="I270" s="140">
        <f>ventas_b_mes1[[#This Row],[IMPORTE NETO]]*0.21</f>
        <v>0</v>
      </c>
      <c r="J270" s="141"/>
      <c r="K270" s="141"/>
      <c r="L270" s="141"/>
      <c r="M270" s="59"/>
    </row>
    <row r="271" spans="2:13">
      <c r="B271" s="135"/>
      <c r="C271" s="136"/>
      <c r="D271" s="137"/>
      <c r="E271" s="138"/>
      <c r="F271" s="139"/>
      <c r="G271" s="1" t="str">
        <f>IFERROR(IF(ventas_b_mes1[[#This Row],[CUIT]]="","-",VLOOKUP(ventas_b_mes1[[#This Row],[CUIT]],Lista_CUIT[#All],2,0)),"CUIT NO CARGADO")</f>
        <v>-</v>
      </c>
      <c r="H271" s="64">
        <f>ventas_b_mes1[[#This Row],[TOTAL]]/1.21</f>
        <v>0</v>
      </c>
      <c r="I271" s="140">
        <f>ventas_b_mes1[[#This Row],[IMPORTE NETO]]*0.21</f>
        <v>0</v>
      </c>
      <c r="J271" s="141"/>
      <c r="K271" s="141"/>
      <c r="L271" s="141"/>
      <c r="M271" s="59"/>
    </row>
    <row r="272" spans="2:13">
      <c r="B272" s="135"/>
      <c r="C272" s="136"/>
      <c r="D272" s="137"/>
      <c r="E272" s="138"/>
      <c r="F272" s="139"/>
      <c r="G272" s="1" t="str">
        <f>IFERROR(IF(ventas_b_mes1[[#This Row],[CUIT]]="","-",VLOOKUP(ventas_b_mes1[[#This Row],[CUIT]],Lista_CUIT[#All],2,0)),"CUIT NO CARGADO")</f>
        <v>-</v>
      </c>
      <c r="H272" s="64">
        <f>ventas_b_mes1[[#This Row],[TOTAL]]/1.21</f>
        <v>0</v>
      </c>
      <c r="I272" s="140">
        <f>ventas_b_mes1[[#This Row],[IMPORTE NETO]]*0.21</f>
        <v>0</v>
      </c>
      <c r="J272" s="141"/>
      <c r="K272" s="141"/>
      <c r="L272" s="141"/>
      <c r="M272" s="59"/>
    </row>
    <row r="273" spans="2:13">
      <c r="B273" s="135"/>
      <c r="C273" s="136"/>
      <c r="D273" s="137"/>
      <c r="E273" s="138"/>
      <c r="F273" s="139"/>
      <c r="G273" s="1" t="str">
        <f>IFERROR(IF(ventas_b_mes1[[#This Row],[CUIT]]="","-",VLOOKUP(ventas_b_mes1[[#This Row],[CUIT]],Lista_CUIT[#All],2,0)),"CUIT NO CARGADO")</f>
        <v>-</v>
      </c>
      <c r="H273" s="64">
        <f>ventas_b_mes1[[#This Row],[TOTAL]]/1.21</f>
        <v>0</v>
      </c>
      <c r="I273" s="140">
        <f>ventas_b_mes1[[#This Row],[IMPORTE NETO]]*0.21</f>
        <v>0</v>
      </c>
      <c r="J273" s="141"/>
      <c r="K273" s="141"/>
      <c r="L273" s="141"/>
      <c r="M273" s="59"/>
    </row>
    <row r="274" spans="2:13">
      <c r="B274" s="135"/>
      <c r="C274" s="136"/>
      <c r="D274" s="137"/>
      <c r="E274" s="138"/>
      <c r="F274" s="139"/>
      <c r="G274" s="1" t="str">
        <f>IFERROR(IF(ventas_b_mes1[[#This Row],[CUIT]]="","-",VLOOKUP(ventas_b_mes1[[#This Row],[CUIT]],Lista_CUIT[#All],2,0)),"CUIT NO CARGADO")</f>
        <v>-</v>
      </c>
      <c r="H274" s="64">
        <f>ventas_b_mes1[[#This Row],[TOTAL]]/1.21</f>
        <v>0</v>
      </c>
      <c r="I274" s="140">
        <f>ventas_b_mes1[[#This Row],[IMPORTE NETO]]*0.21</f>
        <v>0</v>
      </c>
      <c r="J274" s="141"/>
      <c r="K274" s="141"/>
      <c r="L274" s="141"/>
      <c r="M274" s="59"/>
    </row>
    <row r="275" spans="2:13">
      <c r="B275" s="135"/>
      <c r="C275" s="136"/>
      <c r="D275" s="137"/>
      <c r="E275" s="138"/>
      <c r="F275" s="139"/>
      <c r="G275" s="1" t="str">
        <f>IFERROR(IF(ventas_b_mes1[[#This Row],[CUIT]]="","-",VLOOKUP(ventas_b_mes1[[#This Row],[CUIT]],Lista_CUIT[#All],2,0)),"CUIT NO CARGADO")</f>
        <v>-</v>
      </c>
      <c r="H275" s="64">
        <f>ventas_b_mes1[[#This Row],[TOTAL]]/1.21</f>
        <v>0</v>
      </c>
      <c r="I275" s="140">
        <f>ventas_b_mes1[[#This Row],[IMPORTE NETO]]*0.21</f>
        <v>0</v>
      </c>
      <c r="J275" s="141"/>
      <c r="K275" s="141"/>
      <c r="L275" s="141"/>
      <c r="M275" s="59"/>
    </row>
    <row r="276" spans="2:13">
      <c r="B276" s="135"/>
      <c r="C276" s="136"/>
      <c r="D276" s="137"/>
      <c r="E276" s="138"/>
      <c r="F276" s="139"/>
      <c r="G276" s="1" t="str">
        <f>IFERROR(IF(ventas_b_mes1[[#This Row],[CUIT]]="","-",VLOOKUP(ventas_b_mes1[[#This Row],[CUIT]],Lista_CUIT[#All],2,0)),"CUIT NO CARGADO")</f>
        <v>-</v>
      </c>
      <c r="H276" s="64">
        <f>ventas_b_mes1[[#This Row],[TOTAL]]/1.21</f>
        <v>0</v>
      </c>
      <c r="I276" s="140">
        <f>ventas_b_mes1[[#This Row],[IMPORTE NETO]]*0.21</f>
        <v>0</v>
      </c>
      <c r="J276" s="141"/>
      <c r="K276" s="141"/>
      <c r="L276" s="141"/>
      <c r="M276" s="59"/>
    </row>
    <row r="277" spans="2:13">
      <c r="B277" s="135"/>
      <c r="C277" s="136"/>
      <c r="D277" s="137"/>
      <c r="E277" s="138"/>
      <c r="F277" s="139"/>
      <c r="G277" s="1" t="str">
        <f>IFERROR(IF(ventas_b_mes1[[#This Row],[CUIT]]="","-",VLOOKUP(ventas_b_mes1[[#This Row],[CUIT]],Lista_CUIT[#All],2,0)),"CUIT NO CARGADO")</f>
        <v>-</v>
      </c>
      <c r="H277" s="64">
        <f>ventas_b_mes1[[#This Row],[TOTAL]]/1.21</f>
        <v>0</v>
      </c>
      <c r="I277" s="140">
        <f>ventas_b_mes1[[#This Row],[IMPORTE NETO]]*0.21</f>
        <v>0</v>
      </c>
      <c r="J277" s="141"/>
      <c r="K277" s="141"/>
      <c r="L277" s="141"/>
      <c r="M277" s="59"/>
    </row>
    <row r="278" spans="2:13">
      <c r="B278" s="135"/>
      <c r="C278" s="136"/>
      <c r="D278" s="137"/>
      <c r="E278" s="138"/>
      <c r="F278" s="139"/>
      <c r="G278" s="1" t="str">
        <f>IFERROR(IF(ventas_b_mes1[[#This Row],[CUIT]]="","-",VLOOKUP(ventas_b_mes1[[#This Row],[CUIT]],Lista_CUIT[#All],2,0)),"CUIT NO CARGADO")</f>
        <v>-</v>
      </c>
      <c r="H278" s="64">
        <f>ventas_b_mes1[[#This Row],[TOTAL]]/1.21</f>
        <v>0</v>
      </c>
      <c r="I278" s="140">
        <f>ventas_b_mes1[[#This Row],[IMPORTE NETO]]*0.21</f>
        <v>0</v>
      </c>
      <c r="J278" s="141"/>
      <c r="K278" s="141"/>
      <c r="L278" s="141"/>
      <c r="M278" s="59"/>
    </row>
    <row r="279" spans="2:13">
      <c r="B279" s="135"/>
      <c r="C279" s="136"/>
      <c r="D279" s="137"/>
      <c r="E279" s="138"/>
      <c r="F279" s="139"/>
      <c r="G279" s="1" t="str">
        <f>IFERROR(IF(ventas_b_mes1[[#This Row],[CUIT]]="","-",VLOOKUP(ventas_b_mes1[[#This Row],[CUIT]],Lista_CUIT[#All],2,0)),"CUIT NO CARGADO")</f>
        <v>-</v>
      </c>
      <c r="H279" s="64">
        <f>ventas_b_mes1[[#This Row],[TOTAL]]/1.21</f>
        <v>0</v>
      </c>
      <c r="I279" s="140">
        <f>ventas_b_mes1[[#This Row],[IMPORTE NETO]]*0.21</f>
        <v>0</v>
      </c>
      <c r="J279" s="141"/>
      <c r="K279" s="141"/>
      <c r="L279" s="141"/>
      <c r="M279" s="59"/>
    </row>
    <row r="280" spans="2:13">
      <c r="B280" s="135"/>
      <c r="C280" s="136"/>
      <c r="D280" s="137"/>
      <c r="E280" s="138"/>
      <c r="F280" s="139"/>
      <c r="G280" s="1" t="str">
        <f>IFERROR(IF(ventas_b_mes1[[#This Row],[CUIT]]="","-",VLOOKUP(ventas_b_mes1[[#This Row],[CUIT]],Lista_CUIT[#All],2,0)),"CUIT NO CARGADO")</f>
        <v>-</v>
      </c>
      <c r="H280" s="64">
        <f>ventas_b_mes1[[#This Row],[TOTAL]]/1.21</f>
        <v>0</v>
      </c>
      <c r="I280" s="140">
        <f>ventas_b_mes1[[#This Row],[IMPORTE NETO]]*0.21</f>
        <v>0</v>
      </c>
      <c r="J280" s="141"/>
      <c r="K280" s="141"/>
      <c r="L280" s="141"/>
      <c r="M280" s="59"/>
    </row>
    <row r="281" spans="2:13">
      <c r="B281" s="135"/>
      <c r="C281" s="136"/>
      <c r="D281" s="137"/>
      <c r="E281" s="138"/>
      <c r="F281" s="139"/>
      <c r="G281" s="1" t="str">
        <f>IFERROR(IF(ventas_b_mes1[[#This Row],[CUIT]]="","-",VLOOKUP(ventas_b_mes1[[#This Row],[CUIT]],Lista_CUIT[#All],2,0)),"CUIT NO CARGADO")</f>
        <v>-</v>
      </c>
      <c r="H281" s="64">
        <f>ventas_b_mes1[[#This Row],[TOTAL]]/1.21</f>
        <v>0</v>
      </c>
      <c r="I281" s="140">
        <f>ventas_b_mes1[[#This Row],[IMPORTE NETO]]*0.21</f>
        <v>0</v>
      </c>
      <c r="J281" s="141"/>
      <c r="K281" s="141"/>
      <c r="L281" s="141"/>
      <c r="M281" s="59"/>
    </row>
    <row r="282" spans="2:13">
      <c r="B282" s="135"/>
      <c r="C282" s="136"/>
      <c r="D282" s="137"/>
      <c r="E282" s="138"/>
      <c r="F282" s="139"/>
      <c r="G282" s="1" t="str">
        <f>IFERROR(IF(ventas_b_mes1[[#This Row],[CUIT]]="","-",VLOOKUP(ventas_b_mes1[[#This Row],[CUIT]],Lista_CUIT[#All],2,0)),"CUIT NO CARGADO")</f>
        <v>-</v>
      </c>
      <c r="H282" s="64">
        <f>ventas_b_mes1[[#This Row],[TOTAL]]/1.21</f>
        <v>0</v>
      </c>
      <c r="I282" s="140">
        <f>ventas_b_mes1[[#This Row],[IMPORTE NETO]]*0.21</f>
        <v>0</v>
      </c>
      <c r="J282" s="141"/>
      <c r="K282" s="141"/>
      <c r="L282" s="141"/>
      <c r="M282" s="59"/>
    </row>
    <row r="283" spans="2:13">
      <c r="B283" s="135"/>
      <c r="C283" s="136"/>
      <c r="D283" s="137"/>
      <c r="E283" s="138"/>
      <c r="F283" s="139"/>
      <c r="G283" s="1" t="str">
        <f>IFERROR(IF(ventas_b_mes1[[#This Row],[CUIT]]="","-",VLOOKUP(ventas_b_mes1[[#This Row],[CUIT]],Lista_CUIT[#All],2,0)),"CUIT NO CARGADO")</f>
        <v>-</v>
      </c>
      <c r="H283" s="64">
        <f>ventas_b_mes1[[#This Row],[TOTAL]]/1.21</f>
        <v>0</v>
      </c>
      <c r="I283" s="140">
        <f>ventas_b_mes1[[#This Row],[IMPORTE NETO]]*0.21</f>
        <v>0</v>
      </c>
      <c r="J283" s="141"/>
      <c r="K283" s="141"/>
      <c r="L283" s="141"/>
      <c r="M283" s="59"/>
    </row>
    <row r="284" spans="2:13">
      <c r="B284" s="135"/>
      <c r="C284" s="136"/>
      <c r="D284" s="137"/>
      <c r="E284" s="138"/>
      <c r="F284" s="139"/>
      <c r="G284" s="1" t="str">
        <f>IFERROR(IF(ventas_b_mes1[[#This Row],[CUIT]]="","-",VLOOKUP(ventas_b_mes1[[#This Row],[CUIT]],Lista_CUIT[#All],2,0)),"CUIT NO CARGADO")</f>
        <v>-</v>
      </c>
      <c r="H284" s="64">
        <f>ventas_b_mes1[[#This Row],[TOTAL]]/1.21</f>
        <v>0</v>
      </c>
      <c r="I284" s="140">
        <f>ventas_b_mes1[[#This Row],[IMPORTE NETO]]*0.21</f>
        <v>0</v>
      </c>
      <c r="J284" s="141"/>
      <c r="K284" s="141"/>
      <c r="L284" s="141"/>
      <c r="M284" s="59"/>
    </row>
    <row r="285" spans="2:13">
      <c r="B285" s="135"/>
      <c r="C285" s="136"/>
      <c r="D285" s="137"/>
      <c r="E285" s="138"/>
      <c r="F285" s="139"/>
      <c r="G285" s="1" t="str">
        <f>IFERROR(IF(ventas_b_mes1[[#This Row],[CUIT]]="","-",VLOOKUP(ventas_b_mes1[[#This Row],[CUIT]],Lista_CUIT[#All],2,0)),"CUIT NO CARGADO")</f>
        <v>-</v>
      </c>
      <c r="H285" s="64">
        <f>ventas_b_mes1[[#This Row],[TOTAL]]/1.21</f>
        <v>0</v>
      </c>
      <c r="I285" s="140">
        <f>ventas_b_mes1[[#This Row],[IMPORTE NETO]]*0.21</f>
        <v>0</v>
      </c>
      <c r="J285" s="141"/>
      <c r="K285" s="141"/>
      <c r="L285" s="141"/>
      <c r="M285" s="59"/>
    </row>
    <row r="286" spans="2:13">
      <c r="B286" s="135"/>
      <c r="C286" s="136"/>
      <c r="D286" s="137"/>
      <c r="E286" s="138"/>
      <c r="F286" s="139"/>
      <c r="G286" s="1" t="str">
        <f>IFERROR(IF(ventas_b_mes1[[#This Row],[CUIT]]="","-",VLOOKUP(ventas_b_mes1[[#This Row],[CUIT]],Lista_CUIT[#All],2,0)),"CUIT NO CARGADO")</f>
        <v>-</v>
      </c>
      <c r="H286" s="64">
        <f>ventas_b_mes1[[#This Row],[TOTAL]]/1.21</f>
        <v>0</v>
      </c>
      <c r="I286" s="140">
        <f>ventas_b_mes1[[#This Row],[IMPORTE NETO]]*0.21</f>
        <v>0</v>
      </c>
      <c r="J286" s="141"/>
      <c r="K286" s="141"/>
      <c r="L286" s="141"/>
      <c r="M286" s="59"/>
    </row>
    <row r="287" spans="2:13">
      <c r="B287" s="135"/>
      <c r="C287" s="136"/>
      <c r="D287" s="137"/>
      <c r="E287" s="138"/>
      <c r="F287" s="139"/>
      <c r="G287" s="1" t="str">
        <f>IFERROR(IF(ventas_b_mes1[[#This Row],[CUIT]]="","-",VLOOKUP(ventas_b_mes1[[#This Row],[CUIT]],Lista_CUIT[#All],2,0)),"CUIT NO CARGADO")</f>
        <v>-</v>
      </c>
      <c r="H287" s="64">
        <f>ventas_b_mes1[[#This Row],[TOTAL]]/1.21</f>
        <v>0</v>
      </c>
      <c r="I287" s="140">
        <f>ventas_b_mes1[[#This Row],[IMPORTE NETO]]*0.21</f>
        <v>0</v>
      </c>
      <c r="J287" s="141"/>
      <c r="K287" s="141"/>
      <c r="L287" s="141"/>
      <c r="M287" s="59"/>
    </row>
    <row r="288" spans="2:13">
      <c r="B288" s="135"/>
      <c r="C288" s="136"/>
      <c r="D288" s="137"/>
      <c r="E288" s="138"/>
      <c r="F288" s="139"/>
      <c r="G288" s="1" t="str">
        <f>IFERROR(IF(ventas_b_mes1[[#This Row],[CUIT]]="","-",VLOOKUP(ventas_b_mes1[[#This Row],[CUIT]],Lista_CUIT[#All],2,0)),"CUIT NO CARGADO")</f>
        <v>-</v>
      </c>
      <c r="H288" s="64">
        <f>ventas_b_mes1[[#This Row],[TOTAL]]/1.21</f>
        <v>0</v>
      </c>
      <c r="I288" s="140">
        <f>ventas_b_mes1[[#This Row],[IMPORTE NETO]]*0.21</f>
        <v>0</v>
      </c>
      <c r="J288" s="141"/>
      <c r="K288" s="141"/>
      <c r="L288" s="141"/>
      <c r="M288" s="59"/>
    </row>
    <row r="289" spans="2:13">
      <c r="B289" s="135"/>
      <c r="C289" s="136"/>
      <c r="D289" s="137"/>
      <c r="E289" s="138"/>
      <c r="F289" s="139"/>
      <c r="G289" s="1" t="str">
        <f>IFERROR(IF(ventas_b_mes1[[#This Row],[CUIT]]="","-",VLOOKUP(ventas_b_mes1[[#This Row],[CUIT]],Lista_CUIT[#All],2,0)),"CUIT NO CARGADO")</f>
        <v>-</v>
      </c>
      <c r="H289" s="64">
        <f>ventas_b_mes1[[#This Row],[TOTAL]]/1.21</f>
        <v>0</v>
      </c>
      <c r="I289" s="140">
        <f>ventas_b_mes1[[#This Row],[IMPORTE NETO]]*0.21</f>
        <v>0</v>
      </c>
      <c r="J289" s="141"/>
      <c r="K289" s="141"/>
      <c r="L289" s="141"/>
      <c r="M289" s="59"/>
    </row>
    <row r="290" spans="2:13">
      <c r="B290" s="135"/>
      <c r="C290" s="136"/>
      <c r="D290" s="137"/>
      <c r="E290" s="138"/>
      <c r="F290" s="139"/>
      <c r="G290" s="1" t="str">
        <f>IFERROR(IF(ventas_b_mes1[[#This Row],[CUIT]]="","-",VLOOKUP(ventas_b_mes1[[#This Row],[CUIT]],Lista_CUIT[#All],2,0)),"CUIT NO CARGADO")</f>
        <v>-</v>
      </c>
      <c r="H290" s="64">
        <f>ventas_b_mes1[[#This Row],[TOTAL]]/1.21</f>
        <v>0</v>
      </c>
      <c r="I290" s="140">
        <f>ventas_b_mes1[[#This Row],[IMPORTE NETO]]*0.21</f>
        <v>0</v>
      </c>
      <c r="J290" s="141"/>
      <c r="K290" s="141"/>
      <c r="L290" s="141"/>
      <c r="M290" s="59"/>
    </row>
    <row r="291" spans="2:13">
      <c r="B291" s="135"/>
      <c r="C291" s="136"/>
      <c r="D291" s="137"/>
      <c r="E291" s="138"/>
      <c r="F291" s="139"/>
      <c r="G291" s="1" t="str">
        <f>IFERROR(IF(ventas_b_mes1[[#This Row],[CUIT]]="","-",VLOOKUP(ventas_b_mes1[[#This Row],[CUIT]],Lista_CUIT[#All],2,0)),"CUIT NO CARGADO")</f>
        <v>-</v>
      </c>
      <c r="H291" s="64">
        <f>ventas_b_mes1[[#This Row],[TOTAL]]/1.21</f>
        <v>0</v>
      </c>
      <c r="I291" s="140">
        <f>ventas_b_mes1[[#This Row],[IMPORTE NETO]]*0.21</f>
        <v>0</v>
      </c>
      <c r="J291" s="141"/>
      <c r="K291" s="141"/>
      <c r="L291" s="141"/>
      <c r="M291" s="59"/>
    </row>
    <row r="292" spans="2:13">
      <c r="B292" s="135"/>
      <c r="C292" s="136"/>
      <c r="D292" s="137"/>
      <c r="E292" s="138"/>
      <c r="F292" s="139"/>
      <c r="G292" s="1" t="str">
        <f>IFERROR(IF(ventas_b_mes1[[#This Row],[CUIT]]="","-",VLOOKUP(ventas_b_mes1[[#This Row],[CUIT]],Lista_CUIT[#All],2,0)),"CUIT NO CARGADO")</f>
        <v>-</v>
      </c>
      <c r="H292" s="64">
        <f>ventas_b_mes1[[#This Row],[TOTAL]]/1.21</f>
        <v>0</v>
      </c>
      <c r="I292" s="140">
        <f>ventas_b_mes1[[#This Row],[IMPORTE NETO]]*0.21</f>
        <v>0</v>
      </c>
      <c r="J292" s="141"/>
      <c r="K292" s="141"/>
      <c r="L292" s="141"/>
      <c r="M292" s="59"/>
    </row>
    <row r="293" spans="2:13">
      <c r="B293" s="135"/>
      <c r="C293" s="136"/>
      <c r="D293" s="137"/>
      <c r="E293" s="138"/>
      <c r="F293" s="139"/>
      <c r="G293" s="1" t="str">
        <f>IFERROR(IF(ventas_b_mes1[[#This Row],[CUIT]]="","-",VLOOKUP(ventas_b_mes1[[#This Row],[CUIT]],Lista_CUIT[#All],2,0)),"CUIT NO CARGADO")</f>
        <v>-</v>
      </c>
      <c r="H293" s="64">
        <f>ventas_b_mes1[[#This Row],[TOTAL]]/1.21</f>
        <v>0</v>
      </c>
      <c r="I293" s="140">
        <f>ventas_b_mes1[[#This Row],[IMPORTE NETO]]*0.21</f>
        <v>0</v>
      </c>
      <c r="J293" s="141"/>
      <c r="K293" s="141"/>
      <c r="L293" s="141"/>
      <c r="M293" s="59"/>
    </row>
    <row r="294" spans="2:13">
      <c r="B294" s="135"/>
      <c r="C294" s="136"/>
      <c r="D294" s="137"/>
      <c r="E294" s="138"/>
      <c r="F294" s="139"/>
      <c r="G294" s="1" t="str">
        <f>IFERROR(IF(ventas_b_mes1[[#This Row],[CUIT]]="","-",VLOOKUP(ventas_b_mes1[[#This Row],[CUIT]],Lista_CUIT[#All],2,0)),"CUIT NO CARGADO")</f>
        <v>-</v>
      </c>
      <c r="H294" s="64">
        <f>ventas_b_mes1[[#This Row],[TOTAL]]/1.21</f>
        <v>0</v>
      </c>
      <c r="I294" s="140">
        <f>ventas_b_mes1[[#This Row],[IMPORTE NETO]]*0.21</f>
        <v>0</v>
      </c>
      <c r="J294" s="141"/>
      <c r="K294" s="141"/>
      <c r="L294" s="141"/>
      <c r="M294" s="59"/>
    </row>
    <row r="295" spans="2:13">
      <c r="B295" s="135"/>
      <c r="C295" s="136"/>
      <c r="D295" s="137"/>
      <c r="E295" s="138"/>
      <c r="F295" s="139"/>
      <c r="G295" s="1" t="str">
        <f>IFERROR(IF(ventas_b_mes1[[#This Row],[CUIT]]="","-",VLOOKUP(ventas_b_mes1[[#This Row],[CUIT]],Lista_CUIT[#All],2,0)),"CUIT NO CARGADO")</f>
        <v>-</v>
      </c>
      <c r="H295" s="64">
        <f>ventas_b_mes1[[#This Row],[TOTAL]]/1.21</f>
        <v>0</v>
      </c>
      <c r="I295" s="140">
        <f>ventas_b_mes1[[#This Row],[IMPORTE NETO]]*0.21</f>
        <v>0</v>
      </c>
      <c r="J295" s="141"/>
      <c r="K295" s="141"/>
      <c r="L295" s="141"/>
      <c r="M295" s="59"/>
    </row>
    <row r="296" spans="2:13">
      <c r="B296" s="135"/>
      <c r="C296" s="136"/>
      <c r="D296" s="137"/>
      <c r="E296" s="138"/>
      <c r="F296" s="139"/>
      <c r="G296" s="1" t="str">
        <f>IFERROR(IF(ventas_b_mes1[[#This Row],[CUIT]]="","-",VLOOKUP(ventas_b_mes1[[#This Row],[CUIT]],Lista_CUIT[#All],2,0)),"CUIT NO CARGADO")</f>
        <v>-</v>
      </c>
      <c r="H296" s="64">
        <f>ventas_b_mes1[[#This Row],[TOTAL]]/1.21</f>
        <v>0</v>
      </c>
      <c r="I296" s="140">
        <f>ventas_b_mes1[[#This Row],[IMPORTE NETO]]*0.21</f>
        <v>0</v>
      </c>
      <c r="J296" s="141"/>
      <c r="K296" s="141"/>
      <c r="L296" s="141"/>
      <c r="M296" s="59"/>
    </row>
    <row r="297" spans="2:13">
      <c r="B297" s="135"/>
      <c r="C297" s="136"/>
      <c r="D297" s="137"/>
      <c r="E297" s="138"/>
      <c r="F297" s="139"/>
      <c r="G297" s="1" t="str">
        <f>IFERROR(IF(ventas_b_mes1[[#This Row],[CUIT]]="","-",VLOOKUP(ventas_b_mes1[[#This Row],[CUIT]],Lista_CUIT[#All],2,0)),"CUIT NO CARGADO")</f>
        <v>-</v>
      </c>
      <c r="H297" s="64">
        <f>ventas_b_mes1[[#This Row],[TOTAL]]/1.21</f>
        <v>0</v>
      </c>
      <c r="I297" s="140">
        <f>ventas_b_mes1[[#This Row],[IMPORTE NETO]]*0.21</f>
        <v>0</v>
      </c>
      <c r="J297" s="141"/>
      <c r="K297" s="141"/>
      <c r="L297" s="141"/>
      <c r="M297" s="59"/>
    </row>
    <row r="298" spans="2:13">
      <c r="B298" s="135"/>
      <c r="C298" s="136"/>
      <c r="D298" s="137"/>
      <c r="E298" s="138"/>
      <c r="F298" s="139"/>
      <c r="G298" s="1" t="str">
        <f>IFERROR(IF(ventas_b_mes1[[#This Row],[CUIT]]="","-",VLOOKUP(ventas_b_mes1[[#This Row],[CUIT]],Lista_CUIT[#All],2,0)),"CUIT NO CARGADO")</f>
        <v>-</v>
      </c>
      <c r="H298" s="64">
        <f>ventas_b_mes1[[#This Row],[TOTAL]]/1.21</f>
        <v>0</v>
      </c>
      <c r="I298" s="140">
        <f>ventas_b_mes1[[#This Row],[IMPORTE NETO]]*0.21</f>
        <v>0</v>
      </c>
      <c r="J298" s="141"/>
      <c r="K298" s="141"/>
      <c r="L298" s="141"/>
      <c r="M298" s="59"/>
    </row>
    <row r="299" spans="2:13">
      <c r="B299" s="135"/>
      <c r="C299" s="136"/>
      <c r="D299" s="137"/>
      <c r="E299" s="138"/>
      <c r="F299" s="139"/>
      <c r="G299" s="1" t="str">
        <f>IFERROR(IF(ventas_b_mes1[[#This Row],[CUIT]]="","-",VLOOKUP(ventas_b_mes1[[#This Row],[CUIT]],Lista_CUIT[#All],2,0)),"CUIT NO CARGADO")</f>
        <v>-</v>
      </c>
      <c r="H299" s="64">
        <f>ventas_b_mes1[[#This Row],[TOTAL]]/1.21</f>
        <v>0</v>
      </c>
      <c r="I299" s="140">
        <f>ventas_b_mes1[[#This Row],[IMPORTE NETO]]*0.21</f>
        <v>0</v>
      </c>
      <c r="J299" s="141"/>
      <c r="K299" s="141"/>
      <c r="L299" s="141"/>
      <c r="M299" s="59"/>
    </row>
    <row r="300" spans="2:13">
      <c r="B300" s="135"/>
      <c r="C300" s="136"/>
      <c r="D300" s="137"/>
      <c r="E300" s="138"/>
      <c r="F300" s="139"/>
      <c r="G300" s="1" t="str">
        <f>IFERROR(IF(ventas_b_mes1[[#This Row],[CUIT]]="","-",VLOOKUP(ventas_b_mes1[[#This Row],[CUIT]],Lista_CUIT[#All],2,0)),"CUIT NO CARGADO")</f>
        <v>-</v>
      </c>
      <c r="H300" s="64">
        <f>ventas_b_mes1[[#This Row],[TOTAL]]/1.21</f>
        <v>0</v>
      </c>
      <c r="I300" s="140">
        <f>ventas_b_mes1[[#This Row],[IMPORTE NETO]]*0.21</f>
        <v>0</v>
      </c>
      <c r="J300" s="141"/>
      <c r="K300" s="141"/>
      <c r="L300" s="141"/>
      <c r="M300" s="59"/>
    </row>
    <row r="301" spans="2:13">
      <c r="B301" s="135"/>
      <c r="C301" s="136"/>
      <c r="D301" s="137"/>
      <c r="E301" s="138"/>
      <c r="F301" s="139"/>
      <c r="G301" s="1" t="str">
        <f>IFERROR(IF(ventas_b_mes1[[#This Row],[CUIT]]="","-",VLOOKUP(ventas_b_mes1[[#This Row],[CUIT]],Lista_CUIT[#All],2,0)),"CUIT NO CARGADO")</f>
        <v>-</v>
      </c>
      <c r="H301" s="64">
        <f>ventas_b_mes1[[#This Row],[TOTAL]]/1.21</f>
        <v>0</v>
      </c>
      <c r="I301" s="140">
        <f>ventas_b_mes1[[#This Row],[IMPORTE NETO]]*0.21</f>
        <v>0</v>
      </c>
      <c r="J301" s="141"/>
      <c r="K301" s="141"/>
      <c r="L301" s="141"/>
      <c r="M301" s="59"/>
    </row>
    <row r="302" spans="2:13">
      <c r="B302" s="135"/>
      <c r="C302" s="136"/>
      <c r="D302" s="137"/>
      <c r="E302" s="138"/>
      <c r="F302" s="139"/>
      <c r="G302" s="1" t="str">
        <f>IFERROR(IF(ventas_b_mes1[[#This Row],[CUIT]]="","-",VLOOKUP(ventas_b_mes1[[#This Row],[CUIT]],Lista_CUIT[#All],2,0)),"CUIT NO CARGADO")</f>
        <v>-</v>
      </c>
      <c r="H302" s="64">
        <f>ventas_b_mes1[[#This Row],[TOTAL]]/1.21</f>
        <v>0</v>
      </c>
      <c r="I302" s="140">
        <f>ventas_b_mes1[[#This Row],[IMPORTE NETO]]*0.21</f>
        <v>0</v>
      </c>
      <c r="J302" s="141"/>
      <c r="K302" s="141"/>
      <c r="L302" s="141"/>
      <c r="M302" s="59"/>
    </row>
    <row r="303" spans="2:13">
      <c r="B303" s="135"/>
      <c r="C303" s="136"/>
      <c r="D303" s="137"/>
      <c r="E303" s="138"/>
      <c r="F303" s="139"/>
      <c r="G303" s="1" t="str">
        <f>IFERROR(IF(ventas_b_mes1[[#This Row],[CUIT]]="","-",VLOOKUP(ventas_b_mes1[[#This Row],[CUIT]],Lista_CUIT[#All],2,0)),"CUIT NO CARGADO")</f>
        <v>-</v>
      </c>
      <c r="H303" s="64">
        <f>ventas_b_mes1[[#This Row],[TOTAL]]/1.21</f>
        <v>0</v>
      </c>
      <c r="I303" s="140">
        <f>ventas_b_mes1[[#This Row],[IMPORTE NETO]]*0.21</f>
        <v>0</v>
      </c>
      <c r="J303" s="141"/>
      <c r="K303" s="141"/>
      <c r="L303" s="141"/>
      <c r="M303" s="59"/>
    </row>
    <row r="304" spans="2:13">
      <c r="B304" s="135"/>
      <c r="C304" s="136"/>
      <c r="D304" s="137"/>
      <c r="E304" s="138"/>
      <c r="F304" s="139"/>
      <c r="G304" s="1" t="str">
        <f>IFERROR(IF(ventas_b_mes1[[#This Row],[CUIT]]="","-",VLOOKUP(ventas_b_mes1[[#This Row],[CUIT]],Lista_CUIT[#All],2,0)),"CUIT NO CARGADO")</f>
        <v>-</v>
      </c>
      <c r="H304" s="64">
        <f>ventas_b_mes1[[#This Row],[TOTAL]]/1.21</f>
        <v>0</v>
      </c>
      <c r="I304" s="140">
        <f>ventas_b_mes1[[#This Row],[IMPORTE NETO]]*0.21</f>
        <v>0</v>
      </c>
      <c r="J304" s="141"/>
      <c r="K304" s="141"/>
      <c r="L304" s="141"/>
      <c r="M304" s="59"/>
    </row>
    <row r="305" spans="2:13">
      <c r="B305" s="135"/>
      <c r="C305" s="136"/>
      <c r="D305" s="137"/>
      <c r="E305" s="138"/>
      <c r="F305" s="139"/>
      <c r="G305" s="1" t="str">
        <f>IFERROR(IF(ventas_b_mes1[[#This Row],[CUIT]]="","-",VLOOKUP(ventas_b_mes1[[#This Row],[CUIT]],Lista_CUIT[#All],2,0)),"CUIT NO CARGADO")</f>
        <v>-</v>
      </c>
      <c r="H305" s="64">
        <f>ventas_b_mes1[[#This Row],[TOTAL]]/1.21</f>
        <v>0</v>
      </c>
      <c r="I305" s="140">
        <f>ventas_b_mes1[[#This Row],[IMPORTE NETO]]*0.21</f>
        <v>0</v>
      </c>
      <c r="J305" s="141"/>
      <c r="K305" s="141"/>
      <c r="L305" s="141"/>
      <c r="M305" s="59"/>
    </row>
    <row r="306" spans="2:13">
      <c r="B306" s="135"/>
      <c r="C306" s="136"/>
      <c r="D306" s="137"/>
      <c r="E306" s="138"/>
      <c r="F306" s="139"/>
      <c r="G306" s="1" t="str">
        <f>IFERROR(IF(ventas_b_mes1[[#This Row],[CUIT]]="","-",VLOOKUP(ventas_b_mes1[[#This Row],[CUIT]],Lista_CUIT[#All],2,0)),"CUIT NO CARGADO")</f>
        <v>-</v>
      </c>
      <c r="H306" s="64">
        <f>ventas_b_mes1[[#This Row],[TOTAL]]/1.21</f>
        <v>0</v>
      </c>
      <c r="I306" s="140">
        <f>ventas_b_mes1[[#This Row],[IMPORTE NETO]]*0.21</f>
        <v>0</v>
      </c>
      <c r="J306" s="141"/>
      <c r="K306" s="141"/>
      <c r="L306" s="141"/>
      <c r="M306" s="59"/>
    </row>
    <row r="307" spans="2:13">
      <c r="B307" s="135"/>
      <c r="C307" s="136"/>
      <c r="D307" s="137"/>
      <c r="E307" s="138"/>
      <c r="F307" s="139"/>
      <c r="G307" s="1" t="str">
        <f>IFERROR(IF(ventas_b_mes1[[#This Row],[CUIT]]="","-",VLOOKUP(ventas_b_mes1[[#This Row],[CUIT]],Lista_CUIT[#All],2,0)),"CUIT NO CARGADO")</f>
        <v>-</v>
      </c>
      <c r="H307" s="64">
        <f>ventas_b_mes1[[#This Row],[TOTAL]]/1.21</f>
        <v>0</v>
      </c>
      <c r="I307" s="140">
        <f>ventas_b_mes1[[#This Row],[IMPORTE NETO]]*0.21</f>
        <v>0</v>
      </c>
      <c r="J307" s="141"/>
      <c r="K307" s="141"/>
      <c r="L307" s="141"/>
      <c r="M307" s="59"/>
    </row>
    <row r="308" spans="2:13">
      <c r="B308" s="135"/>
      <c r="C308" s="136"/>
      <c r="D308" s="137"/>
      <c r="E308" s="138"/>
      <c r="F308" s="139"/>
      <c r="G308" s="1" t="str">
        <f>IFERROR(IF(ventas_b_mes1[[#This Row],[CUIT]]="","-",VLOOKUP(ventas_b_mes1[[#This Row],[CUIT]],Lista_CUIT[#All],2,0)),"CUIT NO CARGADO")</f>
        <v>-</v>
      </c>
      <c r="H308" s="64">
        <f>ventas_b_mes1[[#This Row],[TOTAL]]/1.21</f>
        <v>0</v>
      </c>
      <c r="I308" s="140">
        <f>ventas_b_mes1[[#This Row],[IMPORTE NETO]]*0.21</f>
        <v>0</v>
      </c>
      <c r="J308" s="141"/>
      <c r="K308" s="141"/>
      <c r="L308" s="141"/>
      <c r="M308" s="59"/>
    </row>
    <row r="309" spans="2:13">
      <c r="B309" s="135"/>
      <c r="C309" s="136"/>
      <c r="D309" s="137"/>
      <c r="E309" s="138"/>
      <c r="F309" s="139"/>
      <c r="G309" s="1" t="str">
        <f>IFERROR(IF(ventas_b_mes1[[#This Row],[CUIT]]="","-",VLOOKUP(ventas_b_mes1[[#This Row],[CUIT]],Lista_CUIT[#All],2,0)),"CUIT NO CARGADO")</f>
        <v>-</v>
      </c>
      <c r="H309" s="64">
        <f>ventas_b_mes1[[#This Row],[TOTAL]]/1.21</f>
        <v>0</v>
      </c>
      <c r="I309" s="140">
        <f>ventas_b_mes1[[#This Row],[IMPORTE NETO]]*0.21</f>
        <v>0</v>
      </c>
      <c r="J309" s="141"/>
      <c r="K309" s="141"/>
      <c r="L309" s="141"/>
      <c r="M309" s="59"/>
    </row>
    <row r="310" spans="2:13">
      <c r="B310" s="135"/>
      <c r="C310" s="136"/>
      <c r="D310" s="137"/>
      <c r="E310" s="138"/>
      <c r="F310" s="139"/>
      <c r="G310" s="1" t="str">
        <f>IFERROR(IF(ventas_b_mes1[[#This Row],[CUIT]]="","-",VLOOKUP(ventas_b_mes1[[#This Row],[CUIT]],Lista_CUIT[#All],2,0)),"CUIT NO CARGADO")</f>
        <v>-</v>
      </c>
      <c r="H310" s="64">
        <f>ventas_b_mes1[[#This Row],[TOTAL]]/1.21</f>
        <v>0</v>
      </c>
      <c r="I310" s="140">
        <f>ventas_b_mes1[[#This Row],[IMPORTE NETO]]*0.21</f>
        <v>0</v>
      </c>
      <c r="J310" s="141"/>
      <c r="K310" s="141"/>
      <c r="L310" s="141"/>
      <c r="M310" s="59"/>
    </row>
    <row r="311" spans="2:13">
      <c r="B311" s="135"/>
      <c r="C311" s="136"/>
      <c r="D311" s="137"/>
      <c r="E311" s="138"/>
      <c r="F311" s="139"/>
      <c r="G311" s="1" t="str">
        <f>IFERROR(IF(ventas_b_mes1[[#This Row],[CUIT]]="","-",VLOOKUP(ventas_b_mes1[[#This Row],[CUIT]],Lista_CUIT[#All],2,0)),"CUIT NO CARGADO")</f>
        <v>-</v>
      </c>
      <c r="H311" s="64">
        <f>ventas_b_mes1[[#This Row],[TOTAL]]/1.21</f>
        <v>0</v>
      </c>
      <c r="I311" s="140">
        <f>ventas_b_mes1[[#This Row],[IMPORTE NETO]]*0.21</f>
        <v>0</v>
      </c>
      <c r="J311" s="141"/>
      <c r="K311" s="141"/>
      <c r="L311" s="141"/>
      <c r="M311" s="59"/>
    </row>
    <row r="312" spans="2:13">
      <c r="B312" s="135"/>
      <c r="C312" s="136"/>
      <c r="D312" s="137"/>
      <c r="E312" s="138"/>
      <c r="F312" s="139"/>
      <c r="G312" s="1" t="str">
        <f>IFERROR(IF(ventas_b_mes1[[#This Row],[CUIT]]="","-",VLOOKUP(ventas_b_mes1[[#This Row],[CUIT]],Lista_CUIT[#All],2,0)),"CUIT NO CARGADO")</f>
        <v>-</v>
      </c>
      <c r="H312" s="64">
        <f>ventas_b_mes1[[#This Row],[TOTAL]]/1.21</f>
        <v>0</v>
      </c>
      <c r="I312" s="140">
        <f>ventas_b_mes1[[#This Row],[IMPORTE NETO]]*0.21</f>
        <v>0</v>
      </c>
      <c r="J312" s="141"/>
      <c r="K312" s="141"/>
      <c r="L312" s="141"/>
      <c r="M312" s="59"/>
    </row>
    <row r="313" spans="2:13">
      <c r="B313" s="135"/>
      <c r="C313" s="136"/>
      <c r="D313" s="137"/>
      <c r="E313" s="138"/>
      <c r="F313" s="139"/>
      <c r="G313" s="1" t="str">
        <f>IFERROR(IF(ventas_b_mes1[[#This Row],[CUIT]]="","-",VLOOKUP(ventas_b_mes1[[#This Row],[CUIT]],Lista_CUIT[#All],2,0)),"CUIT NO CARGADO")</f>
        <v>-</v>
      </c>
      <c r="H313" s="64">
        <f>ventas_b_mes1[[#This Row],[TOTAL]]/1.21</f>
        <v>0</v>
      </c>
      <c r="I313" s="140">
        <f>ventas_b_mes1[[#This Row],[IMPORTE NETO]]*0.21</f>
        <v>0</v>
      </c>
      <c r="J313" s="141"/>
      <c r="K313" s="141"/>
      <c r="L313" s="141"/>
      <c r="M313" s="59"/>
    </row>
    <row r="314" spans="2:13">
      <c r="B314" s="135"/>
      <c r="C314" s="136"/>
      <c r="D314" s="137"/>
      <c r="E314" s="138"/>
      <c r="F314" s="139"/>
      <c r="G314" s="1" t="str">
        <f>IFERROR(IF(ventas_b_mes1[[#This Row],[CUIT]]="","-",VLOOKUP(ventas_b_mes1[[#This Row],[CUIT]],Lista_CUIT[#All],2,0)),"CUIT NO CARGADO")</f>
        <v>-</v>
      </c>
      <c r="H314" s="64">
        <f>ventas_b_mes1[[#This Row],[TOTAL]]/1.21</f>
        <v>0</v>
      </c>
      <c r="I314" s="140">
        <f>ventas_b_mes1[[#This Row],[IMPORTE NETO]]*0.21</f>
        <v>0</v>
      </c>
      <c r="J314" s="141"/>
      <c r="K314" s="141"/>
      <c r="L314" s="141"/>
      <c r="M314" s="59"/>
    </row>
    <row r="315" spans="2:13">
      <c r="B315" s="135"/>
      <c r="C315" s="136"/>
      <c r="D315" s="137"/>
      <c r="E315" s="138"/>
      <c r="F315" s="139"/>
      <c r="G315" s="1" t="str">
        <f>IFERROR(IF(ventas_b_mes1[[#This Row],[CUIT]]="","-",VLOOKUP(ventas_b_mes1[[#This Row],[CUIT]],Lista_CUIT[#All],2,0)),"CUIT NO CARGADO")</f>
        <v>-</v>
      </c>
      <c r="H315" s="64">
        <f>ventas_b_mes1[[#This Row],[TOTAL]]/1.21</f>
        <v>0</v>
      </c>
      <c r="I315" s="140">
        <f>ventas_b_mes1[[#This Row],[IMPORTE NETO]]*0.21</f>
        <v>0</v>
      </c>
      <c r="J315" s="141"/>
      <c r="K315" s="141"/>
      <c r="L315" s="141"/>
      <c r="M315" s="59"/>
    </row>
    <row r="316" spans="2:13">
      <c r="B316" s="135"/>
      <c r="C316" s="136"/>
      <c r="D316" s="137"/>
      <c r="E316" s="138"/>
      <c r="F316" s="139"/>
      <c r="G316" s="1" t="str">
        <f>IFERROR(IF(ventas_b_mes1[[#This Row],[CUIT]]="","-",VLOOKUP(ventas_b_mes1[[#This Row],[CUIT]],Lista_CUIT[#All],2,0)),"CUIT NO CARGADO")</f>
        <v>-</v>
      </c>
      <c r="H316" s="64">
        <f>ventas_b_mes1[[#This Row],[TOTAL]]/1.21</f>
        <v>0</v>
      </c>
      <c r="I316" s="140">
        <f>ventas_b_mes1[[#This Row],[IMPORTE NETO]]*0.21</f>
        <v>0</v>
      </c>
      <c r="J316" s="141"/>
      <c r="K316" s="141"/>
      <c r="L316" s="141"/>
      <c r="M316" s="59"/>
    </row>
    <row r="317" spans="2:13">
      <c r="B317" s="135"/>
      <c r="C317" s="136"/>
      <c r="D317" s="137"/>
      <c r="E317" s="138"/>
      <c r="F317" s="139"/>
      <c r="G317" s="1" t="str">
        <f>IFERROR(IF(ventas_b_mes1[[#This Row],[CUIT]]="","-",VLOOKUP(ventas_b_mes1[[#This Row],[CUIT]],Lista_CUIT[#All],2,0)),"CUIT NO CARGADO")</f>
        <v>-</v>
      </c>
      <c r="H317" s="64">
        <f>ventas_b_mes1[[#This Row],[TOTAL]]/1.21</f>
        <v>0</v>
      </c>
      <c r="I317" s="140">
        <f>ventas_b_mes1[[#This Row],[IMPORTE NETO]]*0.21</f>
        <v>0</v>
      </c>
      <c r="J317" s="141"/>
      <c r="K317" s="141"/>
      <c r="L317" s="141"/>
      <c r="M317" s="59"/>
    </row>
    <row r="318" spans="2:13">
      <c r="B318" s="135"/>
      <c r="C318" s="136"/>
      <c r="D318" s="137"/>
      <c r="E318" s="138"/>
      <c r="F318" s="139"/>
      <c r="G318" s="1" t="str">
        <f>IFERROR(IF(ventas_b_mes1[[#This Row],[CUIT]]="","-",VLOOKUP(ventas_b_mes1[[#This Row],[CUIT]],Lista_CUIT[#All],2,0)),"CUIT NO CARGADO")</f>
        <v>-</v>
      </c>
      <c r="H318" s="64">
        <f>ventas_b_mes1[[#This Row],[TOTAL]]/1.21</f>
        <v>0</v>
      </c>
      <c r="I318" s="140">
        <f>ventas_b_mes1[[#This Row],[IMPORTE NETO]]*0.21</f>
        <v>0</v>
      </c>
      <c r="J318" s="141"/>
      <c r="K318" s="141"/>
      <c r="L318" s="141"/>
      <c r="M318" s="59"/>
    </row>
    <row r="319" spans="2:13">
      <c r="B319" s="135"/>
      <c r="C319" s="136"/>
      <c r="D319" s="137"/>
      <c r="E319" s="138"/>
      <c r="F319" s="139"/>
      <c r="G319" s="1" t="str">
        <f>IFERROR(IF(ventas_b_mes1[[#This Row],[CUIT]]="","-",VLOOKUP(ventas_b_mes1[[#This Row],[CUIT]],Lista_CUIT[#All],2,0)),"CUIT NO CARGADO")</f>
        <v>-</v>
      </c>
      <c r="H319" s="64">
        <f>ventas_b_mes1[[#This Row],[TOTAL]]/1.21</f>
        <v>0</v>
      </c>
      <c r="I319" s="140">
        <f>ventas_b_mes1[[#This Row],[IMPORTE NETO]]*0.21</f>
        <v>0</v>
      </c>
      <c r="J319" s="141"/>
      <c r="K319" s="141"/>
      <c r="L319" s="141"/>
      <c r="M319" s="59"/>
    </row>
    <row r="320" spans="2:13">
      <c r="B320" s="135"/>
      <c r="C320" s="136"/>
      <c r="D320" s="137"/>
      <c r="E320" s="138"/>
      <c r="F320" s="139"/>
      <c r="G320" s="1" t="str">
        <f>IFERROR(IF(ventas_b_mes1[[#This Row],[CUIT]]="","-",VLOOKUP(ventas_b_mes1[[#This Row],[CUIT]],Lista_CUIT[#All],2,0)),"CUIT NO CARGADO")</f>
        <v>-</v>
      </c>
      <c r="H320" s="64">
        <f>ventas_b_mes1[[#This Row],[TOTAL]]/1.21</f>
        <v>0</v>
      </c>
      <c r="I320" s="140">
        <f>ventas_b_mes1[[#This Row],[IMPORTE NETO]]*0.21</f>
        <v>0</v>
      </c>
      <c r="J320" s="141"/>
      <c r="K320" s="141"/>
      <c r="L320" s="141"/>
      <c r="M320" s="59"/>
    </row>
    <row r="321" spans="2:13">
      <c r="B321" s="135"/>
      <c r="C321" s="136"/>
      <c r="D321" s="137"/>
      <c r="E321" s="138"/>
      <c r="F321" s="139"/>
      <c r="G321" s="1" t="str">
        <f>IFERROR(IF(ventas_b_mes1[[#This Row],[CUIT]]="","-",VLOOKUP(ventas_b_mes1[[#This Row],[CUIT]],Lista_CUIT[#All],2,0)),"CUIT NO CARGADO")</f>
        <v>-</v>
      </c>
      <c r="H321" s="64">
        <f>ventas_b_mes1[[#This Row],[TOTAL]]/1.21</f>
        <v>0</v>
      </c>
      <c r="I321" s="140">
        <f>ventas_b_mes1[[#This Row],[IMPORTE NETO]]*0.21</f>
        <v>0</v>
      </c>
      <c r="J321" s="141"/>
      <c r="K321" s="141"/>
      <c r="L321" s="141"/>
      <c r="M321" s="59"/>
    </row>
    <row r="322" spans="2:13">
      <c r="B322" s="135"/>
      <c r="C322" s="136"/>
      <c r="D322" s="137"/>
      <c r="E322" s="138"/>
      <c r="F322" s="139"/>
      <c r="G322" s="1" t="str">
        <f>IFERROR(IF(ventas_b_mes1[[#This Row],[CUIT]]="","-",VLOOKUP(ventas_b_mes1[[#This Row],[CUIT]],Lista_CUIT[#All],2,0)),"CUIT NO CARGADO")</f>
        <v>-</v>
      </c>
      <c r="H322" s="64">
        <f>ventas_b_mes1[[#This Row],[TOTAL]]/1.21</f>
        <v>0</v>
      </c>
      <c r="I322" s="140">
        <f>ventas_b_mes1[[#This Row],[IMPORTE NETO]]*0.21</f>
        <v>0</v>
      </c>
      <c r="J322" s="141"/>
      <c r="K322" s="141"/>
      <c r="L322" s="141"/>
      <c r="M322" s="59"/>
    </row>
    <row r="323" spans="2:13">
      <c r="B323" s="135"/>
      <c r="C323" s="136"/>
      <c r="D323" s="137"/>
      <c r="E323" s="138"/>
      <c r="F323" s="139"/>
      <c r="G323" s="1" t="str">
        <f>IFERROR(IF(ventas_b_mes1[[#This Row],[CUIT]]="","-",VLOOKUP(ventas_b_mes1[[#This Row],[CUIT]],Lista_CUIT[#All],2,0)),"CUIT NO CARGADO")</f>
        <v>-</v>
      </c>
      <c r="H323" s="64">
        <f>ventas_b_mes1[[#This Row],[TOTAL]]/1.21</f>
        <v>0</v>
      </c>
      <c r="I323" s="140">
        <f>ventas_b_mes1[[#This Row],[IMPORTE NETO]]*0.21</f>
        <v>0</v>
      </c>
      <c r="J323" s="141"/>
      <c r="K323" s="141"/>
      <c r="L323" s="141"/>
      <c r="M323" s="59"/>
    </row>
    <row r="324" spans="2:13">
      <c r="B324" s="135"/>
      <c r="C324" s="136"/>
      <c r="D324" s="137"/>
      <c r="E324" s="138"/>
      <c r="F324" s="139"/>
      <c r="G324" s="1" t="str">
        <f>IFERROR(IF(ventas_b_mes1[[#This Row],[CUIT]]="","-",VLOOKUP(ventas_b_mes1[[#This Row],[CUIT]],Lista_CUIT[#All],2,0)),"CUIT NO CARGADO")</f>
        <v>-</v>
      </c>
      <c r="H324" s="64">
        <f>ventas_b_mes1[[#This Row],[TOTAL]]/1.21</f>
        <v>0</v>
      </c>
      <c r="I324" s="140">
        <f>ventas_b_mes1[[#This Row],[IMPORTE NETO]]*0.21</f>
        <v>0</v>
      </c>
      <c r="J324" s="141"/>
      <c r="K324" s="141"/>
      <c r="L324" s="141"/>
      <c r="M324" s="59"/>
    </row>
    <row r="325" spans="2:13">
      <c r="B325" s="135"/>
      <c r="C325" s="136"/>
      <c r="D325" s="137"/>
      <c r="E325" s="138"/>
      <c r="F325" s="139"/>
      <c r="G325" s="1" t="str">
        <f>IFERROR(IF(ventas_b_mes1[[#This Row],[CUIT]]="","-",VLOOKUP(ventas_b_mes1[[#This Row],[CUIT]],Lista_CUIT[#All],2,0)),"CUIT NO CARGADO")</f>
        <v>-</v>
      </c>
      <c r="H325" s="64">
        <f>ventas_b_mes1[[#This Row],[TOTAL]]/1.21</f>
        <v>0</v>
      </c>
      <c r="I325" s="140">
        <f>ventas_b_mes1[[#This Row],[IMPORTE NETO]]*0.21</f>
        <v>0</v>
      </c>
      <c r="J325" s="141"/>
      <c r="K325" s="141"/>
      <c r="L325" s="141"/>
      <c r="M325" s="59"/>
    </row>
    <row r="326" spans="2:13">
      <c r="B326" s="135"/>
      <c r="C326" s="136"/>
      <c r="D326" s="137"/>
      <c r="E326" s="138"/>
      <c r="F326" s="139"/>
      <c r="G326" s="1" t="str">
        <f>IFERROR(IF(ventas_b_mes1[[#This Row],[CUIT]]="","-",VLOOKUP(ventas_b_mes1[[#This Row],[CUIT]],Lista_CUIT[#All],2,0)),"CUIT NO CARGADO")</f>
        <v>-</v>
      </c>
      <c r="H326" s="64">
        <f>ventas_b_mes1[[#This Row],[TOTAL]]/1.21</f>
        <v>0</v>
      </c>
      <c r="I326" s="140">
        <f>ventas_b_mes1[[#This Row],[IMPORTE NETO]]*0.21</f>
        <v>0</v>
      </c>
      <c r="J326" s="141"/>
      <c r="K326" s="141"/>
      <c r="L326" s="141"/>
      <c r="M326" s="59"/>
    </row>
    <row r="327" spans="2:13">
      <c r="B327" s="135"/>
      <c r="C327" s="136"/>
      <c r="D327" s="137"/>
      <c r="E327" s="138"/>
      <c r="F327" s="139"/>
      <c r="G327" s="1" t="str">
        <f>IFERROR(IF(ventas_b_mes1[[#This Row],[CUIT]]="","-",VLOOKUP(ventas_b_mes1[[#This Row],[CUIT]],Lista_CUIT[#All],2,0)),"CUIT NO CARGADO")</f>
        <v>-</v>
      </c>
      <c r="H327" s="64">
        <f>ventas_b_mes1[[#This Row],[TOTAL]]/1.21</f>
        <v>0</v>
      </c>
      <c r="I327" s="140">
        <f>ventas_b_mes1[[#This Row],[IMPORTE NETO]]*0.21</f>
        <v>0</v>
      </c>
      <c r="J327" s="141"/>
      <c r="K327" s="141"/>
      <c r="L327" s="141"/>
      <c r="M327" s="59"/>
    </row>
    <row r="328" spans="2:13">
      <c r="B328" s="135"/>
      <c r="C328" s="136"/>
      <c r="D328" s="137"/>
      <c r="E328" s="138"/>
      <c r="F328" s="139"/>
      <c r="G328" s="1" t="str">
        <f>IFERROR(IF(ventas_b_mes1[[#This Row],[CUIT]]="","-",VLOOKUP(ventas_b_mes1[[#This Row],[CUIT]],Lista_CUIT[#All],2,0)),"CUIT NO CARGADO")</f>
        <v>-</v>
      </c>
      <c r="H328" s="64">
        <f>ventas_b_mes1[[#This Row],[TOTAL]]/1.21</f>
        <v>0</v>
      </c>
      <c r="I328" s="140">
        <f>ventas_b_mes1[[#This Row],[IMPORTE NETO]]*0.21</f>
        <v>0</v>
      </c>
      <c r="J328" s="141"/>
      <c r="K328" s="141"/>
      <c r="L328" s="141"/>
      <c r="M328" s="59"/>
    </row>
    <row r="329" spans="2:13">
      <c r="B329" s="135"/>
      <c r="C329" s="136"/>
      <c r="D329" s="137"/>
      <c r="E329" s="138"/>
      <c r="F329" s="139"/>
      <c r="G329" s="1" t="str">
        <f>IFERROR(IF(ventas_b_mes1[[#This Row],[CUIT]]="","-",VLOOKUP(ventas_b_mes1[[#This Row],[CUIT]],Lista_CUIT[#All],2,0)),"CUIT NO CARGADO")</f>
        <v>-</v>
      </c>
      <c r="H329" s="64">
        <f>ventas_b_mes1[[#This Row],[TOTAL]]/1.21</f>
        <v>0</v>
      </c>
      <c r="I329" s="140">
        <f>ventas_b_mes1[[#This Row],[IMPORTE NETO]]*0.21</f>
        <v>0</v>
      </c>
      <c r="J329" s="141"/>
      <c r="K329" s="141"/>
      <c r="L329" s="141"/>
      <c r="M329" s="59"/>
    </row>
    <row r="330" spans="2:13">
      <c r="B330" s="135"/>
      <c r="C330" s="136"/>
      <c r="D330" s="137"/>
      <c r="E330" s="138"/>
      <c r="F330" s="139"/>
      <c r="G330" s="1" t="str">
        <f>IFERROR(IF(ventas_b_mes1[[#This Row],[CUIT]]="","-",VLOOKUP(ventas_b_mes1[[#This Row],[CUIT]],Lista_CUIT[#All],2,0)),"CUIT NO CARGADO")</f>
        <v>-</v>
      </c>
      <c r="H330" s="64">
        <f>ventas_b_mes1[[#This Row],[TOTAL]]/1.21</f>
        <v>0</v>
      </c>
      <c r="I330" s="140">
        <f>ventas_b_mes1[[#This Row],[IMPORTE NETO]]*0.21</f>
        <v>0</v>
      </c>
      <c r="J330" s="141"/>
      <c r="K330" s="141"/>
      <c r="L330" s="141"/>
      <c r="M330" s="59"/>
    </row>
    <row r="331" spans="2:13">
      <c r="B331" s="135"/>
      <c r="C331" s="136"/>
      <c r="D331" s="137"/>
      <c r="E331" s="138"/>
      <c r="F331" s="139"/>
      <c r="G331" s="1" t="str">
        <f>IFERROR(IF(ventas_b_mes1[[#This Row],[CUIT]]="","-",VLOOKUP(ventas_b_mes1[[#This Row],[CUIT]],Lista_CUIT[#All],2,0)),"CUIT NO CARGADO")</f>
        <v>-</v>
      </c>
      <c r="H331" s="64">
        <f>ventas_b_mes1[[#This Row],[TOTAL]]/1.21</f>
        <v>0</v>
      </c>
      <c r="I331" s="140">
        <f>ventas_b_mes1[[#This Row],[IMPORTE NETO]]*0.21</f>
        <v>0</v>
      </c>
      <c r="J331" s="141"/>
      <c r="K331" s="141"/>
      <c r="L331" s="141"/>
      <c r="M331" s="59"/>
    </row>
    <row r="332" spans="2:13">
      <c r="B332" s="135"/>
      <c r="C332" s="136"/>
      <c r="D332" s="137"/>
      <c r="E332" s="138"/>
      <c r="F332" s="139"/>
      <c r="G332" s="1" t="str">
        <f>IFERROR(IF(ventas_b_mes1[[#This Row],[CUIT]]="","-",VLOOKUP(ventas_b_mes1[[#This Row],[CUIT]],Lista_CUIT[#All],2,0)),"CUIT NO CARGADO")</f>
        <v>-</v>
      </c>
      <c r="H332" s="64">
        <f>ventas_b_mes1[[#This Row],[TOTAL]]/1.21</f>
        <v>0</v>
      </c>
      <c r="I332" s="140">
        <f>ventas_b_mes1[[#This Row],[IMPORTE NETO]]*0.21</f>
        <v>0</v>
      </c>
      <c r="J332" s="141"/>
      <c r="K332" s="141"/>
      <c r="L332" s="141"/>
      <c r="M332" s="59"/>
    </row>
    <row r="333" spans="2:13">
      <c r="B333" s="135"/>
      <c r="C333" s="136"/>
      <c r="D333" s="137"/>
      <c r="E333" s="138"/>
      <c r="F333" s="139"/>
      <c r="G333" s="1" t="str">
        <f>IFERROR(IF(ventas_b_mes1[[#This Row],[CUIT]]="","-",VLOOKUP(ventas_b_mes1[[#This Row],[CUIT]],Lista_CUIT[#All],2,0)),"CUIT NO CARGADO")</f>
        <v>-</v>
      </c>
      <c r="H333" s="64">
        <f>ventas_b_mes1[[#This Row],[TOTAL]]/1.21</f>
        <v>0</v>
      </c>
      <c r="I333" s="140">
        <f>ventas_b_mes1[[#This Row],[IMPORTE NETO]]*0.21</f>
        <v>0</v>
      </c>
      <c r="J333" s="141"/>
      <c r="K333" s="141"/>
      <c r="L333" s="141"/>
      <c r="M333" s="59"/>
    </row>
    <row r="334" spans="2:13">
      <c r="B334" s="135"/>
      <c r="C334" s="136"/>
      <c r="D334" s="137"/>
      <c r="E334" s="138"/>
      <c r="F334" s="139"/>
      <c r="G334" s="1" t="str">
        <f>IFERROR(IF(ventas_b_mes1[[#This Row],[CUIT]]="","-",VLOOKUP(ventas_b_mes1[[#This Row],[CUIT]],Lista_CUIT[#All],2,0)),"CUIT NO CARGADO")</f>
        <v>-</v>
      </c>
      <c r="H334" s="64">
        <f>ventas_b_mes1[[#This Row],[TOTAL]]/1.21</f>
        <v>0</v>
      </c>
      <c r="I334" s="140">
        <f>ventas_b_mes1[[#This Row],[IMPORTE NETO]]*0.21</f>
        <v>0</v>
      </c>
      <c r="J334" s="141"/>
      <c r="K334" s="141"/>
      <c r="L334" s="141"/>
      <c r="M334" s="59"/>
    </row>
    <row r="335" spans="2:13">
      <c r="B335" s="135"/>
      <c r="C335" s="136"/>
      <c r="D335" s="137"/>
      <c r="E335" s="138"/>
      <c r="F335" s="139"/>
      <c r="G335" s="1" t="str">
        <f>IFERROR(IF(ventas_b_mes1[[#This Row],[CUIT]]="","-",VLOOKUP(ventas_b_mes1[[#This Row],[CUIT]],Lista_CUIT[#All],2,0)),"CUIT NO CARGADO")</f>
        <v>-</v>
      </c>
      <c r="H335" s="64">
        <f>ventas_b_mes1[[#This Row],[TOTAL]]/1.21</f>
        <v>0</v>
      </c>
      <c r="I335" s="140">
        <f>ventas_b_mes1[[#This Row],[IMPORTE NETO]]*0.21</f>
        <v>0</v>
      </c>
      <c r="J335" s="141"/>
      <c r="K335" s="141"/>
      <c r="L335" s="141"/>
      <c r="M335" s="59"/>
    </row>
    <row r="336" spans="2:13">
      <c r="B336" s="135"/>
      <c r="C336" s="136"/>
      <c r="D336" s="137"/>
      <c r="E336" s="138"/>
      <c r="F336" s="139"/>
      <c r="G336" s="1" t="str">
        <f>IFERROR(IF(ventas_b_mes1[[#This Row],[CUIT]]="","-",VLOOKUP(ventas_b_mes1[[#This Row],[CUIT]],Lista_CUIT[#All],2,0)),"CUIT NO CARGADO")</f>
        <v>-</v>
      </c>
      <c r="H336" s="64">
        <f>ventas_b_mes1[[#This Row],[TOTAL]]/1.21</f>
        <v>0</v>
      </c>
      <c r="I336" s="140">
        <f>ventas_b_mes1[[#This Row],[IMPORTE NETO]]*0.21</f>
        <v>0</v>
      </c>
      <c r="J336" s="141"/>
      <c r="K336" s="141"/>
      <c r="L336" s="141"/>
      <c r="M336" s="59"/>
    </row>
    <row r="337" spans="2:13">
      <c r="B337" s="135"/>
      <c r="C337" s="136"/>
      <c r="D337" s="137"/>
      <c r="E337" s="138"/>
      <c r="F337" s="139"/>
      <c r="G337" s="1" t="str">
        <f>IFERROR(IF(ventas_b_mes1[[#This Row],[CUIT]]="","-",VLOOKUP(ventas_b_mes1[[#This Row],[CUIT]],Lista_CUIT[#All],2,0)),"CUIT NO CARGADO")</f>
        <v>-</v>
      </c>
      <c r="H337" s="64">
        <f>ventas_b_mes1[[#This Row],[TOTAL]]/1.21</f>
        <v>0</v>
      </c>
      <c r="I337" s="140">
        <f>ventas_b_mes1[[#This Row],[IMPORTE NETO]]*0.21</f>
        <v>0</v>
      </c>
      <c r="J337" s="141"/>
      <c r="K337" s="141"/>
      <c r="L337" s="141"/>
      <c r="M337" s="59"/>
    </row>
    <row r="338" spans="2:13">
      <c r="B338" s="135"/>
      <c r="C338" s="136"/>
      <c r="D338" s="137"/>
      <c r="E338" s="138"/>
      <c r="F338" s="139"/>
      <c r="G338" s="1" t="str">
        <f>IFERROR(IF(ventas_b_mes1[[#This Row],[CUIT]]="","-",VLOOKUP(ventas_b_mes1[[#This Row],[CUIT]],Lista_CUIT[#All],2,0)),"CUIT NO CARGADO")</f>
        <v>-</v>
      </c>
      <c r="H338" s="64">
        <f>ventas_b_mes1[[#This Row],[TOTAL]]/1.21</f>
        <v>0</v>
      </c>
      <c r="I338" s="140">
        <f>ventas_b_mes1[[#This Row],[IMPORTE NETO]]*0.21</f>
        <v>0</v>
      </c>
      <c r="J338" s="141"/>
      <c r="K338" s="141"/>
      <c r="L338" s="141"/>
      <c r="M338" s="59"/>
    </row>
    <row r="339" spans="2:13">
      <c r="B339" s="135"/>
      <c r="C339" s="136"/>
      <c r="D339" s="137"/>
      <c r="E339" s="138"/>
      <c r="F339" s="139"/>
      <c r="G339" s="1" t="str">
        <f>IFERROR(IF(ventas_b_mes1[[#This Row],[CUIT]]="","-",VLOOKUP(ventas_b_mes1[[#This Row],[CUIT]],Lista_CUIT[#All],2,0)),"CUIT NO CARGADO")</f>
        <v>-</v>
      </c>
      <c r="H339" s="64">
        <f>ventas_b_mes1[[#This Row],[TOTAL]]/1.21</f>
        <v>0</v>
      </c>
      <c r="I339" s="140">
        <f>ventas_b_mes1[[#This Row],[IMPORTE NETO]]*0.21</f>
        <v>0</v>
      </c>
      <c r="J339" s="141"/>
      <c r="K339" s="141"/>
      <c r="L339" s="141"/>
      <c r="M339" s="59"/>
    </row>
    <row r="340" spans="2:13">
      <c r="B340" s="135"/>
      <c r="C340" s="136"/>
      <c r="D340" s="137"/>
      <c r="E340" s="138"/>
      <c r="F340" s="139"/>
      <c r="G340" s="1" t="str">
        <f>IFERROR(IF(ventas_b_mes1[[#This Row],[CUIT]]="","-",VLOOKUP(ventas_b_mes1[[#This Row],[CUIT]],Lista_CUIT[#All],2,0)),"CUIT NO CARGADO")</f>
        <v>-</v>
      </c>
      <c r="H340" s="64">
        <f>ventas_b_mes1[[#This Row],[TOTAL]]/1.21</f>
        <v>0</v>
      </c>
      <c r="I340" s="140">
        <f>ventas_b_mes1[[#This Row],[IMPORTE NETO]]*0.21</f>
        <v>0</v>
      </c>
      <c r="J340" s="141"/>
      <c r="K340" s="141"/>
      <c r="L340" s="141"/>
      <c r="M340" s="59"/>
    </row>
    <row r="341" spans="2:13">
      <c r="B341" s="135"/>
      <c r="C341" s="136"/>
      <c r="D341" s="137"/>
      <c r="E341" s="138"/>
      <c r="F341" s="139"/>
      <c r="G341" s="1" t="str">
        <f>IFERROR(IF(ventas_b_mes1[[#This Row],[CUIT]]="","-",VLOOKUP(ventas_b_mes1[[#This Row],[CUIT]],Lista_CUIT[#All],2,0)),"CUIT NO CARGADO")</f>
        <v>-</v>
      </c>
      <c r="H341" s="64">
        <f>ventas_b_mes1[[#This Row],[TOTAL]]/1.21</f>
        <v>0</v>
      </c>
      <c r="I341" s="140">
        <f>ventas_b_mes1[[#This Row],[IMPORTE NETO]]*0.21</f>
        <v>0</v>
      </c>
      <c r="J341" s="141"/>
      <c r="K341" s="141"/>
      <c r="L341" s="141"/>
      <c r="M341" s="59"/>
    </row>
    <row r="342" spans="2:13">
      <c r="B342" s="135"/>
      <c r="C342" s="136"/>
      <c r="D342" s="137"/>
      <c r="E342" s="138"/>
      <c r="F342" s="139"/>
      <c r="G342" s="1" t="str">
        <f>IFERROR(IF(ventas_b_mes1[[#This Row],[CUIT]]="","-",VLOOKUP(ventas_b_mes1[[#This Row],[CUIT]],Lista_CUIT[#All],2,0)),"CUIT NO CARGADO")</f>
        <v>-</v>
      </c>
      <c r="H342" s="64">
        <f>ventas_b_mes1[[#This Row],[TOTAL]]/1.21</f>
        <v>0</v>
      </c>
      <c r="I342" s="140">
        <f>ventas_b_mes1[[#This Row],[IMPORTE NETO]]*0.21</f>
        <v>0</v>
      </c>
      <c r="J342" s="141"/>
      <c r="K342" s="141"/>
      <c r="L342" s="141"/>
      <c r="M342" s="59"/>
    </row>
    <row r="343" spans="2:13">
      <c r="B343" s="135"/>
      <c r="C343" s="136"/>
      <c r="D343" s="137"/>
      <c r="E343" s="138"/>
      <c r="F343" s="139"/>
      <c r="G343" s="1" t="str">
        <f>IFERROR(IF(ventas_b_mes1[[#This Row],[CUIT]]="","-",VLOOKUP(ventas_b_mes1[[#This Row],[CUIT]],Lista_CUIT[#All],2,0)),"CUIT NO CARGADO")</f>
        <v>-</v>
      </c>
      <c r="H343" s="64">
        <f>ventas_b_mes1[[#This Row],[TOTAL]]/1.21</f>
        <v>0</v>
      </c>
      <c r="I343" s="140">
        <f>ventas_b_mes1[[#This Row],[IMPORTE NETO]]*0.21</f>
        <v>0</v>
      </c>
      <c r="J343" s="141"/>
      <c r="K343" s="141"/>
      <c r="L343" s="141"/>
      <c r="M343" s="59"/>
    </row>
    <row r="344" spans="2:13">
      <c r="B344" s="135"/>
      <c r="C344" s="136"/>
      <c r="D344" s="137"/>
      <c r="E344" s="138"/>
      <c r="F344" s="139"/>
      <c r="G344" s="1" t="str">
        <f>IFERROR(IF(ventas_b_mes1[[#This Row],[CUIT]]="","-",VLOOKUP(ventas_b_mes1[[#This Row],[CUIT]],Lista_CUIT[#All],2,0)),"CUIT NO CARGADO")</f>
        <v>-</v>
      </c>
      <c r="H344" s="64">
        <f>ventas_b_mes1[[#This Row],[TOTAL]]/1.21</f>
        <v>0</v>
      </c>
      <c r="I344" s="140">
        <f>ventas_b_mes1[[#This Row],[IMPORTE NETO]]*0.21</f>
        <v>0</v>
      </c>
      <c r="J344" s="141"/>
      <c r="K344" s="141"/>
      <c r="L344" s="141"/>
      <c r="M344" s="59"/>
    </row>
    <row r="345" spans="2:13">
      <c r="B345" s="135"/>
      <c r="C345" s="136"/>
      <c r="D345" s="137"/>
      <c r="E345" s="138"/>
      <c r="F345" s="139"/>
      <c r="G345" s="1" t="str">
        <f>IFERROR(IF(ventas_b_mes1[[#This Row],[CUIT]]="","-",VLOOKUP(ventas_b_mes1[[#This Row],[CUIT]],Lista_CUIT[#All],2,0)),"CUIT NO CARGADO")</f>
        <v>-</v>
      </c>
      <c r="H345" s="64">
        <f>ventas_b_mes1[[#This Row],[TOTAL]]/1.21</f>
        <v>0</v>
      </c>
      <c r="I345" s="140">
        <f>ventas_b_mes1[[#This Row],[IMPORTE NETO]]*0.21</f>
        <v>0</v>
      </c>
      <c r="J345" s="141"/>
      <c r="K345" s="141"/>
      <c r="L345" s="141"/>
      <c r="M345" s="59"/>
    </row>
    <row r="346" spans="2:13">
      <c r="B346" s="135"/>
      <c r="C346" s="136"/>
      <c r="D346" s="137"/>
      <c r="E346" s="138"/>
      <c r="F346" s="139"/>
      <c r="G346" s="1" t="str">
        <f>IFERROR(IF(ventas_b_mes1[[#This Row],[CUIT]]="","-",VLOOKUP(ventas_b_mes1[[#This Row],[CUIT]],Lista_CUIT[#All],2,0)),"CUIT NO CARGADO")</f>
        <v>-</v>
      </c>
      <c r="H346" s="64">
        <f>ventas_b_mes1[[#This Row],[TOTAL]]/1.21</f>
        <v>0</v>
      </c>
      <c r="I346" s="140">
        <f>ventas_b_mes1[[#This Row],[IMPORTE NETO]]*0.21</f>
        <v>0</v>
      </c>
      <c r="J346" s="141"/>
      <c r="K346" s="141"/>
      <c r="L346" s="141"/>
      <c r="M346" s="59"/>
    </row>
    <row r="347" spans="2:13">
      <c r="B347" s="135"/>
      <c r="C347" s="136"/>
      <c r="D347" s="137"/>
      <c r="E347" s="138"/>
      <c r="F347" s="139"/>
      <c r="G347" s="1" t="str">
        <f>IFERROR(IF(ventas_b_mes1[[#This Row],[CUIT]]="","-",VLOOKUP(ventas_b_mes1[[#This Row],[CUIT]],Lista_CUIT[#All],2,0)),"CUIT NO CARGADO")</f>
        <v>-</v>
      </c>
      <c r="H347" s="64">
        <f>ventas_b_mes1[[#This Row],[TOTAL]]/1.21</f>
        <v>0</v>
      </c>
      <c r="I347" s="140">
        <f>ventas_b_mes1[[#This Row],[IMPORTE NETO]]*0.21</f>
        <v>0</v>
      </c>
      <c r="J347" s="141"/>
      <c r="K347" s="141"/>
      <c r="L347" s="141"/>
      <c r="M347" s="59"/>
    </row>
    <row r="348" spans="2:13">
      <c r="B348" s="135"/>
      <c r="C348" s="136"/>
      <c r="D348" s="137"/>
      <c r="E348" s="138"/>
      <c r="F348" s="139"/>
      <c r="G348" s="1" t="str">
        <f>IFERROR(IF(ventas_b_mes1[[#This Row],[CUIT]]="","-",VLOOKUP(ventas_b_mes1[[#This Row],[CUIT]],Lista_CUIT[#All],2,0)),"CUIT NO CARGADO")</f>
        <v>-</v>
      </c>
      <c r="H348" s="64">
        <f>ventas_b_mes1[[#This Row],[TOTAL]]/1.21</f>
        <v>0</v>
      </c>
      <c r="I348" s="140">
        <f>ventas_b_mes1[[#This Row],[IMPORTE NETO]]*0.21</f>
        <v>0</v>
      </c>
      <c r="J348" s="141"/>
      <c r="K348" s="141"/>
      <c r="L348" s="141"/>
      <c r="M348" s="59"/>
    </row>
    <row r="349" spans="2:13">
      <c r="B349" s="135"/>
      <c r="C349" s="136"/>
      <c r="D349" s="137"/>
      <c r="E349" s="138"/>
      <c r="F349" s="139"/>
      <c r="G349" s="1" t="str">
        <f>IFERROR(IF(ventas_b_mes1[[#This Row],[CUIT]]="","-",VLOOKUP(ventas_b_mes1[[#This Row],[CUIT]],Lista_CUIT[#All],2,0)),"CUIT NO CARGADO")</f>
        <v>-</v>
      </c>
      <c r="H349" s="64">
        <f>ventas_b_mes1[[#This Row],[TOTAL]]/1.21</f>
        <v>0</v>
      </c>
      <c r="I349" s="140">
        <f>ventas_b_mes1[[#This Row],[IMPORTE NETO]]*0.21</f>
        <v>0</v>
      </c>
      <c r="J349" s="141"/>
      <c r="K349" s="141"/>
      <c r="L349" s="141"/>
      <c r="M349" s="59"/>
    </row>
    <row r="350" spans="2:13">
      <c r="B350" s="135"/>
      <c r="C350" s="136"/>
      <c r="D350" s="137"/>
      <c r="E350" s="138"/>
      <c r="F350" s="139"/>
      <c r="G350" s="1" t="str">
        <f>IFERROR(IF(ventas_b_mes1[[#This Row],[CUIT]]="","-",VLOOKUP(ventas_b_mes1[[#This Row],[CUIT]],Lista_CUIT[#All],2,0)),"CUIT NO CARGADO")</f>
        <v>-</v>
      </c>
      <c r="H350" s="64">
        <f>ventas_b_mes1[[#This Row],[TOTAL]]/1.21</f>
        <v>0</v>
      </c>
      <c r="I350" s="140">
        <f>ventas_b_mes1[[#This Row],[IMPORTE NETO]]*0.21</f>
        <v>0</v>
      </c>
      <c r="J350" s="141"/>
      <c r="K350" s="141"/>
      <c r="L350" s="141"/>
      <c r="M350" s="59"/>
    </row>
    <row r="351" spans="2:13">
      <c r="B351" s="135"/>
      <c r="C351" s="136"/>
      <c r="D351" s="137"/>
      <c r="E351" s="138"/>
      <c r="F351" s="139"/>
      <c r="G351" s="1" t="str">
        <f>IFERROR(IF(ventas_b_mes1[[#This Row],[CUIT]]="","-",VLOOKUP(ventas_b_mes1[[#This Row],[CUIT]],Lista_CUIT[#All],2,0)),"CUIT NO CARGADO")</f>
        <v>-</v>
      </c>
      <c r="H351" s="64">
        <f>ventas_b_mes1[[#This Row],[TOTAL]]/1.21</f>
        <v>0</v>
      </c>
      <c r="I351" s="140">
        <f>ventas_b_mes1[[#This Row],[IMPORTE NETO]]*0.21</f>
        <v>0</v>
      </c>
      <c r="J351" s="141"/>
      <c r="K351" s="141"/>
      <c r="L351" s="141"/>
      <c r="M351" s="59"/>
    </row>
    <row r="352" spans="2:13">
      <c r="B352" s="135"/>
      <c r="C352" s="136"/>
      <c r="D352" s="137"/>
      <c r="E352" s="138"/>
      <c r="F352" s="139"/>
      <c r="G352" s="1" t="str">
        <f>IFERROR(IF(ventas_b_mes1[[#This Row],[CUIT]]="","-",VLOOKUP(ventas_b_mes1[[#This Row],[CUIT]],Lista_CUIT[#All],2,0)),"CUIT NO CARGADO")</f>
        <v>-</v>
      </c>
      <c r="H352" s="64">
        <f>ventas_b_mes1[[#This Row],[TOTAL]]/1.21</f>
        <v>0</v>
      </c>
      <c r="I352" s="140">
        <f>ventas_b_mes1[[#This Row],[IMPORTE NETO]]*0.21</f>
        <v>0</v>
      </c>
      <c r="J352" s="141"/>
      <c r="K352" s="141"/>
      <c r="L352" s="141"/>
      <c r="M352" s="59"/>
    </row>
    <row r="353" spans="2:13">
      <c r="B353" s="135"/>
      <c r="C353" s="136"/>
      <c r="D353" s="137"/>
      <c r="E353" s="138"/>
      <c r="F353" s="139"/>
      <c r="G353" s="1" t="str">
        <f>IFERROR(IF(ventas_b_mes1[[#This Row],[CUIT]]="","-",VLOOKUP(ventas_b_mes1[[#This Row],[CUIT]],Lista_CUIT[#All],2,0)),"CUIT NO CARGADO")</f>
        <v>-</v>
      </c>
      <c r="H353" s="64">
        <f>ventas_b_mes1[[#This Row],[TOTAL]]/1.21</f>
        <v>0</v>
      </c>
      <c r="I353" s="140">
        <f>ventas_b_mes1[[#This Row],[IMPORTE NETO]]*0.21</f>
        <v>0</v>
      </c>
      <c r="J353" s="141"/>
      <c r="K353" s="141"/>
      <c r="L353" s="141"/>
      <c r="M353" s="59"/>
    </row>
    <row r="354" spans="2:13">
      <c r="B354" s="135"/>
      <c r="C354" s="136"/>
      <c r="D354" s="137"/>
      <c r="E354" s="138"/>
      <c r="F354" s="139"/>
      <c r="G354" s="1" t="str">
        <f>IFERROR(IF(ventas_b_mes1[[#This Row],[CUIT]]="","-",VLOOKUP(ventas_b_mes1[[#This Row],[CUIT]],Lista_CUIT[#All],2,0)),"CUIT NO CARGADO")</f>
        <v>-</v>
      </c>
      <c r="H354" s="64">
        <f>ventas_b_mes1[[#This Row],[TOTAL]]/1.21</f>
        <v>0</v>
      </c>
      <c r="I354" s="140">
        <f>ventas_b_mes1[[#This Row],[IMPORTE NETO]]*0.21</f>
        <v>0</v>
      </c>
      <c r="J354" s="141"/>
      <c r="K354" s="141"/>
      <c r="L354" s="141"/>
      <c r="M354" s="59"/>
    </row>
    <row r="355" spans="2:13">
      <c r="B355" s="135"/>
      <c r="C355" s="136"/>
      <c r="D355" s="137"/>
      <c r="E355" s="138"/>
      <c r="F355" s="139"/>
      <c r="G355" s="1" t="str">
        <f>IFERROR(IF(ventas_b_mes1[[#This Row],[CUIT]]="","-",VLOOKUP(ventas_b_mes1[[#This Row],[CUIT]],Lista_CUIT[#All],2,0)),"CUIT NO CARGADO")</f>
        <v>-</v>
      </c>
      <c r="H355" s="64">
        <f>ventas_b_mes1[[#This Row],[TOTAL]]/1.21</f>
        <v>0</v>
      </c>
      <c r="I355" s="140">
        <f>ventas_b_mes1[[#This Row],[IMPORTE NETO]]*0.21</f>
        <v>0</v>
      </c>
      <c r="J355" s="141"/>
      <c r="K355" s="141"/>
      <c r="L355" s="141"/>
      <c r="M355" s="59"/>
    </row>
    <row r="356" spans="2:13">
      <c r="B356" s="135"/>
      <c r="C356" s="136"/>
      <c r="D356" s="137"/>
      <c r="E356" s="138"/>
      <c r="F356" s="139"/>
      <c r="G356" s="1" t="str">
        <f>IFERROR(IF(ventas_b_mes1[[#This Row],[CUIT]]="","-",VLOOKUP(ventas_b_mes1[[#This Row],[CUIT]],Lista_CUIT[#All],2,0)),"CUIT NO CARGADO")</f>
        <v>-</v>
      </c>
      <c r="H356" s="64">
        <f>ventas_b_mes1[[#This Row],[TOTAL]]/1.21</f>
        <v>0</v>
      </c>
      <c r="I356" s="140">
        <f>ventas_b_mes1[[#This Row],[IMPORTE NETO]]*0.21</f>
        <v>0</v>
      </c>
      <c r="J356" s="141"/>
      <c r="K356" s="141"/>
      <c r="L356" s="141"/>
      <c r="M356" s="59"/>
    </row>
    <row r="357" spans="2:13">
      <c r="B357" s="135"/>
      <c r="C357" s="136"/>
      <c r="D357" s="137"/>
      <c r="E357" s="138"/>
      <c r="F357" s="139"/>
      <c r="G357" s="1" t="str">
        <f>IFERROR(IF(ventas_b_mes1[[#This Row],[CUIT]]="","-",VLOOKUP(ventas_b_mes1[[#This Row],[CUIT]],Lista_CUIT[#All],2,0)),"CUIT NO CARGADO")</f>
        <v>-</v>
      </c>
      <c r="H357" s="64">
        <f>ventas_b_mes1[[#This Row],[TOTAL]]/1.21</f>
        <v>0</v>
      </c>
      <c r="I357" s="140">
        <f>ventas_b_mes1[[#This Row],[IMPORTE NETO]]*0.21</f>
        <v>0</v>
      </c>
      <c r="J357" s="141"/>
      <c r="K357" s="141"/>
      <c r="L357" s="141"/>
      <c r="M357" s="59"/>
    </row>
    <row r="358" spans="2:13">
      <c r="B358" s="135"/>
      <c r="C358" s="136"/>
      <c r="D358" s="137"/>
      <c r="E358" s="138"/>
      <c r="F358" s="139"/>
      <c r="G358" s="1" t="str">
        <f>IFERROR(IF(ventas_b_mes1[[#This Row],[CUIT]]="","-",VLOOKUP(ventas_b_mes1[[#This Row],[CUIT]],Lista_CUIT[#All],2,0)),"CUIT NO CARGADO")</f>
        <v>-</v>
      </c>
      <c r="H358" s="64">
        <f>ventas_b_mes1[[#This Row],[TOTAL]]/1.21</f>
        <v>0</v>
      </c>
      <c r="I358" s="140">
        <f>ventas_b_mes1[[#This Row],[IMPORTE NETO]]*0.21</f>
        <v>0</v>
      </c>
      <c r="J358" s="141"/>
      <c r="K358" s="141"/>
      <c r="L358" s="141"/>
      <c r="M358" s="59"/>
    </row>
    <row r="359" spans="2:13">
      <c r="B359" s="135"/>
      <c r="C359" s="136"/>
      <c r="D359" s="137"/>
      <c r="E359" s="138"/>
      <c r="F359" s="139"/>
      <c r="G359" s="1" t="str">
        <f>IFERROR(IF(ventas_b_mes1[[#This Row],[CUIT]]="","-",VLOOKUP(ventas_b_mes1[[#This Row],[CUIT]],Lista_CUIT[#All],2,0)),"CUIT NO CARGADO")</f>
        <v>-</v>
      </c>
      <c r="H359" s="64">
        <f>ventas_b_mes1[[#This Row],[TOTAL]]/1.21</f>
        <v>0</v>
      </c>
      <c r="I359" s="140">
        <f>ventas_b_mes1[[#This Row],[IMPORTE NETO]]*0.21</f>
        <v>0</v>
      </c>
      <c r="J359" s="141"/>
      <c r="K359" s="141"/>
      <c r="L359" s="141"/>
      <c r="M359" s="59"/>
    </row>
    <row r="360" spans="2:13">
      <c r="B360" s="135"/>
      <c r="C360" s="136"/>
      <c r="D360" s="137"/>
      <c r="E360" s="138"/>
      <c r="F360" s="139"/>
      <c r="G360" s="1" t="str">
        <f>IFERROR(IF(ventas_b_mes1[[#This Row],[CUIT]]="","-",VLOOKUP(ventas_b_mes1[[#This Row],[CUIT]],Lista_CUIT[#All],2,0)),"CUIT NO CARGADO")</f>
        <v>-</v>
      </c>
      <c r="H360" s="64">
        <f>ventas_b_mes1[[#This Row],[TOTAL]]/1.21</f>
        <v>0</v>
      </c>
      <c r="I360" s="140">
        <f>ventas_b_mes1[[#This Row],[IMPORTE NETO]]*0.21</f>
        <v>0</v>
      </c>
      <c r="J360" s="141"/>
      <c r="K360" s="141"/>
      <c r="L360" s="141"/>
      <c r="M360" s="59"/>
    </row>
    <row r="361" spans="2:13">
      <c r="B361" s="135"/>
      <c r="C361" s="136"/>
      <c r="D361" s="137"/>
      <c r="E361" s="138"/>
      <c r="F361" s="139"/>
      <c r="G361" s="1" t="str">
        <f>IFERROR(IF(ventas_b_mes1[[#This Row],[CUIT]]="","-",VLOOKUP(ventas_b_mes1[[#This Row],[CUIT]],Lista_CUIT[#All],2,0)),"CUIT NO CARGADO")</f>
        <v>-</v>
      </c>
      <c r="H361" s="64">
        <f>ventas_b_mes1[[#This Row],[TOTAL]]/1.21</f>
        <v>0</v>
      </c>
      <c r="I361" s="140">
        <f>ventas_b_mes1[[#This Row],[IMPORTE NETO]]*0.21</f>
        <v>0</v>
      </c>
      <c r="J361" s="141"/>
      <c r="K361" s="141"/>
      <c r="L361" s="141"/>
      <c r="M361" s="59"/>
    </row>
    <row r="362" spans="2:13">
      <c r="B362" s="135"/>
      <c r="C362" s="136"/>
      <c r="D362" s="137"/>
      <c r="E362" s="138"/>
      <c r="F362" s="139"/>
      <c r="G362" s="1" t="str">
        <f>IFERROR(IF(ventas_b_mes1[[#This Row],[CUIT]]="","-",VLOOKUP(ventas_b_mes1[[#This Row],[CUIT]],Lista_CUIT[#All],2,0)),"CUIT NO CARGADO")</f>
        <v>-</v>
      </c>
      <c r="H362" s="64">
        <f>ventas_b_mes1[[#This Row],[TOTAL]]/1.21</f>
        <v>0</v>
      </c>
      <c r="I362" s="140">
        <f>ventas_b_mes1[[#This Row],[IMPORTE NETO]]*0.21</f>
        <v>0</v>
      </c>
      <c r="J362" s="141"/>
      <c r="K362" s="141"/>
      <c r="L362" s="141"/>
      <c r="M362" s="59"/>
    </row>
    <row r="363" spans="2:13">
      <c r="B363" s="135"/>
      <c r="C363" s="136"/>
      <c r="D363" s="137"/>
      <c r="E363" s="138"/>
      <c r="F363" s="139"/>
      <c r="G363" s="1" t="str">
        <f>IFERROR(IF(ventas_b_mes1[[#This Row],[CUIT]]="","-",VLOOKUP(ventas_b_mes1[[#This Row],[CUIT]],Lista_CUIT[#All],2,0)),"CUIT NO CARGADO")</f>
        <v>-</v>
      </c>
      <c r="H363" s="64">
        <f>ventas_b_mes1[[#This Row],[TOTAL]]/1.21</f>
        <v>0</v>
      </c>
      <c r="I363" s="140">
        <f>ventas_b_mes1[[#This Row],[IMPORTE NETO]]*0.21</f>
        <v>0</v>
      </c>
      <c r="J363" s="141"/>
      <c r="K363" s="141"/>
      <c r="L363" s="141"/>
      <c r="M363" s="59"/>
    </row>
    <row r="364" spans="2:13">
      <c r="B364" s="135"/>
      <c r="C364" s="136"/>
      <c r="D364" s="137"/>
      <c r="E364" s="138"/>
      <c r="F364" s="139"/>
      <c r="G364" s="1" t="str">
        <f>IFERROR(IF(ventas_b_mes1[[#This Row],[CUIT]]="","-",VLOOKUP(ventas_b_mes1[[#This Row],[CUIT]],Lista_CUIT[#All],2,0)),"CUIT NO CARGADO")</f>
        <v>-</v>
      </c>
      <c r="H364" s="64">
        <f>ventas_b_mes1[[#This Row],[TOTAL]]/1.21</f>
        <v>0</v>
      </c>
      <c r="I364" s="140">
        <f>ventas_b_mes1[[#This Row],[IMPORTE NETO]]*0.21</f>
        <v>0</v>
      </c>
      <c r="J364" s="141"/>
      <c r="K364" s="141"/>
      <c r="L364" s="141"/>
      <c r="M364" s="59"/>
    </row>
    <row r="365" spans="2:13">
      <c r="B365" s="135"/>
      <c r="C365" s="136"/>
      <c r="D365" s="137"/>
      <c r="E365" s="138"/>
      <c r="F365" s="139"/>
      <c r="G365" s="1" t="str">
        <f>IFERROR(IF(ventas_b_mes1[[#This Row],[CUIT]]="","-",VLOOKUP(ventas_b_mes1[[#This Row],[CUIT]],Lista_CUIT[#All],2,0)),"CUIT NO CARGADO")</f>
        <v>-</v>
      </c>
      <c r="H365" s="64">
        <f>ventas_b_mes1[[#This Row],[TOTAL]]/1.21</f>
        <v>0</v>
      </c>
      <c r="I365" s="140">
        <f>ventas_b_mes1[[#This Row],[IMPORTE NETO]]*0.21</f>
        <v>0</v>
      </c>
      <c r="J365" s="141"/>
      <c r="K365" s="141"/>
      <c r="L365" s="141"/>
      <c r="M365" s="59"/>
    </row>
    <row r="366" spans="2:13">
      <c r="B366" s="135"/>
      <c r="C366" s="136"/>
      <c r="D366" s="137"/>
      <c r="E366" s="138"/>
      <c r="F366" s="139"/>
      <c r="G366" s="1" t="str">
        <f>IFERROR(IF(ventas_b_mes1[[#This Row],[CUIT]]="","-",VLOOKUP(ventas_b_mes1[[#This Row],[CUIT]],Lista_CUIT[#All],2,0)),"CUIT NO CARGADO")</f>
        <v>-</v>
      </c>
      <c r="H366" s="64">
        <f>ventas_b_mes1[[#This Row],[TOTAL]]/1.21</f>
        <v>0</v>
      </c>
      <c r="I366" s="140">
        <f>ventas_b_mes1[[#This Row],[IMPORTE NETO]]*0.21</f>
        <v>0</v>
      </c>
      <c r="J366" s="141"/>
      <c r="K366" s="141"/>
      <c r="L366" s="141"/>
      <c r="M366" s="59"/>
    </row>
    <row r="367" spans="2:13">
      <c r="B367" s="135"/>
      <c r="C367" s="136"/>
      <c r="D367" s="137"/>
      <c r="E367" s="138"/>
      <c r="F367" s="139"/>
      <c r="G367" s="1" t="str">
        <f>IFERROR(IF(ventas_b_mes1[[#This Row],[CUIT]]="","-",VLOOKUP(ventas_b_mes1[[#This Row],[CUIT]],Lista_CUIT[#All],2,0)),"CUIT NO CARGADO")</f>
        <v>-</v>
      </c>
      <c r="H367" s="64">
        <f>ventas_b_mes1[[#This Row],[TOTAL]]/1.21</f>
        <v>0</v>
      </c>
      <c r="I367" s="140">
        <f>ventas_b_mes1[[#This Row],[IMPORTE NETO]]*0.21</f>
        <v>0</v>
      </c>
      <c r="J367" s="141"/>
      <c r="K367" s="141"/>
      <c r="L367" s="141"/>
      <c r="M367" s="59"/>
    </row>
    <row r="368" spans="2:13">
      <c r="B368" s="135"/>
      <c r="C368" s="136"/>
      <c r="D368" s="137"/>
      <c r="E368" s="138"/>
      <c r="F368" s="139"/>
      <c r="G368" s="1" t="str">
        <f>IFERROR(IF(ventas_b_mes1[[#This Row],[CUIT]]="","-",VLOOKUP(ventas_b_mes1[[#This Row],[CUIT]],Lista_CUIT[#All],2,0)),"CUIT NO CARGADO")</f>
        <v>-</v>
      </c>
      <c r="H368" s="64">
        <f>ventas_b_mes1[[#This Row],[TOTAL]]/1.21</f>
        <v>0</v>
      </c>
      <c r="I368" s="140">
        <f>ventas_b_mes1[[#This Row],[IMPORTE NETO]]*0.21</f>
        <v>0</v>
      </c>
      <c r="J368" s="141"/>
      <c r="K368" s="141"/>
      <c r="L368" s="141"/>
      <c r="M368" s="59"/>
    </row>
    <row r="369" spans="2:13">
      <c r="B369" s="135"/>
      <c r="C369" s="136"/>
      <c r="D369" s="137"/>
      <c r="E369" s="138"/>
      <c r="F369" s="139"/>
      <c r="G369" s="1" t="str">
        <f>IFERROR(IF(ventas_b_mes1[[#This Row],[CUIT]]="","-",VLOOKUP(ventas_b_mes1[[#This Row],[CUIT]],Lista_CUIT[#All],2,0)),"CUIT NO CARGADO")</f>
        <v>-</v>
      </c>
      <c r="H369" s="64">
        <f>ventas_b_mes1[[#This Row],[TOTAL]]/1.21</f>
        <v>0</v>
      </c>
      <c r="I369" s="140">
        <f>ventas_b_mes1[[#This Row],[IMPORTE NETO]]*0.21</f>
        <v>0</v>
      </c>
      <c r="J369" s="141"/>
      <c r="K369" s="141"/>
      <c r="L369" s="141"/>
      <c r="M369" s="59"/>
    </row>
    <row r="370" spans="2:13">
      <c r="B370" s="135"/>
      <c r="C370" s="136"/>
      <c r="D370" s="137"/>
      <c r="E370" s="138"/>
      <c r="F370" s="139"/>
      <c r="G370" s="1" t="str">
        <f>IFERROR(IF(ventas_b_mes1[[#This Row],[CUIT]]="","-",VLOOKUP(ventas_b_mes1[[#This Row],[CUIT]],Lista_CUIT[#All],2,0)),"CUIT NO CARGADO")</f>
        <v>-</v>
      </c>
      <c r="H370" s="64">
        <f>ventas_b_mes1[[#This Row],[TOTAL]]/1.21</f>
        <v>0</v>
      </c>
      <c r="I370" s="140">
        <f>ventas_b_mes1[[#This Row],[IMPORTE NETO]]*0.21</f>
        <v>0</v>
      </c>
      <c r="J370" s="141"/>
      <c r="K370" s="141"/>
      <c r="L370" s="141"/>
      <c r="M370" s="59"/>
    </row>
    <row r="371" spans="2:13">
      <c r="B371" s="135"/>
      <c r="C371" s="136"/>
      <c r="D371" s="137"/>
      <c r="E371" s="138"/>
      <c r="F371" s="139"/>
      <c r="G371" s="1" t="str">
        <f>IFERROR(IF(ventas_b_mes1[[#This Row],[CUIT]]="","-",VLOOKUP(ventas_b_mes1[[#This Row],[CUIT]],Lista_CUIT[#All],2,0)),"CUIT NO CARGADO")</f>
        <v>-</v>
      </c>
      <c r="H371" s="64">
        <f>ventas_b_mes1[[#This Row],[TOTAL]]/1.21</f>
        <v>0</v>
      </c>
      <c r="I371" s="140">
        <f>ventas_b_mes1[[#This Row],[IMPORTE NETO]]*0.21</f>
        <v>0</v>
      </c>
      <c r="J371" s="141"/>
      <c r="K371" s="141"/>
      <c r="L371" s="141"/>
      <c r="M371" s="59"/>
    </row>
    <row r="372" spans="2:13">
      <c r="B372" s="135"/>
      <c r="C372" s="136"/>
      <c r="D372" s="137"/>
      <c r="E372" s="138"/>
      <c r="F372" s="139"/>
      <c r="G372" s="1" t="str">
        <f>IFERROR(IF(ventas_b_mes1[[#This Row],[CUIT]]="","-",VLOOKUP(ventas_b_mes1[[#This Row],[CUIT]],Lista_CUIT[#All],2,0)),"CUIT NO CARGADO")</f>
        <v>-</v>
      </c>
      <c r="H372" s="64">
        <f>ventas_b_mes1[[#This Row],[TOTAL]]/1.21</f>
        <v>0</v>
      </c>
      <c r="I372" s="140">
        <f>ventas_b_mes1[[#This Row],[IMPORTE NETO]]*0.21</f>
        <v>0</v>
      </c>
      <c r="J372" s="141"/>
      <c r="K372" s="141"/>
      <c r="L372" s="141"/>
      <c r="M372" s="59"/>
    </row>
    <row r="373" spans="2:13">
      <c r="B373" s="135"/>
      <c r="C373" s="136"/>
      <c r="D373" s="137"/>
      <c r="E373" s="138"/>
      <c r="F373" s="139"/>
      <c r="G373" s="1" t="str">
        <f>IFERROR(IF(ventas_b_mes1[[#This Row],[CUIT]]="","-",VLOOKUP(ventas_b_mes1[[#This Row],[CUIT]],Lista_CUIT[#All],2,0)),"CUIT NO CARGADO")</f>
        <v>-</v>
      </c>
      <c r="H373" s="64">
        <f>ventas_b_mes1[[#This Row],[TOTAL]]/1.21</f>
        <v>0</v>
      </c>
      <c r="I373" s="140">
        <f>ventas_b_mes1[[#This Row],[IMPORTE NETO]]*0.21</f>
        <v>0</v>
      </c>
      <c r="J373" s="141"/>
      <c r="K373" s="141"/>
      <c r="L373" s="141"/>
      <c r="M373" s="59"/>
    </row>
    <row r="374" spans="2:13">
      <c r="B374" s="135"/>
      <c r="C374" s="136"/>
      <c r="D374" s="137"/>
      <c r="E374" s="138"/>
      <c r="F374" s="139"/>
      <c r="G374" s="1" t="str">
        <f>IFERROR(IF(ventas_b_mes1[[#This Row],[CUIT]]="","-",VLOOKUP(ventas_b_mes1[[#This Row],[CUIT]],Lista_CUIT[#All],2,0)),"CUIT NO CARGADO")</f>
        <v>-</v>
      </c>
      <c r="H374" s="64">
        <f>ventas_b_mes1[[#This Row],[TOTAL]]/1.21</f>
        <v>0</v>
      </c>
      <c r="I374" s="140">
        <f>ventas_b_mes1[[#This Row],[IMPORTE NETO]]*0.21</f>
        <v>0</v>
      </c>
      <c r="J374" s="141"/>
      <c r="K374" s="141"/>
      <c r="L374" s="141"/>
      <c r="M374" s="59"/>
    </row>
    <row r="375" spans="2:13">
      <c r="B375" s="135"/>
      <c r="C375" s="136"/>
      <c r="D375" s="137"/>
      <c r="E375" s="138"/>
      <c r="F375" s="139"/>
      <c r="G375" s="1" t="str">
        <f>IFERROR(IF(ventas_b_mes1[[#This Row],[CUIT]]="","-",VLOOKUP(ventas_b_mes1[[#This Row],[CUIT]],Lista_CUIT[#All],2,0)),"CUIT NO CARGADO")</f>
        <v>-</v>
      </c>
      <c r="H375" s="64">
        <f>ventas_b_mes1[[#This Row],[TOTAL]]/1.21</f>
        <v>0</v>
      </c>
      <c r="I375" s="140">
        <f>ventas_b_mes1[[#This Row],[IMPORTE NETO]]*0.21</f>
        <v>0</v>
      </c>
      <c r="J375" s="141"/>
      <c r="K375" s="141"/>
      <c r="L375" s="141"/>
      <c r="M375" s="59"/>
    </row>
    <row r="376" spans="2:13">
      <c r="B376" s="135"/>
      <c r="C376" s="136"/>
      <c r="D376" s="137"/>
      <c r="E376" s="138"/>
      <c r="F376" s="139"/>
      <c r="G376" s="1" t="str">
        <f>IFERROR(IF(ventas_b_mes1[[#This Row],[CUIT]]="","-",VLOOKUP(ventas_b_mes1[[#This Row],[CUIT]],Lista_CUIT[#All],2,0)),"CUIT NO CARGADO")</f>
        <v>-</v>
      </c>
      <c r="H376" s="64">
        <f>ventas_b_mes1[[#This Row],[TOTAL]]/1.21</f>
        <v>0</v>
      </c>
      <c r="I376" s="140">
        <f>ventas_b_mes1[[#This Row],[IMPORTE NETO]]*0.21</f>
        <v>0</v>
      </c>
      <c r="J376" s="141"/>
      <c r="K376" s="141"/>
      <c r="L376" s="141"/>
      <c r="M376" s="59"/>
    </row>
    <row r="377" spans="2:13">
      <c r="B377" s="135"/>
      <c r="C377" s="136"/>
      <c r="D377" s="137"/>
      <c r="E377" s="138"/>
      <c r="F377" s="139"/>
      <c r="G377" s="1" t="str">
        <f>IFERROR(IF(ventas_b_mes1[[#This Row],[CUIT]]="","-",VLOOKUP(ventas_b_mes1[[#This Row],[CUIT]],Lista_CUIT[#All],2,0)),"CUIT NO CARGADO")</f>
        <v>-</v>
      </c>
      <c r="H377" s="64">
        <f>ventas_b_mes1[[#This Row],[TOTAL]]/1.21</f>
        <v>0</v>
      </c>
      <c r="I377" s="140">
        <f>ventas_b_mes1[[#This Row],[IMPORTE NETO]]*0.21</f>
        <v>0</v>
      </c>
      <c r="J377" s="141"/>
      <c r="K377" s="141"/>
      <c r="L377" s="141"/>
      <c r="M377" s="59"/>
    </row>
    <row r="378" spans="2:13">
      <c r="B378" s="135"/>
      <c r="C378" s="136"/>
      <c r="D378" s="137"/>
      <c r="E378" s="138"/>
      <c r="F378" s="139"/>
      <c r="G378" s="1" t="str">
        <f>IFERROR(IF(ventas_b_mes1[[#This Row],[CUIT]]="","-",VLOOKUP(ventas_b_mes1[[#This Row],[CUIT]],Lista_CUIT[#All],2,0)),"CUIT NO CARGADO")</f>
        <v>-</v>
      </c>
      <c r="H378" s="64">
        <f>ventas_b_mes1[[#This Row],[TOTAL]]/1.21</f>
        <v>0</v>
      </c>
      <c r="I378" s="140">
        <f>ventas_b_mes1[[#This Row],[IMPORTE NETO]]*0.21</f>
        <v>0</v>
      </c>
      <c r="J378" s="141"/>
      <c r="K378" s="141"/>
      <c r="L378" s="141"/>
      <c r="M378" s="59"/>
    </row>
    <row r="379" spans="2:13">
      <c r="B379" s="135"/>
      <c r="C379" s="136"/>
      <c r="D379" s="137"/>
      <c r="E379" s="138"/>
      <c r="F379" s="139"/>
      <c r="G379" s="1" t="str">
        <f>IFERROR(IF(ventas_b_mes1[[#This Row],[CUIT]]="","-",VLOOKUP(ventas_b_mes1[[#This Row],[CUIT]],Lista_CUIT[#All],2,0)),"CUIT NO CARGADO")</f>
        <v>-</v>
      </c>
      <c r="H379" s="64">
        <f>ventas_b_mes1[[#This Row],[TOTAL]]/1.21</f>
        <v>0</v>
      </c>
      <c r="I379" s="140">
        <f>ventas_b_mes1[[#This Row],[IMPORTE NETO]]*0.21</f>
        <v>0</v>
      </c>
      <c r="J379" s="141"/>
      <c r="K379" s="141"/>
      <c r="L379" s="141"/>
      <c r="M379" s="59"/>
    </row>
    <row r="380" spans="2:13">
      <c r="B380" s="135"/>
      <c r="C380" s="136"/>
      <c r="D380" s="137"/>
      <c r="E380" s="138"/>
      <c r="F380" s="139"/>
      <c r="G380" s="1" t="str">
        <f>IFERROR(IF(ventas_b_mes1[[#This Row],[CUIT]]="","-",VLOOKUP(ventas_b_mes1[[#This Row],[CUIT]],Lista_CUIT[#All],2,0)),"CUIT NO CARGADO")</f>
        <v>-</v>
      </c>
      <c r="H380" s="64">
        <f>ventas_b_mes1[[#This Row],[TOTAL]]/1.21</f>
        <v>0</v>
      </c>
      <c r="I380" s="140">
        <f>ventas_b_mes1[[#This Row],[IMPORTE NETO]]*0.21</f>
        <v>0</v>
      </c>
      <c r="J380" s="141"/>
      <c r="K380" s="141"/>
      <c r="L380" s="141"/>
      <c r="M380" s="59"/>
    </row>
    <row r="381" spans="2:13">
      <c r="B381" s="135"/>
      <c r="C381" s="136"/>
      <c r="D381" s="137"/>
      <c r="E381" s="138"/>
      <c r="F381" s="139"/>
      <c r="G381" s="1" t="str">
        <f>IFERROR(IF(ventas_b_mes1[[#This Row],[CUIT]]="","-",VLOOKUP(ventas_b_mes1[[#This Row],[CUIT]],Lista_CUIT[#All],2,0)),"CUIT NO CARGADO")</f>
        <v>-</v>
      </c>
      <c r="H381" s="64">
        <f>ventas_b_mes1[[#This Row],[TOTAL]]/1.21</f>
        <v>0</v>
      </c>
      <c r="I381" s="140">
        <f>ventas_b_mes1[[#This Row],[IMPORTE NETO]]*0.21</f>
        <v>0</v>
      </c>
      <c r="J381" s="141"/>
      <c r="K381" s="141"/>
      <c r="L381" s="141"/>
      <c r="M381" s="59"/>
    </row>
    <row r="382" spans="2:13">
      <c r="B382" s="135"/>
      <c r="C382" s="136"/>
      <c r="D382" s="137"/>
      <c r="E382" s="138"/>
      <c r="F382" s="139"/>
      <c r="G382" s="1" t="str">
        <f>IFERROR(IF(ventas_b_mes1[[#This Row],[CUIT]]="","-",VLOOKUP(ventas_b_mes1[[#This Row],[CUIT]],Lista_CUIT[#All],2,0)),"CUIT NO CARGADO")</f>
        <v>-</v>
      </c>
      <c r="H382" s="64">
        <f>ventas_b_mes1[[#This Row],[TOTAL]]/1.21</f>
        <v>0</v>
      </c>
      <c r="I382" s="140">
        <f>ventas_b_mes1[[#This Row],[IMPORTE NETO]]*0.21</f>
        <v>0</v>
      </c>
      <c r="J382" s="141"/>
      <c r="K382" s="141"/>
      <c r="L382" s="141"/>
      <c r="M382" s="59"/>
    </row>
    <row r="383" spans="2:13">
      <c r="B383" s="135"/>
      <c r="C383" s="136"/>
      <c r="D383" s="137"/>
      <c r="E383" s="138"/>
      <c r="F383" s="139"/>
      <c r="G383" s="1" t="str">
        <f>IFERROR(IF(ventas_b_mes1[[#This Row],[CUIT]]="","-",VLOOKUP(ventas_b_mes1[[#This Row],[CUIT]],Lista_CUIT[#All],2,0)),"CUIT NO CARGADO")</f>
        <v>-</v>
      </c>
      <c r="H383" s="64">
        <f>ventas_b_mes1[[#This Row],[TOTAL]]/1.21</f>
        <v>0</v>
      </c>
      <c r="I383" s="140">
        <f>ventas_b_mes1[[#This Row],[IMPORTE NETO]]*0.21</f>
        <v>0</v>
      </c>
      <c r="J383" s="141"/>
      <c r="K383" s="141"/>
      <c r="L383" s="141"/>
      <c r="M383" s="59"/>
    </row>
    <row r="384" spans="2:13">
      <c r="B384" s="135"/>
      <c r="C384" s="136"/>
      <c r="D384" s="137"/>
      <c r="E384" s="138"/>
      <c r="F384" s="139"/>
      <c r="G384" s="1" t="str">
        <f>IFERROR(IF(ventas_b_mes1[[#This Row],[CUIT]]="","-",VLOOKUP(ventas_b_mes1[[#This Row],[CUIT]],Lista_CUIT[#All],2,0)),"CUIT NO CARGADO")</f>
        <v>-</v>
      </c>
      <c r="H384" s="64">
        <f>ventas_b_mes1[[#This Row],[TOTAL]]/1.21</f>
        <v>0</v>
      </c>
      <c r="I384" s="140">
        <f>ventas_b_mes1[[#This Row],[IMPORTE NETO]]*0.21</f>
        <v>0</v>
      </c>
      <c r="J384" s="141"/>
      <c r="K384" s="141"/>
      <c r="L384" s="141"/>
      <c r="M384" s="59"/>
    </row>
    <row r="385" spans="2:13">
      <c r="B385" s="135"/>
      <c r="C385" s="136"/>
      <c r="D385" s="137"/>
      <c r="E385" s="138"/>
      <c r="F385" s="139"/>
      <c r="G385" s="1" t="str">
        <f>IFERROR(IF(ventas_b_mes1[[#This Row],[CUIT]]="","-",VLOOKUP(ventas_b_mes1[[#This Row],[CUIT]],Lista_CUIT[#All],2,0)),"CUIT NO CARGADO")</f>
        <v>-</v>
      </c>
      <c r="H385" s="64">
        <f>ventas_b_mes1[[#This Row],[TOTAL]]/1.21</f>
        <v>0</v>
      </c>
      <c r="I385" s="140">
        <f>ventas_b_mes1[[#This Row],[IMPORTE NETO]]*0.21</f>
        <v>0</v>
      </c>
      <c r="J385" s="141"/>
      <c r="K385" s="141"/>
      <c r="L385" s="141"/>
      <c r="M385" s="59"/>
    </row>
    <row r="386" spans="2:13">
      <c r="B386" s="135"/>
      <c r="C386" s="136"/>
      <c r="D386" s="137"/>
      <c r="E386" s="138"/>
      <c r="F386" s="139"/>
      <c r="G386" s="1" t="str">
        <f>IFERROR(IF(ventas_b_mes1[[#This Row],[CUIT]]="","-",VLOOKUP(ventas_b_mes1[[#This Row],[CUIT]],Lista_CUIT[#All],2,0)),"CUIT NO CARGADO")</f>
        <v>-</v>
      </c>
      <c r="H386" s="64">
        <f>ventas_b_mes1[[#This Row],[TOTAL]]/1.21</f>
        <v>0</v>
      </c>
      <c r="I386" s="140">
        <f>ventas_b_mes1[[#This Row],[IMPORTE NETO]]*0.21</f>
        <v>0</v>
      </c>
      <c r="J386" s="141"/>
      <c r="K386" s="141"/>
      <c r="L386" s="141"/>
      <c r="M386" s="59"/>
    </row>
    <row r="387" spans="2:13">
      <c r="B387" s="135"/>
      <c r="C387" s="136"/>
      <c r="D387" s="137"/>
      <c r="E387" s="138"/>
      <c r="F387" s="139"/>
      <c r="G387" s="1" t="str">
        <f>IFERROR(IF(ventas_b_mes1[[#This Row],[CUIT]]="","-",VLOOKUP(ventas_b_mes1[[#This Row],[CUIT]],Lista_CUIT[#All],2,0)),"CUIT NO CARGADO")</f>
        <v>-</v>
      </c>
      <c r="H387" s="64">
        <f>ventas_b_mes1[[#This Row],[TOTAL]]/1.21</f>
        <v>0</v>
      </c>
      <c r="I387" s="140">
        <f>ventas_b_mes1[[#This Row],[IMPORTE NETO]]*0.21</f>
        <v>0</v>
      </c>
      <c r="J387" s="141"/>
      <c r="K387" s="141"/>
      <c r="L387" s="141"/>
      <c r="M387" s="59"/>
    </row>
    <row r="388" spans="2:13">
      <c r="B388" s="135"/>
      <c r="C388" s="136"/>
      <c r="D388" s="137"/>
      <c r="E388" s="138"/>
      <c r="F388" s="139"/>
      <c r="G388" s="1" t="str">
        <f>IFERROR(IF(ventas_b_mes1[[#This Row],[CUIT]]="","-",VLOOKUP(ventas_b_mes1[[#This Row],[CUIT]],Lista_CUIT[#All],2,0)),"CUIT NO CARGADO")</f>
        <v>-</v>
      </c>
      <c r="H388" s="64">
        <f>ventas_b_mes1[[#This Row],[TOTAL]]/1.21</f>
        <v>0</v>
      </c>
      <c r="I388" s="140">
        <f>ventas_b_mes1[[#This Row],[IMPORTE NETO]]*0.21</f>
        <v>0</v>
      </c>
      <c r="J388" s="141"/>
      <c r="K388" s="141"/>
      <c r="L388" s="141"/>
      <c r="M388" s="59"/>
    </row>
    <row r="389" spans="2:13">
      <c r="B389" s="135"/>
      <c r="C389" s="136"/>
      <c r="D389" s="137"/>
      <c r="E389" s="138"/>
      <c r="F389" s="139"/>
      <c r="G389" s="1" t="str">
        <f>IFERROR(IF(ventas_b_mes1[[#This Row],[CUIT]]="","-",VLOOKUP(ventas_b_mes1[[#This Row],[CUIT]],Lista_CUIT[#All],2,0)),"CUIT NO CARGADO")</f>
        <v>-</v>
      </c>
      <c r="H389" s="64">
        <f>ventas_b_mes1[[#This Row],[TOTAL]]/1.21</f>
        <v>0</v>
      </c>
      <c r="I389" s="140">
        <f>ventas_b_mes1[[#This Row],[IMPORTE NETO]]*0.21</f>
        <v>0</v>
      </c>
      <c r="J389" s="141"/>
      <c r="K389" s="141"/>
      <c r="L389" s="141"/>
      <c r="M389" s="59"/>
    </row>
    <row r="390" spans="2:13">
      <c r="B390" s="135"/>
      <c r="C390" s="136"/>
      <c r="D390" s="137"/>
      <c r="E390" s="138"/>
      <c r="F390" s="139"/>
      <c r="G390" s="1" t="str">
        <f>IFERROR(IF(ventas_b_mes1[[#This Row],[CUIT]]="","-",VLOOKUP(ventas_b_mes1[[#This Row],[CUIT]],Lista_CUIT[#All],2,0)),"CUIT NO CARGADO")</f>
        <v>-</v>
      </c>
      <c r="H390" s="64">
        <f>ventas_b_mes1[[#This Row],[TOTAL]]/1.21</f>
        <v>0</v>
      </c>
      <c r="I390" s="140">
        <f>ventas_b_mes1[[#This Row],[IMPORTE NETO]]*0.21</f>
        <v>0</v>
      </c>
      <c r="J390" s="141"/>
      <c r="K390" s="141"/>
      <c r="L390" s="141"/>
      <c r="M390" s="59"/>
    </row>
    <row r="391" spans="2:13">
      <c r="B391" s="135"/>
      <c r="C391" s="136"/>
      <c r="D391" s="137"/>
      <c r="E391" s="138"/>
      <c r="F391" s="139"/>
      <c r="G391" s="1" t="str">
        <f>IFERROR(IF(ventas_b_mes1[[#This Row],[CUIT]]="","-",VLOOKUP(ventas_b_mes1[[#This Row],[CUIT]],Lista_CUIT[#All],2,0)),"CUIT NO CARGADO")</f>
        <v>-</v>
      </c>
      <c r="H391" s="64">
        <f>ventas_b_mes1[[#This Row],[TOTAL]]/1.21</f>
        <v>0</v>
      </c>
      <c r="I391" s="140">
        <f>ventas_b_mes1[[#This Row],[IMPORTE NETO]]*0.21</f>
        <v>0</v>
      </c>
      <c r="J391" s="141"/>
      <c r="K391" s="141"/>
      <c r="L391" s="141"/>
      <c r="M391" s="59"/>
    </row>
    <row r="392" spans="2:13">
      <c r="B392" s="135"/>
      <c r="C392" s="136"/>
      <c r="D392" s="137"/>
      <c r="E392" s="138"/>
      <c r="F392" s="139"/>
      <c r="G392" s="1" t="str">
        <f>IFERROR(IF(ventas_b_mes1[[#This Row],[CUIT]]="","-",VLOOKUP(ventas_b_mes1[[#This Row],[CUIT]],Lista_CUIT[#All],2,0)),"CUIT NO CARGADO")</f>
        <v>-</v>
      </c>
      <c r="H392" s="64">
        <f>ventas_b_mes1[[#This Row],[TOTAL]]/1.21</f>
        <v>0</v>
      </c>
      <c r="I392" s="140">
        <f>ventas_b_mes1[[#This Row],[IMPORTE NETO]]*0.21</f>
        <v>0</v>
      </c>
      <c r="J392" s="141"/>
      <c r="K392" s="141"/>
      <c r="L392" s="141"/>
      <c r="M392" s="59"/>
    </row>
    <row r="393" spans="2:13">
      <c r="B393" s="135"/>
      <c r="C393" s="136"/>
      <c r="D393" s="137"/>
      <c r="E393" s="138"/>
      <c r="F393" s="139"/>
      <c r="G393" s="1" t="str">
        <f>IFERROR(IF(ventas_b_mes1[[#This Row],[CUIT]]="","-",VLOOKUP(ventas_b_mes1[[#This Row],[CUIT]],Lista_CUIT[#All],2,0)),"CUIT NO CARGADO")</f>
        <v>-</v>
      </c>
      <c r="H393" s="64">
        <f>ventas_b_mes1[[#This Row],[TOTAL]]/1.21</f>
        <v>0</v>
      </c>
      <c r="I393" s="140">
        <f>ventas_b_mes1[[#This Row],[IMPORTE NETO]]*0.21</f>
        <v>0</v>
      </c>
      <c r="J393" s="141"/>
      <c r="K393" s="141"/>
      <c r="L393" s="141"/>
      <c r="M393" s="59"/>
    </row>
    <row r="394" spans="2:13">
      <c r="B394" s="135"/>
      <c r="C394" s="136"/>
      <c r="D394" s="137"/>
      <c r="E394" s="138"/>
      <c r="F394" s="139"/>
      <c r="G394" s="1" t="str">
        <f>IFERROR(IF(ventas_b_mes1[[#This Row],[CUIT]]="","-",VLOOKUP(ventas_b_mes1[[#This Row],[CUIT]],Lista_CUIT[#All],2,0)),"CUIT NO CARGADO")</f>
        <v>-</v>
      </c>
      <c r="H394" s="64">
        <f>ventas_b_mes1[[#This Row],[TOTAL]]/1.21</f>
        <v>0</v>
      </c>
      <c r="I394" s="140">
        <f>ventas_b_mes1[[#This Row],[IMPORTE NETO]]*0.21</f>
        <v>0</v>
      </c>
      <c r="J394" s="141"/>
      <c r="K394" s="141"/>
      <c r="L394" s="141"/>
      <c r="M394" s="59"/>
    </row>
    <row r="395" spans="2:13">
      <c r="B395" s="135"/>
      <c r="C395" s="136"/>
      <c r="D395" s="137"/>
      <c r="E395" s="138"/>
      <c r="F395" s="139"/>
      <c r="G395" s="1" t="str">
        <f>IFERROR(IF(ventas_b_mes1[[#This Row],[CUIT]]="","-",VLOOKUP(ventas_b_mes1[[#This Row],[CUIT]],Lista_CUIT[#All],2,0)),"CUIT NO CARGADO")</f>
        <v>-</v>
      </c>
      <c r="H395" s="64">
        <f>ventas_b_mes1[[#This Row],[TOTAL]]/1.21</f>
        <v>0</v>
      </c>
      <c r="I395" s="140">
        <f>ventas_b_mes1[[#This Row],[IMPORTE NETO]]*0.21</f>
        <v>0</v>
      </c>
      <c r="J395" s="141"/>
      <c r="K395" s="141"/>
      <c r="L395" s="141"/>
      <c r="M395" s="59"/>
    </row>
    <row r="396" spans="2:13">
      <c r="B396" s="135"/>
      <c r="C396" s="136"/>
      <c r="D396" s="137"/>
      <c r="E396" s="138"/>
      <c r="F396" s="139"/>
      <c r="G396" s="1" t="str">
        <f>IFERROR(IF(ventas_b_mes1[[#This Row],[CUIT]]="","-",VLOOKUP(ventas_b_mes1[[#This Row],[CUIT]],Lista_CUIT[#All],2,0)),"CUIT NO CARGADO")</f>
        <v>-</v>
      </c>
      <c r="H396" s="64">
        <f>ventas_b_mes1[[#This Row],[TOTAL]]/1.21</f>
        <v>0</v>
      </c>
      <c r="I396" s="140">
        <f>ventas_b_mes1[[#This Row],[IMPORTE NETO]]*0.21</f>
        <v>0</v>
      </c>
      <c r="J396" s="141"/>
      <c r="K396" s="141"/>
      <c r="L396" s="141"/>
      <c r="M396" s="59"/>
    </row>
    <row r="397" spans="2:13">
      <c r="B397" s="135"/>
      <c r="C397" s="136"/>
      <c r="D397" s="137"/>
      <c r="E397" s="138"/>
      <c r="F397" s="139"/>
      <c r="G397" s="1" t="str">
        <f>IFERROR(IF(ventas_b_mes1[[#This Row],[CUIT]]="","-",VLOOKUP(ventas_b_mes1[[#This Row],[CUIT]],Lista_CUIT[#All],2,0)),"CUIT NO CARGADO")</f>
        <v>-</v>
      </c>
      <c r="H397" s="64">
        <f>ventas_b_mes1[[#This Row],[TOTAL]]/1.21</f>
        <v>0</v>
      </c>
      <c r="I397" s="140">
        <f>ventas_b_mes1[[#This Row],[IMPORTE NETO]]*0.21</f>
        <v>0</v>
      </c>
      <c r="J397" s="141"/>
      <c r="K397" s="141"/>
      <c r="L397" s="141"/>
      <c r="M397" s="59"/>
    </row>
    <row r="398" spans="2:13">
      <c r="B398" s="135"/>
      <c r="C398" s="136"/>
      <c r="D398" s="137"/>
      <c r="E398" s="138"/>
      <c r="F398" s="139"/>
      <c r="G398" s="1" t="str">
        <f>IFERROR(IF(ventas_b_mes1[[#This Row],[CUIT]]="","-",VLOOKUP(ventas_b_mes1[[#This Row],[CUIT]],Lista_CUIT[#All],2,0)),"CUIT NO CARGADO")</f>
        <v>-</v>
      </c>
      <c r="H398" s="64">
        <f>ventas_b_mes1[[#This Row],[TOTAL]]/1.21</f>
        <v>0</v>
      </c>
      <c r="I398" s="140">
        <f>ventas_b_mes1[[#This Row],[IMPORTE NETO]]*0.21</f>
        <v>0</v>
      </c>
      <c r="J398" s="141"/>
      <c r="K398" s="141"/>
      <c r="L398" s="141"/>
      <c r="M398" s="59"/>
    </row>
    <row r="399" spans="2:13">
      <c r="B399" s="135"/>
      <c r="C399" s="136"/>
      <c r="D399" s="137"/>
      <c r="E399" s="138"/>
      <c r="F399" s="139"/>
      <c r="G399" s="1" t="str">
        <f>IFERROR(IF(ventas_b_mes1[[#This Row],[CUIT]]="","-",VLOOKUP(ventas_b_mes1[[#This Row],[CUIT]],Lista_CUIT[#All],2,0)),"CUIT NO CARGADO")</f>
        <v>-</v>
      </c>
      <c r="H399" s="64">
        <f>ventas_b_mes1[[#This Row],[TOTAL]]/1.21</f>
        <v>0</v>
      </c>
      <c r="I399" s="140">
        <f>ventas_b_mes1[[#This Row],[IMPORTE NETO]]*0.21</f>
        <v>0</v>
      </c>
      <c r="J399" s="141"/>
      <c r="K399" s="141"/>
      <c r="L399" s="141"/>
      <c r="M399" s="59"/>
    </row>
    <row r="400" spans="2:13">
      <c r="B400" s="135"/>
      <c r="C400" s="136"/>
      <c r="D400" s="137"/>
      <c r="E400" s="138"/>
      <c r="F400" s="139"/>
      <c r="G400" s="1" t="str">
        <f>IFERROR(IF(ventas_b_mes1[[#This Row],[CUIT]]="","-",VLOOKUP(ventas_b_mes1[[#This Row],[CUIT]],Lista_CUIT[#All],2,0)),"CUIT NO CARGADO")</f>
        <v>-</v>
      </c>
      <c r="H400" s="64">
        <f>ventas_b_mes1[[#This Row],[TOTAL]]/1.21</f>
        <v>0</v>
      </c>
      <c r="I400" s="140">
        <f>ventas_b_mes1[[#This Row],[IMPORTE NETO]]*0.21</f>
        <v>0</v>
      </c>
      <c r="J400" s="141"/>
      <c r="K400" s="141"/>
      <c r="L400" s="141"/>
      <c r="M400" s="59"/>
    </row>
    <row r="401" spans="2:13">
      <c r="B401" s="135"/>
      <c r="C401" s="136"/>
      <c r="D401" s="137"/>
      <c r="E401" s="138"/>
      <c r="F401" s="139"/>
      <c r="G401" s="1" t="str">
        <f>IFERROR(IF(ventas_b_mes1[[#This Row],[CUIT]]="","-",VLOOKUP(ventas_b_mes1[[#This Row],[CUIT]],Lista_CUIT[#All],2,0)),"CUIT NO CARGADO")</f>
        <v>-</v>
      </c>
      <c r="H401" s="64">
        <f>ventas_b_mes1[[#This Row],[TOTAL]]/1.21</f>
        <v>0</v>
      </c>
      <c r="I401" s="140">
        <f>ventas_b_mes1[[#This Row],[IMPORTE NETO]]*0.21</f>
        <v>0</v>
      </c>
      <c r="J401" s="141"/>
      <c r="K401" s="141"/>
      <c r="L401" s="141"/>
      <c r="M401" s="59"/>
    </row>
    <row r="402" spans="2:13">
      <c r="B402" s="135"/>
      <c r="C402" s="136"/>
      <c r="D402" s="137"/>
      <c r="E402" s="138"/>
      <c r="F402" s="139"/>
      <c r="G402" s="1" t="str">
        <f>IFERROR(IF(ventas_b_mes1[[#This Row],[CUIT]]="","-",VLOOKUP(ventas_b_mes1[[#This Row],[CUIT]],Lista_CUIT[#All],2,0)),"CUIT NO CARGADO")</f>
        <v>-</v>
      </c>
      <c r="H402" s="64">
        <f>ventas_b_mes1[[#This Row],[TOTAL]]/1.21</f>
        <v>0</v>
      </c>
      <c r="I402" s="140">
        <f>ventas_b_mes1[[#This Row],[IMPORTE NETO]]*0.21</f>
        <v>0</v>
      </c>
      <c r="J402" s="141"/>
      <c r="K402" s="141"/>
      <c r="L402" s="141"/>
      <c r="M402" s="59"/>
    </row>
    <row r="403" spans="2:13">
      <c r="B403" s="135"/>
      <c r="C403" s="136"/>
      <c r="D403" s="137"/>
      <c r="E403" s="138"/>
      <c r="F403" s="139"/>
      <c r="G403" s="1" t="str">
        <f>IFERROR(IF(ventas_b_mes1[[#This Row],[CUIT]]="","-",VLOOKUP(ventas_b_mes1[[#This Row],[CUIT]],Lista_CUIT[#All],2,0)),"CUIT NO CARGADO")</f>
        <v>-</v>
      </c>
      <c r="H403" s="64">
        <f>ventas_b_mes1[[#This Row],[TOTAL]]/1.21</f>
        <v>0</v>
      </c>
      <c r="I403" s="140">
        <f>ventas_b_mes1[[#This Row],[IMPORTE NETO]]*0.21</f>
        <v>0</v>
      </c>
      <c r="J403" s="141"/>
      <c r="K403" s="141"/>
      <c r="L403" s="141"/>
      <c r="M403" s="59"/>
    </row>
    <row r="404" spans="2:13">
      <c r="B404" s="135"/>
      <c r="C404" s="136"/>
      <c r="D404" s="137"/>
      <c r="E404" s="138"/>
      <c r="F404" s="139"/>
      <c r="G404" s="1" t="str">
        <f>IFERROR(IF(ventas_b_mes1[[#This Row],[CUIT]]="","-",VLOOKUP(ventas_b_mes1[[#This Row],[CUIT]],Lista_CUIT[#All],2,0)),"CUIT NO CARGADO")</f>
        <v>-</v>
      </c>
      <c r="H404" s="64">
        <f>ventas_b_mes1[[#This Row],[TOTAL]]/1.21</f>
        <v>0</v>
      </c>
      <c r="I404" s="140">
        <f>ventas_b_mes1[[#This Row],[IMPORTE NETO]]*0.21</f>
        <v>0</v>
      </c>
      <c r="J404" s="141"/>
      <c r="K404" s="141"/>
      <c r="L404" s="141"/>
      <c r="M404" s="59"/>
    </row>
    <row r="405" spans="2:13">
      <c r="B405" s="135"/>
      <c r="C405" s="136"/>
      <c r="D405" s="137"/>
      <c r="E405" s="138"/>
      <c r="F405" s="139"/>
      <c r="G405" s="1" t="str">
        <f>IFERROR(IF(ventas_b_mes1[[#This Row],[CUIT]]="","-",VLOOKUP(ventas_b_mes1[[#This Row],[CUIT]],Lista_CUIT[#All],2,0)),"CUIT NO CARGADO")</f>
        <v>-</v>
      </c>
      <c r="H405" s="64">
        <f>ventas_b_mes1[[#This Row],[TOTAL]]/1.21</f>
        <v>0</v>
      </c>
      <c r="I405" s="140">
        <f>ventas_b_mes1[[#This Row],[IMPORTE NETO]]*0.21</f>
        <v>0</v>
      </c>
      <c r="J405" s="141"/>
      <c r="K405" s="141"/>
      <c r="L405" s="141"/>
      <c r="M405" s="59"/>
    </row>
    <row r="406" spans="2:13">
      <c r="B406" s="135"/>
      <c r="C406" s="136"/>
      <c r="D406" s="137"/>
      <c r="E406" s="138"/>
      <c r="F406" s="139"/>
      <c r="G406" s="1" t="str">
        <f>IFERROR(IF(ventas_b_mes1[[#This Row],[CUIT]]="","-",VLOOKUP(ventas_b_mes1[[#This Row],[CUIT]],Lista_CUIT[#All],2,0)),"CUIT NO CARGADO")</f>
        <v>-</v>
      </c>
      <c r="H406" s="64">
        <f>ventas_b_mes1[[#This Row],[TOTAL]]/1.21</f>
        <v>0</v>
      </c>
      <c r="I406" s="140">
        <f>ventas_b_mes1[[#This Row],[IMPORTE NETO]]*0.21</f>
        <v>0</v>
      </c>
      <c r="J406" s="141"/>
      <c r="K406" s="141"/>
      <c r="L406" s="141"/>
      <c r="M406" s="59"/>
    </row>
    <row r="407" spans="2:13">
      <c r="B407" s="135"/>
      <c r="C407" s="136"/>
      <c r="D407" s="137"/>
      <c r="E407" s="138"/>
      <c r="F407" s="139"/>
      <c r="G407" s="1" t="str">
        <f>IFERROR(IF(ventas_b_mes1[[#This Row],[CUIT]]="","-",VLOOKUP(ventas_b_mes1[[#This Row],[CUIT]],Lista_CUIT[#All],2,0)),"CUIT NO CARGADO")</f>
        <v>-</v>
      </c>
      <c r="H407" s="64">
        <f>ventas_b_mes1[[#This Row],[TOTAL]]/1.21</f>
        <v>0</v>
      </c>
      <c r="I407" s="140">
        <f>ventas_b_mes1[[#This Row],[IMPORTE NETO]]*0.21</f>
        <v>0</v>
      </c>
      <c r="J407" s="141"/>
      <c r="K407" s="141"/>
      <c r="L407" s="141"/>
      <c r="M407" s="59"/>
    </row>
    <row r="408" spans="2:13">
      <c r="B408" s="135"/>
      <c r="C408" s="136"/>
      <c r="D408" s="137"/>
      <c r="E408" s="138"/>
      <c r="F408" s="139"/>
      <c r="G408" s="1" t="str">
        <f>IFERROR(IF(ventas_b_mes1[[#This Row],[CUIT]]="","-",VLOOKUP(ventas_b_mes1[[#This Row],[CUIT]],Lista_CUIT[#All],2,0)),"CUIT NO CARGADO")</f>
        <v>-</v>
      </c>
      <c r="H408" s="64">
        <f>ventas_b_mes1[[#This Row],[TOTAL]]/1.21</f>
        <v>0</v>
      </c>
      <c r="I408" s="140">
        <f>ventas_b_mes1[[#This Row],[IMPORTE NETO]]*0.21</f>
        <v>0</v>
      </c>
      <c r="J408" s="141"/>
      <c r="K408" s="141"/>
      <c r="L408" s="141"/>
      <c r="M408" s="59"/>
    </row>
    <row r="409" spans="2:13">
      <c r="B409" s="135"/>
      <c r="C409" s="136"/>
      <c r="D409" s="137"/>
      <c r="E409" s="138"/>
      <c r="F409" s="139"/>
      <c r="G409" s="1" t="str">
        <f>IFERROR(IF(ventas_b_mes1[[#This Row],[CUIT]]="","-",VLOOKUP(ventas_b_mes1[[#This Row],[CUIT]],Lista_CUIT[#All],2,0)),"CUIT NO CARGADO")</f>
        <v>-</v>
      </c>
      <c r="H409" s="64">
        <f>ventas_b_mes1[[#This Row],[TOTAL]]/1.21</f>
        <v>0</v>
      </c>
      <c r="I409" s="140">
        <f>ventas_b_mes1[[#This Row],[IMPORTE NETO]]*0.21</f>
        <v>0</v>
      </c>
      <c r="J409" s="141"/>
      <c r="K409" s="141"/>
      <c r="L409" s="141"/>
      <c r="M409" s="59"/>
    </row>
    <row r="410" spans="2:13">
      <c r="B410" s="135"/>
      <c r="C410" s="136"/>
      <c r="D410" s="137"/>
      <c r="E410" s="138"/>
      <c r="F410" s="139"/>
      <c r="G410" s="1" t="str">
        <f>IFERROR(IF(ventas_b_mes1[[#This Row],[CUIT]]="","-",VLOOKUP(ventas_b_mes1[[#This Row],[CUIT]],Lista_CUIT[#All],2,0)),"CUIT NO CARGADO")</f>
        <v>-</v>
      </c>
      <c r="H410" s="64">
        <f>ventas_b_mes1[[#This Row],[TOTAL]]/1.21</f>
        <v>0</v>
      </c>
      <c r="I410" s="140">
        <f>ventas_b_mes1[[#This Row],[IMPORTE NETO]]*0.21</f>
        <v>0</v>
      </c>
      <c r="J410" s="141"/>
      <c r="K410" s="141"/>
      <c r="L410" s="141"/>
      <c r="M410" s="59"/>
    </row>
    <row r="411" spans="2:13">
      <c r="B411" s="135"/>
      <c r="C411" s="136"/>
      <c r="D411" s="137"/>
      <c r="E411" s="138"/>
      <c r="F411" s="139"/>
      <c r="G411" s="1" t="str">
        <f>IFERROR(IF(ventas_b_mes1[[#This Row],[CUIT]]="","-",VLOOKUP(ventas_b_mes1[[#This Row],[CUIT]],Lista_CUIT[#All],2,0)),"CUIT NO CARGADO")</f>
        <v>-</v>
      </c>
      <c r="H411" s="64">
        <f>ventas_b_mes1[[#This Row],[TOTAL]]/1.21</f>
        <v>0</v>
      </c>
      <c r="I411" s="140">
        <f>ventas_b_mes1[[#This Row],[IMPORTE NETO]]*0.21</f>
        <v>0</v>
      </c>
      <c r="J411" s="141"/>
      <c r="K411" s="141"/>
      <c r="L411" s="141"/>
      <c r="M411" s="59"/>
    </row>
    <row r="412" spans="2:13">
      <c r="B412" s="135"/>
      <c r="C412" s="136"/>
      <c r="D412" s="137"/>
      <c r="E412" s="138"/>
      <c r="F412" s="139"/>
      <c r="G412" s="1" t="str">
        <f>IFERROR(IF(ventas_b_mes1[[#This Row],[CUIT]]="","-",VLOOKUP(ventas_b_mes1[[#This Row],[CUIT]],Lista_CUIT[#All],2,0)),"CUIT NO CARGADO")</f>
        <v>-</v>
      </c>
      <c r="H412" s="64">
        <f>ventas_b_mes1[[#This Row],[TOTAL]]/1.21</f>
        <v>0</v>
      </c>
      <c r="I412" s="140">
        <f>ventas_b_mes1[[#This Row],[IMPORTE NETO]]*0.21</f>
        <v>0</v>
      </c>
      <c r="J412" s="141"/>
      <c r="K412" s="141"/>
      <c r="L412" s="141"/>
      <c r="M412" s="59"/>
    </row>
    <row r="413" spans="2:13">
      <c r="B413" s="135"/>
      <c r="C413" s="136"/>
      <c r="D413" s="137"/>
      <c r="E413" s="138"/>
      <c r="F413" s="139"/>
      <c r="G413" s="1" t="str">
        <f>IFERROR(IF(ventas_b_mes1[[#This Row],[CUIT]]="","-",VLOOKUP(ventas_b_mes1[[#This Row],[CUIT]],Lista_CUIT[#All],2,0)),"CUIT NO CARGADO")</f>
        <v>-</v>
      </c>
      <c r="H413" s="64">
        <f>ventas_b_mes1[[#This Row],[TOTAL]]/1.21</f>
        <v>0</v>
      </c>
      <c r="I413" s="140">
        <f>ventas_b_mes1[[#This Row],[IMPORTE NETO]]*0.21</f>
        <v>0</v>
      </c>
      <c r="J413" s="141"/>
      <c r="K413" s="141"/>
      <c r="L413" s="141"/>
      <c r="M413" s="59"/>
    </row>
    <row r="414" spans="2:13">
      <c r="B414" s="135"/>
      <c r="C414" s="136"/>
      <c r="D414" s="137"/>
      <c r="E414" s="138"/>
      <c r="F414" s="139"/>
      <c r="G414" s="1" t="str">
        <f>IFERROR(IF(ventas_b_mes1[[#This Row],[CUIT]]="","-",VLOOKUP(ventas_b_mes1[[#This Row],[CUIT]],Lista_CUIT[#All],2,0)),"CUIT NO CARGADO")</f>
        <v>-</v>
      </c>
      <c r="H414" s="64">
        <f>ventas_b_mes1[[#This Row],[TOTAL]]/1.21</f>
        <v>0</v>
      </c>
      <c r="I414" s="140">
        <f>ventas_b_mes1[[#This Row],[IMPORTE NETO]]*0.21</f>
        <v>0</v>
      </c>
      <c r="J414" s="141"/>
      <c r="K414" s="141"/>
      <c r="L414" s="141"/>
      <c r="M414" s="59"/>
    </row>
    <row r="415" spans="2:13">
      <c r="B415" s="135"/>
      <c r="C415" s="136"/>
      <c r="D415" s="137"/>
      <c r="E415" s="138"/>
      <c r="F415" s="139"/>
      <c r="G415" s="1" t="str">
        <f>IFERROR(IF(ventas_b_mes1[[#This Row],[CUIT]]="","-",VLOOKUP(ventas_b_mes1[[#This Row],[CUIT]],Lista_CUIT[#All],2,0)),"CUIT NO CARGADO")</f>
        <v>-</v>
      </c>
      <c r="H415" s="64">
        <f>ventas_b_mes1[[#This Row],[TOTAL]]/1.21</f>
        <v>0</v>
      </c>
      <c r="I415" s="140">
        <f>ventas_b_mes1[[#This Row],[IMPORTE NETO]]*0.21</f>
        <v>0</v>
      </c>
      <c r="J415" s="141"/>
      <c r="K415" s="141"/>
      <c r="L415" s="141"/>
      <c r="M415" s="59"/>
    </row>
    <row r="416" spans="2:13">
      <c r="B416" s="135"/>
      <c r="C416" s="136"/>
      <c r="D416" s="137"/>
      <c r="E416" s="138"/>
      <c r="F416" s="139"/>
      <c r="G416" s="1" t="str">
        <f>IFERROR(IF(ventas_b_mes1[[#This Row],[CUIT]]="","-",VLOOKUP(ventas_b_mes1[[#This Row],[CUIT]],Lista_CUIT[#All],2,0)),"CUIT NO CARGADO")</f>
        <v>-</v>
      </c>
      <c r="H416" s="64">
        <f>ventas_b_mes1[[#This Row],[TOTAL]]/1.21</f>
        <v>0</v>
      </c>
      <c r="I416" s="140">
        <f>ventas_b_mes1[[#This Row],[IMPORTE NETO]]*0.21</f>
        <v>0</v>
      </c>
      <c r="J416" s="141"/>
      <c r="K416" s="141"/>
      <c r="L416" s="141"/>
      <c r="M416" s="59"/>
    </row>
    <row r="417" spans="2:13">
      <c r="B417" s="135"/>
      <c r="C417" s="136"/>
      <c r="D417" s="137"/>
      <c r="E417" s="138"/>
      <c r="F417" s="139"/>
      <c r="G417" s="1" t="str">
        <f>IFERROR(IF(ventas_b_mes1[[#This Row],[CUIT]]="","-",VLOOKUP(ventas_b_mes1[[#This Row],[CUIT]],Lista_CUIT[#All],2,0)),"CUIT NO CARGADO")</f>
        <v>-</v>
      </c>
      <c r="H417" s="64">
        <f>ventas_b_mes1[[#This Row],[TOTAL]]/1.21</f>
        <v>0</v>
      </c>
      <c r="I417" s="140">
        <f>ventas_b_mes1[[#This Row],[IMPORTE NETO]]*0.21</f>
        <v>0</v>
      </c>
      <c r="J417" s="141"/>
      <c r="K417" s="141"/>
      <c r="L417" s="141"/>
      <c r="M417" s="59"/>
    </row>
    <row r="418" spans="2:13">
      <c r="B418" s="135"/>
      <c r="C418" s="136"/>
      <c r="D418" s="137"/>
      <c r="E418" s="138"/>
      <c r="F418" s="139"/>
      <c r="G418" s="1" t="str">
        <f>IFERROR(IF(ventas_b_mes1[[#This Row],[CUIT]]="","-",VLOOKUP(ventas_b_mes1[[#This Row],[CUIT]],Lista_CUIT[#All],2,0)),"CUIT NO CARGADO")</f>
        <v>-</v>
      </c>
      <c r="H418" s="64">
        <f>ventas_b_mes1[[#This Row],[TOTAL]]/1.21</f>
        <v>0</v>
      </c>
      <c r="I418" s="140">
        <f>ventas_b_mes1[[#This Row],[IMPORTE NETO]]*0.21</f>
        <v>0</v>
      </c>
      <c r="J418" s="141"/>
      <c r="K418" s="141"/>
      <c r="L418" s="141"/>
      <c r="M418" s="59"/>
    </row>
    <row r="419" spans="2:13">
      <c r="B419" s="135"/>
      <c r="C419" s="136"/>
      <c r="D419" s="137"/>
      <c r="E419" s="138"/>
      <c r="F419" s="139"/>
      <c r="G419" s="1" t="str">
        <f>IFERROR(IF(ventas_b_mes1[[#This Row],[CUIT]]="","-",VLOOKUP(ventas_b_mes1[[#This Row],[CUIT]],Lista_CUIT[#All],2,0)),"CUIT NO CARGADO")</f>
        <v>-</v>
      </c>
      <c r="H419" s="64">
        <f>ventas_b_mes1[[#This Row],[TOTAL]]/1.21</f>
        <v>0</v>
      </c>
      <c r="I419" s="140">
        <f>ventas_b_mes1[[#This Row],[IMPORTE NETO]]*0.21</f>
        <v>0</v>
      </c>
      <c r="J419" s="141"/>
      <c r="K419" s="141"/>
      <c r="L419" s="141"/>
      <c r="M419" s="59"/>
    </row>
    <row r="420" spans="2:13">
      <c r="B420" s="135"/>
      <c r="C420" s="136"/>
      <c r="D420" s="137"/>
      <c r="E420" s="138"/>
      <c r="F420" s="139"/>
      <c r="G420" s="1" t="str">
        <f>IFERROR(IF(ventas_b_mes1[[#This Row],[CUIT]]="","-",VLOOKUP(ventas_b_mes1[[#This Row],[CUIT]],Lista_CUIT[#All],2,0)),"CUIT NO CARGADO")</f>
        <v>-</v>
      </c>
      <c r="H420" s="64">
        <f>ventas_b_mes1[[#This Row],[TOTAL]]/1.21</f>
        <v>0</v>
      </c>
      <c r="I420" s="140">
        <f>ventas_b_mes1[[#This Row],[IMPORTE NETO]]*0.21</f>
        <v>0</v>
      </c>
      <c r="J420" s="141"/>
      <c r="K420" s="141"/>
      <c r="L420" s="141"/>
      <c r="M420" s="59"/>
    </row>
    <row r="421" spans="2:13">
      <c r="B421" s="135"/>
      <c r="C421" s="136"/>
      <c r="D421" s="137"/>
      <c r="E421" s="138"/>
      <c r="F421" s="139"/>
      <c r="G421" s="1" t="str">
        <f>IFERROR(IF(ventas_b_mes1[[#This Row],[CUIT]]="","-",VLOOKUP(ventas_b_mes1[[#This Row],[CUIT]],Lista_CUIT[#All],2,0)),"CUIT NO CARGADO")</f>
        <v>-</v>
      </c>
      <c r="H421" s="64">
        <f>ventas_b_mes1[[#This Row],[TOTAL]]/1.21</f>
        <v>0</v>
      </c>
      <c r="I421" s="140">
        <f>ventas_b_mes1[[#This Row],[IMPORTE NETO]]*0.21</f>
        <v>0</v>
      </c>
      <c r="J421" s="141"/>
      <c r="K421" s="141"/>
      <c r="L421" s="141"/>
      <c r="M421" s="59"/>
    </row>
    <row r="422" spans="2:13">
      <c r="B422" s="135"/>
      <c r="C422" s="136"/>
      <c r="D422" s="137"/>
      <c r="E422" s="138"/>
      <c r="F422" s="139"/>
      <c r="G422" s="1" t="str">
        <f>IFERROR(IF(ventas_b_mes1[[#This Row],[CUIT]]="","-",VLOOKUP(ventas_b_mes1[[#This Row],[CUIT]],Lista_CUIT[#All],2,0)),"CUIT NO CARGADO")</f>
        <v>-</v>
      </c>
      <c r="H422" s="64">
        <f>ventas_b_mes1[[#This Row],[TOTAL]]/1.21</f>
        <v>0</v>
      </c>
      <c r="I422" s="140">
        <f>ventas_b_mes1[[#This Row],[IMPORTE NETO]]*0.21</f>
        <v>0</v>
      </c>
      <c r="J422" s="141"/>
      <c r="K422" s="141"/>
      <c r="L422" s="141"/>
      <c r="M422" s="59"/>
    </row>
    <row r="423" spans="2:13">
      <c r="B423" s="135"/>
      <c r="C423" s="136"/>
      <c r="D423" s="137"/>
      <c r="E423" s="138"/>
      <c r="F423" s="139"/>
      <c r="G423" s="1" t="str">
        <f>IFERROR(IF(ventas_b_mes1[[#This Row],[CUIT]]="","-",VLOOKUP(ventas_b_mes1[[#This Row],[CUIT]],Lista_CUIT[#All],2,0)),"CUIT NO CARGADO")</f>
        <v>-</v>
      </c>
      <c r="H423" s="64">
        <f>ventas_b_mes1[[#This Row],[TOTAL]]/1.21</f>
        <v>0</v>
      </c>
      <c r="I423" s="140">
        <f>ventas_b_mes1[[#This Row],[IMPORTE NETO]]*0.21</f>
        <v>0</v>
      </c>
      <c r="J423" s="141"/>
      <c r="K423" s="141"/>
      <c r="L423" s="141"/>
      <c r="M423" s="59"/>
    </row>
    <row r="424" spans="2:13">
      <c r="B424" s="135"/>
      <c r="C424" s="136"/>
      <c r="D424" s="137"/>
      <c r="E424" s="138"/>
      <c r="F424" s="139"/>
      <c r="G424" s="1" t="str">
        <f>IFERROR(IF(ventas_b_mes1[[#This Row],[CUIT]]="","-",VLOOKUP(ventas_b_mes1[[#This Row],[CUIT]],Lista_CUIT[#All],2,0)),"CUIT NO CARGADO")</f>
        <v>-</v>
      </c>
      <c r="H424" s="64">
        <f>ventas_b_mes1[[#This Row],[TOTAL]]/1.21</f>
        <v>0</v>
      </c>
      <c r="I424" s="140">
        <f>ventas_b_mes1[[#This Row],[IMPORTE NETO]]*0.21</f>
        <v>0</v>
      </c>
      <c r="J424" s="141"/>
      <c r="K424" s="141"/>
      <c r="L424" s="141"/>
      <c r="M424" s="59"/>
    </row>
    <row r="425" spans="2:13">
      <c r="B425" s="135"/>
      <c r="C425" s="136"/>
      <c r="D425" s="137"/>
      <c r="E425" s="138"/>
      <c r="F425" s="139"/>
      <c r="G425" s="1" t="str">
        <f>IFERROR(IF(ventas_b_mes1[[#This Row],[CUIT]]="","-",VLOOKUP(ventas_b_mes1[[#This Row],[CUIT]],Lista_CUIT[#All],2,0)),"CUIT NO CARGADO")</f>
        <v>-</v>
      </c>
      <c r="H425" s="64">
        <f>ventas_b_mes1[[#This Row],[TOTAL]]/1.21</f>
        <v>0</v>
      </c>
      <c r="I425" s="140">
        <f>ventas_b_mes1[[#This Row],[IMPORTE NETO]]*0.21</f>
        <v>0</v>
      </c>
      <c r="J425" s="141"/>
      <c r="K425" s="141"/>
      <c r="L425" s="141"/>
      <c r="M425" s="59"/>
    </row>
    <row r="426" spans="2:13">
      <c r="B426" s="135"/>
      <c r="C426" s="136"/>
      <c r="D426" s="137"/>
      <c r="E426" s="138"/>
      <c r="F426" s="139"/>
      <c r="G426" s="1" t="str">
        <f>IFERROR(IF(ventas_b_mes1[[#This Row],[CUIT]]="","-",VLOOKUP(ventas_b_mes1[[#This Row],[CUIT]],Lista_CUIT[#All],2,0)),"CUIT NO CARGADO")</f>
        <v>-</v>
      </c>
      <c r="H426" s="64">
        <f>ventas_b_mes1[[#This Row],[TOTAL]]/1.21</f>
        <v>0</v>
      </c>
      <c r="I426" s="140">
        <f>ventas_b_mes1[[#This Row],[IMPORTE NETO]]*0.21</f>
        <v>0</v>
      </c>
      <c r="J426" s="141"/>
      <c r="K426" s="141"/>
      <c r="L426" s="141"/>
      <c r="M426" s="59"/>
    </row>
    <row r="427" spans="2:13">
      <c r="B427" s="135"/>
      <c r="C427" s="136"/>
      <c r="D427" s="137"/>
      <c r="E427" s="138"/>
      <c r="F427" s="139"/>
      <c r="G427" s="1" t="str">
        <f>IFERROR(IF(ventas_b_mes1[[#This Row],[CUIT]]="","-",VLOOKUP(ventas_b_mes1[[#This Row],[CUIT]],Lista_CUIT[#All],2,0)),"CUIT NO CARGADO")</f>
        <v>-</v>
      </c>
      <c r="H427" s="64">
        <f>ventas_b_mes1[[#This Row],[TOTAL]]/1.21</f>
        <v>0</v>
      </c>
      <c r="I427" s="140">
        <f>ventas_b_mes1[[#This Row],[IMPORTE NETO]]*0.21</f>
        <v>0</v>
      </c>
      <c r="J427" s="141"/>
      <c r="K427" s="141"/>
      <c r="L427" s="141"/>
      <c r="M427" s="59"/>
    </row>
    <row r="428" spans="2:13">
      <c r="B428" s="135"/>
      <c r="C428" s="136"/>
      <c r="D428" s="137"/>
      <c r="E428" s="138"/>
      <c r="F428" s="139"/>
      <c r="G428" s="1" t="str">
        <f>IFERROR(IF(ventas_b_mes1[[#This Row],[CUIT]]="","-",VLOOKUP(ventas_b_mes1[[#This Row],[CUIT]],Lista_CUIT[#All],2,0)),"CUIT NO CARGADO")</f>
        <v>-</v>
      </c>
      <c r="H428" s="64">
        <f>ventas_b_mes1[[#This Row],[TOTAL]]/1.21</f>
        <v>0</v>
      </c>
      <c r="I428" s="140">
        <f>ventas_b_mes1[[#This Row],[IMPORTE NETO]]*0.21</f>
        <v>0</v>
      </c>
      <c r="J428" s="141"/>
      <c r="K428" s="141"/>
      <c r="L428" s="141"/>
      <c r="M428" s="59"/>
    </row>
    <row r="429" spans="2:13">
      <c r="B429" s="135"/>
      <c r="C429" s="136"/>
      <c r="D429" s="137"/>
      <c r="E429" s="138"/>
      <c r="F429" s="139"/>
      <c r="G429" s="1" t="str">
        <f>IFERROR(IF(ventas_b_mes1[[#This Row],[CUIT]]="","-",VLOOKUP(ventas_b_mes1[[#This Row],[CUIT]],Lista_CUIT[#All],2,0)),"CUIT NO CARGADO")</f>
        <v>-</v>
      </c>
      <c r="H429" s="64">
        <f>ventas_b_mes1[[#This Row],[TOTAL]]/1.21</f>
        <v>0</v>
      </c>
      <c r="I429" s="140">
        <f>ventas_b_mes1[[#This Row],[IMPORTE NETO]]*0.21</f>
        <v>0</v>
      </c>
      <c r="J429" s="141"/>
      <c r="K429" s="141"/>
      <c r="L429" s="141"/>
      <c r="M429" s="59"/>
    </row>
    <row r="430" spans="2:13">
      <c r="B430" s="135"/>
      <c r="C430" s="136"/>
      <c r="D430" s="137"/>
      <c r="E430" s="138"/>
      <c r="F430" s="139"/>
      <c r="G430" s="1" t="str">
        <f>IFERROR(IF(ventas_b_mes1[[#This Row],[CUIT]]="","-",VLOOKUP(ventas_b_mes1[[#This Row],[CUIT]],Lista_CUIT[#All],2,0)),"CUIT NO CARGADO")</f>
        <v>-</v>
      </c>
      <c r="H430" s="64">
        <f>ventas_b_mes1[[#This Row],[TOTAL]]/1.21</f>
        <v>0</v>
      </c>
      <c r="I430" s="140">
        <f>ventas_b_mes1[[#This Row],[IMPORTE NETO]]*0.21</f>
        <v>0</v>
      </c>
      <c r="J430" s="141"/>
      <c r="K430" s="141"/>
      <c r="L430" s="141"/>
      <c r="M430" s="59"/>
    </row>
    <row r="431" spans="2:13">
      <c r="B431" s="135"/>
      <c r="C431" s="136"/>
      <c r="D431" s="137"/>
      <c r="E431" s="138"/>
      <c r="F431" s="139"/>
      <c r="G431" s="1" t="str">
        <f>IFERROR(IF(ventas_b_mes1[[#This Row],[CUIT]]="","-",VLOOKUP(ventas_b_mes1[[#This Row],[CUIT]],Lista_CUIT[#All],2,0)),"CUIT NO CARGADO")</f>
        <v>-</v>
      </c>
      <c r="H431" s="64">
        <f>ventas_b_mes1[[#This Row],[TOTAL]]/1.21</f>
        <v>0</v>
      </c>
      <c r="I431" s="140">
        <f>ventas_b_mes1[[#This Row],[IMPORTE NETO]]*0.21</f>
        <v>0</v>
      </c>
      <c r="J431" s="141"/>
      <c r="K431" s="141"/>
      <c r="L431" s="141"/>
      <c r="M431" s="59"/>
    </row>
    <row r="432" spans="2:13">
      <c r="B432" s="135"/>
      <c r="C432" s="136"/>
      <c r="D432" s="137"/>
      <c r="E432" s="138"/>
      <c r="F432" s="139"/>
      <c r="G432" s="1" t="str">
        <f>IFERROR(IF(ventas_b_mes1[[#This Row],[CUIT]]="","-",VLOOKUP(ventas_b_mes1[[#This Row],[CUIT]],Lista_CUIT[#All],2,0)),"CUIT NO CARGADO")</f>
        <v>-</v>
      </c>
      <c r="H432" s="64">
        <f>ventas_b_mes1[[#This Row],[TOTAL]]/1.21</f>
        <v>0</v>
      </c>
      <c r="I432" s="140">
        <f>ventas_b_mes1[[#This Row],[IMPORTE NETO]]*0.21</f>
        <v>0</v>
      </c>
      <c r="J432" s="141"/>
      <c r="K432" s="141"/>
      <c r="L432" s="141"/>
      <c r="M432" s="59"/>
    </row>
    <row r="433" spans="2:13">
      <c r="B433" s="135"/>
      <c r="C433" s="136"/>
      <c r="D433" s="137"/>
      <c r="E433" s="138"/>
      <c r="F433" s="139"/>
      <c r="G433" s="1" t="str">
        <f>IFERROR(IF(ventas_b_mes1[[#This Row],[CUIT]]="","-",VLOOKUP(ventas_b_mes1[[#This Row],[CUIT]],Lista_CUIT[#All],2,0)),"CUIT NO CARGADO")</f>
        <v>-</v>
      </c>
      <c r="H433" s="64">
        <f>ventas_b_mes1[[#This Row],[TOTAL]]/1.21</f>
        <v>0</v>
      </c>
      <c r="I433" s="140">
        <f>ventas_b_mes1[[#This Row],[IMPORTE NETO]]*0.21</f>
        <v>0</v>
      </c>
      <c r="J433" s="141"/>
      <c r="K433" s="141"/>
      <c r="L433" s="141"/>
      <c r="M433" s="59"/>
    </row>
    <row r="434" spans="2:13">
      <c r="B434" s="135"/>
      <c r="C434" s="136"/>
      <c r="D434" s="137"/>
      <c r="E434" s="138"/>
      <c r="F434" s="139"/>
      <c r="G434" s="1" t="str">
        <f>IFERROR(IF(ventas_b_mes1[[#This Row],[CUIT]]="","-",VLOOKUP(ventas_b_mes1[[#This Row],[CUIT]],Lista_CUIT[#All],2,0)),"CUIT NO CARGADO")</f>
        <v>-</v>
      </c>
      <c r="H434" s="64">
        <f>ventas_b_mes1[[#This Row],[TOTAL]]/1.21</f>
        <v>0</v>
      </c>
      <c r="I434" s="140">
        <f>ventas_b_mes1[[#This Row],[IMPORTE NETO]]*0.21</f>
        <v>0</v>
      </c>
      <c r="J434" s="141"/>
      <c r="K434" s="141"/>
      <c r="L434" s="141"/>
      <c r="M434" s="59"/>
    </row>
    <row r="435" spans="2:13">
      <c r="B435" s="135"/>
      <c r="C435" s="136"/>
      <c r="D435" s="137"/>
      <c r="E435" s="138"/>
      <c r="F435" s="139"/>
      <c r="G435" s="1" t="str">
        <f>IFERROR(IF(ventas_b_mes1[[#This Row],[CUIT]]="","-",VLOOKUP(ventas_b_mes1[[#This Row],[CUIT]],Lista_CUIT[#All],2,0)),"CUIT NO CARGADO")</f>
        <v>-</v>
      </c>
      <c r="H435" s="64">
        <f>ventas_b_mes1[[#This Row],[TOTAL]]/1.21</f>
        <v>0</v>
      </c>
      <c r="I435" s="140">
        <f>ventas_b_mes1[[#This Row],[IMPORTE NETO]]*0.21</f>
        <v>0</v>
      </c>
      <c r="J435" s="141"/>
      <c r="K435" s="141"/>
      <c r="L435" s="141"/>
      <c r="M435" s="59"/>
    </row>
    <row r="436" spans="2:13">
      <c r="B436" s="135"/>
      <c r="C436" s="136"/>
      <c r="D436" s="137"/>
      <c r="E436" s="138"/>
      <c r="F436" s="139"/>
      <c r="G436" s="1" t="str">
        <f>IFERROR(IF(ventas_b_mes1[[#This Row],[CUIT]]="","-",VLOOKUP(ventas_b_mes1[[#This Row],[CUIT]],Lista_CUIT[#All],2,0)),"CUIT NO CARGADO")</f>
        <v>-</v>
      </c>
      <c r="H436" s="64">
        <f>ventas_b_mes1[[#This Row],[TOTAL]]/1.21</f>
        <v>0</v>
      </c>
      <c r="I436" s="140">
        <f>ventas_b_mes1[[#This Row],[IMPORTE NETO]]*0.21</f>
        <v>0</v>
      </c>
      <c r="J436" s="141"/>
      <c r="K436" s="141"/>
      <c r="L436" s="141"/>
      <c r="M436" s="59"/>
    </row>
    <row r="437" spans="2:13">
      <c r="B437" s="135"/>
      <c r="C437" s="136"/>
      <c r="D437" s="137"/>
      <c r="E437" s="138"/>
      <c r="F437" s="139"/>
      <c r="G437" s="1" t="str">
        <f>IFERROR(IF(ventas_b_mes1[[#This Row],[CUIT]]="","-",VLOOKUP(ventas_b_mes1[[#This Row],[CUIT]],Lista_CUIT[#All],2,0)),"CUIT NO CARGADO")</f>
        <v>-</v>
      </c>
      <c r="H437" s="64">
        <f>ventas_b_mes1[[#This Row],[TOTAL]]/1.21</f>
        <v>0</v>
      </c>
      <c r="I437" s="140">
        <f>ventas_b_mes1[[#This Row],[IMPORTE NETO]]*0.21</f>
        <v>0</v>
      </c>
      <c r="J437" s="141"/>
      <c r="K437" s="141"/>
      <c r="L437" s="141"/>
      <c r="M437" s="59"/>
    </row>
    <row r="438" spans="2:13">
      <c r="B438" s="135"/>
      <c r="C438" s="136"/>
      <c r="D438" s="137"/>
      <c r="E438" s="138"/>
      <c r="F438" s="139"/>
      <c r="G438" s="1" t="str">
        <f>IFERROR(IF(ventas_b_mes1[[#This Row],[CUIT]]="","-",VLOOKUP(ventas_b_mes1[[#This Row],[CUIT]],Lista_CUIT[#All],2,0)),"CUIT NO CARGADO")</f>
        <v>-</v>
      </c>
      <c r="H438" s="64">
        <f>ventas_b_mes1[[#This Row],[TOTAL]]/1.21</f>
        <v>0</v>
      </c>
      <c r="I438" s="140">
        <f>ventas_b_mes1[[#This Row],[IMPORTE NETO]]*0.21</f>
        <v>0</v>
      </c>
      <c r="J438" s="141"/>
      <c r="K438" s="141"/>
      <c r="L438" s="141"/>
      <c r="M438" s="59"/>
    </row>
    <row r="439" spans="2:13">
      <c r="B439" s="135"/>
      <c r="C439" s="136"/>
      <c r="D439" s="137"/>
      <c r="E439" s="138"/>
      <c r="F439" s="139"/>
      <c r="G439" s="1" t="str">
        <f>IFERROR(IF(ventas_b_mes1[[#This Row],[CUIT]]="","-",VLOOKUP(ventas_b_mes1[[#This Row],[CUIT]],Lista_CUIT[#All],2,0)),"CUIT NO CARGADO")</f>
        <v>-</v>
      </c>
      <c r="H439" s="64">
        <f>ventas_b_mes1[[#This Row],[TOTAL]]/1.21</f>
        <v>0</v>
      </c>
      <c r="I439" s="140">
        <f>ventas_b_mes1[[#This Row],[IMPORTE NETO]]*0.21</f>
        <v>0</v>
      </c>
      <c r="J439" s="141"/>
      <c r="K439" s="141"/>
      <c r="L439" s="141"/>
      <c r="M439" s="59"/>
    </row>
    <row r="440" spans="2:13">
      <c r="B440" s="135"/>
      <c r="C440" s="136"/>
      <c r="D440" s="137"/>
      <c r="E440" s="138"/>
      <c r="F440" s="139"/>
      <c r="G440" s="1" t="str">
        <f>IFERROR(IF(ventas_b_mes1[[#This Row],[CUIT]]="","-",VLOOKUP(ventas_b_mes1[[#This Row],[CUIT]],Lista_CUIT[#All],2,0)),"CUIT NO CARGADO")</f>
        <v>-</v>
      </c>
      <c r="H440" s="64">
        <f>ventas_b_mes1[[#This Row],[TOTAL]]/1.21</f>
        <v>0</v>
      </c>
      <c r="I440" s="140">
        <f>ventas_b_mes1[[#This Row],[IMPORTE NETO]]*0.21</f>
        <v>0</v>
      </c>
      <c r="J440" s="141"/>
      <c r="K440" s="141"/>
      <c r="L440" s="141"/>
      <c r="M440" s="59"/>
    </row>
    <row r="441" spans="2:13">
      <c r="B441" s="135"/>
      <c r="C441" s="136"/>
      <c r="D441" s="137"/>
      <c r="E441" s="138"/>
      <c r="F441" s="139"/>
      <c r="G441" s="1" t="str">
        <f>IFERROR(IF(ventas_b_mes1[[#This Row],[CUIT]]="","-",VLOOKUP(ventas_b_mes1[[#This Row],[CUIT]],Lista_CUIT[#All],2,0)),"CUIT NO CARGADO")</f>
        <v>-</v>
      </c>
      <c r="H441" s="64">
        <f>ventas_b_mes1[[#This Row],[TOTAL]]/1.21</f>
        <v>0</v>
      </c>
      <c r="I441" s="140">
        <f>ventas_b_mes1[[#This Row],[IMPORTE NETO]]*0.21</f>
        <v>0</v>
      </c>
      <c r="J441" s="141"/>
      <c r="K441" s="141"/>
      <c r="L441" s="141"/>
      <c r="M441" s="59"/>
    </row>
    <row r="442" spans="2:13">
      <c r="B442" s="135"/>
      <c r="C442" s="136"/>
      <c r="D442" s="137"/>
      <c r="E442" s="138"/>
      <c r="F442" s="139"/>
      <c r="G442" s="1" t="str">
        <f>IFERROR(IF(ventas_b_mes1[[#This Row],[CUIT]]="","-",VLOOKUP(ventas_b_mes1[[#This Row],[CUIT]],Lista_CUIT[#All],2,0)),"CUIT NO CARGADO")</f>
        <v>-</v>
      </c>
      <c r="H442" s="64">
        <f>ventas_b_mes1[[#This Row],[TOTAL]]/1.21</f>
        <v>0</v>
      </c>
      <c r="I442" s="140">
        <f>ventas_b_mes1[[#This Row],[IMPORTE NETO]]*0.21</f>
        <v>0</v>
      </c>
      <c r="J442" s="141"/>
      <c r="K442" s="141"/>
      <c r="L442" s="141"/>
      <c r="M442" s="59"/>
    </row>
    <row r="443" spans="2:13">
      <c r="B443" s="135"/>
      <c r="C443" s="136"/>
      <c r="D443" s="137"/>
      <c r="E443" s="138"/>
      <c r="F443" s="139"/>
      <c r="G443" s="1" t="str">
        <f>IFERROR(IF(ventas_b_mes1[[#This Row],[CUIT]]="","-",VLOOKUP(ventas_b_mes1[[#This Row],[CUIT]],Lista_CUIT[#All],2,0)),"CUIT NO CARGADO")</f>
        <v>-</v>
      </c>
      <c r="H443" s="64">
        <f>ventas_b_mes1[[#This Row],[TOTAL]]/1.21</f>
        <v>0</v>
      </c>
      <c r="I443" s="140">
        <f>ventas_b_mes1[[#This Row],[IMPORTE NETO]]*0.21</f>
        <v>0</v>
      </c>
      <c r="J443" s="141"/>
      <c r="K443" s="141"/>
      <c r="L443" s="141"/>
      <c r="M443" s="59"/>
    </row>
    <row r="444" spans="2:13">
      <c r="B444" s="135"/>
      <c r="C444" s="136"/>
      <c r="D444" s="137"/>
      <c r="E444" s="138"/>
      <c r="F444" s="139"/>
      <c r="G444" s="1" t="str">
        <f>IFERROR(IF(ventas_b_mes1[[#This Row],[CUIT]]="","-",VLOOKUP(ventas_b_mes1[[#This Row],[CUIT]],Lista_CUIT[#All],2,0)),"CUIT NO CARGADO")</f>
        <v>-</v>
      </c>
      <c r="H444" s="64">
        <f>ventas_b_mes1[[#This Row],[TOTAL]]/1.21</f>
        <v>0</v>
      </c>
      <c r="I444" s="140">
        <f>ventas_b_mes1[[#This Row],[IMPORTE NETO]]*0.21</f>
        <v>0</v>
      </c>
      <c r="J444" s="141"/>
      <c r="K444" s="141"/>
      <c r="L444" s="141"/>
      <c r="M444" s="59"/>
    </row>
    <row r="445" spans="2:13">
      <c r="B445" s="135"/>
      <c r="C445" s="136"/>
      <c r="D445" s="137"/>
      <c r="E445" s="138"/>
      <c r="F445" s="139"/>
      <c r="G445" s="1" t="str">
        <f>IFERROR(IF(ventas_b_mes1[[#This Row],[CUIT]]="","-",VLOOKUP(ventas_b_mes1[[#This Row],[CUIT]],Lista_CUIT[#All],2,0)),"CUIT NO CARGADO")</f>
        <v>-</v>
      </c>
      <c r="H445" s="64">
        <f>ventas_b_mes1[[#This Row],[TOTAL]]/1.21</f>
        <v>0</v>
      </c>
      <c r="I445" s="140">
        <f>ventas_b_mes1[[#This Row],[IMPORTE NETO]]*0.21</f>
        <v>0</v>
      </c>
      <c r="J445" s="141"/>
      <c r="K445" s="141"/>
      <c r="L445" s="141"/>
      <c r="M445" s="59"/>
    </row>
    <row r="446" spans="2:13">
      <c r="B446" s="135"/>
      <c r="C446" s="136"/>
      <c r="D446" s="137"/>
      <c r="E446" s="138"/>
      <c r="F446" s="139"/>
      <c r="G446" s="1" t="str">
        <f>IFERROR(IF(ventas_b_mes1[[#This Row],[CUIT]]="","-",VLOOKUP(ventas_b_mes1[[#This Row],[CUIT]],Lista_CUIT[#All],2,0)),"CUIT NO CARGADO")</f>
        <v>-</v>
      </c>
      <c r="H446" s="64">
        <f>ventas_b_mes1[[#This Row],[TOTAL]]/1.21</f>
        <v>0</v>
      </c>
      <c r="I446" s="140">
        <f>ventas_b_mes1[[#This Row],[IMPORTE NETO]]*0.21</f>
        <v>0</v>
      </c>
      <c r="J446" s="141"/>
      <c r="K446" s="141"/>
      <c r="L446" s="141"/>
      <c r="M446" s="59"/>
    </row>
    <row r="447" spans="2:13">
      <c r="B447" s="135"/>
      <c r="C447" s="136"/>
      <c r="D447" s="137"/>
      <c r="E447" s="138"/>
      <c r="F447" s="139"/>
      <c r="G447" s="1" t="str">
        <f>IFERROR(IF(ventas_b_mes1[[#This Row],[CUIT]]="","-",VLOOKUP(ventas_b_mes1[[#This Row],[CUIT]],Lista_CUIT[#All],2,0)),"CUIT NO CARGADO")</f>
        <v>-</v>
      </c>
      <c r="H447" s="64">
        <f>ventas_b_mes1[[#This Row],[TOTAL]]/1.21</f>
        <v>0</v>
      </c>
      <c r="I447" s="140">
        <f>ventas_b_mes1[[#This Row],[IMPORTE NETO]]*0.21</f>
        <v>0</v>
      </c>
      <c r="J447" s="141"/>
      <c r="K447" s="141"/>
      <c r="L447" s="141"/>
      <c r="M447" s="59"/>
    </row>
    <row r="448" spans="2:13">
      <c r="B448" s="135"/>
      <c r="C448" s="136"/>
      <c r="D448" s="137"/>
      <c r="E448" s="138"/>
      <c r="F448" s="139"/>
      <c r="G448" s="1" t="str">
        <f>IFERROR(IF(ventas_b_mes1[[#This Row],[CUIT]]="","-",VLOOKUP(ventas_b_mes1[[#This Row],[CUIT]],Lista_CUIT[#All],2,0)),"CUIT NO CARGADO")</f>
        <v>-</v>
      </c>
      <c r="H448" s="64">
        <f>ventas_b_mes1[[#This Row],[TOTAL]]/1.21</f>
        <v>0</v>
      </c>
      <c r="I448" s="140">
        <f>ventas_b_mes1[[#This Row],[IMPORTE NETO]]*0.21</f>
        <v>0</v>
      </c>
      <c r="J448" s="141"/>
      <c r="K448" s="141"/>
      <c r="L448" s="141"/>
      <c r="M448" s="59"/>
    </row>
    <row r="449" spans="2:13">
      <c r="B449" s="135"/>
      <c r="C449" s="136"/>
      <c r="D449" s="137"/>
      <c r="E449" s="138"/>
      <c r="F449" s="139"/>
      <c r="G449" s="1" t="str">
        <f>IFERROR(IF(ventas_b_mes1[[#This Row],[CUIT]]="","-",VLOOKUP(ventas_b_mes1[[#This Row],[CUIT]],Lista_CUIT[#All],2,0)),"CUIT NO CARGADO")</f>
        <v>-</v>
      </c>
      <c r="H449" s="64">
        <f>ventas_b_mes1[[#This Row],[TOTAL]]/1.21</f>
        <v>0</v>
      </c>
      <c r="I449" s="140">
        <f>ventas_b_mes1[[#This Row],[IMPORTE NETO]]*0.21</f>
        <v>0</v>
      </c>
      <c r="J449" s="141"/>
      <c r="K449" s="141"/>
      <c r="L449" s="141"/>
      <c r="M449" s="59"/>
    </row>
    <row r="450" spans="2:13">
      <c r="B450" s="135"/>
      <c r="C450" s="136"/>
      <c r="D450" s="137"/>
      <c r="E450" s="138"/>
      <c r="F450" s="139"/>
      <c r="G450" s="1" t="str">
        <f>IFERROR(IF(ventas_b_mes1[[#This Row],[CUIT]]="","-",VLOOKUP(ventas_b_mes1[[#This Row],[CUIT]],Lista_CUIT[#All],2,0)),"CUIT NO CARGADO")</f>
        <v>-</v>
      </c>
      <c r="H450" s="64">
        <f>ventas_b_mes1[[#This Row],[TOTAL]]/1.21</f>
        <v>0</v>
      </c>
      <c r="I450" s="140">
        <f>ventas_b_mes1[[#This Row],[IMPORTE NETO]]*0.21</f>
        <v>0</v>
      </c>
      <c r="J450" s="141"/>
      <c r="K450" s="141"/>
      <c r="L450" s="141"/>
      <c r="M450" s="59"/>
    </row>
    <row r="451" spans="2:13">
      <c r="B451" s="135"/>
      <c r="C451" s="136"/>
      <c r="D451" s="137"/>
      <c r="E451" s="138"/>
      <c r="F451" s="139"/>
      <c r="G451" s="1" t="str">
        <f>IFERROR(IF(ventas_b_mes1[[#This Row],[CUIT]]="","-",VLOOKUP(ventas_b_mes1[[#This Row],[CUIT]],Lista_CUIT[#All],2,0)),"CUIT NO CARGADO")</f>
        <v>-</v>
      </c>
      <c r="H451" s="64">
        <f>ventas_b_mes1[[#This Row],[TOTAL]]/1.21</f>
        <v>0</v>
      </c>
      <c r="I451" s="140">
        <f>ventas_b_mes1[[#This Row],[IMPORTE NETO]]*0.21</f>
        <v>0</v>
      </c>
      <c r="J451" s="141"/>
      <c r="K451" s="141"/>
      <c r="L451" s="141"/>
      <c r="M451" s="59"/>
    </row>
    <row r="452" spans="2:13">
      <c r="B452" s="135"/>
      <c r="C452" s="136"/>
      <c r="D452" s="137"/>
      <c r="E452" s="138"/>
      <c r="F452" s="139"/>
      <c r="G452" s="1" t="str">
        <f>IFERROR(IF(ventas_b_mes1[[#This Row],[CUIT]]="","-",VLOOKUP(ventas_b_mes1[[#This Row],[CUIT]],Lista_CUIT[#All],2,0)),"CUIT NO CARGADO")</f>
        <v>-</v>
      </c>
      <c r="H452" s="64">
        <f>ventas_b_mes1[[#This Row],[TOTAL]]/1.21</f>
        <v>0</v>
      </c>
      <c r="I452" s="140">
        <f>ventas_b_mes1[[#This Row],[IMPORTE NETO]]*0.21</f>
        <v>0</v>
      </c>
      <c r="J452" s="141"/>
      <c r="K452" s="141"/>
      <c r="L452" s="141"/>
      <c r="M452" s="59"/>
    </row>
    <row r="453" spans="2:13">
      <c r="B453" s="135"/>
      <c r="C453" s="136"/>
      <c r="D453" s="137"/>
      <c r="E453" s="138"/>
      <c r="F453" s="139"/>
      <c r="G453" s="1" t="str">
        <f>IFERROR(IF(ventas_b_mes1[[#This Row],[CUIT]]="","-",VLOOKUP(ventas_b_mes1[[#This Row],[CUIT]],Lista_CUIT[#All],2,0)),"CUIT NO CARGADO")</f>
        <v>-</v>
      </c>
      <c r="H453" s="64">
        <f>ventas_b_mes1[[#This Row],[TOTAL]]/1.21</f>
        <v>0</v>
      </c>
      <c r="I453" s="140">
        <f>ventas_b_mes1[[#This Row],[IMPORTE NETO]]*0.21</f>
        <v>0</v>
      </c>
      <c r="J453" s="141"/>
      <c r="K453" s="141"/>
      <c r="L453" s="141"/>
      <c r="M453" s="59"/>
    </row>
    <row r="454" spans="2:13">
      <c r="B454" s="135"/>
      <c r="C454" s="136"/>
      <c r="D454" s="137"/>
      <c r="E454" s="138"/>
      <c r="F454" s="139"/>
      <c r="G454" s="1" t="str">
        <f>IFERROR(IF(ventas_b_mes1[[#This Row],[CUIT]]="","-",VLOOKUP(ventas_b_mes1[[#This Row],[CUIT]],Lista_CUIT[#All],2,0)),"CUIT NO CARGADO")</f>
        <v>-</v>
      </c>
      <c r="H454" s="64">
        <f>ventas_b_mes1[[#This Row],[TOTAL]]/1.21</f>
        <v>0</v>
      </c>
      <c r="I454" s="140">
        <f>ventas_b_mes1[[#This Row],[IMPORTE NETO]]*0.21</f>
        <v>0</v>
      </c>
      <c r="J454" s="141"/>
      <c r="K454" s="141"/>
      <c r="L454" s="141"/>
      <c r="M454" s="59"/>
    </row>
    <row r="455" spans="2:13">
      <c r="B455" s="135"/>
      <c r="C455" s="136"/>
      <c r="D455" s="137"/>
      <c r="E455" s="138"/>
      <c r="F455" s="139"/>
      <c r="G455" s="1" t="str">
        <f>IFERROR(IF(ventas_b_mes1[[#This Row],[CUIT]]="","-",VLOOKUP(ventas_b_mes1[[#This Row],[CUIT]],Lista_CUIT[#All],2,0)),"CUIT NO CARGADO")</f>
        <v>-</v>
      </c>
      <c r="H455" s="64">
        <f>ventas_b_mes1[[#This Row],[TOTAL]]/1.21</f>
        <v>0</v>
      </c>
      <c r="I455" s="140">
        <f>ventas_b_mes1[[#This Row],[IMPORTE NETO]]*0.21</f>
        <v>0</v>
      </c>
      <c r="J455" s="141"/>
      <c r="K455" s="141"/>
      <c r="L455" s="141"/>
      <c r="M455" s="59"/>
    </row>
    <row r="456" spans="2:13">
      <c r="B456" s="135"/>
      <c r="C456" s="136"/>
      <c r="D456" s="137"/>
      <c r="E456" s="138"/>
      <c r="F456" s="139"/>
      <c r="G456" s="1" t="str">
        <f>IFERROR(IF(ventas_b_mes1[[#This Row],[CUIT]]="","-",VLOOKUP(ventas_b_mes1[[#This Row],[CUIT]],Lista_CUIT[#All],2,0)),"CUIT NO CARGADO")</f>
        <v>-</v>
      </c>
      <c r="H456" s="64">
        <f>ventas_b_mes1[[#This Row],[TOTAL]]/1.21</f>
        <v>0</v>
      </c>
      <c r="I456" s="140">
        <f>ventas_b_mes1[[#This Row],[IMPORTE NETO]]*0.21</f>
        <v>0</v>
      </c>
      <c r="J456" s="141"/>
      <c r="K456" s="141"/>
      <c r="L456" s="141"/>
      <c r="M456" s="59"/>
    </row>
    <row r="457" spans="2:13">
      <c r="B457" s="135"/>
      <c r="C457" s="136"/>
      <c r="D457" s="137"/>
      <c r="E457" s="138"/>
      <c r="F457" s="139"/>
      <c r="G457" s="1" t="str">
        <f>IFERROR(IF(ventas_b_mes1[[#This Row],[CUIT]]="","-",VLOOKUP(ventas_b_mes1[[#This Row],[CUIT]],Lista_CUIT[#All],2,0)),"CUIT NO CARGADO")</f>
        <v>-</v>
      </c>
      <c r="H457" s="64">
        <f>ventas_b_mes1[[#This Row],[TOTAL]]/1.21</f>
        <v>0</v>
      </c>
      <c r="I457" s="140">
        <f>ventas_b_mes1[[#This Row],[IMPORTE NETO]]*0.21</f>
        <v>0</v>
      </c>
      <c r="J457" s="141"/>
      <c r="K457" s="141"/>
      <c r="L457" s="141"/>
      <c r="M457" s="59"/>
    </row>
    <row r="458" spans="2:13">
      <c r="B458" s="135"/>
      <c r="C458" s="136"/>
      <c r="D458" s="137"/>
      <c r="E458" s="138"/>
      <c r="F458" s="139"/>
      <c r="G458" s="1" t="str">
        <f>IFERROR(IF(ventas_b_mes1[[#This Row],[CUIT]]="","-",VLOOKUP(ventas_b_mes1[[#This Row],[CUIT]],Lista_CUIT[#All],2,0)),"CUIT NO CARGADO")</f>
        <v>-</v>
      </c>
      <c r="H458" s="64">
        <f>ventas_b_mes1[[#This Row],[TOTAL]]/1.21</f>
        <v>0</v>
      </c>
      <c r="I458" s="140">
        <f>ventas_b_mes1[[#This Row],[IMPORTE NETO]]*0.21</f>
        <v>0</v>
      </c>
      <c r="J458" s="141"/>
      <c r="K458" s="141"/>
      <c r="L458" s="141"/>
      <c r="M458" s="59"/>
    </row>
    <row r="459" spans="2:13">
      <c r="B459" s="135"/>
      <c r="C459" s="136"/>
      <c r="D459" s="137"/>
      <c r="E459" s="138"/>
      <c r="F459" s="139"/>
      <c r="G459" s="1" t="str">
        <f>IFERROR(IF(ventas_b_mes1[[#This Row],[CUIT]]="","-",VLOOKUP(ventas_b_mes1[[#This Row],[CUIT]],Lista_CUIT[#All],2,0)),"CUIT NO CARGADO")</f>
        <v>-</v>
      </c>
      <c r="H459" s="64">
        <f>ventas_b_mes1[[#This Row],[TOTAL]]/1.21</f>
        <v>0</v>
      </c>
      <c r="I459" s="140">
        <f>ventas_b_mes1[[#This Row],[IMPORTE NETO]]*0.21</f>
        <v>0</v>
      </c>
      <c r="J459" s="141"/>
      <c r="K459" s="141"/>
      <c r="L459" s="141"/>
      <c r="M459" s="59"/>
    </row>
    <row r="460" spans="2:13">
      <c r="B460" s="135"/>
      <c r="C460" s="136"/>
      <c r="D460" s="137"/>
      <c r="E460" s="138"/>
      <c r="F460" s="139"/>
      <c r="G460" s="1" t="str">
        <f>IFERROR(IF(ventas_b_mes1[[#This Row],[CUIT]]="","-",VLOOKUP(ventas_b_mes1[[#This Row],[CUIT]],Lista_CUIT[#All],2,0)),"CUIT NO CARGADO")</f>
        <v>-</v>
      </c>
      <c r="H460" s="64">
        <f>ventas_b_mes1[[#This Row],[TOTAL]]/1.21</f>
        <v>0</v>
      </c>
      <c r="I460" s="140">
        <f>ventas_b_mes1[[#This Row],[IMPORTE NETO]]*0.21</f>
        <v>0</v>
      </c>
      <c r="J460" s="141"/>
      <c r="K460" s="141"/>
      <c r="L460" s="141"/>
      <c r="M460" s="59"/>
    </row>
    <row r="461" spans="2:13">
      <c r="B461" s="135"/>
      <c r="C461" s="136"/>
      <c r="D461" s="137"/>
      <c r="E461" s="138"/>
      <c r="F461" s="139"/>
      <c r="G461" s="1" t="str">
        <f>IFERROR(IF(ventas_b_mes1[[#This Row],[CUIT]]="","-",VLOOKUP(ventas_b_mes1[[#This Row],[CUIT]],Lista_CUIT[#All],2,0)),"CUIT NO CARGADO")</f>
        <v>-</v>
      </c>
      <c r="H461" s="64">
        <f>ventas_b_mes1[[#This Row],[TOTAL]]/1.21</f>
        <v>0</v>
      </c>
      <c r="I461" s="140">
        <f>ventas_b_mes1[[#This Row],[IMPORTE NETO]]*0.21</f>
        <v>0</v>
      </c>
      <c r="J461" s="141"/>
      <c r="K461" s="141"/>
      <c r="L461" s="141"/>
      <c r="M461" s="59"/>
    </row>
    <row r="462" spans="2:13">
      <c r="B462" s="135"/>
      <c r="C462" s="136"/>
      <c r="D462" s="137"/>
      <c r="E462" s="138"/>
      <c r="F462" s="139"/>
      <c r="G462" s="1" t="str">
        <f>IFERROR(IF(ventas_b_mes1[[#This Row],[CUIT]]="","-",VLOOKUP(ventas_b_mes1[[#This Row],[CUIT]],Lista_CUIT[#All],2,0)),"CUIT NO CARGADO")</f>
        <v>-</v>
      </c>
      <c r="H462" s="64">
        <f>ventas_b_mes1[[#This Row],[TOTAL]]/1.21</f>
        <v>0</v>
      </c>
      <c r="I462" s="140">
        <f>ventas_b_mes1[[#This Row],[IMPORTE NETO]]*0.21</f>
        <v>0</v>
      </c>
      <c r="J462" s="141"/>
      <c r="K462" s="141"/>
      <c r="L462" s="141"/>
      <c r="M462" s="59"/>
    </row>
    <row r="463" spans="2:13">
      <c r="B463" s="135"/>
      <c r="C463" s="136"/>
      <c r="D463" s="137"/>
      <c r="E463" s="138"/>
      <c r="F463" s="139"/>
      <c r="G463" s="1" t="str">
        <f>IFERROR(IF(ventas_b_mes1[[#This Row],[CUIT]]="","-",VLOOKUP(ventas_b_mes1[[#This Row],[CUIT]],Lista_CUIT[#All],2,0)),"CUIT NO CARGADO")</f>
        <v>-</v>
      </c>
      <c r="H463" s="64">
        <f>ventas_b_mes1[[#This Row],[TOTAL]]/1.21</f>
        <v>0</v>
      </c>
      <c r="I463" s="140">
        <f>ventas_b_mes1[[#This Row],[IMPORTE NETO]]*0.21</f>
        <v>0</v>
      </c>
      <c r="J463" s="141"/>
      <c r="K463" s="141"/>
      <c r="L463" s="141"/>
      <c r="M463" s="59"/>
    </row>
    <row r="464" spans="2:13">
      <c r="B464" s="135"/>
      <c r="C464" s="136"/>
      <c r="D464" s="137"/>
      <c r="E464" s="138"/>
      <c r="F464" s="139"/>
      <c r="G464" s="1" t="str">
        <f>IFERROR(IF(ventas_b_mes1[[#This Row],[CUIT]]="","-",VLOOKUP(ventas_b_mes1[[#This Row],[CUIT]],Lista_CUIT[#All],2,0)),"CUIT NO CARGADO")</f>
        <v>-</v>
      </c>
      <c r="H464" s="64">
        <f>ventas_b_mes1[[#This Row],[TOTAL]]/1.21</f>
        <v>0</v>
      </c>
      <c r="I464" s="140">
        <f>ventas_b_mes1[[#This Row],[IMPORTE NETO]]*0.21</f>
        <v>0</v>
      </c>
      <c r="J464" s="141"/>
      <c r="K464" s="141"/>
      <c r="L464" s="141"/>
      <c r="M464" s="59"/>
    </row>
    <row r="465" spans="2:13">
      <c r="B465" s="135"/>
      <c r="C465" s="136"/>
      <c r="D465" s="137"/>
      <c r="E465" s="138"/>
      <c r="F465" s="139"/>
      <c r="G465" s="1" t="str">
        <f>IFERROR(IF(ventas_b_mes1[[#This Row],[CUIT]]="","-",VLOOKUP(ventas_b_mes1[[#This Row],[CUIT]],Lista_CUIT[#All],2,0)),"CUIT NO CARGADO")</f>
        <v>-</v>
      </c>
      <c r="H465" s="64">
        <f>ventas_b_mes1[[#This Row],[TOTAL]]/1.21</f>
        <v>0</v>
      </c>
      <c r="I465" s="140">
        <f>ventas_b_mes1[[#This Row],[IMPORTE NETO]]*0.21</f>
        <v>0</v>
      </c>
      <c r="J465" s="141"/>
      <c r="K465" s="141"/>
      <c r="L465" s="141"/>
      <c r="M465" s="59"/>
    </row>
    <row r="466" spans="2:13">
      <c r="B466" s="135"/>
      <c r="C466" s="136"/>
      <c r="D466" s="137"/>
      <c r="E466" s="138"/>
      <c r="F466" s="139"/>
      <c r="G466" s="1" t="str">
        <f>IFERROR(IF(ventas_b_mes1[[#This Row],[CUIT]]="","-",VLOOKUP(ventas_b_mes1[[#This Row],[CUIT]],Lista_CUIT[#All],2,0)),"CUIT NO CARGADO")</f>
        <v>-</v>
      </c>
      <c r="H466" s="64">
        <f>ventas_b_mes1[[#This Row],[TOTAL]]/1.21</f>
        <v>0</v>
      </c>
      <c r="I466" s="140">
        <f>ventas_b_mes1[[#This Row],[IMPORTE NETO]]*0.21</f>
        <v>0</v>
      </c>
      <c r="J466" s="141"/>
      <c r="K466" s="141"/>
      <c r="L466" s="141"/>
      <c r="M466" s="59"/>
    </row>
    <row r="467" spans="2:13">
      <c r="B467" s="135"/>
      <c r="C467" s="136"/>
      <c r="D467" s="137"/>
      <c r="E467" s="138"/>
      <c r="F467" s="139"/>
      <c r="G467" s="1" t="str">
        <f>IFERROR(IF(ventas_b_mes1[[#This Row],[CUIT]]="","-",VLOOKUP(ventas_b_mes1[[#This Row],[CUIT]],Lista_CUIT[#All],2,0)),"CUIT NO CARGADO")</f>
        <v>-</v>
      </c>
      <c r="H467" s="64">
        <f>ventas_b_mes1[[#This Row],[TOTAL]]/1.21</f>
        <v>0</v>
      </c>
      <c r="I467" s="140">
        <f>ventas_b_mes1[[#This Row],[IMPORTE NETO]]*0.21</f>
        <v>0</v>
      </c>
      <c r="J467" s="141"/>
      <c r="K467" s="141"/>
      <c r="L467" s="141"/>
      <c r="M467" s="59"/>
    </row>
    <row r="468" spans="2:13">
      <c r="B468" s="135"/>
      <c r="C468" s="136"/>
      <c r="D468" s="137"/>
      <c r="E468" s="138"/>
      <c r="F468" s="139"/>
      <c r="G468" s="1" t="str">
        <f>IFERROR(IF(ventas_b_mes1[[#This Row],[CUIT]]="","-",VLOOKUP(ventas_b_mes1[[#This Row],[CUIT]],Lista_CUIT[#All],2,0)),"CUIT NO CARGADO")</f>
        <v>-</v>
      </c>
      <c r="H468" s="64">
        <f>ventas_b_mes1[[#This Row],[TOTAL]]/1.21</f>
        <v>0</v>
      </c>
      <c r="I468" s="140">
        <f>ventas_b_mes1[[#This Row],[IMPORTE NETO]]*0.21</f>
        <v>0</v>
      </c>
      <c r="J468" s="141"/>
      <c r="K468" s="141"/>
      <c r="L468" s="141"/>
      <c r="M468" s="59"/>
    </row>
    <row r="469" spans="2:13">
      <c r="B469" s="135"/>
      <c r="C469" s="136"/>
      <c r="D469" s="137"/>
      <c r="E469" s="138"/>
      <c r="F469" s="139"/>
      <c r="G469" s="1" t="str">
        <f>IFERROR(IF(ventas_b_mes1[[#This Row],[CUIT]]="","-",VLOOKUP(ventas_b_mes1[[#This Row],[CUIT]],Lista_CUIT[#All],2,0)),"CUIT NO CARGADO")</f>
        <v>-</v>
      </c>
      <c r="H469" s="64">
        <f>ventas_b_mes1[[#This Row],[TOTAL]]/1.21</f>
        <v>0</v>
      </c>
      <c r="I469" s="140">
        <f>ventas_b_mes1[[#This Row],[IMPORTE NETO]]*0.21</f>
        <v>0</v>
      </c>
      <c r="J469" s="141"/>
      <c r="K469" s="141"/>
      <c r="L469" s="141"/>
      <c r="M469" s="59"/>
    </row>
    <row r="470" spans="2:13">
      <c r="B470" s="135"/>
      <c r="C470" s="136"/>
      <c r="D470" s="137"/>
      <c r="E470" s="138"/>
      <c r="F470" s="139"/>
      <c r="G470" s="1" t="str">
        <f>IFERROR(IF(ventas_b_mes1[[#This Row],[CUIT]]="","-",VLOOKUP(ventas_b_mes1[[#This Row],[CUIT]],Lista_CUIT[#All],2,0)),"CUIT NO CARGADO")</f>
        <v>-</v>
      </c>
      <c r="H470" s="64">
        <f>ventas_b_mes1[[#This Row],[TOTAL]]/1.21</f>
        <v>0</v>
      </c>
      <c r="I470" s="140">
        <f>ventas_b_mes1[[#This Row],[IMPORTE NETO]]*0.21</f>
        <v>0</v>
      </c>
      <c r="J470" s="141"/>
      <c r="K470" s="141"/>
      <c r="L470" s="141"/>
      <c r="M470" s="59"/>
    </row>
    <row r="471" spans="2:13">
      <c r="B471" s="135"/>
      <c r="C471" s="136"/>
      <c r="D471" s="137"/>
      <c r="E471" s="138"/>
      <c r="F471" s="139"/>
      <c r="G471" s="1" t="str">
        <f>IFERROR(IF(ventas_b_mes1[[#This Row],[CUIT]]="","-",VLOOKUP(ventas_b_mes1[[#This Row],[CUIT]],Lista_CUIT[#All],2,0)),"CUIT NO CARGADO")</f>
        <v>-</v>
      </c>
      <c r="H471" s="64">
        <f>ventas_b_mes1[[#This Row],[TOTAL]]/1.21</f>
        <v>0</v>
      </c>
      <c r="I471" s="140">
        <f>ventas_b_mes1[[#This Row],[IMPORTE NETO]]*0.21</f>
        <v>0</v>
      </c>
      <c r="J471" s="141"/>
      <c r="K471" s="141"/>
      <c r="L471" s="141"/>
      <c r="M471" s="59"/>
    </row>
    <row r="472" spans="2:13">
      <c r="B472" s="135"/>
      <c r="C472" s="136"/>
      <c r="D472" s="137"/>
      <c r="E472" s="138"/>
      <c r="F472" s="139"/>
      <c r="G472" s="1" t="str">
        <f>IFERROR(IF(ventas_b_mes1[[#This Row],[CUIT]]="","-",VLOOKUP(ventas_b_mes1[[#This Row],[CUIT]],Lista_CUIT[#All],2,0)),"CUIT NO CARGADO")</f>
        <v>-</v>
      </c>
      <c r="H472" s="64">
        <f>ventas_b_mes1[[#This Row],[TOTAL]]/1.21</f>
        <v>0</v>
      </c>
      <c r="I472" s="140">
        <f>ventas_b_mes1[[#This Row],[IMPORTE NETO]]*0.21</f>
        <v>0</v>
      </c>
      <c r="J472" s="141"/>
      <c r="K472" s="141"/>
      <c r="L472" s="141"/>
      <c r="M472" s="59"/>
    </row>
    <row r="473" spans="2:13">
      <c r="B473" s="135"/>
      <c r="C473" s="136"/>
      <c r="D473" s="137"/>
      <c r="E473" s="138"/>
      <c r="F473" s="139"/>
      <c r="G473" s="1" t="str">
        <f>IFERROR(IF(ventas_b_mes1[[#This Row],[CUIT]]="","-",VLOOKUP(ventas_b_mes1[[#This Row],[CUIT]],Lista_CUIT[#All],2,0)),"CUIT NO CARGADO")</f>
        <v>-</v>
      </c>
      <c r="H473" s="64">
        <f>ventas_b_mes1[[#This Row],[TOTAL]]/1.21</f>
        <v>0</v>
      </c>
      <c r="I473" s="140">
        <f>ventas_b_mes1[[#This Row],[IMPORTE NETO]]*0.21</f>
        <v>0</v>
      </c>
      <c r="J473" s="141"/>
      <c r="K473" s="141"/>
      <c r="L473" s="141"/>
      <c r="M473" s="59"/>
    </row>
    <row r="474" spans="2:13">
      <c r="B474" s="135"/>
      <c r="C474" s="136"/>
      <c r="D474" s="137"/>
      <c r="E474" s="138"/>
      <c r="F474" s="139"/>
      <c r="G474" s="1" t="str">
        <f>IFERROR(IF(ventas_b_mes1[[#This Row],[CUIT]]="","-",VLOOKUP(ventas_b_mes1[[#This Row],[CUIT]],Lista_CUIT[#All],2,0)),"CUIT NO CARGADO")</f>
        <v>-</v>
      </c>
      <c r="H474" s="64">
        <f>ventas_b_mes1[[#This Row],[TOTAL]]/1.21</f>
        <v>0</v>
      </c>
      <c r="I474" s="140">
        <f>ventas_b_mes1[[#This Row],[IMPORTE NETO]]*0.21</f>
        <v>0</v>
      </c>
      <c r="J474" s="141"/>
      <c r="K474" s="141"/>
      <c r="L474" s="141"/>
      <c r="M474" s="59"/>
    </row>
    <row r="475" spans="2:13">
      <c r="B475" s="135"/>
      <c r="C475" s="136"/>
      <c r="D475" s="137"/>
      <c r="E475" s="138"/>
      <c r="F475" s="139"/>
      <c r="G475" s="1" t="str">
        <f>IFERROR(IF(ventas_b_mes1[[#This Row],[CUIT]]="","-",VLOOKUP(ventas_b_mes1[[#This Row],[CUIT]],Lista_CUIT[#All],2,0)),"CUIT NO CARGADO")</f>
        <v>-</v>
      </c>
      <c r="H475" s="64">
        <f>ventas_b_mes1[[#This Row],[TOTAL]]/1.21</f>
        <v>0</v>
      </c>
      <c r="I475" s="140">
        <f>ventas_b_mes1[[#This Row],[IMPORTE NETO]]*0.21</f>
        <v>0</v>
      </c>
      <c r="J475" s="141"/>
      <c r="K475" s="141"/>
      <c r="L475" s="141"/>
      <c r="M475" s="59"/>
    </row>
    <row r="476" spans="2:13">
      <c r="B476" s="135"/>
      <c r="C476" s="136"/>
      <c r="D476" s="137"/>
      <c r="E476" s="138"/>
      <c r="F476" s="139"/>
      <c r="G476" s="1" t="str">
        <f>IFERROR(IF(ventas_b_mes1[[#This Row],[CUIT]]="","-",VLOOKUP(ventas_b_mes1[[#This Row],[CUIT]],Lista_CUIT[#All],2,0)),"CUIT NO CARGADO")</f>
        <v>-</v>
      </c>
      <c r="H476" s="64">
        <f>ventas_b_mes1[[#This Row],[TOTAL]]/1.21</f>
        <v>0</v>
      </c>
      <c r="I476" s="140">
        <f>ventas_b_mes1[[#This Row],[IMPORTE NETO]]*0.21</f>
        <v>0</v>
      </c>
      <c r="J476" s="141"/>
      <c r="K476" s="141"/>
      <c r="L476" s="141"/>
      <c r="M476" s="59"/>
    </row>
    <row r="477" spans="2:13">
      <c r="B477" s="135"/>
      <c r="C477" s="136"/>
      <c r="D477" s="137"/>
      <c r="E477" s="138"/>
      <c r="F477" s="139"/>
      <c r="G477" s="1" t="str">
        <f>IFERROR(IF(ventas_b_mes1[[#This Row],[CUIT]]="","-",VLOOKUP(ventas_b_mes1[[#This Row],[CUIT]],Lista_CUIT[#All],2,0)),"CUIT NO CARGADO")</f>
        <v>-</v>
      </c>
      <c r="H477" s="64">
        <f>ventas_b_mes1[[#This Row],[TOTAL]]/1.21</f>
        <v>0</v>
      </c>
      <c r="I477" s="140">
        <f>ventas_b_mes1[[#This Row],[IMPORTE NETO]]*0.21</f>
        <v>0</v>
      </c>
      <c r="J477" s="141"/>
      <c r="K477" s="141"/>
      <c r="L477" s="141"/>
      <c r="M477" s="59"/>
    </row>
    <row r="478" spans="2:13">
      <c r="B478" s="135"/>
      <c r="C478" s="136"/>
      <c r="D478" s="137"/>
      <c r="E478" s="138"/>
      <c r="F478" s="139"/>
      <c r="G478" s="1" t="str">
        <f>IFERROR(IF(ventas_b_mes1[[#This Row],[CUIT]]="","-",VLOOKUP(ventas_b_mes1[[#This Row],[CUIT]],Lista_CUIT[#All],2,0)),"CUIT NO CARGADO")</f>
        <v>-</v>
      </c>
      <c r="H478" s="64">
        <f>ventas_b_mes1[[#This Row],[TOTAL]]/1.21</f>
        <v>0</v>
      </c>
      <c r="I478" s="140">
        <f>ventas_b_mes1[[#This Row],[IMPORTE NETO]]*0.21</f>
        <v>0</v>
      </c>
      <c r="J478" s="141"/>
      <c r="K478" s="141"/>
      <c r="L478" s="141"/>
      <c r="M478" s="59"/>
    </row>
    <row r="479" spans="2:13">
      <c r="B479" s="135"/>
      <c r="C479" s="136"/>
      <c r="D479" s="137"/>
      <c r="E479" s="138"/>
      <c r="F479" s="139"/>
      <c r="G479" s="1" t="str">
        <f>IFERROR(IF(ventas_b_mes1[[#This Row],[CUIT]]="","-",VLOOKUP(ventas_b_mes1[[#This Row],[CUIT]],Lista_CUIT[#All],2,0)),"CUIT NO CARGADO")</f>
        <v>-</v>
      </c>
      <c r="H479" s="64">
        <f>ventas_b_mes1[[#This Row],[TOTAL]]/1.21</f>
        <v>0</v>
      </c>
      <c r="I479" s="140">
        <f>ventas_b_mes1[[#This Row],[IMPORTE NETO]]*0.21</f>
        <v>0</v>
      </c>
      <c r="J479" s="141"/>
      <c r="K479" s="141"/>
      <c r="L479" s="141"/>
      <c r="M479" s="59"/>
    </row>
    <row r="480" spans="2:13">
      <c r="B480" s="135"/>
      <c r="C480" s="136"/>
      <c r="D480" s="137"/>
      <c r="E480" s="138"/>
      <c r="F480" s="139"/>
      <c r="G480" s="1" t="str">
        <f>IFERROR(IF(ventas_b_mes1[[#This Row],[CUIT]]="","-",VLOOKUP(ventas_b_mes1[[#This Row],[CUIT]],Lista_CUIT[#All],2,0)),"CUIT NO CARGADO")</f>
        <v>-</v>
      </c>
      <c r="H480" s="64">
        <f>ventas_b_mes1[[#This Row],[TOTAL]]/1.21</f>
        <v>0</v>
      </c>
      <c r="I480" s="140">
        <f>ventas_b_mes1[[#This Row],[IMPORTE NETO]]*0.21</f>
        <v>0</v>
      </c>
      <c r="J480" s="141"/>
      <c r="K480" s="141"/>
      <c r="L480" s="141"/>
      <c r="M480" s="59"/>
    </row>
    <row r="481" spans="2:13">
      <c r="B481" s="135"/>
      <c r="C481" s="136"/>
      <c r="D481" s="137"/>
      <c r="E481" s="138"/>
      <c r="F481" s="139"/>
      <c r="G481" s="1" t="str">
        <f>IFERROR(IF(ventas_b_mes1[[#This Row],[CUIT]]="","-",VLOOKUP(ventas_b_mes1[[#This Row],[CUIT]],Lista_CUIT[#All],2,0)),"CUIT NO CARGADO")</f>
        <v>-</v>
      </c>
      <c r="H481" s="64">
        <f>ventas_b_mes1[[#This Row],[TOTAL]]/1.21</f>
        <v>0</v>
      </c>
      <c r="I481" s="140">
        <f>ventas_b_mes1[[#This Row],[IMPORTE NETO]]*0.21</f>
        <v>0</v>
      </c>
      <c r="J481" s="141"/>
      <c r="K481" s="141"/>
      <c r="L481" s="141"/>
      <c r="M481" s="59"/>
    </row>
    <row r="482" spans="2:13">
      <c r="B482" s="135"/>
      <c r="C482" s="136"/>
      <c r="D482" s="137"/>
      <c r="E482" s="138"/>
      <c r="F482" s="139"/>
      <c r="G482" s="1" t="str">
        <f>IFERROR(IF(ventas_b_mes1[[#This Row],[CUIT]]="","-",VLOOKUP(ventas_b_mes1[[#This Row],[CUIT]],Lista_CUIT[#All],2,0)),"CUIT NO CARGADO")</f>
        <v>-</v>
      </c>
      <c r="H482" s="64">
        <f>ventas_b_mes1[[#This Row],[TOTAL]]/1.21</f>
        <v>0</v>
      </c>
      <c r="I482" s="140">
        <f>ventas_b_mes1[[#This Row],[IMPORTE NETO]]*0.21</f>
        <v>0</v>
      </c>
      <c r="J482" s="141"/>
      <c r="K482" s="141"/>
      <c r="L482" s="141"/>
      <c r="M482" s="59"/>
    </row>
    <row r="483" spans="2:13">
      <c r="B483" s="135"/>
      <c r="C483" s="136"/>
      <c r="D483" s="137"/>
      <c r="E483" s="138"/>
      <c r="F483" s="139"/>
      <c r="G483" s="1" t="str">
        <f>IFERROR(IF(ventas_b_mes1[[#This Row],[CUIT]]="","-",VLOOKUP(ventas_b_mes1[[#This Row],[CUIT]],Lista_CUIT[#All],2,0)),"CUIT NO CARGADO")</f>
        <v>-</v>
      </c>
      <c r="H483" s="64">
        <f>ventas_b_mes1[[#This Row],[TOTAL]]/1.21</f>
        <v>0</v>
      </c>
      <c r="I483" s="140">
        <f>ventas_b_mes1[[#This Row],[IMPORTE NETO]]*0.21</f>
        <v>0</v>
      </c>
      <c r="J483" s="141"/>
      <c r="K483" s="141"/>
      <c r="L483" s="141"/>
      <c r="M483" s="59"/>
    </row>
    <row r="484" spans="2:13">
      <c r="B484" s="135"/>
      <c r="C484" s="136"/>
      <c r="D484" s="137"/>
      <c r="E484" s="138"/>
      <c r="F484" s="139"/>
      <c r="G484" s="1" t="str">
        <f>IFERROR(IF(ventas_b_mes1[[#This Row],[CUIT]]="","-",VLOOKUP(ventas_b_mes1[[#This Row],[CUIT]],Lista_CUIT[#All],2,0)),"CUIT NO CARGADO")</f>
        <v>-</v>
      </c>
      <c r="H484" s="64">
        <f>ventas_b_mes1[[#This Row],[TOTAL]]/1.21</f>
        <v>0</v>
      </c>
      <c r="I484" s="140">
        <f>ventas_b_mes1[[#This Row],[IMPORTE NETO]]*0.21</f>
        <v>0</v>
      </c>
      <c r="J484" s="141"/>
      <c r="K484" s="141"/>
      <c r="L484" s="141"/>
      <c r="M484" s="59"/>
    </row>
    <row r="485" spans="2:13">
      <c r="B485" s="135"/>
      <c r="C485" s="136"/>
      <c r="D485" s="137"/>
      <c r="E485" s="138"/>
      <c r="F485" s="139"/>
      <c r="G485" s="1" t="str">
        <f>IFERROR(IF(ventas_b_mes1[[#This Row],[CUIT]]="","-",VLOOKUP(ventas_b_mes1[[#This Row],[CUIT]],Lista_CUIT[#All],2,0)),"CUIT NO CARGADO")</f>
        <v>-</v>
      </c>
      <c r="H485" s="64">
        <f>ventas_b_mes1[[#This Row],[TOTAL]]/1.21</f>
        <v>0</v>
      </c>
      <c r="I485" s="140">
        <f>ventas_b_mes1[[#This Row],[IMPORTE NETO]]*0.21</f>
        <v>0</v>
      </c>
      <c r="J485" s="141"/>
      <c r="K485" s="141"/>
      <c r="L485" s="141"/>
      <c r="M485" s="59"/>
    </row>
    <row r="486" spans="2:13">
      <c r="B486" s="135"/>
      <c r="C486" s="136"/>
      <c r="D486" s="137"/>
      <c r="E486" s="138"/>
      <c r="F486" s="139"/>
      <c r="G486" s="1" t="str">
        <f>IFERROR(IF(ventas_b_mes1[[#This Row],[CUIT]]="","-",VLOOKUP(ventas_b_mes1[[#This Row],[CUIT]],Lista_CUIT[#All],2,0)),"CUIT NO CARGADO")</f>
        <v>-</v>
      </c>
      <c r="H486" s="64">
        <f>ventas_b_mes1[[#This Row],[TOTAL]]/1.21</f>
        <v>0</v>
      </c>
      <c r="I486" s="140">
        <f>ventas_b_mes1[[#This Row],[IMPORTE NETO]]*0.21</f>
        <v>0</v>
      </c>
      <c r="J486" s="141"/>
      <c r="K486" s="141"/>
      <c r="L486" s="141"/>
      <c r="M486" s="59"/>
    </row>
    <row r="487" spans="2:13">
      <c r="B487" s="135"/>
      <c r="C487" s="136"/>
      <c r="D487" s="137"/>
      <c r="E487" s="138"/>
      <c r="F487" s="139"/>
      <c r="G487" s="1" t="str">
        <f>IFERROR(IF(ventas_b_mes1[[#This Row],[CUIT]]="","-",VLOOKUP(ventas_b_mes1[[#This Row],[CUIT]],Lista_CUIT[#All],2,0)),"CUIT NO CARGADO")</f>
        <v>-</v>
      </c>
      <c r="H487" s="64">
        <f>ventas_b_mes1[[#This Row],[TOTAL]]/1.21</f>
        <v>0</v>
      </c>
      <c r="I487" s="140">
        <f>ventas_b_mes1[[#This Row],[IMPORTE NETO]]*0.21</f>
        <v>0</v>
      </c>
      <c r="J487" s="141"/>
      <c r="K487" s="141"/>
      <c r="L487" s="141"/>
      <c r="M487" s="59"/>
    </row>
    <row r="488" spans="2:13">
      <c r="B488" s="135"/>
      <c r="C488" s="136"/>
      <c r="D488" s="137"/>
      <c r="E488" s="138"/>
      <c r="F488" s="139"/>
      <c r="G488" s="1" t="str">
        <f>IFERROR(IF(ventas_b_mes1[[#This Row],[CUIT]]="","-",VLOOKUP(ventas_b_mes1[[#This Row],[CUIT]],Lista_CUIT[#All],2,0)),"CUIT NO CARGADO")</f>
        <v>-</v>
      </c>
      <c r="H488" s="64">
        <f>ventas_b_mes1[[#This Row],[TOTAL]]/1.21</f>
        <v>0</v>
      </c>
      <c r="I488" s="140">
        <f>ventas_b_mes1[[#This Row],[IMPORTE NETO]]*0.21</f>
        <v>0</v>
      </c>
      <c r="J488" s="141"/>
      <c r="K488" s="141"/>
      <c r="L488" s="141"/>
      <c r="M488" s="59"/>
    </row>
    <row r="489" spans="2:13">
      <c r="B489" s="135"/>
      <c r="C489" s="136"/>
      <c r="D489" s="137"/>
      <c r="E489" s="138"/>
      <c r="F489" s="139"/>
      <c r="G489" s="1" t="str">
        <f>IFERROR(IF(ventas_b_mes1[[#This Row],[CUIT]]="","-",VLOOKUP(ventas_b_mes1[[#This Row],[CUIT]],Lista_CUIT[#All],2,0)),"CUIT NO CARGADO")</f>
        <v>-</v>
      </c>
      <c r="H489" s="64">
        <f>ventas_b_mes1[[#This Row],[TOTAL]]/1.21</f>
        <v>0</v>
      </c>
      <c r="I489" s="140">
        <f>ventas_b_mes1[[#This Row],[IMPORTE NETO]]*0.21</f>
        <v>0</v>
      </c>
      <c r="J489" s="141"/>
      <c r="K489" s="141"/>
      <c r="L489" s="141"/>
      <c r="M489" s="59"/>
    </row>
    <row r="490" spans="2:13">
      <c r="B490" s="135"/>
      <c r="C490" s="136"/>
      <c r="D490" s="137"/>
      <c r="E490" s="138"/>
      <c r="F490" s="139"/>
      <c r="G490" s="1" t="str">
        <f>IFERROR(IF(ventas_b_mes1[[#This Row],[CUIT]]="","-",VLOOKUP(ventas_b_mes1[[#This Row],[CUIT]],Lista_CUIT[#All],2,0)),"CUIT NO CARGADO")</f>
        <v>-</v>
      </c>
      <c r="H490" s="64">
        <f>ventas_b_mes1[[#This Row],[TOTAL]]/1.21</f>
        <v>0</v>
      </c>
      <c r="I490" s="140">
        <f>ventas_b_mes1[[#This Row],[IMPORTE NETO]]*0.21</f>
        <v>0</v>
      </c>
      <c r="J490" s="141"/>
      <c r="K490" s="141"/>
      <c r="L490" s="141"/>
      <c r="M490" s="59"/>
    </row>
    <row r="491" spans="2:13">
      <c r="B491" s="135"/>
      <c r="C491" s="136"/>
      <c r="D491" s="137"/>
      <c r="E491" s="138"/>
      <c r="F491" s="139"/>
      <c r="G491" s="1" t="str">
        <f>IFERROR(IF(ventas_b_mes1[[#This Row],[CUIT]]="","-",VLOOKUP(ventas_b_mes1[[#This Row],[CUIT]],Lista_CUIT[#All],2,0)),"CUIT NO CARGADO")</f>
        <v>-</v>
      </c>
      <c r="H491" s="64">
        <f>ventas_b_mes1[[#This Row],[TOTAL]]/1.21</f>
        <v>0</v>
      </c>
      <c r="I491" s="140">
        <f>ventas_b_mes1[[#This Row],[IMPORTE NETO]]*0.21</f>
        <v>0</v>
      </c>
      <c r="J491" s="141"/>
      <c r="K491" s="141"/>
      <c r="L491" s="141"/>
      <c r="M491" s="59"/>
    </row>
    <row r="492" spans="2:13">
      <c r="B492" s="135"/>
      <c r="C492" s="136"/>
      <c r="D492" s="137"/>
      <c r="E492" s="138"/>
      <c r="F492" s="139"/>
      <c r="G492" s="1" t="str">
        <f>IFERROR(IF(ventas_b_mes1[[#This Row],[CUIT]]="","-",VLOOKUP(ventas_b_mes1[[#This Row],[CUIT]],Lista_CUIT[#All],2,0)),"CUIT NO CARGADO")</f>
        <v>-</v>
      </c>
      <c r="H492" s="64">
        <f>ventas_b_mes1[[#This Row],[TOTAL]]/1.21</f>
        <v>0</v>
      </c>
      <c r="I492" s="140">
        <f>ventas_b_mes1[[#This Row],[IMPORTE NETO]]*0.21</f>
        <v>0</v>
      </c>
      <c r="J492" s="141"/>
      <c r="K492" s="141"/>
      <c r="L492" s="141"/>
      <c r="M492" s="59"/>
    </row>
    <row r="493" spans="2:13">
      <c r="B493" s="135"/>
      <c r="C493" s="136"/>
      <c r="D493" s="137"/>
      <c r="E493" s="138"/>
      <c r="F493" s="139"/>
      <c r="G493" s="1" t="str">
        <f>IFERROR(IF(ventas_b_mes1[[#This Row],[CUIT]]="","-",VLOOKUP(ventas_b_mes1[[#This Row],[CUIT]],Lista_CUIT[#All],2,0)),"CUIT NO CARGADO")</f>
        <v>-</v>
      </c>
      <c r="H493" s="64">
        <f>ventas_b_mes1[[#This Row],[TOTAL]]/1.21</f>
        <v>0</v>
      </c>
      <c r="I493" s="140">
        <f>ventas_b_mes1[[#This Row],[IMPORTE NETO]]*0.21</f>
        <v>0</v>
      </c>
      <c r="J493" s="141"/>
      <c r="K493" s="141"/>
      <c r="L493" s="141"/>
      <c r="M493" s="59"/>
    </row>
    <row r="494" spans="2:13">
      <c r="B494" s="135"/>
      <c r="C494" s="136"/>
      <c r="D494" s="137"/>
      <c r="E494" s="138"/>
      <c r="F494" s="139"/>
      <c r="G494" s="1" t="str">
        <f>IFERROR(IF(ventas_b_mes1[[#This Row],[CUIT]]="","-",VLOOKUP(ventas_b_mes1[[#This Row],[CUIT]],Lista_CUIT[#All],2,0)),"CUIT NO CARGADO")</f>
        <v>-</v>
      </c>
      <c r="H494" s="64">
        <f>ventas_b_mes1[[#This Row],[TOTAL]]/1.21</f>
        <v>0</v>
      </c>
      <c r="I494" s="140">
        <f>ventas_b_mes1[[#This Row],[IMPORTE NETO]]*0.21</f>
        <v>0</v>
      </c>
      <c r="J494" s="141"/>
      <c r="K494" s="141"/>
      <c r="L494" s="141"/>
      <c r="M494" s="59"/>
    </row>
    <row r="495" spans="2:13">
      <c r="B495" s="135"/>
      <c r="C495" s="136"/>
      <c r="D495" s="137"/>
      <c r="E495" s="138"/>
      <c r="F495" s="139"/>
      <c r="G495" s="1" t="str">
        <f>IFERROR(IF(ventas_b_mes1[[#This Row],[CUIT]]="","-",VLOOKUP(ventas_b_mes1[[#This Row],[CUIT]],Lista_CUIT[#All],2,0)),"CUIT NO CARGADO")</f>
        <v>-</v>
      </c>
      <c r="H495" s="64">
        <f>ventas_b_mes1[[#This Row],[TOTAL]]/1.21</f>
        <v>0</v>
      </c>
      <c r="I495" s="140">
        <f>ventas_b_mes1[[#This Row],[IMPORTE NETO]]*0.21</f>
        <v>0</v>
      </c>
      <c r="J495" s="141"/>
      <c r="K495" s="141"/>
      <c r="L495" s="141"/>
      <c r="M495" s="59"/>
    </row>
    <row r="496" spans="2:13">
      <c r="B496" s="135"/>
      <c r="C496" s="136"/>
      <c r="D496" s="137"/>
      <c r="E496" s="138"/>
      <c r="F496" s="139"/>
      <c r="G496" s="1" t="str">
        <f>IFERROR(IF(ventas_b_mes1[[#This Row],[CUIT]]="","-",VLOOKUP(ventas_b_mes1[[#This Row],[CUIT]],Lista_CUIT[#All],2,0)),"CUIT NO CARGADO")</f>
        <v>-</v>
      </c>
      <c r="H496" s="64">
        <f>ventas_b_mes1[[#This Row],[TOTAL]]/1.21</f>
        <v>0</v>
      </c>
      <c r="I496" s="140">
        <f>ventas_b_mes1[[#This Row],[IMPORTE NETO]]*0.21</f>
        <v>0</v>
      </c>
      <c r="J496" s="141"/>
      <c r="K496" s="141"/>
      <c r="L496" s="141"/>
      <c r="M496" s="59"/>
    </row>
    <row r="497" spans="2:13">
      <c r="B497" s="135"/>
      <c r="C497" s="136"/>
      <c r="D497" s="137"/>
      <c r="E497" s="138"/>
      <c r="F497" s="139"/>
      <c r="G497" s="1" t="str">
        <f>IFERROR(IF(ventas_b_mes1[[#This Row],[CUIT]]="","-",VLOOKUP(ventas_b_mes1[[#This Row],[CUIT]],Lista_CUIT[#All],2,0)),"CUIT NO CARGADO")</f>
        <v>-</v>
      </c>
      <c r="H497" s="64">
        <f>ventas_b_mes1[[#This Row],[TOTAL]]/1.21</f>
        <v>0</v>
      </c>
      <c r="I497" s="140">
        <f>ventas_b_mes1[[#This Row],[IMPORTE NETO]]*0.21</f>
        <v>0</v>
      </c>
      <c r="J497" s="141"/>
      <c r="K497" s="141"/>
      <c r="L497" s="141"/>
      <c r="M497" s="59"/>
    </row>
    <row r="498" spans="2:13">
      <c r="B498" s="135"/>
      <c r="C498" s="136"/>
      <c r="D498" s="137"/>
      <c r="E498" s="138"/>
      <c r="F498" s="139"/>
      <c r="G498" s="1" t="str">
        <f>IFERROR(IF(ventas_b_mes1[[#This Row],[CUIT]]="","-",VLOOKUP(ventas_b_mes1[[#This Row],[CUIT]],Lista_CUIT[#All],2,0)),"CUIT NO CARGADO")</f>
        <v>-</v>
      </c>
      <c r="H498" s="64">
        <f>ventas_b_mes1[[#This Row],[TOTAL]]/1.21</f>
        <v>0</v>
      </c>
      <c r="I498" s="140">
        <f>ventas_b_mes1[[#This Row],[IMPORTE NETO]]*0.21</f>
        <v>0</v>
      </c>
      <c r="J498" s="141"/>
      <c r="K498" s="141"/>
      <c r="L498" s="141"/>
      <c r="M498" s="59"/>
    </row>
    <row r="499" spans="2:13">
      <c r="B499" s="135"/>
      <c r="C499" s="136"/>
      <c r="D499" s="137"/>
      <c r="E499" s="138"/>
      <c r="F499" s="139"/>
      <c r="G499" s="1" t="str">
        <f>IFERROR(IF(ventas_b_mes1[[#This Row],[CUIT]]="","-",VLOOKUP(ventas_b_mes1[[#This Row],[CUIT]],Lista_CUIT[#All],2,0)),"CUIT NO CARGADO")</f>
        <v>-</v>
      </c>
      <c r="H499" s="64">
        <f>ventas_b_mes1[[#This Row],[TOTAL]]/1.21</f>
        <v>0</v>
      </c>
      <c r="I499" s="140">
        <f>ventas_b_mes1[[#This Row],[IMPORTE NETO]]*0.21</f>
        <v>0</v>
      </c>
      <c r="J499" s="141"/>
      <c r="K499" s="141"/>
      <c r="L499" s="141"/>
      <c r="M499" s="59"/>
    </row>
    <row r="500" spans="2:13">
      <c r="B500" s="135"/>
      <c r="C500" s="136"/>
      <c r="D500" s="137"/>
      <c r="E500" s="138"/>
      <c r="F500" s="139"/>
      <c r="G500" s="1" t="str">
        <f>IFERROR(IF(ventas_b_mes1[[#This Row],[CUIT]]="","-",VLOOKUP(ventas_b_mes1[[#This Row],[CUIT]],Lista_CUIT[#All],2,0)),"CUIT NO CARGADO")</f>
        <v>-</v>
      </c>
      <c r="H500" s="64">
        <f>ventas_b_mes1[[#This Row],[TOTAL]]/1.21</f>
        <v>0</v>
      </c>
      <c r="I500" s="140">
        <f>ventas_b_mes1[[#This Row],[IMPORTE NETO]]*0.21</f>
        <v>0</v>
      </c>
      <c r="J500" s="141"/>
      <c r="K500" s="141"/>
      <c r="L500" s="141"/>
      <c r="M500" s="59"/>
    </row>
    <row r="501" spans="2:13">
      <c r="B501" s="135"/>
      <c r="C501" s="136"/>
      <c r="D501" s="137"/>
      <c r="E501" s="138"/>
      <c r="F501" s="139"/>
      <c r="G501" s="1" t="str">
        <f>IFERROR(IF(ventas_b_mes1[[#This Row],[CUIT]]="","-",VLOOKUP(ventas_b_mes1[[#This Row],[CUIT]],Lista_CUIT[#All],2,0)),"CUIT NO CARGADO")</f>
        <v>-</v>
      </c>
      <c r="H501" s="64">
        <f>ventas_b_mes1[[#This Row],[TOTAL]]/1.21</f>
        <v>0</v>
      </c>
      <c r="I501" s="140">
        <f>ventas_b_mes1[[#This Row],[IMPORTE NETO]]*0.21</f>
        <v>0</v>
      </c>
      <c r="J501" s="141"/>
      <c r="K501" s="141"/>
      <c r="L501" s="141"/>
      <c r="M501" s="59"/>
    </row>
    <row r="502" spans="2:13">
      <c r="B502" s="135"/>
      <c r="C502" s="136"/>
      <c r="D502" s="137"/>
      <c r="E502" s="138"/>
      <c r="F502" s="139"/>
      <c r="G502" s="1" t="str">
        <f>IFERROR(IF(ventas_b_mes1[[#This Row],[CUIT]]="","-",VLOOKUP(ventas_b_mes1[[#This Row],[CUIT]],Lista_CUIT[#All],2,0)),"CUIT NO CARGADO")</f>
        <v>-</v>
      </c>
      <c r="H502" s="64">
        <f>ventas_b_mes1[[#This Row],[TOTAL]]/1.21</f>
        <v>0</v>
      </c>
      <c r="I502" s="140">
        <f>ventas_b_mes1[[#This Row],[IMPORTE NETO]]*0.21</f>
        <v>0</v>
      </c>
      <c r="J502" s="141"/>
      <c r="K502" s="141"/>
      <c r="L502" s="141"/>
      <c r="M502" s="59"/>
    </row>
    <row r="503" spans="2:13">
      <c r="B503" s="135"/>
      <c r="C503" s="136"/>
      <c r="D503" s="137"/>
      <c r="E503" s="138"/>
      <c r="F503" s="139"/>
      <c r="G503" s="1" t="str">
        <f>IFERROR(IF(ventas_b_mes1[[#This Row],[CUIT]]="","-",VLOOKUP(ventas_b_mes1[[#This Row],[CUIT]],Lista_CUIT[#All],2,0)),"CUIT NO CARGADO")</f>
        <v>-</v>
      </c>
      <c r="H503" s="64">
        <f>ventas_b_mes1[[#This Row],[TOTAL]]/1.21</f>
        <v>0</v>
      </c>
      <c r="I503" s="140">
        <f>ventas_b_mes1[[#This Row],[IMPORTE NETO]]*0.21</f>
        <v>0</v>
      </c>
      <c r="J503" s="141"/>
      <c r="K503" s="141"/>
      <c r="L503" s="141"/>
      <c r="M503" s="59"/>
    </row>
    <row r="504" spans="2:13">
      <c r="B504" s="135"/>
      <c r="C504" s="136"/>
      <c r="D504" s="137"/>
      <c r="E504" s="138"/>
      <c r="F504" s="139"/>
      <c r="G504" s="1" t="str">
        <f>IFERROR(IF(ventas_b_mes1[[#This Row],[CUIT]]="","-",VLOOKUP(ventas_b_mes1[[#This Row],[CUIT]],Lista_CUIT[#All],2,0)),"CUIT NO CARGADO")</f>
        <v>-</v>
      </c>
      <c r="H504" s="64">
        <f>ventas_b_mes1[[#This Row],[TOTAL]]/1.21</f>
        <v>0</v>
      </c>
      <c r="I504" s="140">
        <f>ventas_b_mes1[[#This Row],[IMPORTE NETO]]*0.21</f>
        <v>0</v>
      </c>
      <c r="J504" s="141"/>
      <c r="K504" s="141"/>
      <c r="L504" s="141"/>
      <c r="M504" s="59"/>
    </row>
    <row r="505" spans="2:13">
      <c r="B505" s="135"/>
      <c r="C505" s="136"/>
      <c r="D505" s="137"/>
      <c r="E505" s="138"/>
      <c r="F505" s="139"/>
      <c r="G505" s="1" t="str">
        <f>IFERROR(IF(ventas_b_mes1[[#This Row],[CUIT]]="","-",VLOOKUP(ventas_b_mes1[[#This Row],[CUIT]],Lista_CUIT[#All],2,0)),"CUIT NO CARGADO")</f>
        <v>-</v>
      </c>
      <c r="H505" s="64">
        <f>ventas_b_mes1[[#This Row],[TOTAL]]/1.21</f>
        <v>0</v>
      </c>
      <c r="I505" s="140">
        <f>ventas_b_mes1[[#This Row],[IMPORTE NETO]]*0.21</f>
        <v>0</v>
      </c>
      <c r="J505" s="141"/>
      <c r="K505" s="141"/>
      <c r="L505" s="141"/>
      <c r="M505" s="59"/>
    </row>
    <row r="506" spans="2:13">
      <c r="B506" s="135"/>
      <c r="C506" s="136"/>
      <c r="D506" s="137"/>
      <c r="E506" s="138"/>
      <c r="F506" s="139"/>
      <c r="G506" s="1" t="str">
        <f>IFERROR(IF(ventas_b_mes1[[#This Row],[CUIT]]="","-",VLOOKUP(ventas_b_mes1[[#This Row],[CUIT]],Lista_CUIT[#All],2,0)),"CUIT NO CARGADO")</f>
        <v>-</v>
      </c>
      <c r="H506" s="64">
        <f>ventas_b_mes1[[#This Row],[TOTAL]]/1.21</f>
        <v>0</v>
      </c>
      <c r="I506" s="140">
        <f>ventas_b_mes1[[#This Row],[IMPORTE NETO]]*0.21</f>
        <v>0</v>
      </c>
      <c r="J506" s="141"/>
      <c r="K506" s="141"/>
      <c r="L506" s="141"/>
      <c r="M506" s="59"/>
    </row>
    <row r="507" spans="2:13">
      <c r="B507" s="135"/>
      <c r="C507" s="136"/>
      <c r="D507" s="137"/>
      <c r="E507" s="138"/>
      <c r="F507" s="139"/>
      <c r="G507" s="1" t="str">
        <f>IFERROR(IF(ventas_b_mes1[[#This Row],[CUIT]]="","-",VLOOKUP(ventas_b_mes1[[#This Row],[CUIT]],Lista_CUIT[#All],2,0)),"CUIT NO CARGADO")</f>
        <v>-</v>
      </c>
      <c r="H507" s="64">
        <f>ventas_b_mes1[[#This Row],[TOTAL]]/1.21</f>
        <v>0</v>
      </c>
      <c r="I507" s="140">
        <f>ventas_b_mes1[[#This Row],[IMPORTE NETO]]*0.21</f>
        <v>0</v>
      </c>
      <c r="J507" s="141"/>
      <c r="K507" s="141"/>
      <c r="L507" s="141"/>
      <c r="M507" s="59"/>
    </row>
    <row r="508" spans="2:13">
      <c r="B508" s="135"/>
      <c r="C508" s="136"/>
      <c r="D508" s="137"/>
      <c r="E508" s="138"/>
      <c r="F508" s="139"/>
      <c r="G508" s="1" t="str">
        <f>IFERROR(IF(ventas_b_mes1[[#This Row],[CUIT]]="","-",VLOOKUP(ventas_b_mes1[[#This Row],[CUIT]],Lista_CUIT[#All],2,0)),"CUIT NO CARGADO")</f>
        <v>-</v>
      </c>
      <c r="H508" s="64">
        <f>ventas_b_mes1[[#This Row],[TOTAL]]/1.21</f>
        <v>0</v>
      </c>
      <c r="I508" s="140">
        <f>ventas_b_mes1[[#This Row],[IMPORTE NETO]]*0.21</f>
        <v>0</v>
      </c>
      <c r="J508" s="141"/>
      <c r="K508" s="141"/>
      <c r="L508" s="141"/>
      <c r="M508" s="59"/>
    </row>
    <row r="509" spans="2:13">
      <c r="B509" s="135"/>
      <c r="C509" s="136"/>
      <c r="D509" s="137"/>
      <c r="E509" s="138"/>
      <c r="F509" s="139"/>
      <c r="G509" s="1" t="str">
        <f>IFERROR(IF(ventas_b_mes1[[#This Row],[CUIT]]="","-",VLOOKUP(ventas_b_mes1[[#This Row],[CUIT]],Lista_CUIT[#All],2,0)),"CUIT NO CARGADO")</f>
        <v>-</v>
      </c>
      <c r="H509" s="64">
        <f>ventas_b_mes1[[#This Row],[TOTAL]]/1.21</f>
        <v>0</v>
      </c>
      <c r="I509" s="140">
        <f>ventas_b_mes1[[#This Row],[IMPORTE NETO]]*0.21</f>
        <v>0</v>
      </c>
      <c r="J509" s="141"/>
      <c r="K509" s="141"/>
      <c r="L509" s="141"/>
      <c r="M509" s="59"/>
    </row>
    <row r="510" spans="2:13">
      <c r="B510" s="135"/>
      <c r="C510" s="136"/>
      <c r="D510" s="137"/>
      <c r="E510" s="138"/>
      <c r="F510" s="139"/>
      <c r="G510" s="1" t="str">
        <f>IFERROR(IF(ventas_b_mes1[[#This Row],[CUIT]]="","-",VLOOKUP(ventas_b_mes1[[#This Row],[CUIT]],Lista_CUIT[#All],2,0)),"CUIT NO CARGADO")</f>
        <v>-</v>
      </c>
      <c r="H510" s="64">
        <f>ventas_b_mes1[[#This Row],[TOTAL]]/1.21</f>
        <v>0</v>
      </c>
      <c r="I510" s="140">
        <f>ventas_b_mes1[[#This Row],[IMPORTE NETO]]*0.21</f>
        <v>0</v>
      </c>
      <c r="J510" s="141"/>
      <c r="K510" s="141"/>
      <c r="L510" s="141"/>
      <c r="M510" s="59"/>
    </row>
    <row r="511" spans="2:13">
      <c r="B511" s="135"/>
      <c r="C511" s="136"/>
      <c r="D511" s="137"/>
      <c r="E511" s="138"/>
      <c r="F511" s="139"/>
      <c r="G511" s="1" t="str">
        <f>IFERROR(IF(ventas_b_mes1[[#This Row],[CUIT]]="","-",VLOOKUP(ventas_b_mes1[[#This Row],[CUIT]],Lista_CUIT[#All],2,0)),"CUIT NO CARGADO")</f>
        <v>-</v>
      </c>
      <c r="H511" s="64">
        <f>ventas_b_mes1[[#This Row],[TOTAL]]/1.21</f>
        <v>0</v>
      </c>
      <c r="I511" s="140">
        <f>ventas_b_mes1[[#This Row],[IMPORTE NETO]]*0.21</f>
        <v>0</v>
      </c>
      <c r="J511" s="141"/>
      <c r="K511" s="141"/>
      <c r="L511" s="141"/>
      <c r="M511" s="59"/>
    </row>
    <row r="512" spans="2:13">
      <c r="B512" s="135"/>
      <c r="C512" s="136"/>
      <c r="D512" s="137"/>
      <c r="E512" s="138"/>
      <c r="F512" s="139"/>
      <c r="G512" s="1" t="str">
        <f>IFERROR(IF(ventas_b_mes1[[#This Row],[CUIT]]="","-",VLOOKUP(ventas_b_mes1[[#This Row],[CUIT]],Lista_CUIT[#All],2,0)),"CUIT NO CARGADO")</f>
        <v>-</v>
      </c>
      <c r="H512" s="64">
        <f>ventas_b_mes1[[#This Row],[TOTAL]]/1.21</f>
        <v>0</v>
      </c>
      <c r="I512" s="140">
        <f>ventas_b_mes1[[#This Row],[IMPORTE NETO]]*0.21</f>
        <v>0</v>
      </c>
      <c r="J512" s="141"/>
      <c r="K512" s="141"/>
      <c r="L512" s="141"/>
      <c r="M512" s="59"/>
    </row>
    <row r="513" spans="2:13">
      <c r="B513" s="135"/>
      <c r="C513" s="136"/>
      <c r="D513" s="137"/>
      <c r="E513" s="138"/>
      <c r="F513" s="139"/>
      <c r="G513" s="1" t="str">
        <f>IFERROR(IF(ventas_b_mes1[[#This Row],[CUIT]]="","-",VLOOKUP(ventas_b_mes1[[#This Row],[CUIT]],Lista_CUIT[#All],2,0)),"CUIT NO CARGADO")</f>
        <v>-</v>
      </c>
      <c r="H513" s="64">
        <f>ventas_b_mes1[[#This Row],[TOTAL]]/1.21</f>
        <v>0</v>
      </c>
      <c r="I513" s="140">
        <f>ventas_b_mes1[[#This Row],[IMPORTE NETO]]*0.21</f>
        <v>0</v>
      </c>
      <c r="J513" s="141"/>
      <c r="K513" s="141"/>
      <c r="L513" s="141"/>
      <c r="M513" s="59"/>
    </row>
    <row r="514" spans="2:13">
      <c r="B514" s="135"/>
      <c r="C514" s="136"/>
      <c r="D514" s="137"/>
      <c r="E514" s="138"/>
      <c r="F514" s="139"/>
      <c r="G514" s="1" t="str">
        <f>IFERROR(IF(ventas_b_mes1[[#This Row],[CUIT]]="","-",VLOOKUP(ventas_b_mes1[[#This Row],[CUIT]],Lista_CUIT[#All],2,0)),"CUIT NO CARGADO")</f>
        <v>-</v>
      </c>
      <c r="H514" s="64">
        <f>ventas_b_mes1[[#This Row],[TOTAL]]/1.21</f>
        <v>0</v>
      </c>
      <c r="I514" s="140">
        <f>ventas_b_mes1[[#This Row],[IMPORTE NETO]]*0.21</f>
        <v>0</v>
      </c>
      <c r="J514" s="141"/>
      <c r="K514" s="141"/>
      <c r="L514" s="141"/>
      <c r="M514" s="59"/>
    </row>
    <row r="515" spans="2:13">
      <c r="B515" s="135"/>
      <c r="C515" s="136"/>
      <c r="D515" s="137"/>
      <c r="E515" s="138"/>
      <c r="F515" s="139"/>
      <c r="G515" s="1" t="str">
        <f>IFERROR(IF(ventas_b_mes1[[#This Row],[CUIT]]="","-",VLOOKUP(ventas_b_mes1[[#This Row],[CUIT]],Lista_CUIT[#All],2,0)),"CUIT NO CARGADO")</f>
        <v>-</v>
      </c>
      <c r="H515" s="64">
        <f>ventas_b_mes1[[#This Row],[TOTAL]]/1.21</f>
        <v>0</v>
      </c>
      <c r="I515" s="140">
        <f>ventas_b_mes1[[#This Row],[IMPORTE NETO]]*0.21</f>
        <v>0</v>
      </c>
      <c r="J515" s="141"/>
      <c r="K515" s="141"/>
      <c r="L515" s="141"/>
      <c r="M515" s="59"/>
    </row>
    <row r="516" spans="2:13">
      <c r="B516" s="135"/>
      <c r="C516" s="136"/>
      <c r="D516" s="137"/>
      <c r="E516" s="138"/>
      <c r="F516" s="139"/>
      <c r="G516" s="1" t="str">
        <f>IFERROR(IF(ventas_b_mes1[[#This Row],[CUIT]]="","-",VLOOKUP(ventas_b_mes1[[#This Row],[CUIT]],Lista_CUIT[#All],2,0)),"CUIT NO CARGADO")</f>
        <v>-</v>
      </c>
      <c r="H516" s="64">
        <f>ventas_b_mes1[[#This Row],[TOTAL]]/1.21</f>
        <v>0</v>
      </c>
      <c r="I516" s="140">
        <f>ventas_b_mes1[[#This Row],[IMPORTE NETO]]*0.21</f>
        <v>0</v>
      </c>
      <c r="J516" s="141"/>
      <c r="K516" s="141"/>
      <c r="L516" s="141"/>
      <c r="M516" s="59"/>
    </row>
    <row r="517" spans="2:13">
      <c r="B517" s="135"/>
      <c r="C517" s="136"/>
      <c r="D517" s="137"/>
      <c r="E517" s="138"/>
      <c r="F517" s="139"/>
      <c r="G517" s="1" t="str">
        <f>IFERROR(IF(ventas_b_mes1[[#This Row],[CUIT]]="","-",VLOOKUP(ventas_b_mes1[[#This Row],[CUIT]],Lista_CUIT[#All],2,0)),"CUIT NO CARGADO")</f>
        <v>-</v>
      </c>
      <c r="H517" s="64">
        <f>ventas_b_mes1[[#This Row],[TOTAL]]/1.21</f>
        <v>0</v>
      </c>
      <c r="I517" s="140">
        <f>ventas_b_mes1[[#This Row],[IMPORTE NETO]]*0.21</f>
        <v>0</v>
      </c>
      <c r="J517" s="141"/>
      <c r="K517" s="141"/>
      <c r="L517" s="141"/>
      <c r="M517" s="59"/>
    </row>
    <row r="518" spans="2:13">
      <c r="B518" s="135"/>
      <c r="C518" s="136"/>
      <c r="D518" s="137"/>
      <c r="E518" s="138"/>
      <c r="F518" s="139"/>
      <c r="G518" s="1" t="str">
        <f>IFERROR(IF(ventas_b_mes1[[#This Row],[CUIT]]="","-",VLOOKUP(ventas_b_mes1[[#This Row],[CUIT]],Lista_CUIT[#All],2,0)),"CUIT NO CARGADO")</f>
        <v>-</v>
      </c>
      <c r="H518" s="64">
        <f>ventas_b_mes1[[#This Row],[TOTAL]]/1.21</f>
        <v>0</v>
      </c>
      <c r="I518" s="140">
        <f>ventas_b_mes1[[#This Row],[IMPORTE NETO]]*0.21</f>
        <v>0</v>
      </c>
      <c r="J518" s="141"/>
      <c r="K518" s="141"/>
      <c r="L518" s="141"/>
      <c r="M518" s="59"/>
    </row>
    <row r="519" spans="2:13">
      <c r="B519" s="135"/>
      <c r="C519" s="136"/>
      <c r="D519" s="137"/>
      <c r="E519" s="138"/>
      <c r="F519" s="139"/>
      <c r="G519" s="1" t="str">
        <f>IFERROR(IF(ventas_b_mes1[[#This Row],[CUIT]]="","-",VLOOKUP(ventas_b_mes1[[#This Row],[CUIT]],Lista_CUIT[#All],2,0)),"CUIT NO CARGADO")</f>
        <v>-</v>
      </c>
      <c r="H519" s="64">
        <f>ventas_b_mes1[[#This Row],[TOTAL]]/1.21</f>
        <v>0</v>
      </c>
      <c r="I519" s="140">
        <f>ventas_b_mes1[[#This Row],[IMPORTE NETO]]*0.21</f>
        <v>0</v>
      </c>
      <c r="J519" s="141"/>
      <c r="K519" s="141"/>
      <c r="L519" s="141"/>
      <c r="M519" s="59"/>
    </row>
    <row r="520" spans="2:13">
      <c r="B520" s="135"/>
      <c r="C520" s="136"/>
      <c r="D520" s="137"/>
      <c r="E520" s="138"/>
      <c r="F520" s="139"/>
      <c r="G520" s="1" t="str">
        <f>IFERROR(IF(ventas_b_mes1[[#This Row],[CUIT]]="","-",VLOOKUP(ventas_b_mes1[[#This Row],[CUIT]],Lista_CUIT[#All],2,0)),"CUIT NO CARGADO")</f>
        <v>-</v>
      </c>
      <c r="H520" s="64">
        <f>ventas_b_mes1[[#This Row],[TOTAL]]/1.21</f>
        <v>0</v>
      </c>
      <c r="I520" s="140">
        <f>ventas_b_mes1[[#This Row],[IMPORTE NETO]]*0.21</f>
        <v>0</v>
      </c>
      <c r="J520" s="141"/>
      <c r="K520" s="141"/>
      <c r="L520" s="141"/>
      <c r="M520" s="59"/>
    </row>
    <row r="521" spans="2:13">
      <c r="B521" s="135"/>
      <c r="C521" s="136"/>
      <c r="D521" s="137"/>
      <c r="E521" s="138"/>
      <c r="F521" s="139"/>
      <c r="G521" s="1" t="str">
        <f>IFERROR(IF(ventas_b_mes1[[#This Row],[CUIT]]="","-",VLOOKUP(ventas_b_mes1[[#This Row],[CUIT]],Lista_CUIT[#All],2,0)),"CUIT NO CARGADO")</f>
        <v>-</v>
      </c>
      <c r="H521" s="64">
        <f>ventas_b_mes1[[#This Row],[TOTAL]]/1.21</f>
        <v>0</v>
      </c>
      <c r="I521" s="140">
        <f>ventas_b_mes1[[#This Row],[IMPORTE NETO]]*0.21</f>
        <v>0</v>
      </c>
      <c r="J521" s="141"/>
      <c r="K521" s="141"/>
      <c r="L521" s="141"/>
      <c r="M521" s="59"/>
    </row>
    <row r="522" spans="2:13">
      <c r="B522" s="135"/>
      <c r="C522" s="136"/>
      <c r="D522" s="137"/>
      <c r="E522" s="138"/>
      <c r="F522" s="139"/>
      <c r="G522" s="1" t="str">
        <f>IFERROR(IF(ventas_b_mes1[[#This Row],[CUIT]]="","-",VLOOKUP(ventas_b_mes1[[#This Row],[CUIT]],Lista_CUIT[#All],2,0)),"CUIT NO CARGADO")</f>
        <v>-</v>
      </c>
      <c r="H522" s="64">
        <f>ventas_b_mes1[[#This Row],[TOTAL]]/1.21</f>
        <v>0</v>
      </c>
      <c r="I522" s="140">
        <f>ventas_b_mes1[[#This Row],[IMPORTE NETO]]*0.21</f>
        <v>0</v>
      </c>
      <c r="J522" s="141"/>
      <c r="K522" s="141"/>
      <c r="L522" s="141"/>
      <c r="M522" s="59"/>
    </row>
    <row r="523" spans="2:13">
      <c r="B523" s="135"/>
      <c r="C523" s="136"/>
      <c r="D523" s="137"/>
      <c r="E523" s="138"/>
      <c r="F523" s="139"/>
      <c r="G523" s="1" t="str">
        <f>IFERROR(IF(ventas_b_mes1[[#This Row],[CUIT]]="","-",VLOOKUP(ventas_b_mes1[[#This Row],[CUIT]],Lista_CUIT[#All],2,0)),"CUIT NO CARGADO")</f>
        <v>-</v>
      </c>
      <c r="H523" s="64">
        <f>ventas_b_mes1[[#This Row],[TOTAL]]/1.21</f>
        <v>0</v>
      </c>
      <c r="I523" s="140">
        <f>ventas_b_mes1[[#This Row],[IMPORTE NETO]]*0.21</f>
        <v>0</v>
      </c>
      <c r="J523" s="141"/>
      <c r="K523" s="141"/>
      <c r="L523" s="141"/>
      <c r="M523" s="59"/>
    </row>
    <row r="524" spans="2:13">
      <c r="B524" s="135"/>
      <c r="C524" s="136"/>
      <c r="D524" s="137"/>
      <c r="E524" s="138"/>
      <c r="F524" s="139"/>
      <c r="G524" s="1" t="str">
        <f>IFERROR(IF(ventas_b_mes1[[#This Row],[CUIT]]="","-",VLOOKUP(ventas_b_mes1[[#This Row],[CUIT]],Lista_CUIT[#All],2,0)),"CUIT NO CARGADO")</f>
        <v>-</v>
      </c>
      <c r="H524" s="64">
        <f>ventas_b_mes1[[#This Row],[TOTAL]]/1.21</f>
        <v>0</v>
      </c>
      <c r="I524" s="140">
        <f>ventas_b_mes1[[#This Row],[IMPORTE NETO]]*0.21</f>
        <v>0</v>
      </c>
      <c r="J524" s="141"/>
      <c r="K524" s="141"/>
      <c r="L524" s="141"/>
      <c r="M524" s="59"/>
    </row>
    <row r="525" spans="2:13">
      <c r="B525" s="135"/>
      <c r="C525" s="136"/>
      <c r="D525" s="137"/>
      <c r="E525" s="138"/>
      <c r="F525" s="139"/>
      <c r="G525" s="1" t="str">
        <f>IFERROR(IF(ventas_b_mes1[[#This Row],[CUIT]]="","-",VLOOKUP(ventas_b_mes1[[#This Row],[CUIT]],Lista_CUIT[#All],2,0)),"CUIT NO CARGADO")</f>
        <v>-</v>
      </c>
      <c r="H525" s="64">
        <f>ventas_b_mes1[[#This Row],[TOTAL]]/1.21</f>
        <v>0</v>
      </c>
      <c r="I525" s="140">
        <f>ventas_b_mes1[[#This Row],[IMPORTE NETO]]*0.21</f>
        <v>0</v>
      </c>
      <c r="J525" s="141"/>
      <c r="K525" s="141"/>
      <c r="L525" s="141"/>
      <c r="M525" s="59"/>
    </row>
    <row r="526" spans="2:13">
      <c r="B526" s="135"/>
      <c r="C526" s="136"/>
      <c r="D526" s="137"/>
      <c r="E526" s="138"/>
      <c r="F526" s="139"/>
      <c r="G526" s="1" t="str">
        <f>IFERROR(IF(ventas_b_mes1[[#This Row],[CUIT]]="","-",VLOOKUP(ventas_b_mes1[[#This Row],[CUIT]],Lista_CUIT[#All],2,0)),"CUIT NO CARGADO")</f>
        <v>-</v>
      </c>
      <c r="H526" s="64">
        <f>ventas_b_mes1[[#This Row],[TOTAL]]/1.21</f>
        <v>0</v>
      </c>
      <c r="I526" s="140">
        <f>ventas_b_mes1[[#This Row],[IMPORTE NETO]]*0.21</f>
        <v>0</v>
      </c>
      <c r="J526" s="141"/>
      <c r="K526" s="141"/>
      <c r="L526" s="141"/>
      <c r="M526" s="59"/>
    </row>
    <row r="527" spans="2:13">
      <c r="B527" s="135"/>
      <c r="C527" s="136"/>
      <c r="D527" s="137"/>
      <c r="E527" s="138"/>
      <c r="F527" s="139"/>
      <c r="G527" s="1" t="str">
        <f>IFERROR(IF(ventas_b_mes1[[#This Row],[CUIT]]="","-",VLOOKUP(ventas_b_mes1[[#This Row],[CUIT]],Lista_CUIT[#All],2,0)),"CUIT NO CARGADO")</f>
        <v>-</v>
      </c>
      <c r="H527" s="64">
        <f>ventas_b_mes1[[#This Row],[TOTAL]]/1.21</f>
        <v>0</v>
      </c>
      <c r="I527" s="140">
        <f>ventas_b_mes1[[#This Row],[IMPORTE NETO]]*0.21</f>
        <v>0</v>
      </c>
      <c r="J527" s="141"/>
      <c r="K527" s="141"/>
      <c r="L527" s="141"/>
      <c r="M527" s="59"/>
    </row>
    <row r="528" spans="2:13">
      <c r="B528" s="135"/>
      <c r="C528" s="136"/>
      <c r="D528" s="137"/>
      <c r="E528" s="138"/>
      <c r="F528" s="139"/>
      <c r="G528" s="1" t="str">
        <f>IFERROR(IF(ventas_b_mes1[[#This Row],[CUIT]]="","-",VLOOKUP(ventas_b_mes1[[#This Row],[CUIT]],Lista_CUIT[#All],2,0)),"CUIT NO CARGADO")</f>
        <v>-</v>
      </c>
      <c r="H528" s="64">
        <f>ventas_b_mes1[[#This Row],[TOTAL]]/1.21</f>
        <v>0</v>
      </c>
      <c r="I528" s="140">
        <f>ventas_b_mes1[[#This Row],[IMPORTE NETO]]*0.21</f>
        <v>0</v>
      </c>
      <c r="J528" s="141"/>
      <c r="K528" s="141"/>
      <c r="L528" s="141"/>
      <c r="M528" s="59"/>
    </row>
    <row r="529" spans="2:13">
      <c r="B529" s="135"/>
      <c r="C529" s="136"/>
      <c r="D529" s="137"/>
      <c r="E529" s="138"/>
      <c r="F529" s="139"/>
      <c r="G529" s="1" t="str">
        <f>IFERROR(IF(ventas_b_mes1[[#This Row],[CUIT]]="","-",VLOOKUP(ventas_b_mes1[[#This Row],[CUIT]],Lista_CUIT[#All],2,0)),"CUIT NO CARGADO")</f>
        <v>-</v>
      </c>
      <c r="H529" s="64">
        <f>ventas_b_mes1[[#This Row],[TOTAL]]/1.21</f>
        <v>0</v>
      </c>
      <c r="I529" s="140">
        <f>ventas_b_mes1[[#This Row],[IMPORTE NETO]]*0.21</f>
        <v>0</v>
      </c>
      <c r="J529" s="141"/>
      <c r="K529" s="141"/>
      <c r="L529" s="141"/>
      <c r="M529" s="59"/>
    </row>
    <row r="530" spans="2:13">
      <c r="B530" s="135"/>
      <c r="C530" s="136"/>
      <c r="D530" s="137"/>
      <c r="E530" s="138"/>
      <c r="F530" s="139"/>
      <c r="G530" s="1" t="str">
        <f>IFERROR(IF(ventas_b_mes1[[#This Row],[CUIT]]="","-",VLOOKUP(ventas_b_mes1[[#This Row],[CUIT]],Lista_CUIT[#All],2,0)),"CUIT NO CARGADO")</f>
        <v>-</v>
      </c>
      <c r="H530" s="64">
        <f>ventas_b_mes1[[#This Row],[TOTAL]]/1.21</f>
        <v>0</v>
      </c>
      <c r="I530" s="140">
        <f>ventas_b_mes1[[#This Row],[IMPORTE NETO]]*0.21</f>
        <v>0</v>
      </c>
      <c r="J530" s="141"/>
      <c r="K530" s="141"/>
      <c r="L530" s="141"/>
      <c r="M530" s="59"/>
    </row>
    <row r="531" spans="2:13">
      <c r="B531" s="135"/>
      <c r="C531" s="136"/>
      <c r="D531" s="137"/>
      <c r="E531" s="138"/>
      <c r="F531" s="139"/>
      <c r="G531" s="1" t="str">
        <f>IFERROR(IF(ventas_b_mes1[[#This Row],[CUIT]]="","-",VLOOKUP(ventas_b_mes1[[#This Row],[CUIT]],Lista_CUIT[#All],2,0)),"CUIT NO CARGADO")</f>
        <v>-</v>
      </c>
      <c r="H531" s="64">
        <f>ventas_b_mes1[[#This Row],[TOTAL]]/1.21</f>
        <v>0</v>
      </c>
      <c r="I531" s="140">
        <f>ventas_b_mes1[[#This Row],[IMPORTE NETO]]*0.21</f>
        <v>0</v>
      </c>
      <c r="J531" s="141"/>
      <c r="K531" s="141"/>
      <c r="L531" s="141"/>
      <c r="M531" s="59"/>
    </row>
    <row r="532" spans="2:13">
      <c r="B532" s="135"/>
      <c r="C532" s="136"/>
      <c r="D532" s="137"/>
      <c r="E532" s="138"/>
      <c r="F532" s="139"/>
      <c r="G532" s="1" t="str">
        <f>IFERROR(IF(ventas_b_mes1[[#This Row],[CUIT]]="","-",VLOOKUP(ventas_b_mes1[[#This Row],[CUIT]],Lista_CUIT[#All],2,0)),"CUIT NO CARGADO")</f>
        <v>-</v>
      </c>
      <c r="H532" s="64">
        <f>ventas_b_mes1[[#This Row],[TOTAL]]/1.21</f>
        <v>0</v>
      </c>
      <c r="I532" s="140">
        <f>ventas_b_mes1[[#This Row],[IMPORTE NETO]]*0.21</f>
        <v>0</v>
      </c>
      <c r="J532" s="141"/>
      <c r="K532" s="141"/>
      <c r="L532" s="141"/>
      <c r="M532" s="59"/>
    </row>
    <row r="533" spans="2:13">
      <c r="B533" s="135"/>
      <c r="C533" s="136"/>
      <c r="D533" s="137"/>
      <c r="E533" s="138"/>
      <c r="F533" s="139"/>
      <c r="G533" s="1" t="str">
        <f>IFERROR(IF(ventas_b_mes1[[#This Row],[CUIT]]="","-",VLOOKUP(ventas_b_mes1[[#This Row],[CUIT]],Lista_CUIT[#All],2,0)),"CUIT NO CARGADO")</f>
        <v>-</v>
      </c>
      <c r="H533" s="64">
        <f>ventas_b_mes1[[#This Row],[TOTAL]]/1.21</f>
        <v>0</v>
      </c>
      <c r="I533" s="140">
        <f>ventas_b_mes1[[#This Row],[IMPORTE NETO]]*0.21</f>
        <v>0</v>
      </c>
      <c r="J533" s="141"/>
      <c r="K533" s="141"/>
      <c r="L533" s="141"/>
      <c r="M533" s="59"/>
    </row>
    <row r="534" spans="2:13">
      <c r="B534" s="135"/>
      <c r="C534" s="136"/>
      <c r="D534" s="137"/>
      <c r="E534" s="138"/>
      <c r="F534" s="139"/>
      <c r="G534" s="1" t="str">
        <f>IFERROR(IF(ventas_b_mes1[[#This Row],[CUIT]]="","-",VLOOKUP(ventas_b_mes1[[#This Row],[CUIT]],Lista_CUIT[#All],2,0)),"CUIT NO CARGADO")</f>
        <v>-</v>
      </c>
      <c r="H534" s="64">
        <f>ventas_b_mes1[[#This Row],[TOTAL]]/1.21</f>
        <v>0</v>
      </c>
      <c r="I534" s="140">
        <f>ventas_b_mes1[[#This Row],[IMPORTE NETO]]*0.21</f>
        <v>0</v>
      </c>
      <c r="J534" s="141"/>
      <c r="K534" s="141"/>
      <c r="L534" s="141"/>
      <c r="M534" s="59"/>
    </row>
    <row r="535" spans="2:13">
      <c r="B535" s="135"/>
      <c r="C535" s="136"/>
      <c r="D535" s="137"/>
      <c r="E535" s="138"/>
      <c r="F535" s="139"/>
      <c r="G535" s="1" t="str">
        <f>IFERROR(IF(ventas_b_mes1[[#This Row],[CUIT]]="","-",VLOOKUP(ventas_b_mes1[[#This Row],[CUIT]],Lista_CUIT[#All],2,0)),"CUIT NO CARGADO")</f>
        <v>-</v>
      </c>
      <c r="H535" s="64">
        <f>ventas_b_mes1[[#This Row],[TOTAL]]/1.21</f>
        <v>0</v>
      </c>
      <c r="I535" s="140">
        <f>ventas_b_mes1[[#This Row],[IMPORTE NETO]]*0.21</f>
        <v>0</v>
      </c>
      <c r="J535" s="141"/>
      <c r="K535" s="141"/>
      <c r="L535" s="141"/>
      <c r="M535" s="59"/>
    </row>
    <row r="536" spans="2:13">
      <c r="B536" s="135"/>
      <c r="C536" s="136"/>
      <c r="D536" s="137"/>
      <c r="E536" s="138"/>
      <c r="F536" s="139"/>
      <c r="G536" s="1" t="str">
        <f>IFERROR(IF(ventas_b_mes1[[#This Row],[CUIT]]="","-",VLOOKUP(ventas_b_mes1[[#This Row],[CUIT]],Lista_CUIT[#All],2,0)),"CUIT NO CARGADO")</f>
        <v>-</v>
      </c>
      <c r="H536" s="64">
        <f>ventas_b_mes1[[#This Row],[TOTAL]]/1.21</f>
        <v>0</v>
      </c>
      <c r="I536" s="140">
        <f>ventas_b_mes1[[#This Row],[IMPORTE NETO]]*0.21</f>
        <v>0</v>
      </c>
      <c r="J536" s="141"/>
      <c r="K536" s="141"/>
      <c r="L536" s="141"/>
      <c r="M536" s="59"/>
    </row>
    <row r="537" spans="2:13">
      <c r="B537" s="135"/>
      <c r="C537" s="136"/>
      <c r="D537" s="137"/>
      <c r="E537" s="138"/>
      <c r="F537" s="139"/>
      <c r="G537" s="1" t="str">
        <f>IFERROR(IF(ventas_b_mes1[[#This Row],[CUIT]]="","-",VLOOKUP(ventas_b_mes1[[#This Row],[CUIT]],Lista_CUIT[#All],2,0)),"CUIT NO CARGADO")</f>
        <v>-</v>
      </c>
      <c r="H537" s="64">
        <f>ventas_b_mes1[[#This Row],[TOTAL]]/1.21</f>
        <v>0</v>
      </c>
      <c r="I537" s="140">
        <f>ventas_b_mes1[[#This Row],[IMPORTE NETO]]*0.21</f>
        <v>0</v>
      </c>
      <c r="J537" s="141"/>
      <c r="K537" s="141"/>
      <c r="L537" s="141"/>
      <c r="M537" s="59"/>
    </row>
    <row r="538" spans="2:13">
      <c r="B538" s="135"/>
      <c r="C538" s="136"/>
      <c r="D538" s="137"/>
      <c r="E538" s="138"/>
      <c r="F538" s="139"/>
      <c r="G538" s="1" t="str">
        <f>IFERROR(IF(ventas_b_mes1[[#This Row],[CUIT]]="","-",VLOOKUP(ventas_b_mes1[[#This Row],[CUIT]],Lista_CUIT[#All],2,0)),"CUIT NO CARGADO")</f>
        <v>-</v>
      </c>
      <c r="H538" s="64">
        <f>ventas_b_mes1[[#This Row],[TOTAL]]/1.21</f>
        <v>0</v>
      </c>
      <c r="I538" s="140">
        <f>ventas_b_mes1[[#This Row],[IMPORTE NETO]]*0.21</f>
        <v>0</v>
      </c>
      <c r="J538" s="141"/>
      <c r="K538" s="141"/>
      <c r="L538" s="141"/>
      <c r="M538" s="59"/>
    </row>
    <row r="539" spans="2:13">
      <c r="B539" s="135"/>
      <c r="C539" s="136"/>
      <c r="D539" s="137"/>
      <c r="E539" s="138"/>
      <c r="F539" s="139"/>
      <c r="G539" s="1" t="str">
        <f>IFERROR(IF(ventas_b_mes1[[#This Row],[CUIT]]="","-",VLOOKUP(ventas_b_mes1[[#This Row],[CUIT]],Lista_CUIT[#All],2,0)),"CUIT NO CARGADO")</f>
        <v>-</v>
      </c>
      <c r="H539" s="64">
        <f>ventas_b_mes1[[#This Row],[TOTAL]]/1.21</f>
        <v>0</v>
      </c>
      <c r="I539" s="140">
        <f>ventas_b_mes1[[#This Row],[IMPORTE NETO]]*0.21</f>
        <v>0</v>
      </c>
      <c r="J539" s="141"/>
      <c r="K539" s="141"/>
      <c r="L539" s="141"/>
      <c r="M539" s="59"/>
    </row>
    <row r="540" spans="2:13">
      <c r="B540" s="135"/>
      <c r="C540" s="136"/>
      <c r="D540" s="137"/>
      <c r="E540" s="138"/>
      <c r="F540" s="139"/>
      <c r="G540" s="1" t="str">
        <f>IFERROR(IF(ventas_b_mes1[[#This Row],[CUIT]]="","-",VLOOKUP(ventas_b_mes1[[#This Row],[CUIT]],Lista_CUIT[#All],2,0)),"CUIT NO CARGADO")</f>
        <v>-</v>
      </c>
      <c r="H540" s="64">
        <f>ventas_b_mes1[[#This Row],[TOTAL]]/1.21</f>
        <v>0</v>
      </c>
      <c r="I540" s="140">
        <f>ventas_b_mes1[[#This Row],[IMPORTE NETO]]*0.21</f>
        <v>0</v>
      </c>
      <c r="J540" s="141"/>
      <c r="K540" s="141"/>
      <c r="L540" s="141"/>
      <c r="M540" s="59"/>
    </row>
    <row r="541" spans="2:13">
      <c r="B541" s="135"/>
      <c r="C541" s="136"/>
      <c r="D541" s="137"/>
      <c r="E541" s="138"/>
      <c r="F541" s="139"/>
      <c r="G541" s="1" t="str">
        <f>IFERROR(IF(ventas_b_mes1[[#This Row],[CUIT]]="","-",VLOOKUP(ventas_b_mes1[[#This Row],[CUIT]],Lista_CUIT[#All],2,0)),"CUIT NO CARGADO")</f>
        <v>-</v>
      </c>
      <c r="H541" s="64">
        <f>ventas_b_mes1[[#This Row],[TOTAL]]/1.21</f>
        <v>0</v>
      </c>
      <c r="I541" s="140">
        <f>ventas_b_mes1[[#This Row],[IMPORTE NETO]]*0.21</f>
        <v>0</v>
      </c>
      <c r="J541" s="141"/>
      <c r="K541" s="141"/>
      <c r="L541" s="141"/>
      <c r="M541" s="59"/>
    </row>
    <row r="542" spans="2:13">
      <c r="B542" s="135"/>
      <c r="C542" s="136"/>
      <c r="D542" s="137"/>
      <c r="E542" s="138"/>
      <c r="F542" s="139"/>
      <c r="G542" s="1" t="str">
        <f>IFERROR(IF(ventas_b_mes1[[#This Row],[CUIT]]="","-",VLOOKUP(ventas_b_mes1[[#This Row],[CUIT]],Lista_CUIT[#All],2,0)),"CUIT NO CARGADO")</f>
        <v>-</v>
      </c>
      <c r="H542" s="64">
        <f>ventas_b_mes1[[#This Row],[TOTAL]]/1.21</f>
        <v>0</v>
      </c>
      <c r="I542" s="140">
        <f>ventas_b_mes1[[#This Row],[IMPORTE NETO]]*0.21</f>
        <v>0</v>
      </c>
      <c r="J542" s="141"/>
      <c r="K542" s="141"/>
      <c r="L542" s="141"/>
      <c r="M542" s="59"/>
    </row>
    <row r="543" spans="2:13">
      <c r="B543" s="135"/>
      <c r="C543" s="136"/>
      <c r="D543" s="137"/>
      <c r="E543" s="138"/>
      <c r="F543" s="139"/>
      <c r="G543" s="1" t="str">
        <f>IFERROR(IF(ventas_b_mes1[[#This Row],[CUIT]]="","-",VLOOKUP(ventas_b_mes1[[#This Row],[CUIT]],Lista_CUIT[#All],2,0)),"CUIT NO CARGADO")</f>
        <v>-</v>
      </c>
      <c r="H543" s="64">
        <f>ventas_b_mes1[[#This Row],[TOTAL]]/1.21</f>
        <v>0</v>
      </c>
      <c r="I543" s="140">
        <f>ventas_b_mes1[[#This Row],[IMPORTE NETO]]*0.21</f>
        <v>0</v>
      </c>
      <c r="J543" s="141"/>
      <c r="K543" s="141"/>
      <c r="L543" s="141"/>
      <c r="M543" s="59"/>
    </row>
    <row r="544" spans="2:13">
      <c r="B544" s="135"/>
      <c r="C544" s="136"/>
      <c r="D544" s="137"/>
      <c r="E544" s="138"/>
      <c r="F544" s="139"/>
      <c r="G544" s="1" t="str">
        <f>IFERROR(IF(ventas_b_mes1[[#This Row],[CUIT]]="","-",VLOOKUP(ventas_b_mes1[[#This Row],[CUIT]],Lista_CUIT[#All],2,0)),"CUIT NO CARGADO")</f>
        <v>-</v>
      </c>
      <c r="H544" s="64">
        <f>ventas_b_mes1[[#This Row],[TOTAL]]/1.21</f>
        <v>0</v>
      </c>
      <c r="I544" s="140">
        <f>ventas_b_mes1[[#This Row],[IMPORTE NETO]]*0.21</f>
        <v>0</v>
      </c>
      <c r="J544" s="141"/>
      <c r="K544" s="141"/>
      <c r="L544" s="141"/>
      <c r="M544" s="59"/>
    </row>
    <row r="545" spans="2:13">
      <c r="B545" s="135"/>
      <c r="C545" s="136"/>
      <c r="D545" s="137"/>
      <c r="E545" s="138"/>
      <c r="F545" s="139"/>
      <c r="G545" s="1" t="str">
        <f>IFERROR(IF(ventas_b_mes1[[#This Row],[CUIT]]="","-",VLOOKUP(ventas_b_mes1[[#This Row],[CUIT]],Lista_CUIT[#All],2,0)),"CUIT NO CARGADO")</f>
        <v>-</v>
      </c>
      <c r="H545" s="64">
        <f>ventas_b_mes1[[#This Row],[TOTAL]]/1.21</f>
        <v>0</v>
      </c>
      <c r="I545" s="140">
        <f>ventas_b_mes1[[#This Row],[IMPORTE NETO]]*0.21</f>
        <v>0</v>
      </c>
      <c r="J545" s="141"/>
      <c r="K545" s="141"/>
      <c r="L545" s="141"/>
      <c r="M545" s="59"/>
    </row>
    <row r="546" spans="2:13">
      <c r="B546" s="135"/>
      <c r="C546" s="136"/>
      <c r="D546" s="137"/>
      <c r="E546" s="138"/>
      <c r="F546" s="139"/>
      <c r="G546" s="1" t="str">
        <f>IFERROR(IF(ventas_b_mes1[[#This Row],[CUIT]]="","-",VLOOKUP(ventas_b_mes1[[#This Row],[CUIT]],Lista_CUIT[#All],2,0)),"CUIT NO CARGADO")</f>
        <v>-</v>
      </c>
      <c r="H546" s="64">
        <f>ventas_b_mes1[[#This Row],[TOTAL]]/1.21</f>
        <v>0</v>
      </c>
      <c r="I546" s="140">
        <f>ventas_b_mes1[[#This Row],[IMPORTE NETO]]*0.21</f>
        <v>0</v>
      </c>
      <c r="J546" s="141"/>
      <c r="K546" s="141"/>
      <c r="L546" s="141"/>
      <c r="M546" s="59"/>
    </row>
    <row r="547" spans="2:13">
      <c r="B547" s="135"/>
      <c r="C547" s="136"/>
      <c r="D547" s="137"/>
      <c r="E547" s="138"/>
      <c r="F547" s="139"/>
      <c r="G547" s="1" t="str">
        <f>IFERROR(IF(ventas_b_mes1[[#This Row],[CUIT]]="","-",VLOOKUP(ventas_b_mes1[[#This Row],[CUIT]],Lista_CUIT[#All],2,0)),"CUIT NO CARGADO")</f>
        <v>-</v>
      </c>
      <c r="H547" s="64">
        <f>ventas_b_mes1[[#This Row],[TOTAL]]/1.21</f>
        <v>0</v>
      </c>
      <c r="I547" s="140">
        <f>ventas_b_mes1[[#This Row],[IMPORTE NETO]]*0.21</f>
        <v>0</v>
      </c>
      <c r="J547" s="141"/>
      <c r="K547" s="141"/>
      <c r="L547" s="141"/>
      <c r="M547" s="59"/>
    </row>
    <row r="548" spans="2:13">
      <c r="B548" s="40"/>
      <c r="C548" s="41"/>
      <c r="D548" s="42"/>
      <c r="E548" s="43"/>
      <c r="F548" s="44"/>
      <c r="G548" s="1" t="str">
        <f>IFERROR(IF(ventas_b_mes1[[#This Row],[CUIT]]="","-",VLOOKUP(ventas_b_mes1[[#This Row],[CUIT]],Lista_CUIT[#All],2,0)),"CUIT NO CARGADO")</f>
        <v>-</v>
      </c>
      <c r="H548" s="64">
        <f>ventas_b_mes1[[#This Row],[TOTAL]]/1.21</f>
        <v>0</v>
      </c>
      <c r="I548" s="64">
        <f>ventas_b_mes1[[#This Row],[IMPORTE NETO]]*0.21</f>
        <v>0</v>
      </c>
      <c r="J548" s="64"/>
      <c r="K548" s="64"/>
      <c r="L548" s="64"/>
      <c r="M548" s="59"/>
    </row>
    <row r="549" spans="2:13">
      <c r="B549" s="135"/>
      <c r="C549" s="136"/>
      <c r="D549" s="137"/>
      <c r="E549" s="138"/>
      <c r="F549" s="139"/>
      <c r="G549" s="1" t="str">
        <f>IFERROR(IF(ventas_b_mes1[[#This Row],[CUIT]]="","-",VLOOKUP(ventas_b_mes1[[#This Row],[CUIT]],Lista_CUIT[#All],2,0)),"CUIT NO CARGADO")</f>
        <v>-</v>
      </c>
      <c r="H549" s="64">
        <f>ventas_b_mes1[[#This Row],[TOTAL]]/1.21</f>
        <v>0</v>
      </c>
      <c r="I549" s="140">
        <f>ventas_b_mes1[[#This Row],[IMPORTE NETO]]*0.21</f>
        <v>0</v>
      </c>
      <c r="J549" s="141"/>
      <c r="K549" s="141"/>
      <c r="L549" s="141"/>
      <c r="M549" s="59"/>
    </row>
    <row r="550" spans="2:13">
      <c r="B550" s="135"/>
      <c r="C550" s="136"/>
      <c r="D550" s="137"/>
      <c r="E550" s="138"/>
      <c r="F550" s="139"/>
      <c r="G550" s="1" t="str">
        <f>IFERROR(IF(ventas_b_mes1[[#This Row],[CUIT]]="","-",VLOOKUP(ventas_b_mes1[[#This Row],[CUIT]],Lista_CUIT[#All],2,0)),"CUIT NO CARGADO")</f>
        <v>-</v>
      </c>
      <c r="H550" s="64">
        <f>ventas_b_mes1[[#This Row],[TOTAL]]/1.21</f>
        <v>0</v>
      </c>
      <c r="I550" s="140">
        <f>ventas_b_mes1[[#This Row],[IMPORTE NETO]]*0.21</f>
        <v>0</v>
      </c>
      <c r="J550" s="141"/>
      <c r="K550" s="141"/>
      <c r="L550" s="141"/>
      <c r="M550" s="59"/>
    </row>
    <row r="551" spans="2:13">
      <c r="B551" s="135"/>
      <c r="C551" s="136"/>
      <c r="D551" s="137"/>
      <c r="E551" s="138"/>
      <c r="F551" s="139"/>
      <c r="G551" s="1" t="str">
        <f>IFERROR(IF(ventas_b_mes1[[#This Row],[CUIT]]="","-",VLOOKUP(ventas_b_mes1[[#This Row],[CUIT]],Lista_CUIT[#All],2,0)),"CUIT NO CARGADO")</f>
        <v>-</v>
      </c>
      <c r="H551" s="64">
        <f>ventas_b_mes1[[#This Row],[TOTAL]]/1.21</f>
        <v>0</v>
      </c>
      <c r="I551" s="140">
        <f>ventas_b_mes1[[#This Row],[IMPORTE NETO]]*0.21</f>
        <v>0</v>
      </c>
      <c r="J551" s="141"/>
      <c r="K551" s="141"/>
      <c r="L551" s="141"/>
      <c r="M551" s="59"/>
    </row>
    <row r="552" spans="2:13">
      <c r="B552" s="135"/>
      <c r="C552" s="136"/>
      <c r="D552" s="137"/>
      <c r="E552" s="138"/>
      <c r="F552" s="139"/>
      <c r="G552" s="1" t="str">
        <f>IFERROR(IF(ventas_b_mes1[[#This Row],[CUIT]]="","-",VLOOKUP(ventas_b_mes1[[#This Row],[CUIT]],Lista_CUIT[#All],2,0)),"CUIT NO CARGADO")</f>
        <v>-</v>
      </c>
      <c r="H552" s="64">
        <f>ventas_b_mes1[[#This Row],[TOTAL]]/1.21</f>
        <v>0</v>
      </c>
      <c r="I552" s="140">
        <f>ventas_b_mes1[[#This Row],[IMPORTE NETO]]*0.21</f>
        <v>0</v>
      </c>
      <c r="J552" s="141"/>
      <c r="K552" s="141"/>
      <c r="L552" s="141"/>
      <c r="M552" s="59"/>
    </row>
    <row r="553" spans="2:13">
      <c r="B553" s="135"/>
      <c r="C553" s="136"/>
      <c r="D553" s="137"/>
      <c r="E553" s="138"/>
      <c r="F553" s="139"/>
      <c r="G553" s="1" t="str">
        <f>IFERROR(IF(ventas_b_mes1[[#This Row],[CUIT]]="","-",VLOOKUP(ventas_b_mes1[[#This Row],[CUIT]],Lista_CUIT[#All],2,0)),"CUIT NO CARGADO")</f>
        <v>-</v>
      </c>
      <c r="H553" s="64">
        <f>ventas_b_mes1[[#This Row],[TOTAL]]/1.21</f>
        <v>0</v>
      </c>
      <c r="I553" s="140">
        <f>ventas_b_mes1[[#This Row],[IMPORTE NETO]]*0.21</f>
        <v>0</v>
      </c>
      <c r="J553" s="141"/>
      <c r="K553" s="141"/>
      <c r="L553" s="141"/>
      <c r="M553" s="59"/>
    </row>
    <row r="554" spans="2:13">
      <c r="B554" s="135"/>
      <c r="C554" s="136"/>
      <c r="D554" s="137"/>
      <c r="E554" s="138"/>
      <c r="F554" s="139"/>
      <c r="G554" s="1" t="str">
        <f>IFERROR(IF(ventas_b_mes1[[#This Row],[CUIT]]="","-",VLOOKUP(ventas_b_mes1[[#This Row],[CUIT]],Lista_CUIT[#All],2,0)),"CUIT NO CARGADO")</f>
        <v>-</v>
      </c>
      <c r="H554" s="64">
        <f>ventas_b_mes1[[#This Row],[TOTAL]]/1.21</f>
        <v>0</v>
      </c>
      <c r="I554" s="140">
        <f>ventas_b_mes1[[#This Row],[IMPORTE NETO]]*0.21</f>
        <v>0</v>
      </c>
      <c r="J554" s="141"/>
      <c r="K554" s="141"/>
      <c r="L554" s="141"/>
      <c r="M554" s="59"/>
    </row>
    <row r="555" spans="2:13">
      <c r="B555" s="135"/>
      <c r="C555" s="136"/>
      <c r="D555" s="137"/>
      <c r="E555" s="138"/>
      <c r="F555" s="139"/>
      <c r="G555" s="1" t="str">
        <f>IFERROR(IF(ventas_b_mes1[[#This Row],[CUIT]]="","-",VLOOKUP(ventas_b_mes1[[#This Row],[CUIT]],Lista_CUIT[#All],2,0)),"CUIT NO CARGADO")</f>
        <v>-</v>
      </c>
      <c r="H555" s="64">
        <f>ventas_b_mes1[[#This Row],[TOTAL]]/1.21</f>
        <v>0</v>
      </c>
      <c r="I555" s="140">
        <f>ventas_b_mes1[[#This Row],[IMPORTE NETO]]*0.21</f>
        <v>0</v>
      </c>
      <c r="J555" s="141"/>
      <c r="K555" s="141"/>
      <c r="L555" s="141"/>
      <c r="M555" s="59"/>
    </row>
    <row r="556" spans="2:13">
      <c r="B556" s="135"/>
      <c r="C556" s="136"/>
      <c r="D556" s="137"/>
      <c r="E556" s="138"/>
      <c r="F556" s="139"/>
      <c r="G556" s="1" t="str">
        <f>IFERROR(IF(ventas_b_mes1[[#This Row],[CUIT]]="","-",VLOOKUP(ventas_b_mes1[[#This Row],[CUIT]],Lista_CUIT[#All],2,0)),"CUIT NO CARGADO")</f>
        <v>-</v>
      </c>
      <c r="H556" s="64">
        <f>ventas_b_mes1[[#This Row],[TOTAL]]/1.21</f>
        <v>0</v>
      </c>
      <c r="I556" s="140">
        <f>ventas_b_mes1[[#This Row],[IMPORTE NETO]]*0.21</f>
        <v>0</v>
      </c>
      <c r="J556" s="141"/>
      <c r="K556" s="141"/>
      <c r="L556" s="141"/>
      <c r="M556" s="59"/>
    </row>
    <row r="557" spans="2:13">
      <c r="B557" s="135"/>
      <c r="C557" s="136"/>
      <c r="D557" s="137"/>
      <c r="E557" s="138"/>
      <c r="F557" s="139"/>
      <c r="G557" s="1" t="str">
        <f>IFERROR(IF(ventas_b_mes1[[#This Row],[CUIT]]="","-",VLOOKUP(ventas_b_mes1[[#This Row],[CUIT]],Lista_CUIT[#All],2,0)),"CUIT NO CARGADO")</f>
        <v>-</v>
      </c>
      <c r="H557" s="64">
        <f>ventas_b_mes1[[#This Row],[TOTAL]]/1.21</f>
        <v>0</v>
      </c>
      <c r="I557" s="140">
        <f>ventas_b_mes1[[#This Row],[IMPORTE NETO]]*0.21</f>
        <v>0</v>
      </c>
      <c r="J557" s="141"/>
      <c r="K557" s="141"/>
      <c r="L557" s="141"/>
      <c r="M557" s="59"/>
    </row>
    <row r="558" spans="2:13">
      <c r="B558" s="135"/>
      <c r="C558" s="136"/>
      <c r="D558" s="137"/>
      <c r="E558" s="138"/>
      <c r="F558" s="139"/>
      <c r="G558" s="1" t="str">
        <f>IFERROR(IF(ventas_b_mes1[[#This Row],[CUIT]]="","-",VLOOKUP(ventas_b_mes1[[#This Row],[CUIT]],Lista_CUIT[#All],2,0)),"CUIT NO CARGADO")</f>
        <v>-</v>
      </c>
      <c r="H558" s="64">
        <f>ventas_b_mes1[[#This Row],[TOTAL]]/1.21</f>
        <v>0</v>
      </c>
      <c r="I558" s="140">
        <f>ventas_b_mes1[[#This Row],[IMPORTE NETO]]*0.21</f>
        <v>0</v>
      </c>
      <c r="J558" s="141"/>
      <c r="K558" s="141"/>
      <c r="L558" s="141"/>
      <c r="M558" s="59"/>
    </row>
    <row r="559" spans="2:13">
      <c r="B559" s="135"/>
      <c r="C559" s="136"/>
      <c r="D559" s="137"/>
      <c r="E559" s="138"/>
      <c r="F559" s="139"/>
      <c r="G559" s="1" t="str">
        <f>IFERROR(IF(ventas_b_mes1[[#This Row],[CUIT]]="","-",VLOOKUP(ventas_b_mes1[[#This Row],[CUIT]],Lista_CUIT[#All],2,0)),"CUIT NO CARGADO")</f>
        <v>-</v>
      </c>
      <c r="H559" s="64">
        <f>ventas_b_mes1[[#This Row],[TOTAL]]/1.21</f>
        <v>0</v>
      </c>
      <c r="I559" s="140">
        <f>ventas_b_mes1[[#This Row],[IMPORTE NETO]]*0.21</f>
        <v>0</v>
      </c>
      <c r="J559" s="141"/>
      <c r="K559" s="141"/>
      <c r="L559" s="141"/>
      <c r="M559" s="59"/>
    </row>
    <row r="560" spans="2:13">
      <c r="B560" s="135"/>
      <c r="C560" s="136"/>
      <c r="D560" s="137"/>
      <c r="E560" s="138"/>
      <c r="F560" s="139"/>
      <c r="G560" s="1" t="str">
        <f>IFERROR(IF(ventas_b_mes1[[#This Row],[CUIT]]="","-",VLOOKUP(ventas_b_mes1[[#This Row],[CUIT]],Lista_CUIT[#All],2,0)),"CUIT NO CARGADO")</f>
        <v>-</v>
      </c>
      <c r="H560" s="64">
        <f>ventas_b_mes1[[#This Row],[TOTAL]]/1.21</f>
        <v>0</v>
      </c>
      <c r="I560" s="140">
        <f>ventas_b_mes1[[#This Row],[IMPORTE NETO]]*0.21</f>
        <v>0</v>
      </c>
      <c r="J560" s="141"/>
      <c r="K560" s="141"/>
      <c r="L560" s="141"/>
      <c r="M560" s="59"/>
    </row>
    <row r="561" spans="2:13">
      <c r="B561" s="135"/>
      <c r="C561" s="136"/>
      <c r="D561" s="137"/>
      <c r="E561" s="138"/>
      <c r="F561" s="139"/>
      <c r="G561" s="1" t="str">
        <f>IFERROR(IF(ventas_b_mes1[[#This Row],[CUIT]]="","-",VLOOKUP(ventas_b_mes1[[#This Row],[CUIT]],Lista_CUIT[#All],2,0)),"CUIT NO CARGADO")</f>
        <v>-</v>
      </c>
      <c r="H561" s="64">
        <f>ventas_b_mes1[[#This Row],[TOTAL]]/1.21</f>
        <v>0</v>
      </c>
      <c r="I561" s="140">
        <f>ventas_b_mes1[[#This Row],[IMPORTE NETO]]*0.21</f>
        <v>0</v>
      </c>
      <c r="J561" s="141"/>
      <c r="K561" s="141"/>
      <c r="L561" s="141"/>
      <c r="M561" s="59"/>
    </row>
    <row r="562" spans="2:13">
      <c r="B562" s="135"/>
      <c r="C562" s="136"/>
      <c r="D562" s="137"/>
      <c r="E562" s="138"/>
      <c r="F562" s="139"/>
      <c r="G562" s="1" t="str">
        <f>IFERROR(IF(ventas_b_mes1[[#This Row],[CUIT]]="","-",VLOOKUP(ventas_b_mes1[[#This Row],[CUIT]],Lista_CUIT[#All],2,0)),"CUIT NO CARGADO")</f>
        <v>-</v>
      </c>
      <c r="H562" s="64">
        <f>ventas_b_mes1[[#This Row],[TOTAL]]/1.21</f>
        <v>0</v>
      </c>
      <c r="I562" s="140">
        <f>ventas_b_mes1[[#This Row],[IMPORTE NETO]]*0.21</f>
        <v>0</v>
      </c>
      <c r="J562" s="141"/>
      <c r="K562" s="141"/>
      <c r="L562" s="141"/>
      <c r="M562" s="59"/>
    </row>
    <row r="563" spans="2:13">
      <c r="B563" s="135"/>
      <c r="C563" s="136"/>
      <c r="D563" s="137"/>
      <c r="E563" s="138"/>
      <c r="F563" s="139"/>
      <c r="G563" s="1" t="str">
        <f>IFERROR(IF(ventas_b_mes1[[#This Row],[CUIT]]="","-",VLOOKUP(ventas_b_mes1[[#This Row],[CUIT]],Lista_CUIT[#All],2,0)),"CUIT NO CARGADO")</f>
        <v>-</v>
      </c>
      <c r="H563" s="64">
        <f>ventas_b_mes1[[#This Row],[TOTAL]]/1.21</f>
        <v>0</v>
      </c>
      <c r="I563" s="140">
        <f>ventas_b_mes1[[#This Row],[IMPORTE NETO]]*0.21</f>
        <v>0</v>
      </c>
      <c r="J563" s="141"/>
      <c r="K563" s="141"/>
      <c r="L563" s="141"/>
      <c r="M563" s="59"/>
    </row>
    <row r="564" spans="2:13">
      <c r="B564" s="135"/>
      <c r="C564" s="136"/>
      <c r="D564" s="137"/>
      <c r="E564" s="138"/>
      <c r="F564" s="139"/>
      <c r="G564" s="1" t="str">
        <f>IFERROR(IF(ventas_b_mes1[[#This Row],[CUIT]]="","-",VLOOKUP(ventas_b_mes1[[#This Row],[CUIT]],Lista_CUIT[#All],2,0)),"CUIT NO CARGADO")</f>
        <v>-</v>
      </c>
      <c r="H564" s="64">
        <f>ventas_b_mes1[[#This Row],[TOTAL]]/1.21</f>
        <v>0</v>
      </c>
      <c r="I564" s="140">
        <f>ventas_b_mes1[[#This Row],[IMPORTE NETO]]*0.21</f>
        <v>0</v>
      </c>
      <c r="J564" s="141"/>
      <c r="K564" s="141"/>
      <c r="L564" s="141"/>
      <c r="M564" s="59"/>
    </row>
    <row r="565" spans="2:13">
      <c r="B565" s="135"/>
      <c r="C565" s="136"/>
      <c r="D565" s="137"/>
      <c r="E565" s="138"/>
      <c r="F565" s="139"/>
      <c r="G565" s="1" t="str">
        <f>IFERROR(IF(ventas_b_mes1[[#This Row],[CUIT]]="","-",VLOOKUP(ventas_b_mes1[[#This Row],[CUIT]],Lista_CUIT[#All],2,0)),"CUIT NO CARGADO")</f>
        <v>-</v>
      </c>
      <c r="H565" s="64">
        <f>ventas_b_mes1[[#This Row],[TOTAL]]/1.21</f>
        <v>0</v>
      </c>
      <c r="I565" s="140">
        <f>ventas_b_mes1[[#This Row],[IMPORTE NETO]]*0.21</f>
        <v>0</v>
      </c>
      <c r="J565" s="141"/>
      <c r="K565" s="141"/>
      <c r="L565" s="141"/>
      <c r="M565" s="59"/>
    </row>
    <row r="566" spans="2:13">
      <c r="B566" s="135"/>
      <c r="C566" s="136"/>
      <c r="D566" s="137"/>
      <c r="E566" s="138"/>
      <c r="F566" s="139"/>
      <c r="G566" s="1" t="str">
        <f>IFERROR(IF(ventas_b_mes1[[#This Row],[CUIT]]="","-",VLOOKUP(ventas_b_mes1[[#This Row],[CUIT]],Lista_CUIT[#All],2,0)),"CUIT NO CARGADO")</f>
        <v>-</v>
      </c>
      <c r="H566" s="64">
        <f>ventas_b_mes1[[#This Row],[TOTAL]]/1.21</f>
        <v>0</v>
      </c>
      <c r="I566" s="140">
        <f>ventas_b_mes1[[#This Row],[IMPORTE NETO]]*0.21</f>
        <v>0</v>
      </c>
      <c r="J566" s="141"/>
      <c r="K566" s="141"/>
      <c r="L566" s="141"/>
      <c r="M566" s="59"/>
    </row>
    <row r="567" spans="2:13">
      <c r="B567" s="135"/>
      <c r="C567" s="136"/>
      <c r="D567" s="137"/>
      <c r="E567" s="138"/>
      <c r="F567" s="139"/>
      <c r="G567" s="1" t="str">
        <f>IFERROR(IF(ventas_b_mes1[[#This Row],[CUIT]]="","-",VLOOKUP(ventas_b_mes1[[#This Row],[CUIT]],Lista_CUIT[#All],2,0)),"CUIT NO CARGADO")</f>
        <v>-</v>
      </c>
      <c r="H567" s="64">
        <f>ventas_b_mes1[[#This Row],[TOTAL]]/1.21</f>
        <v>0</v>
      </c>
      <c r="I567" s="140">
        <f>ventas_b_mes1[[#This Row],[IMPORTE NETO]]*0.21</f>
        <v>0</v>
      </c>
      <c r="J567" s="141"/>
      <c r="K567" s="141"/>
      <c r="L567" s="141"/>
      <c r="M567" s="59"/>
    </row>
    <row r="568" spans="2:13">
      <c r="B568" s="135"/>
      <c r="C568" s="136"/>
      <c r="D568" s="137"/>
      <c r="E568" s="138"/>
      <c r="F568" s="139"/>
      <c r="G568" s="1" t="str">
        <f>IFERROR(IF(ventas_b_mes1[[#This Row],[CUIT]]="","-",VLOOKUP(ventas_b_mes1[[#This Row],[CUIT]],Lista_CUIT[#All],2,0)),"CUIT NO CARGADO")</f>
        <v>-</v>
      </c>
      <c r="H568" s="64">
        <f>ventas_b_mes1[[#This Row],[TOTAL]]/1.21</f>
        <v>0</v>
      </c>
      <c r="I568" s="140">
        <f>ventas_b_mes1[[#This Row],[IMPORTE NETO]]*0.21</f>
        <v>0</v>
      </c>
      <c r="J568" s="141"/>
      <c r="K568" s="141"/>
      <c r="L568" s="141"/>
      <c r="M568" s="59"/>
    </row>
    <row r="569" spans="2:13">
      <c r="B569" s="135"/>
      <c r="C569" s="136"/>
      <c r="D569" s="137"/>
      <c r="E569" s="138"/>
      <c r="F569" s="139"/>
      <c r="G569" s="1" t="str">
        <f>IFERROR(IF(ventas_b_mes1[[#This Row],[CUIT]]="","-",VLOOKUP(ventas_b_mes1[[#This Row],[CUIT]],Lista_CUIT[#All],2,0)),"CUIT NO CARGADO")</f>
        <v>-</v>
      </c>
      <c r="H569" s="64">
        <f>ventas_b_mes1[[#This Row],[TOTAL]]/1.21</f>
        <v>0</v>
      </c>
      <c r="I569" s="140">
        <f>ventas_b_mes1[[#This Row],[IMPORTE NETO]]*0.21</f>
        <v>0</v>
      </c>
      <c r="J569" s="141"/>
      <c r="K569" s="141"/>
      <c r="L569" s="141"/>
      <c r="M569" s="59"/>
    </row>
    <row r="570" spans="2:13">
      <c r="B570" s="135"/>
      <c r="C570" s="136"/>
      <c r="D570" s="137"/>
      <c r="E570" s="138"/>
      <c r="F570" s="139"/>
      <c r="G570" s="1" t="str">
        <f>IFERROR(IF(ventas_b_mes1[[#This Row],[CUIT]]="","-",VLOOKUP(ventas_b_mes1[[#This Row],[CUIT]],Lista_CUIT[#All],2,0)),"CUIT NO CARGADO")</f>
        <v>-</v>
      </c>
      <c r="H570" s="64">
        <f>ventas_b_mes1[[#This Row],[TOTAL]]/1.21</f>
        <v>0</v>
      </c>
      <c r="I570" s="140">
        <f>ventas_b_mes1[[#This Row],[IMPORTE NETO]]*0.21</f>
        <v>0</v>
      </c>
      <c r="J570" s="141"/>
      <c r="K570" s="141"/>
      <c r="L570" s="141"/>
      <c r="M570" s="59"/>
    </row>
    <row r="571" spans="2:13">
      <c r="B571" s="135"/>
      <c r="C571" s="136"/>
      <c r="D571" s="137"/>
      <c r="E571" s="138"/>
      <c r="F571" s="139"/>
      <c r="G571" s="1" t="str">
        <f>IFERROR(IF(ventas_b_mes1[[#This Row],[CUIT]]="","-",VLOOKUP(ventas_b_mes1[[#This Row],[CUIT]],Lista_CUIT[#All],2,0)),"CUIT NO CARGADO")</f>
        <v>-</v>
      </c>
      <c r="H571" s="64">
        <f>ventas_b_mes1[[#This Row],[TOTAL]]/1.21</f>
        <v>0</v>
      </c>
      <c r="I571" s="140">
        <f>ventas_b_mes1[[#This Row],[IMPORTE NETO]]*0.21</f>
        <v>0</v>
      </c>
      <c r="J571" s="141"/>
      <c r="K571" s="141"/>
      <c r="L571" s="141"/>
      <c r="M571" s="59"/>
    </row>
    <row r="572" spans="2:13">
      <c r="B572" s="135"/>
      <c r="C572" s="136"/>
      <c r="D572" s="137"/>
      <c r="E572" s="138"/>
      <c r="F572" s="139"/>
      <c r="G572" s="1" t="str">
        <f>IFERROR(IF(ventas_b_mes1[[#This Row],[CUIT]]="","-",VLOOKUP(ventas_b_mes1[[#This Row],[CUIT]],Lista_CUIT[#All],2,0)),"CUIT NO CARGADO")</f>
        <v>-</v>
      </c>
      <c r="H572" s="64">
        <f>ventas_b_mes1[[#This Row],[TOTAL]]/1.21</f>
        <v>0</v>
      </c>
      <c r="I572" s="140">
        <f>ventas_b_mes1[[#This Row],[IMPORTE NETO]]*0.21</f>
        <v>0</v>
      </c>
      <c r="J572" s="141"/>
      <c r="K572" s="141"/>
      <c r="L572" s="141"/>
      <c r="M572" s="59"/>
    </row>
    <row r="573" spans="2:13">
      <c r="B573" s="135"/>
      <c r="C573" s="136"/>
      <c r="D573" s="137"/>
      <c r="E573" s="138"/>
      <c r="F573" s="139"/>
      <c r="G573" s="1" t="str">
        <f>IFERROR(IF(ventas_b_mes1[[#This Row],[CUIT]]="","-",VLOOKUP(ventas_b_mes1[[#This Row],[CUIT]],Lista_CUIT[#All],2,0)),"CUIT NO CARGADO")</f>
        <v>-</v>
      </c>
      <c r="H573" s="64">
        <f>ventas_b_mes1[[#This Row],[TOTAL]]/1.21</f>
        <v>0</v>
      </c>
      <c r="I573" s="140">
        <f>ventas_b_mes1[[#This Row],[IMPORTE NETO]]*0.21</f>
        <v>0</v>
      </c>
      <c r="J573" s="141"/>
      <c r="K573" s="141"/>
      <c r="L573" s="141"/>
      <c r="M573" s="59"/>
    </row>
    <row r="574" spans="2:13">
      <c r="B574" s="135"/>
      <c r="C574" s="136"/>
      <c r="D574" s="137"/>
      <c r="E574" s="138"/>
      <c r="F574" s="139"/>
      <c r="G574" s="1" t="str">
        <f>IFERROR(IF(ventas_b_mes1[[#This Row],[CUIT]]="","-",VLOOKUP(ventas_b_mes1[[#This Row],[CUIT]],Lista_CUIT[#All],2,0)),"CUIT NO CARGADO")</f>
        <v>-</v>
      </c>
      <c r="H574" s="64">
        <f>ventas_b_mes1[[#This Row],[TOTAL]]/1.21</f>
        <v>0</v>
      </c>
      <c r="I574" s="140">
        <f>ventas_b_mes1[[#This Row],[IMPORTE NETO]]*0.21</f>
        <v>0</v>
      </c>
      <c r="J574" s="141"/>
      <c r="K574" s="141"/>
      <c r="L574" s="141"/>
      <c r="M574" s="59"/>
    </row>
    <row r="575" spans="2:13">
      <c r="B575" s="135"/>
      <c r="C575" s="136"/>
      <c r="D575" s="137"/>
      <c r="E575" s="138"/>
      <c r="F575" s="139"/>
      <c r="G575" s="1" t="str">
        <f>IFERROR(IF(ventas_b_mes1[[#This Row],[CUIT]]="","-",VLOOKUP(ventas_b_mes1[[#This Row],[CUIT]],Lista_CUIT[#All],2,0)),"CUIT NO CARGADO")</f>
        <v>-</v>
      </c>
      <c r="H575" s="64">
        <f>ventas_b_mes1[[#This Row],[TOTAL]]/1.21</f>
        <v>0</v>
      </c>
      <c r="I575" s="140">
        <f>ventas_b_mes1[[#This Row],[IMPORTE NETO]]*0.21</f>
        <v>0</v>
      </c>
      <c r="J575" s="141"/>
      <c r="K575" s="141"/>
      <c r="L575" s="141"/>
      <c r="M575" s="59"/>
    </row>
    <row r="576" spans="2:13">
      <c r="B576" s="135"/>
      <c r="C576" s="136"/>
      <c r="D576" s="137"/>
      <c r="E576" s="138"/>
      <c r="F576" s="139"/>
      <c r="G576" s="1" t="str">
        <f>IFERROR(IF(ventas_b_mes1[[#This Row],[CUIT]]="","-",VLOOKUP(ventas_b_mes1[[#This Row],[CUIT]],Lista_CUIT[#All],2,0)),"CUIT NO CARGADO")</f>
        <v>-</v>
      </c>
      <c r="H576" s="64">
        <f>ventas_b_mes1[[#This Row],[TOTAL]]/1.21</f>
        <v>0</v>
      </c>
      <c r="I576" s="140">
        <f>ventas_b_mes1[[#This Row],[IMPORTE NETO]]*0.21</f>
        <v>0</v>
      </c>
      <c r="J576" s="141"/>
      <c r="K576" s="141"/>
      <c r="L576" s="141"/>
      <c r="M576" s="59"/>
    </row>
    <row r="577" spans="2:13">
      <c r="B577" s="135"/>
      <c r="C577" s="136"/>
      <c r="D577" s="137"/>
      <c r="E577" s="138"/>
      <c r="F577" s="139"/>
      <c r="G577" s="1" t="str">
        <f>IFERROR(IF(ventas_b_mes1[[#This Row],[CUIT]]="","-",VLOOKUP(ventas_b_mes1[[#This Row],[CUIT]],Lista_CUIT[#All],2,0)),"CUIT NO CARGADO")</f>
        <v>-</v>
      </c>
      <c r="H577" s="64">
        <f>ventas_b_mes1[[#This Row],[TOTAL]]/1.21</f>
        <v>0</v>
      </c>
      <c r="I577" s="140">
        <f>ventas_b_mes1[[#This Row],[IMPORTE NETO]]*0.21</f>
        <v>0</v>
      </c>
      <c r="J577" s="141"/>
      <c r="K577" s="141"/>
      <c r="L577" s="141"/>
      <c r="M577" s="59"/>
    </row>
    <row r="578" spans="2:13">
      <c r="B578" s="135"/>
      <c r="C578" s="136"/>
      <c r="D578" s="137"/>
      <c r="E578" s="138"/>
      <c r="F578" s="139"/>
      <c r="G578" s="1" t="str">
        <f>IFERROR(IF(ventas_b_mes1[[#This Row],[CUIT]]="","-",VLOOKUP(ventas_b_mes1[[#This Row],[CUIT]],Lista_CUIT[#All],2,0)),"CUIT NO CARGADO")</f>
        <v>-</v>
      </c>
      <c r="H578" s="64">
        <f>ventas_b_mes1[[#This Row],[TOTAL]]/1.21</f>
        <v>0</v>
      </c>
      <c r="I578" s="140">
        <f>ventas_b_mes1[[#This Row],[IMPORTE NETO]]*0.21</f>
        <v>0</v>
      </c>
      <c r="J578" s="141"/>
      <c r="K578" s="141"/>
      <c r="L578" s="141"/>
      <c r="M578" s="59"/>
    </row>
    <row r="579" spans="2:13">
      <c r="B579" s="135"/>
      <c r="C579" s="136"/>
      <c r="D579" s="137"/>
      <c r="E579" s="138"/>
      <c r="F579" s="139"/>
      <c r="G579" s="1" t="str">
        <f>IFERROR(IF(ventas_b_mes1[[#This Row],[CUIT]]="","-",VLOOKUP(ventas_b_mes1[[#This Row],[CUIT]],Lista_CUIT[#All],2,0)),"CUIT NO CARGADO")</f>
        <v>-</v>
      </c>
      <c r="H579" s="64">
        <f>ventas_b_mes1[[#This Row],[TOTAL]]/1.21</f>
        <v>0</v>
      </c>
      <c r="I579" s="140">
        <f>ventas_b_mes1[[#This Row],[IMPORTE NETO]]*0.21</f>
        <v>0</v>
      </c>
      <c r="J579" s="141"/>
      <c r="K579" s="141"/>
      <c r="L579" s="141"/>
      <c r="M579" s="59"/>
    </row>
    <row r="580" spans="2:13">
      <c r="B580" s="135"/>
      <c r="C580" s="136"/>
      <c r="D580" s="137"/>
      <c r="E580" s="138"/>
      <c r="F580" s="139"/>
      <c r="G580" s="1" t="str">
        <f>IFERROR(IF(ventas_b_mes1[[#This Row],[CUIT]]="","-",VLOOKUP(ventas_b_mes1[[#This Row],[CUIT]],Lista_CUIT[#All],2,0)),"CUIT NO CARGADO")</f>
        <v>-</v>
      </c>
      <c r="H580" s="64">
        <f>ventas_b_mes1[[#This Row],[TOTAL]]/1.21</f>
        <v>0</v>
      </c>
      <c r="I580" s="140">
        <f>ventas_b_mes1[[#This Row],[IMPORTE NETO]]*0.21</f>
        <v>0</v>
      </c>
      <c r="J580" s="141"/>
      <c r="K580" s="141"/>
      <c r="L580" s="141"/>
      <c r="M580" s="59"/>
    </row>
    <row r="581" spans="2:13">
      <c r="B581" s="135"/>
      <c r="C581" s="136"/>
      <c r="D581" s="137"/>
      <c r="E581" s="138"/>
      <c r="F581" s="139"/>
      <c r="G581" s="1" t="str">
        <f>IFERROR(IF(ventas_b_mes1[[#This Row],[CUIT]]="","-",VLOOKUP(ventas_b_mes1[[#This Row],[CUIT]],Lista_CUIT[#All],2,0)),"CUIT NO CARGADO")</f>
        <v>-</v>
      </c>
      <c r="H581" s="64">
        <f>ventas_b_mes1[[#This Row],[TOTAL]]/1.21</f>
        <v>0</v>
      </c>
      <c r="I581" s="140">
        <f>ventas_b_mes1[[#This Row],[IMPORTE NETO]]*0.21</f>
        <v>0</v>
      </c>
      <c r="J581" s="141"/>
      <c r="K581" s="141"/>
      <c r="L581" s="141"/>
      <c r="M581" s="59"/>
    </row>
    <row r="582" spans="2:13">
      <c r="B582" s="135"/>
      <c r="C582" s="136"/>
      <c r="D582" s="137"/>
      <c r="E582" s="138"/>
      <c r="F582" s="139"/>
      <c r="G582" s="1" t="str">
        <f>IFERROR(IF(ventas_b_mes1[[#This Row],[CUIT]]="","-",VLOOKUP(ventas_b_mes1[[#This Row],[CUIT]],Lista_CUIT[#All],2,0)),"CUIT NO CARGADO")</f>
        <v>-</v>
      </c>
      <c r="H582" s="64">
        <f>ventas_b_mes1[[#This Row],[TOTAL]]/1.21</f>
        <v>0</v>
      </c>
      <c r="I582" s="140">
        <f>ventas_b_mes1[[#This Row],[IMPORTE NETO]]*0.21</f>
        <v>0</v>
      </c>
      <c r="J582" s="141"/>
      <c r="K582" s="141"/>
      <c r="L582" s="141"/>
      <c r="M582" s="59"/>
    </row>
    <row r="583" spans="2:13">
      <c r="B583" s="135"/>
      <c r="C583" s="136"/>
      <c r="D583" s="137"/>
      <c r="E583" s="138"/>
      <c r="F583" s="139"/>
      <c r="G583" s="1" t="str">
        <f>IFERROR(IF(ventas_b_mes1[[#This Row],[CUIT]]="","-",VLOOKUP(ventas_b_mes1[[#This Row],[CUIT]],Lista_CUIT[#All],2,0)),"CUIT NO CARGADO")</f>
        <v>-</v>
      </c>
      <c r="H583" s="64">
        <f>ventas_b_mes1[[#This Row],[TOTAL]]/1.21</f>
        <v>0</v>
      </c>
      <c r="I583" s="140">
        <f>ventas_b_mes1[[#This Row],[IMPORTE NETO]]*0.21</f>
        <v>0</v>
      </c>
      <c r="J583" s="141"/>
      <c r="K583" s="141"/>
      <c r="L583" s="141"/>
      <c r="M583" s="59"/>
    </row>
    <row r="584" spans="2:13">
      <c r="B584" s="135"/>
      <c r="C584" s="136"/>
      <c r="D584" s="137"/>
      <c r="E584" s="138"/>
      <c r="F584" s="139"/>
      <c r="G584" s="1" t="str">
        <f>IFERROR(IF(ventas_b_mes1[[#This Row],[CUIT]]="","-",VLOOKUP(ventas_b_mes1[[#This Row],[CUIT]],Lista_CUIT[#All],2,0)),"CUIT NO CARGADO")</f>
        <v>-</v>
      </c>
      <c r="H584" s="64">
        <f>ventas_b_mes1[[#This Row],[TOTAL]]/1.21</f>
        <v>0</v>
      </c>
      <c r="I584" s="140">
        <f>ventas_b_mes1[[#This Row],[IMPORTE NETO]]*0.21</f>
        <v>0</v>
      </c>
      <c r="J584" s="141"/>
      <c r="K584" s="141"/>
      <c r="L584" s="141"/>
      <c r="M584" s="59"/>
    </row>
    <row r="585" spans="2:13">
      <c r="B585" s="135"/>
      <c r="C585" s="136"/>
      <c r="D585" s="137"/>
      <c r="E585" s="138"/>
      <c r="F585" s="139"/>
      <c r="G585" s="1" t="str">
        <f>IFERROR(IF(ventas_b_mes1[[#This Row],[CUIT]]="","-",VLOOKUP(ventas_b_mes1[[#This Row],[CUIT]],Lista_CUIT[#All],2,0)),"CUIT NO CARGADO")</f>
        <v>-</v>
      </c>
      <c r="H585" s="64">
        <f>ventas_b_mes1[[#This Row],[TOTAL]]/1.21</f>
        <v>0</v>
      </c>
      <c r="I585" s="140">
        <f>ventas_b_mes1[[#This Row],[IMPORTE NETO]]*0.21</f>
        <v>0</v>
      </c>
      <c r="J585" s="141"/>
      <c r="K585" s="141"/>
      <c r="L585" s="141"/>
      <c r="M585" s="59"/>
    </row>
    <row r="586" spans="2:13">
      <c r="B586" s="135"/>
      <c r="C586" s="136"/>
      <c r="D586" s="137"/>
      <c r="E586" s="138"/>
      <c r="F586" s="139"/>
      <c r="G586" s="1" t="str">
        <f>IFERROR(IF(ventas_b_mes1[[#This Row],[CUIT]]="","-",VLOOKUP(ventas_b_mes1[[#This Row],[CUIT]],Lista_CUIT[#All],2,0)),"CUIT NO CARGADO")</f>
        <v>-</v>
      </c>
      <c r="H586" s="64">
        <f>ventas_b_mes1[[#This Row],[TOTAL]]/1.21</f>
        <v>0</v>
      </c>
      <c r="I586" s="140">
        <f>ventas_b_mes1[[#This Row],[IMPORTE NETO]]*0.21</f>
        <v>0</v>
      </c>
      <c r="J586" s="141"/>
      <c r="K586" s="141"/>
      <c r="L586" s="141"/>
      <c r="M586" s="59"/>
    </row>
    <row r="587" spans="2:13">
      <c r="B587" s="135"/>
      <c r="C587" s="136"/>
      <c r="D587" s="137"/>
      <c r="E587" s="138"/>
      <c r="F587" s="139"/>
      <c r="G587" s="1" t="str">
        <f>IFERROR(IF(ventas_b_mes1[[#This Row],[CUIT]]="","-",VLOOKUP(ventas_b_mes1[[#This Row],[CUIT]],Lista_CUIT[#All],2,0)),"CUIT NO CARGADO")</f>
        <v>-</v>
      </c>
      <c r="H587" s="64">
        <f>ventas_b_mes1[[#This Row],[TOTAL]]/1.21</f>
        <v>0</v>
      </c>
      <c r="I587" s="140">
        <f>ventas_b_mes1[[#This Row],[IMPORTE NETO]]*0.21</f>
        <v>0</v>
      </c>
      <c r="J587" s="141"/>
      <c r="K587" s="141"/>
      <c r="L587" s="141"/>
      <c r="M587" s="59"/>
    </row>
    <row r="588" spans="2:13">
      <c r="B588" s="135"/>
      <c r="C588" s="136"/>
      <c r="D588" s="137"/>
      <c r="E588" s="138"/>
      <c r="F588" s="139"/>
      <c r="G588" s="1" t="str">
        <f>IFERROR(IF(ventas_b_mes1[[#This Row],[CUIT]]="","-",VLOOKUP(ventas_b_mes1[[#This Row],[CUIT]],Lista_CUIT[#All],2,0)),"CUIT NO CARGADO")</f>
        <v>-</v>
      </c>
      <c r="H588" s="64">
        <f>ventas_b_mes1[[#This Row],[TOTAL]]/1.21</f>
        <v>0</v>
      </c>
      <c r="I588" s="140">
        <f>ventas_b_mes1[[#This Row],[IMPORTE NETO]]*0.21</f>
        <v>0</v>
      </c>
      <c r="J588" s="141"/>
      <c r="K588" s="141"/>
      <c r="L588" s="141"/>
      <c r="M588" s="59"/>
    </row>
    <row r="589" spans="2:13">
      <c r="B589" s="135"/>
      <c r="C589" s="136"/>
      <c r="D589" s="137"/>
      <c r="E589" s="138"/>
      <c r="F589" s="139"/>
      <c r="G589" s="1" t="str">
        <f>IFERROR(IF(ventas_b_mes1[[#This Row],[CUIT]]="","-",VLOOKUP(ventas_b_mes1[[#This Row],[CUIT]],Lista_CUIT[#All],2,0)),"CUIT NO CARGADO")</f>
        <v>-</v>
      </c>
      <c r="H589" s="64">
        <f>ventas_b_mes1[[#This Row],[TOTAL]]/1.21</f>
        <v>0</v>
      </c>
      <c r="I589" s="140">
        <f>ventas_b_mes1[[#This Row],[IMPORTE NETO]]*0.21</f>
        <v>0</v>
      </c>
      <c r="J589" s="141"/>
      <c r="K589" s="141"/>
      <c r="L589" s="141"/>
      <c r="M589" s="59"/>
    </row>
    <row r="590" spans="2:13">
      <c r="B590" s="135"/>
      <c r="C590" s="136"/>
      <c r="D590" s="137"/>
      <c r="E590" s="138"/>
      <c r="F590" s="139"/>
      <c r="G590" s="1" t="str">
        <f>IFERROR(IF(ventas_b_mes1[[#This Row],[CUIT]]="","-",VLOOKUP(ventas_b_mes1[[#This Row],[CUIT]],Lista_CUIT[#All],2,0)),"CUIT NO CARGADO")</f>
        <v>-</v>
      </c>
      <c r="H590" s="64">
        <f>ventas_b_mes1[[#This Row],[TOTAL]]/1.21</f>
        <v>0</v>
      </c>
      <c r="I590" s="140">
        <f>ventas_b_mes1[[#This Row],[IMPORTE NETO]]*0.21</f>
        <v>0</v>
      </c>
      <c r="J590" s="141"/>
      <c r="K590" s="141"/>
      <c r="L590" s="141"/>
      <c r="M590" s="59"/>
    </row>
    <row r="591" spans="2:13">
      <c r="B591" s="135"/>
      <c r="C591" s="136"/>
      <c r="D591" s="137"/>
      <c r="E591" s="138"/>
      <c r="F591" s="139"/>
      <c r="G591" s="1" t="str">
        <f>IFERROR(IF(ventas_b_mes1[[#This Row],[CUIT]]="","-",VLOOKUP(ventas_b_mes1[[#This Row],[CUIT]],Lista_CUIT[#All],2,0)),"CUIT NO CARGADO")</f>
        <v>-</v>
      </c>
      <c r="H591" s="64">
        <f>ventas_b_mes1[[#This Row],[TOTAL]]/1.21</f>
        <v>0</v>
      </c>
      <c r="I591" s="140">
        <f>ventas_b_mes1[[#This Row],[IMPORTE NETO]]*0.21</f>
        <v>0</v>
      </c>
      <c r="J591" s="141"/>
      <c r="K591" s="141"/>
      <c r="L591" s="141"/>
      <c r="M591" s="59"/>
    </row>
    <row r="592" spans="2:13">
      <c r="B592" s="135"/>
      <c r="C592" s="136"/>
      <c r="D592" s="137"/>
      <c r="E592" s="138"/>
      <c r="F592" s="139"/>
      <c r="G592" s="1" t="str">
        <f>IFERROR(IF(ventas_b_mes1[[#This Row],[CUIT]]="","-",VLOOKUP(ventas_b_mes1[[#This Row],[CUIT]],Lista_CUIT[#All],2,0)),"CUIT NO CARGADO")</f>
        <v>-</v>
      </c>
      <c r="H592" s="64">
        <f>ventas_b_mes1[[#This Row],[TOTAL]]/1.21</f>
        <v>0</v>
      </c>
      <c r="I592" s="140">
        <f>ventas_b_mes1[[#This Row],[IMPORTE NETO]]*0.21</f>
        <v>0</v>
      </c>
      <c r="J592" s="141"/>
      <c r="K592" s="141"/>
      <c r="L592" s="141"/>
      <c r="M592" s="59"/>
    </row>
    <row r="593" spans="2:13">
      <c r="B593" s="135"/>
      <c r="C593" s="136"/>
      <c r="D593" s="137"/>
      <c r="E593" s="138"/>
      <c r="F593" s="139"/>
      <c r="G593" s="1" t="str">
        <f>IFERROR(IF(ventas_b_mes1[[#This Row],[CUIT]]="","-",VLOOKUP(ventas_b_mes1[[#This Row],[CUIT]],Lista_CUIT[#All],2,0)),"CUIT NO CARGADO")</f>
        <v>-</v>
      </c>
      <c r="H593" s="64">
        <f>ventas_b_mes1[[#This Row],[TOTAL]]/1.21</f>
        <v>0</v>
      </c>
      <c r="I593" s="140">
        <f>ventas_b_mes1[[#This Row],[IMPORTE NETO]]*0.21</f>
        <v>0</v>
      </c>
      <c r="J593" s="141"/>
      <c r="K593" s="141"/>
      <c r="L593" s="141"/>
      <c r="M593" s="59"/>
    </row>
    <row r="594" spans="2:13">
      <c r="B594" s="135"/>
      <c r="C594" s="136"/>
      <c r="D594" s="137"/>
      <c r="E594" s="138"/>
      <c r="F594" s="139"/>
      <c r="G594" s="1" t="str">
        <f>IFERROR(IF(ventas_b_mes1[[#This Row],[CUIT]]="","-",VLOOKUP(ventas_b_mes1[[#This Row],[CUIT]],Lista_CUIT[#All],2,0)),"CUIT NO CARGADO")</f>
        <v>-</v>
      </c>
      <c r="H594" s="64">
        <f>ventas_b_mes1[[#This Row],[TOTAL]]/1.21</f>
        <v>0</v>
      </c>
      <c r="I594" s="140">
        <f>ventas_b_mes1[[#This Row],[IMPORTE NETO]]*0.21</f>
        <v>0</v>
      </c>
      <c r="J594" s="141"/>
      <c r="K594" s="141"/>
      <c r="L594" s="141"/>
      <c r="M594" s="59"/>
    </row>
    <row r="595" spans="2:13">
      <c r="B595" s="135"/>
      <c r="C595" s="136"/>
      <c r="D595" s="137"/>
      <c r="E595" s="138"/>
      <c r="F595" s="139"/>
      <c r="G595" s="1" t="str">
        <f>IFERROR(IF(ventas_b_mes1[[#This Row],[CUIT]]="","-",VLOOKUP(ventas_b_mes1[[#This Row],[CUIT]],Lista_CUIT[#All],2,0)),"CUIT NO CARGADO")</f>
        <v>-</v>
      </c>
      <c r="H595" s="64">
        <f>ventas_b_mes1[[#This Row],[TOTAL]]/1.21</f>
        <v>0</v>
      </c>
      <c r="I595" s="140">
        <f>ventas_b_mes1[[#This Row],[IMPORTE NETO]]*0.21</f>
        <v>0</v>
      </c>
      <c r="J595" s="141"/>
      <c r="K595" s="141"/>
      <c r="L595" s="141"/>
      <c r="M595" s="59"/>
    </row>
    <row r="596" spans="2:13">
      <c r="B596" s="135"/>
      <c r="C596" s="136"/>
      <c r="D596" s="137"/>
      <c r="E596" s="138"/>
      <c r="F596" s="139"/>
      <c r="G596" s="1" t="str">
        <f>IFERROR(IF(ventas_b_mes1[[#This Row],[CUIT]]="","-",VLOOKUP(ventas_b_mes1[[#This Row],[CUIT]],Lista_CUIT[#All],2,0)),"CUIT NO CARGADO")</f>
        <v>-</v>
      </c>
      <c r="H596" s="64">
        <f>ventas_b_mes1[[#This Row],[TOTAL]]/1.21</f>
        <v>0</v>
      </c>
      <c r="I596" s="140">
        <f>ventas_b_mes1[[#This Row],[IMPORTE NETO]]*0.21</f>
        <v>0</v>
      </c>
      <c r="J596" s="141"/>
      <c r="K596" s="141"/>
      <c r="L596" s="141"/>
      <c r="M596" s="59"/>
    </row>
    <row r="597" spans="2:13">
      <c r="B597" s="135"/>
      <c r="C597" s="136"/>
      <c r="D597" s="137"/>
      <c r="E597" s="138"/>
      <c r="F597" s="139"/>
      <c r="G597" s="1" t="str">
        <f>IFERROR(IF(ventas_b_mes1[[#This Row],[CUIT]]="","-",VLOOKUP(ventas_b_mes1[[#This Row],[CUIT]],Lista_CUIT[#All],2,0)),"CUIT NO CARGADO")</f>
        <v>-</v>
      </c>
      <c r="H597" s="64">
        <f>ventas_b_mes1[[#This Row],[TOTAL]]/1.21</f>
        <v>0</v>
      </c>
      <c r="I597" s="140">
        <f>ventas_b_mes1[[#This Row],[IMPORTE NETO]]*0.21</f>
        <v>0</v>
      </c>
      <c r="J597" s="141"/>
      <c r="K597" s="141"/>
      <c r="L597" s="141"/>
      <c r="M597" s="59"/>
    </row>
    <row r="598" spans="2:13">
      <c r="B598" s="135"/>
      <c r="C598" s="136"/>
      <c r="D598" s="137"/>
      <c r="E598" s="138"/>
      <c r="F598" s="139"/>
      <c r="G598" s="1" t="str">
        <f>IFERROR(IF(ventas_b_mes1[[#This Row],[CUIT]]="","-",VLOOKUP(ventas_b_mes1[[#This Row],[CUIT]],Lista_CUIT[#All],2,0)),"CUIT NO CARGADO")</f>
        <v>-</v>
      </c>
      <c r="H598" s="64">
        <f>ventas_b_mes1[[#This Row],[TOTAL]]/1.21</f>
        <v>0</v>
      </c>
      <c r="I598" s="140">
        <f>ventas_b_mes1[[#This Row],[IMPORTE NETO]]*0.21</f>
        <v>0</v>
      </c>
      <c r="J598" s="141"/>
      <c r="K598" s="141"/>
      <c r="L598" s="141"/>
      <c r="M598" s="59"/>
    </row>
    <row r="599" spans="2:13">
      <c r="B599" s="135"/>
      <c r="C599" s="136"/>
      <c r="D599" s="137"/>
      <c r="E599" s="138"/>
      <c r="F599" s="139"/>
      <c r="G599" s="1" t="str">
        <f>IFERROR(IF(ventas_b_mes1[[#This Row],[CUIT]]="","-",VLOOKUP(ventas_b_mes1[[#This Row],[CUIT]],Lista_CUIT[#All],2,0)),"CUIT NO CARGADO")</f>
        <v>-</v>
      </c>
      <c r="H599" s="64">
        <f>ventas_b_mes1[[#This Row],[TOTAL]]/1.21</f>
        <v>0</v>
      </c>
      <c r="I599" s="140">
        <f>ventas_b_mes1[[#This Row],[IMPORTE NETO]]*0.21</f>
        <v>0</v>
      </c>
      <c r="J599" s="141"/>
      <c r="K599" s="141"/>
      <c r="L599" s="141"/>
      <c r="M599" s="59"/>
    </row>
    <row r="600" spans="2:13">
      <c r="B600" s="135"/>
      <c r="C600" s="136"/>
      <c r="D600" s="137"/>
      <c r="E600" s="138"/>
      <c r="F600" s="139"/>
      <c r="G600" s="1" t="str">
        <f>IFERROR(IF(ventas_b_mes1[[#This Row],[CUIT]]="","-",VLOOKUP(ventas_b_mes1[[#This Row],[CUIT]],Lista_CUIT[#All],2,0)),"CUIT NO CARGADO")</f>
        <v>-</v>
      </c>
      <c r="H600" s="64">
        <f>ventas_b_mes1[[#This Row],[TOTAL]]/1.21</f>
        <v>0</v>
      </c>
      <c r="I600" s="140">
        <f>ventas_b_mes1[[#This Row],[IMPORTE NETO]]*0.21</f>
        <v>0</v>
      </c>
      <c r="J600" s="141"/>
      <c r="K600" s="141"/>
      <c r="L600" s="141"/>
      <c r="M600" s="59"/>
    </row>
    <row r="601" spans="2:13">
      <c r="B601" s="135"/>
      <c r="C601" s="136"/>
      <c r="D601" s="137"/>
      <c r="E601" s="138"/>
      <c r="F601" s="139"/>
      <c r="G601" s="1" t="str">
        <f>IFERROR(IF(ventas_b_mes1[[#This Row],[CUIT]]="","-",VLOOKUP(ventas_b_mes1[[#This Row],[CUIT]],Lista_CUIT[#All],2,0)),"CUIT NO CARGADO")</f>
        <v>-</v>
      </c>
      <c r="H601" s="64">
        <f>ventas_b_mes1[[#This Row],[TOTAL]]/1.21</f>
        <v>0</v>
      </c>
      <c r="I601" s="140">
        <f>ventas_b_mes1[[#This Row],[IMPORTE NETO]]*0.21</f>
        <v>0</v>
      </c>
      <c r="J601" s="141"/>
      <c r="K601" s="141"/>
      <c r="L601" s="141"/>
      <c r="M601" s="59"/>
    </row>
    <row r="602" spans="2:13">
      <c r="B602" s="135"/>
      <c r="C602" s="136"/>
      <c r="D602" s="137"/>
      <c r="E602" s="138"/>
      <c r="F602" s="139"/>
      <c r="G602" s="1" t="str">
        <f>IFERROR(IF(ventas_b_mes1[[#This Row],[CUIT]]="","-",VLOOKUP(ventas_b_mes1[[#This Row],[CUIT]],Lista_CUIT[#All],2,0)),"CUIT NO CARGADO")</f>
        <v>-</v>
      </c>
      <c r="H602" s="64">
        <f>ventas_b_mes1[[#This Row],[TOTAL]]/1.21</f>
        <v>0</v>
      </c>
      <c r="I602" s="140">
        <f>ventas_b_mes1[[#This Row],[IMPORTE NETO]]*0.21</f>
        <v>0</v>
      </c>
      <c r="J602" s="141"/>
      <c r="K602" s="141"/>
      <c r="L602" s="141"/>
      <c r="M602" s="59"/>
    </row>
    <row r="603" spans="2:13">
      <c r="B603" s="135"/>
      <c r="C603" s="136"/>
      <c r="D603" s="137"/>
      <c r="E603" s="138"/>
      <c r="F603" s="139"/>
      <c r="G603" s="1" t="str">
        <f>IFERROR(IF(ventas_b_mes1[[#This Row],[CUIT]]="","-",VLOOKUP(ventas_b_mes1[[#This Row],[CUIT]],Lista_CUIT[#All],2,0)),"CUIT NO CARGADO")</f>
        <v>-</v>
      </c>
      <c r="H603" s="64">
        <f>ventas_b_mes1[[#This Row],[TOTAL]]/1.21</f>
        <v>0</v>
      </c>
      <c r="I603" s="140">
        <f>ventas_b_mes1[[#This Row],[IMPORTE NETO]]*0.21</f>
        <v>0</v>
      </c>
      <c r="J603" s="141"/>
      <c r="K603" s="141"/>
      <c r="L603" s="141"/>
      <c r="M603" s="59"/>
    </row>
    <row r="604" spans="2:13">
      <c r="B604" s="135"/>
      <c r="C604" s="136"/>
      <c r="D604" s="137"/>
      <c r="E604" s="138"/>
      <c r="F604" s="139"/>
      <c r="G604" s="1" t="str">
        <f>IFERROR(IF(ventas_b_mes1[[#This Row],[CUIT]]="","-",VLOOKUP(ventas_b_mes1[[#This Row],[CUIT]],Lista_CUIT[#All],2,0)),"CUIT NO CARGADO")</f>
        <v>-</v>
      </c>
      <c r="H604" s="64">
        <f>ventas_b_mes1[[#This Row],[TOTAL]]/1.21</f>
        <v>0</v>
      </c>
      <c r="I604" s="140">
        <f>ventas_b_mes1[[#This Row],[IMPORTE NETO]]*0.21</f>
        <v>0</v>
      </c>
      <c r="J604" s="141"/>
      <c r="K604" s="141"/>
      <c r="L604" s="141"/>
      <c r="M604" s="59"/>
    </row>
    <row r="605" spans="2:13">
      <c r="B605" s="135"/>
      <c r="C605" s="136"/>
      <c r="D605" s="137"/>
      <c r="E605" s="138"/>
      <c r="F605" s="139"/>
      <c r="G605" s="1" t="str">
        <f>IFERROR(IF(ventas_b_mes1[[#This Row],[CUIT]]="","-",VLOOKUP(ventas_b_mes1[[#This Row],[CUIT]],Lista_CUIT[#All],2,0)),"CUIT NO CARGADO")</f>
        <v>-</v>
      </c>
      <c r="H605" s="64">
        <f>ventas_b_mes1[[#This Row],[TOTAL]]/1.21</f>
        <v>0</v>
      </c>
      <c r="I605" s="140">
        <f>ventas_b_mes1[[#This Row],[IMPORTE NETO]]*0.21</f>
        <v>0</v>
      </c>
      <c r="J605" s="141"/>
      <c r="K605" s="141"/>
      <c r="L605" s="141"/>
      <c r="M605" s="59"/>
    </row>
    <row r="606" spans="2:13">
      <c r="B606" s="135"/>
      <c r="C606" s="136"/>
      <c r="D606" s="137"/>
      <c r="E606" s="138"/>
      <c r="F606" s="139"/>
      <c r="G606" s="1" t="str">
        <f>IFERROR(IF(ventas_b_mes1[[#This Row],[CUIT]]="","-",VLOOKUP(ventas_b_mes1[[#This Row],[CUIT]],Lista_CUIT[#All],2,0)),"CUIT NO CARGADO")</f>
        <v>-</v>
      </c>
      <c r="H606" s="64">
        <f>ventas_b_mes1[[#This Row],[TOTAL]]/1.21</f>
        <v>0</v>
      </c>
      <c r="I606" s="140">
        <f>ventas_b_mes1[[#This Row],[IMPORTE NETO]]*0.21</f>
        <v>0</v>
      </c>
      <c r="J606" s="141"/>
      <c r="K606" s="141"/>
      <c r="L606" s="141"/>
      <c r="M606" s="59"/>
    </row>
    <row r="607" spans="2:13">
      <c r="B607" s="135"/>
      <c r="C607" s="136"/>
      <c r="D607" s="137"/>
      <c r="E607" s="138"/>
      <c r="F607" s="139"/>
      <c r="G607" s="1" t="str">
        <f>IFERROR(IF(ventas_b_mes1[[#This Row],[CUIT]]="","-",VLOOKUP(ventas_b_mes1[[#This Row],[CUIT]],Lista_CUIT[#All],2,0)),"CUIT NO CARGADO")</f>
        <v>-</v>
      </c>
      <c r="H607" s="64">
        <f>ventas_b_mes1[[#This Row],[TOTAL]]/1.21</f>
        <v>0</v>
      </c>
      <c r="I607" s="140">
        <f>ventas_b_mes1[[#This Row],[IMPORTE NETO]]*0.21</f>
        <v>0</v>
      </c>
      <c r="J607" s="141"/>
      <c r="K607" s="141"/>
      <c r="L607" s="141"/>
      <c r="M607" s="59"/>
    </row>
    <row r="608" spans="2:13">
      <c r="B608" s="135"/>
      <c r="C608" s="136"/>
      <c r="D608" s="137"/>
      <c r="E608" s="138"/>
      <c r="F608" s="139"/>
      <c r="G608" s="1" t="str">
        <f>IFERROR(IF(ventas_b_mes1[[#This Row],[CUIT]]="","-",VLOOKUP(ventas_b_mes1[[#This Row],[CUIT]],Lista_CUIT[#All],2,0)),"CUIT NO CARGADO")</f>
        <v>-</v>
      </c>
      <c r="H608" s="64">
        <f>ventas_b_mes1[[#This Row],[TOTAL]]/1.21</f>
        <v>0</v>
      </c>
      <c r="I608" s="140">
        <f>ventas_b_mes1[[#This Row],[IMPORTE NETO]]*0.21</f>
        <v>0</v>
      </c>
      <c r="J608" s="141"/>
      <c r="K608" s="141"/>
      <c r="L608" s="141"/>
      <c r="M608" s="59"/>
    </row>
    <row r="609" spans="2:13">
      <c r="B609" s="135"/>
      <c r="C609" s="136"/>
      <c r="D609" s="137"/>
      <c r="E609" s="138"/>
      <c r="F609" s="139"/>
      <c r="G609" s="1" t="str">
        <f>IFERROR(IF(ventas_b_mes1[[#This Row],[CUIT]]="","-",VLOOKUP(ventas_b_mes1[[#This Row],[CUIT]],Lista_CUIT[#All],2,0)),"CUIT NO CARGADO")</f>
        <v>-</v>
      </c>
      <c r="H609" s="64">
        <f>ventas_b_mes1[[#This Row],[TOTAL]]/1.21</f>
        <v>0</v>
      </c>
      <c r="I609" s="140">
        <f>ventas_b_mes1[[#This Row],[IMPORTE NETO]]*0.21</f>
        <v>0</v>
      </c>
      <c r="J609" s="141"/>
      <c r="K609" s="141"/>
      <c r="L609" s="141"/>
      <c r="M609" s="59"/>
    </row>
    <row r="610" spans="2:13">
      <c r="B610" s="135"/>
      <c r="C610" s="136"/>
      <c r="D610" s="137"/>
      <c r="E610" s="138"/>
      <c r="F610" s="139"/>
      <c r="G610" s="1" t="str">
        <f>IFERROR(IF(ventas_b_mes1[[#This Row],[CUIT]]="","-",VLOOKUP(ventas_b_mes1[[#This Row],[CUIT]],Lista_CUIT[#All],2,0)),"CUIT NO CARGADO")</f>
        <v>-</v>
      </c>
      <c r="H610" s="64">
        <f>ventas_b_mes1[[#This Row],[TOTAL]]/1.21</f>
        <v>0</v>
      </c>
      <c r="I610" s="140">
        <f>ventas_b_mes1[[#This Row],[IMPORTE NETO]]*0.21</f>
        <v>0</v>
      </c>
      <c r="J610" s="141"/>
      <c r="K610" s="141"/>
      <c r="L610" s="141"/>
      <c r="M610" s="59"/>
    </row>
    <row r="611" spans="2:13">
      <c r="B611" s="135"/>
      <c r="C611" s="136"/>
      <c r="D611" s="137"/>
      <c r="E611" s="138"/>
      <c r="F611" s="139"/>
      <c r="G611" s="1" t="str">
        <f>IFERROR(IF(ventas_b_mes1[[#This Row],[CUIT]]="","-",VLOOKUP(ventas_b_mes1[[#This Row],[CUIT]],Lista_CUIT[#All],2,0)),"CUIT NO CARGADO")</f>
        <v>-</v>
      </c>
      <c r="H611" s="64">
        <f>ventas_b_mes1[[#This Row],[TOTAL]]/1.21</f>
        <v>0</v>
      </c>
      <c r="I611" s="140">
        <f>ventas_b_mes1[[#This Row],[IMPORTE NETO]]*0.21</f>
        <v>0</v>
      </c>
      <c r="J611" s="141"/>
      <c r="K611" s="141"/>
      <c r="L611" s="141"/>
      <c r="M611" s="59"/>
    </row>
    <row r="612" spans="2:13">
      <c r="B612" s="135"/>
      <c r="C612" s="136"/>
      <c r="D612" s="137"/>
      <c r="E612" s="138"/>
      <c r="F612" s="139"/>
      <c r="G612" s="1" t="str">
        <f>IFERROR(IF(ventas_b_mes1[[#This Row],[CUIT]]="","-",VLOOKUP(ventas_b_mes1[[#This Row],[CUIT]],Lista_CUIT[#All],2,0)),"CUIT NO CARGADO")</f>
        <v>-</v>
      </c>
      <c r="H612" s="64">
        <f>ventas_b_mes1[[#This Row],[TOTAL]]/1.21</f>
        <v>0</v>
      </c>
      <c r="I612" s="140">
        <f>ventas_b_mes1[[#This Row],[IMPORTE NETO]]*0.21</f>
        <v>0</v>
      </c>
      <c r="J612" s="141"/>
      <c r="K612" s="141"/>
      <c r="L612" s="141"/>
      <c r="M612" s="59"/>
    </row>
    <row r="613" spans="2:13">
      <c r="B613" s="135"/>
      <c r="C613" s="136"/>
      <c r="D613" s="137"/>
      <c r="E613" s="138"/>
      <c r="F613" s="139"/>
      <c r="G613" s="1" t="str">
        <f>IFERROR(IF(ventas_b_mes1[[#This Row],[CUIT]]="","-",VLOOKUP(ventas_b_mes1[[#This Row],[CUIT]],Lista_CUIT[#All],2,0)),"CUIT NO CARGADO")</f>
        <v>-</v>
      </c>
      <c r="H613" s="64">
        <f>ventas_b_mes1[[#This Row],[TOTAL]]/1.21</f>
        <v>0</v>
      </c>
      <c r="I613" s="140">
        <f>ventas_b_mes1[[#This Row],[IMPORTE NETO]]*0.21</f>
        <v>0</v>
      </c>
      <c r="J613" s="141"/>
      <c r="K613" s="141"/>
      <c r="L613" s="141"/>
      <c r="M613" s="59"/>
    </row>
    <row r="614" spans="2:13">
      <c r="B614" s="135"/>
      <c r="C614" s="136"/>
      <c r="D614" s="137"/>
      <c r="E614" s="138"/>
      <c r="F614" s="139"/>
      <c r="G614" s="1" t="str">
        <f>IFERROR(IF(ventas_b_mes1[[#This Row],[CUIT]]="","-",VLOOKUP(ventas_b_mes1[[#This Row],[CUIT]],Lista_CUIT[#All],2,0)),"CUIT NO CARGADO")</f>
        <v>-</v>
      </c>
      <c r="H614" s="64">
        <f>ventas_b_mes1[[#This Row],[TOTAL]]/1.21</f>
        <v>0</v>
      </c>
      <c r="I614" s="140">
        <f>ventas_b_mes1[[#This Row],[IMPORTE NETO]]*0.21</f>
        <v>0</v>
      </c>
      <c r="J614" s="141"/>
      <c r="K614" s="141"/>
      <c r="L614" s="141"/>
      <c r="M614" s="59"/>
    </row>
    <row r="615" spans="2:13">
      <c r="B615" s="135"/>
      <c r="C615" s="136"/>
      <c r="D615" s="137"/>
      <c r="E615" s="138"/>
      <c r="F615" s="139"/>
      <c r="G615" s="1" t="str">
        <f>IFERROR(IF(ventas_b_mes1[[#This Row],[CUIT]]="","-",VLOOKUP(ventas_b_mes1[[#This Row],[CUIT]],Lista_CUIT[#All],2,0)),"CUIT NO CARGADO")</f>
        <v>-</v>
      </c>
      <c r="H615" s="64">
        <f>ventas_b_mes1[[#This Row],[TOTAL]]/1.21</f>
        <v>0</v>
      </c>
      <c r="I615" s="140">
        <f>ventas_b_mes1[[#This Row],[IMPORTE NETO]]*0.21</f>
        <v>0</v>
      </c>
      <c r="J615" s="141"/>
      <c r="K615" s="141"/>
      <c r="L615" s="141"/>
      <c r="M615" s="59"/>
    </row>
    <row r="616" spans="2:13">
      <c r="B616" s="135"/>
      <c r="C616" s="136"/>
      <c r="D616" s="137"/>
      <c r="E616" s="138"/>
      <c r="F616" s="139"/>
      <c r="G616" s="1" t="str">
        <f>IFERROR(IF(ventas_b_mes1[[#This Row],[CUIT]]="","-",VLOOKUP(ventas_b_mes1[[#This Row],[CUIT]],Lista_CUIT[#All],2,0)),"CUIT NO CARGADO")</f>
        <v>-</v>
      </c>
      <c r="H616" s="64">
        <f>ventas_b_mes1[[#This Row],[TOTAL]]/1.21</f>
        <v>0</v>
      </c>
      <c r="I616" s="140">
        <f>ventas_b_mes1[[#This Row],[IMPORTE NETO]]*0.21</f>
        <v>0</v>
      </c>
      <c r="J616" s="141"/>
      <c r="K616" s="141"/>
      <c r="L616" s="141"/>
      <c r="M616" s="59"/>
    </row>
    <row r="617" spans="2:13">
      <c r="B617" s="135"/>
      <c r="C617" s="136"/>
      <c r="D617" s="137"/>
      <c r="E617" s="138"/>
      <c r="F617" s="139"/>
      <c r="G617" s="1" t="str">
        <f>IFERROR(IF(ventas_b_mes1[[#This Row],[CUIT]]="","-",VLOOKUP(ventas_b_mes1[[#This Row],[CUIT]],Lista_CUIT[#All],2,0)),"CUIT NO CARGADO")</f>
        <v>-</v>
      </c>
      <c r="H617" s="64">
        <f>ventas_b_mes1[[#This Row],[TOTAL]]/1.21</f>
        <v>0</v>
      </c>
      <c r="I617" s="140">
        <f>ventas_b_mes1[[#This Row],[IMPORTE NETO]]*0.21</f>
        <v>0</v>
      </c>
      <c r="J617" s="141"/>
      <c r="K617" s="141"/>
      <c r="L617" s="141"/>
      <c r="M617" s="59"/>
    </row>
    <row r="618" spans="2:13">
      <c r="B618" s="135"/>
      <c r="C618" s="136"/>
      <c r="D618" s="137"/>
      <c r="E618" s="138"/>
      <c r="F618" s="139"/>
      <c r="G618" s="1" t="str">
        <f>IFERROR(IF(ventas_b_mes1[[#This Row],[CUIT]]="","-",VLOOKUP(ventas_b_mes1[[#This Row],[CUIT]],Lista_CUIT[#All],2,0)),"CUIT NO CARGADO")</f>
        <v>-</v>
      </c>
      <c r="H618" s="64">
        <f>ventas_b_mes1[[#This Row],[TOTAL]]/1.21</f>
        <v>0</v>
      </c>
      <c r="I618" s="140">
        <f>ventas_b_mes1[[#This Row],[IMPORTE NETO]]*0.21</f>
        <v>0</v>
      </c>
      <c r="J618" s="141"/>
      <c r="K618" s="141"/>
      <c r="L618" s="141"/>
      <c r="M618" s="59"/>
    </row>
    <row r="619" spans="2:13">
      <c r="B619" s="135"/>
      <c r="C619" s="136"/>
      <c r="D619" s="137"/>
      <c r="E619" s="138"/>
      <c r="F619" s="139"/>
      <c r="G619" s="1" t="str">
        <f>IFERROR(IF(ventas_b_mes1[[#This Row],[CUIT]]="","-",VLOOKUP(ventas_b_mes1[[#This Row],[CUIT]],Lista_CUIT[#All],2,0)),"CUIT NO CARGADO")</f>
        <v>-</v>
      </c>
      <c r="H619" s="64">
        <f>ventas_b_mes1[[#This Row],[TOTAL]]/1.21</f>
        <v>0</v>
      </c>
      <c r="I619" s="140">
        <f>ventas_b_mes1[[#This Row],[IMPORTE NETO]]*0.21</f>
        <v>0</v>
      </c>
      <c r="J619" s="141"/>
      <c r="K619" s="141"/>
      <c r="L619" s="141"/>
      <c r="M619" s="59"/>
    </row>
    <row r="620" spans="2:13">
      <c r="B620" s="135"/>
      <c r="C620" s="136"/>
      <c r="D620" s="137"/>
      <c r="E620" s="138"/>
      <c r="F620" s="139"/>
      <c r="G620" s="1" t="str">
        <f>IFERROR(IF(ventas_b_mes1[[#This Row],[CUIT]]="","-",VLOOKUP(ventas_b_mes1[[#This Row],[CUIT]],Lista_CUIT[#All],2,0)),"CUIT NO CARGADO")</f>
        <v>-</v>
      </c>
      <c r="H620" s="64">
        <f>ventas_b_mes1[[#This Row],[TOTAL]]/1.21</f>
        <v>0</v>
      </c>
      <c r="I620" s="140">
        <f>ventas_b_mes1[[#This Row],[IMPORTE NETO]]*0.21</f>
        <v>0</v>
      </c>
      <c r="J620" s="141"/>
      <c r="K620" s="141"/>
      <c r="L620" s="141"/>
      <c r="M620" s="59"/>
    </row>
    <row r="621" spans="2:13">
      <c r="B621" s="135"/>
      <c r="C621" s="136"/>
      <c r="D621" s="137"/>
      <c r="E621" s="138"/>
      <c r="F621" s="139"/>
      <c r="G621" s="1" t="str">
        <f>IFERROR(IF(ventas_b_mes1[[#This Row],[CUIT]]="","-",VLOOKUP(ventas_b_mes1[[#This Row],[CUIT]],Lista_CUIT[#All],2,0)),"CUIT NO CARGADO")</f>
        <v>-</v>
      </c>
      <c r="H621" s="64">
        <f>ventas_b_mes1[[#This Row],[TOTAL]]/1.21</f>
        <v>0</v>
      </c>
      <c r="I621" s="140">
        <f>ventas_b_mes1[[#This Row],[IMPORTE NETO]]*0.21</f>
        <v>0</v>
      </c>
      <c r="J621" s="141"/>
      <c r="K621" s="141"/>
      <c r="L621" s="141"/>
      <c r="M621" s="59"/>
    </row>
    <row r="622" spans="2:13">
      <c r="B622" s="135"/>
      <c r="C622" s="136"/>
      <c r="D622" s="137"/>
      <c r="E622" s="138"/>
      <c r="F622" s="139"/>
      <c r="G622" s="1" t="str">
        <f>IFERROR(IF(ventas_b_mes1[[#This Row],[CUIT]]="","-",VLOOKUP(ventas_b_mes1[[#This Row],[CUIT]],Lista_CUIT[#All],2,0)),"CUIT NO CARGADO")</f>
        <v>-</v>
      </c>
      <c r="H622" s="64">
        <f>ventas_b_mes1[[#This Row],[TOTAL]]/1.21</f>
        <v>0</v>
      </c>
      <c r="I622" s="140">
        <f>ventas_b_mes1[[#This Row],[IMPORTE NETO]]*0.21</f>
        <v>0</v>
      </c>
      <c r="J622" s="141"/>
      <c r="K622" s="141"/>
      <c r="L622" s="141"/>
      <c r="M622" s="59"/>
    </row>
    <row r="623" spans="2:13">
      <c r="B623" s="135"/>
      <c r="C623" s="136"/>
      <c r="D623" s="137"/>
      <c r="E623" s="138"/>
      <c r="F623" s="139"/>
      <c r="G623" s="1" t="str">
        <f>IFERROR(IF(ventas_b_mes1[[#This Row],[CUIT]]="","-",VLOOKUP(ventas_b_mes1[[#This Row],[CUIT]],Lista_CUIT[#All],2,0)),"CUIT NO CARGADO")</f>
        <v>-</v>
      </c>
      <c r="H623" s="64">
        <f>ventas_b_mes1[[#This Row],[TOTAL]]/1.21</f>
        <v>0</v>
      </c>
      <c r="I623" s="140">
        <f>ventas_b_mes1[[#This Row],[IMPORTE NETO]]*0.21</f>
        <v>0</v>
      </c>
      <c r="J623" s="141"/>
      <c r="K623" s="141"/>
      <c r="L623" s="141"/>
      <c r="M623" s="59"/>
    </row>
    <row r="624" spans="2:13">
      <c r="B624" s="135"/>
      <c r="C624" s="136"/>
      <c r="D624" s="137"/>
      <c r="E624" s="138"/>
      <c r="F624" s="139"/>
      <c r="G624" s="1" t="str">
        <f>IFERROR(IF(ventas_b_mes1[[#This Row],[CUIT]]="","-",VLOOKUP(ventas_b_mes1[[#This Row],[CUIT]],Lista_CUIT[#All],2,0)),"CUIT NO CARGADO")</f>
        <v>-</v>
      </c>
      <c r="H624" s="64">
        <f>ventas_b_mes1[[#This Row],[TOTAL]]/1.21</f>
        <v>0</v>
      </c>
      <c r="I624" s="140">
        <f>ventas_b_mes1[[#This Row],[IMPORTE NETO]]*0.21</f>
        <v>0</v>
      </c>
      <c r="J624" s="141"/>
      <c r="K624" s="141"/>
      <c r="L624" s="141"/>
      <c r="M624" s="59"/>
    </row>
    <row r="625" spans="2:13">
      <c r="B625" s="135"/>
      <c r="C625" s="136"/>
      <c r="D625" s="137"/>
      <c r="E625" s="138"/>
      <c r="F625" s="139"/>
      <c r="G625" s="1" t="str">
        <f>IFERROR(IF(ventas_b_mes1[[#This Row],[CUIT]]="","-",VLOOKUP(ventas_b_mes1[[#This Row],[CUIT]],Lista_CUIT[#All],2,0)),"CUIT NO CARGADO")</f>
        <v>-</v>
      </c>
      <c r="H625" s="64">
        <f>ventas_b_mes1[[#This Row],[TOTAL]]/1.21</f>
        <v>0</v>
      </c>
      <c r="I625" s="140">
        <f>ventas_b_mes1[[#This Row],[IMPORTE NETO]]*0.21</f>
        <v>0</v>
      </c>
      <c r="J625" s="141"/>
      <c r="K625" s="141"/>
      <c r="L625" s="141"/>
      <c r="M625" s="59"/>
    </row>
    <row r="626" spans="2:13">
      <c r="B626" s="135"/>
      <c r="C626" s="136"/>
      <c r="D626" s="137"/>
      <c r="E626" s="138"/>
      <c r="F626" s="139"/>
      <c r="G626" s="1" t="str">
        <f>IFERROR(IF(ventas_b_mes1[[#This Row],[CUIT]]="","-",VLOOKUP(ventas_b_mes1[[#This Row],[CUIT]],Lista_CUIT[#All],2,0)),"CUIT NO CARGADO")</f>
        <v>-</v>
      </c>
      <c r="H626" s="64">
        <f>ventas_b_mes1[[#This Row],[TOTAL]]/1.21</f>
        <v>0</v>
      </c>
      <c r="I626" s="140">
        <f>ventas_b_mes1[[#This Row],[IMPORTE NETO]]*0.21</f>
        <v>0</v>
      </c>
      <c r="J626" s="141"/>
      <c r="K626" s="141"/>
      <c r="L626" s="141"/>
      <c r="M626" s="59"/>
    </row>
    <row r="627" spans="2:13">
      <c r="B627" s="135"/>
      <c r="C627" s="136"/>
      <c r="D627" s="137"/>
      <c r="E627" s="138"/>
      <c r="F627" s="139"/>
      <c r="G627" s="1" t="str">
        <f>IFERROR(IF(ventas_b_mes1[[#This Row],[CUIT]]="","-",VLOOKUP(ventas_b_mes1[[#This Row],[CUIT]],Lista_CUIT[#All],2,0)),"CUIT NO CARGADO")</f>
        <v>-</v>
      </c>
      <c r="H627" s="64">
        <f>ventas_b_mes1[[#This Row],[TOTAL]]/1.21</f>
        <v>0</v>
      </c>
      <c r="I627" s="140">
        <f>ventas_b_mes1[[#This Row],[IMPORTE NETO]]*0.21</f>
        <v>0</v>
      </c>
      <c r="J627" s="141"/>
      <c r="K627" s="141"/>
      <c r="L627" s="141"/>
      <c r="M627" s="59"/>
    </row>
    <row r="628" spans="2:13">
      <c r="B628" s="135"/>
      <c r="C628" s="136"/>
      <c r="D628" s="137"/>
      <c r="E628" s="138"/>
      <c r="F628" s="139"/>
      <c r="G628" s="1" t="str">
        <f>IFERROR(IF(ventas_b_mes1[[#This Row],[CUIT]]="","-",VLOOKUP(ventas_b_mes1[[#This Row],[CUIT]],Lista_CUIT[#All],2,0)),"CUIT NO CARGADO")</f>
        <v>-</v>
      </c>
      <c r="H628" s="64">
        <f>ventas_b_mes1[[#This Row],[TOTAL]]/1.21</f>
        <v>0</v>
      </c>
      <c r="I628" s="140">
        <f>ventas_b_mes1[[#This Row],[IMPORTE NETO]]*0.21</f>
        <v>0</v>
      </c>
      <c r="J628" s="141"/>
      <c r="K628" s="141"/>
      <c r="L628" s="141"/>
      <c r="M628" s="59"/>
    </row>
    <row r="629" spans="2:13">
      <c r="B629" s="135"/>
      <c r="C629" s="136"/>
      <c r="D629" s="137"/>
      <c r="E629" s="138"/>
      <c r="F629" s="139"/>
      <c r="G629" s="1" t="str">
        <f>IFERROR(IF(ventas_b_mes1[[#This Row],[CUIT]]="","-",VLOOKUP(ventas_b_mes1[[#This Row],[CUIT]],Lista_CUIT[#All],2,0)),"CUIT NO CARGADO")</f>
        <v>-</v>
      </c>
      <c r="H629" s="64">
        <f>ventas_b_mes1[[#This Row],[TOTAL]]/1.21</f>
        <v>0</v>
      </c>
      <c r="I629" s="140">
        <f>ventas_b_mes1[[#This Row],[IMPORTE NETO]]*0.21</f>
        <v>0</v>
      </c>
      <c r="J629" s="141"/>
      <c r="K629" s="141"/>
      <c r="L629" s="141"/>
      <c r="M629" s="59"/>
    </row>
    <row r="630" spans="2:13">
      <c r="B630" s="135"/>
      <c r="C630" s="136"/>
      <c r="D630" s="137"/>
      <c r="E630" s="138"/>
      <c r="F630" s="139"/>
      <c r="G630" s="1" t="str">
        <f>IFERROR(IF(ventas_b_mes1[[#This Row],[CUIT]]="","-",VLOOKUP(ventas_b_mes1[[#This Row],[CUIT]],Lista_CUIT[#All],2,0)),"CUIT NO CARGADO")</f>
        <v>-</v>
      </c>
      <c r="H630" s="64">
        <f>ventas_b_mes1[[#This Row],[TOTAL]]/1.21</f>
        <v>0</v>
      </c>
      <c r="I630" s="140">
        <f>ventas_b_mes1[[#This Row],[IMPORTE NETO]]*0.21</f>
        <v>0</v>
      </c>
      <c r="J630" s="141"/>
      <c r="K630" s="141"/>
      <c r="L630" s="141"/>
      <c r="M630" s="59"/>
    </row>
    <row r="631" spans="2:13">
      <c r="B631" s="135"/>
      <c r="C631" s="136"/>
      <c r="D631" s="137"/>
      <c r="E631" s="138"/>
      <c r="F631" s="139"/>
      <c r="G631" s="1" t="str">
        <f>IFERROR(IF(ventas_b_mes1[[#This Row],[CUIT]]="","-",VLOOKUP(ventas_b_mes1[[#This Row],[CUIT]],Lista_CUIT[#All],2,0)),"CUIT NO CARGADO")</f>
        <v>-</v>
      </c>
      <c r="H631" s="64">
        <f>ventas_b_mes1[[#This Row],[TOTAL]]/1.21</f>
        <v>0</v>
      </c>
      <c r="I631" s="140">
        <f>ventas_b_mes1[[#This Row],[IMPORTE NETO]]*0.21</f>
        <v>0</v>
      </c>
      <c r="J631" s="141"/>
      <c r="K631" s="141"/>
      <c r="L631" s="141"/>
      <c r="M631" s="59"/>
    </row>
    <row r="632" spans="2:13">
      <c r="B632" s="135"/>
      <c r="C632" s="136"/>
      <c r="D632" s="137"/>
      <c r="E632" s="138"/>
      <c r="F632" s="139"/>
      <c r="G632" s="1" t="str">
        <f>IFERROR(IF(ventas_b_mes1[[#This Row],[CUIT]]="","-",VLOOKUP(ventas_b_mes1[[#This Row],[CUIT]],Lista_CUIT[#All],2,0)),"CUIT NO CARGADO")</f>
        <v>-</v>
      </c>
      <c r="H632" s="64">
        <f>ventas_b_mes1[[#This Row],[TOTAL]]/1.21</f>
        <v>0</v>
      </c>
      <c r="I632" s="140">
        <f>ventas_b_mes1[[#This Row],[IMPORTE NETO]]*0.21</f>
        <v>0</v>
      </c>
      <c r="J632" s="141"/>
      <c r="K632" s="141"/>
      <c r="L632" s="141"/>
      <c r="M632" s="59"/>
    </row>
    <row r="633" spans="2:13">
      <c r="B633" s="135"/>
      <c r="C633" s="136"/>
      <c r="D633" s="137"/>
      <c r="E633" s="138"/>
      <c r="F633" s="139"/>
      <c r="G633" s="1" t="str">
        <f>IFERROR(IF(ventas_b_mes1[[#This Row],[CUIT]]="","-",VLOOKUP(ventas_b_mes1[[#This Row],[CUIT]],Lista_CUIT[#All],2,0)),"CUIT NO CARGADO")</f>
        <v>-</v>
      </c>
      <c r="H633" s="64">
        <f>ventas_b_mes1[[#This Row],[TOTAL]]/1.21</f>
        <v>0</v>
      </c>
      <c r="I633" s="140">
        <f>ventas_b_mes1[[#This Row],[IMPORTE NETO]]*0.21</f>
        <v>0</v>
      </c>
      <c r="J633" s="141"/>
      <c r="K633" s="141"/>
      <c r="L633" s="141"/>
      <c r="M633" s="59"/>
    </row>
    <row r="634" spans="2:13">
      <c r="B634" s="135"/>
      <c r="C634" s="136"/>
      <c r="D634" s="137"/>
      <c r="E634" s="138"/>
      <c r="F634" s="139"/>
      <c r="G634" s="1" t="str">
        <f>IFERROR(IF(ventas_b_mes1[[#This Row],[CUIT]]="","-",VLOOKUP(ventas_b_mes1[[#This Row],[CUIT]],Lista_CUIT[#All],2,0)),"CUIT NO CARGADO")</f>
        <v>-</v>
      </c>
      <c r="H634" s="64">
        <f>ventas_b_mes1[[#This Row],[TOTAL]]/1.21</f>
        <v>0</v>
      </c>
      <c r="I634" s="140">
        <f>ventas_b_mes1[[#This Row],[IMPORTE NETO]]*0.21</f>
        <v>0</v>
      </c>
      <c r="J634" s="141"/>
      <c r="K634" s="141"/>
      <c r="L634" s="141"/>
      <c r="M634" s="59"/>
    </row>
    <row r="635" spans="2:13">
      <c r="B635" s="135"/>
      <c r="C635" s="136"/>
      <c r="D635" s="137"/>
      <c r="E635" s="138"/>
      <c r="F635" s="139"/>
      <c r="G635" s="1" t="str">
        <f>IFERROR(IF(ventas_b_mes1[[#This Row],[CUIT]]="","-",VLOOKUP(ventas_b_mes1[[#This Row],[CUIT]],Lista_CUIT[#All],2,0)),"CUIT NO CARGADO")</f>
        <v>-</v>
      </c>
      <c r="H635" s="64">
        <f>ventas_b_mes1[[#This Row],[TOTAL]]/1.21</f>
        <v>0</v>
      </c>
      <c r="I635" s="140">
        <f>ventas_b_mes1[[#This Row],[IMPORTE NETO]]*0.21</f>
        <v>0</v>
      </c>
      <c r="J635" s="141"/>
      <c r="K635" s="141"/>
      <c r="L635" s="141"/>
      <c r="M635" s="59"/>
    </row>
    <row r="636" spans="2:13">
      <c r="B636" s="135"/>
      <c r="C636" s="136"/>
      <c r="D636" s="137"/>
      <c r="E636" s="138"/>
      <c r="F636" s="139"/>
      <c r="G636" s="1" t="str">
        <f>IFERROR(IF(ventas_b_mes1[[#This Row],[CUIT]]="","-",VLOOKUP(ventas_b_mes1[[#This Row],[CUIT]],Lista_CUIT[#All],2,0)),"CUIT NO CARGADO")</f>
        <v>-</v>
      </c>
      <c r="H636" s="64">
        <f>ventas_b_mes1[[#This Row],[TOTAL]]/1.21</f>
        <v>0</v>
      </c>
      <c r="I636" s="140">
        <f>ventas_b_mes1[[#This Row],[IMPORTE NETO]]*0.21</f>
        <v>0</v>
      </c>
      <c r="J636" s="141"/>
      <c r="K636" s="141"/>
      <c r="L636" s="141"/>
      <c r="M636" s="59"/>
    </row>
    <row r="637" spans="2:13">
      <c r="B637" s="135"/>
      <c r="C637" s="136"/>
      <c r="D637" s="137"/>
      <c r="E637" s="138"/>
      <c r="F637" s="139"/>
      <c r="G637" s="1" t="str">
        <f>IFERROR(IF(ventas_b_mes1[[#This Row],[CUIT]]="","-",VLOOKUP(ventas_b_mes1[[#This Row],[CUIT]],Lista_CUIT[#All],2,0)),"CUIT NO CARGADO")</f>
        <v>-</v>
      </c>
      <c r="H637" s="64">
        <f>ventas_b_mes1[[#This Row],[TOTAL]]/1.21</f>
        <v>0</v>
      </c>
      <c r="I637" s="140">
        <f>ventas_b_mes1[[#This Row],[IMPORTE NETO]]*0.21</f>
        <v>0</v>
      </c>
      <c r="J637" s="141"/>
      <c r="K637" s="141"/>
      <c r="L637" s="141"/>
      <c r="M637" s="59"/>
    </row>
    <row r="638" spans="2:13">
      <c r="B638" s="135"/>
      <c r="C638" s="136"/>
      <c r="D638" s="137"/>
      <c r="E638" s="138"/>
      <c r="F638" s="139"/>
      <c r="G638" s="1" t="str">
        <f>IFERROR(IF(ventas_b_mes1[[#This Row],[CUIT]]="","-",VLOOKUP(ventas_b_mes1[[#This Row],[CUIT]],Lista_CUIT[#All],2,0)),"CUIT NO CARGADO")</f>
        <v>-</v>
      </c>
      <c r="H638" s="64">
        <f>ventas_b_mes1[[#This Row],[TOTAL]]/1.21</f>
        <v>0</v>
      </c>
      <c r="I638" s="140">
        <f>ventas_b_mes1[[#This Row],[IMPORTE NETO]]*0.21</f>
        <v>0</v>
      </c>
      <c r="J638" s="141"/>
      <c r="K638" s="141"/>
      <c r="L638" s="141"/>
      <c r="M638" s="59"/>
    </row>
    <row r="639" spans="2:13">
      <c r="B639" s="135"/>
      <c r="C639" s="136"/>
      <c r="D639" s="137"/>
      <c r="E639" s="138"/>
      <c r="F639" s="139"/>
      <c r="G639" s="1" t="str">
        <f>IFERROR(IF(ventas_b_mes1[[#This Row],[CUIT]]="","-",VLOOKUP(ventas_b_mes1[[#This Row],[CUIT]],Lista_CUIT[#All],2,0)),"CUIT NO CARGADO")</f>
        <v>-</v>
      </c>
      <c r="H639" s="64">
        <f>ventas_b_mes1[[#This Row],[TOTAL]]/1.21</f>
        <v>0</v>
      </c>
      <c r="I639" s="140">
        <f>ventas_b_mes1[[#This Row],[IMPORTE NETO]]*0.21</f>
        <v>0</v>
      </c>
      <c r="J639" s="141"/>
      <c r="K639" s="141"/>
      <c r="L639" s="141"/>
      <c r="M639" s="59"/>
    </row>
    <row r="640" spans="2:13">
      <c r="B640" s="135"/>
      <c r="C640" s="136"/>
      <c r="D640" s="137"/>
      <c r="E640" s="138"/>
      <c r="F640" s="139"/>
      <c r="G640" s="1" t="str">
        <f>IFERROR(IF(ventas_b_mes1[[#This Row],[CUIT]]="","-",VLOOKUP(ventas_b_mes1[[#This Row],[CUIT]],Lista_CUIT[#All],2,0)),"CUIT NO CARGADO")</f>
        <v>-</v>
      </c>
      <c r="H640" s="64">
        <f>ventas_b_mes1[[#This Row],[TOTAL]]/1.21</f>
        <v>0</v>
      </c>
      <c r="I640" s="140">
        <f>ventas_b_mes1[[#This Row],[IMPORTE NETO]]*0.21</f>
        <v>0</v>
      </c>
      <c r="J640" s="141"/>
      <c r="K640" s="141"/>
      <c r="L640" s="141"/>
      <c r="M640" s="59"/>
    </row>
    <row r="641" spans="2:13">
      <c r="B641" s="135"/>
      <c r="C641" s="136"/>
      <c r="D641" s="137"/>
      <c r="E641" s="138"/>
      <c r="F641" s="139"/>
      <c r="G641" s="1" t="str">
        <f>IFERROR(IF(ventas_b_mes1[[#This Row],[CUIT]]="","-",VLOOKUP(ventas_b_mes1[[#This Row],[CUIT]],Lista_CUIT[#All],2,0)),"CUIT NO CARGADO")</f>
        <v>-</v>
      </c>
      <c r="H641" s="64">
        <f>ventas_b_mes1[[#This Row],[TOTAL]]/1.21</f>
        <v>0</v>
      </c>
      <c r="I641" s="140">
        <f>ventas_b_mes1[[#This Row],[IMPORTE NETO]]*0.21</f>
        <v>0</v>
      </c>
      <c r="J641" s="141"/>
      <c r="K641" s="141"/>
      <c r="L641" s="141"/>
      <c r="M641" s="59"/>
    </row>
    <row r="642" spans="2:13">
      <c r="B642" s="135"/>
      <c r="C642" s="136"/>
      <c r="D642" s="137"/>
      <c r="E642" s="138"/>
      <c r="F642" s="139"/>
      <c r="G642" s="1" t="str">
        <f>IFERROR(IF(ventas_b_mes1[[#This Row],[CUIT]]="","-",VLOOKUP(ventas_b_mes1[[#This Row],[CUIT]],Lista_CUIT[#All],2,0)),"CUIT NO CARGADO")</f>
        <v>-</v>
      </c>
      <c r="H642" s="64">
        <f>ventas_b_mes1[[#This Row],[TOTAL]]/1.21</f>
        <v>0</v>
      </c>
      <c r="I642" s="140">
        <f>ventas_b_mes1[[#This Row],[IMPORTE NETO]]*0.21</f>
        <v>0</v>
      </c>
      <c r="J642" s="141"/>
      <c r="K642" s="141"/>
      <c r="L642" s="141"/>
      <c r="M642" s="59"/>
    </row>
    <row r="643" spans="2:13">
      <c r="B643" s="135"/>
      <c r="C643" s="136"/>
      <c r="D643" s="137"/>
      <c r="E643" s="138"/>
      <c r="F643" s="139"/>
      <c r="G643" s="1" t="str">
        <f>IFERROR(IF(ventas_b_mes1[[#This Row],[CUIT]]="","-",VLOOKUP(ventas_b_mes1[[#This Row],[CUIT]],Lista_CUIT[#All],2,0)),"CUIT NO CARGADO")</f>
        <v>-</v>
      </c>
      <c r="H643" s="64">
        <f>ventas_b_mes1[[#This Row],[TOTAL]]/1.21</f>
        <v>0</v>
      </c>
      <c r="I643" s="140">
        <f>ventas_b_mes1[[#This Row],[IMPORTE NETO]]*0.21</f>
        <v>0</v>
      </c>
      <c r="J643" s="141"/>
      <c r="K643" s="141"/>
      <c r="L643" s="141"/>
      <c r="M643" s="59"/>
    </row>
    <row r="644" spans="2:13">
      <c r="B644" s="135"/>
      <c r="C644" s="136"/>
      <c r="D644" s="137"/>
      <c r="E644" s="138"/>
      <c r="F644" s="139"/>
      <c r="G644" s="1" t="str">
        <f>IFERROR(IF(ventas_b_mes1[[#This Row],[CUIT]]="","-",VLOOKUP(ventas_b_mes1[[#This Row],[CUIT]],Lista_CUIT[#All],2,0)),"CUIT NO CARGADO")</f>
        <v>-</v>
      </c>
      <c r="H644" s="64">
        <f>ventas_b_mes1[[#This Row],[TOTAL]]/1.21</f>
        <v>0</v>
      </c>
      <c r="I644" s="140">
        <f>ventas_b_mes1[[#This Row],[IMPORTE NETO]]*0.21</f>
        <v>0</v>
      </c>
      <c r="J644" s="141"/>
      <c r="K644" s="141"/>
      <c r="L644" s="141"/>
      <c r="M644" s="59"/>
    </row>
    <row r="645" spans="2:13">
      <c r="B645" s="135"/>
      <c r="C645" s="136"/>
      <c r="D645" s="137"/>
      <c r="E645" s="138"/>
      <c r="F645" s="139"/>
      <c r="G645" s="1" t="str">
        <f>IFERROR(IF(ventas_b_mes1[[#This Row],[CUIT]]="","-",VLOOKUP(ventas_b_mes1[[#This Row],[CUIT]],Lista_CUIT[#All],2,0)),"CUIT NO CARGADO")</f>
        <v>-</v>
      </c>
      <c r="H645" s="64">
        <f>ventas_b_mes1[[#This Row],[TOTAL]]/1.21</f>
        <v>0</v>
      </c>
      <c r="I645" s="140">
        <f>ventas_b_mes1[[#This Row],[IMPORTE NETO]]*0.21</f>
        <v>0</v>
      </c>
      <c r="J645" s="141"/>
      <c r="K645" s="141"/>
      <c r="L645" s="141"/>
      <c r="M645" s="59"/>
    </row>
    <row r="646" spans="2:13">
      <c r="B646" s="135"/>
      <c r="C646" s="136"/>
      <c r="D646" s="137"/>
      <c r="E646" s="138"/>
      <c r="F646" s="139"/>
      <c r="G646" s="1" t="str">
        <f>IFERROR(IF(ventas_b_mes1[[#This Row],[CUIT]]="","-",VLOOKUP(ventas_b_mes1[[#This Row],[CUIT]],Lista_CUIT[#All],2,0)),"CUIT NO CARGADO")</f>
        <v>-</v>
      </c>
      <c r="H646" s="64">
        <f>ventas_b_mes1[[#This Row],[TOTAL]]/1.21</f>
        <v>0</v>
      </c>
      <c r="I646" s="140">
        <f>ventas_b_mes1[[#This Row],[IMPORTE NETO]]*0.21</f>
        <v>0</v>
      </c>
      <c r="J646" s="141"/>
      <c r="K646" s="141"/>
      <c r="L646" s="141"/>
      <c r="M646" s="59"/>
    </row>
    <row r="647" spans="2:13">
      <c r="B647" s="135"/>
      <c r="C647" s="136"/>
      <c r="D647" s="137"/>
      <c r="E647" s="138"/>
      <c r="F647" s="139"/>
      <c r="G647" s="1" t="str">
        <f>IFERROR(IF(ventas_b_mes1[[#This Row],[CUIT]]="","-",VLOOKUP(ventas_b_mes1[[#This Row],[CUIT]],Lista_CUIT[#All],2,0)),"CUIT NO CARGADO")</f>
        <v>-</v>
      </c>
      <c r="H647" s="64">
        <f>ventas_b_mes1[[#This Row],[TOTAL]]/1.21</f>
        <v>0</v>
      </c>
      <c r="I647" s="140">
        <f>ventas_b_mes1[[#This Row],[IMPORTE NETO]]*0.21</f>
        <v>0</v>
      </c>
      <c r="J647" s="141"/>
      <c r="K647" s="141"/>
      <c r="L647" s="141"/>
      <c r="M647" s="59"/>
    </row>
    <row r="648" spans="2:13">
      <c r="B648" s="135"/>
      <c r="C648" s="136"/>
      <c r="D648" s="137"/>
      <c r="E648" s="138"/>
      <c r="F648" s="139"/>
      <c r="G648" s="1" t="str">
        <f>IFERROR(IF(ventas_b_mes1[[#This Row],[CUIT]]="","-",VLOOKUP(ventas_b_mes1[[#This Row],[CUIT]],Lista_CUIT[#All],2,0)),"CUIT NO CARGADO")</f>
        <v>-</v>
      </c>
      <c r="H648" s="64">
        <f>ventas_b_mes1[[#This Row],[TOTAL]]/1.21</f>
        <v>0</v>
      </c>
      <c r="I648" s="140">
        <f>ventas_b_mes1[[#This Row],[IMPORTE NETO]]*0.21</f>
        <v>0</v>
      </c>
      <c r="J648" s="141"/>
      <c r="K648" s="141"/>
      <c r="L648" s="141"/>
      <c r="M648" s="59"/>
    </row>
    <row r="649" spans="2:13">
      <c r="B649" s="135"/>
      <c r="C649" s="136"/>
      <c r="D649" s="137"/>
      <c r="E649" s="138"/>
      <c r="F649" s="139"/>
      <c r="G649" s="1" t="str">
        <f>IFERROR(IF(ventas_b_mes1[[#This Row],[CUIT]]="","-",VLOOKUP(ventas_b_mes1[[#This Row],[CUIT]],Lista_CUIT[#All],2,0)),"CUIT NO CARGADO")</f>
        <v>-</v>
      </c>
      <c r="H649" s="64">
        <f>ventas_b_mes1[[#This Row],[TOTAL]]/1.21</f>
        <v>0</v>
      </c>
      <c r="I649" s="140">
        <f>ventas_b_mes1[[#This Row],[IMPORTE NETO]]*0.21</f>
        <v>0</v>
      </c>
      <c r="J649" s="141"/>
      <c r="K649" s="141"/>
      <c r="L649" s="141"/>
      <c r="M649" s="59"/>
    </row>
    <row r="650" spans="2:13">
      <c r="B650" s="135"/>
      <c r="C650" s="136"/>
      <c r="D650" s="137"/>
      <c r="E650" s="138"/>
      <c r="F650" s="139"/>
      <c r="G650" s="1" t="str">
        <f>IFERROR(IF(ventas_b_mes1[[#This Row],[CUIT]]="","-",VLOOKUP(ventas_b_mes1[[#This Row],[CUIT]],Lista_CUIT[#All],2,0)),"CUIT NO CARGADO")</f>
        <v>-</v>
      </c>
      <c r="H650" s="64">
        <f>ventas_b_mes1[[#This Row],[TOTAL]]/1.21</f>
        <v>0</v>
      </c>
      <c r="I650" s="140">
        <f>ventas_b_mes1[[#This Row],[IMPORTE NETO]]*0.21</f>
        <v>0</v>
      </c>
      <c r="J650" s="141"/>
      <c r="K650" s="141"/>
      <c r="L650" s="141"/>
      <c r="M650" s="59"/>
    </row>
    <row r="651" spans="2:13">
      <c r="B651" s="135"/>
      <c r="C651" s="136"/>
      <c r="D651" s="137"/>
      <c r="E651" s="138"/>
      <c r="F651" s="139"/>
      <c r="G651" s="1" t="str">
        <f>IFERROR(IF(ventas_b_mes1[[#This Row],[CUIT]]="","-",VLOOKUP(ventas_b_mes1[[#This Row],[CUIT]],Lista_CUIT[#All],2,0)),"CUIT NO CARGADO")</f>
        <v>-</v>
      </c>
      <c r="H651" s="64">
        <f>ventas_b_mes1[[#This Row],[TOTAL]]/1.21</f>
        <v>0</v>
      </c>
      <c r="I651" s="140">
        <f>ventas_b_mes1[[#This Row],[IMPORTE NETO]]*0.21</f>
        <v>0</v>
      </c>
      <c r="J651" s="141"/>
      <c r="K651" s="141"/>
      <c r="L651" s="141"/>
      <c r="M651" s="59"/>
    </row>
    <row r="652" spans="2:13">
      <c r="B652" s="135"/>
      <c r="C652" s="136"/>
      <c r="D652" s="137"/>
      <c r="E652" s="138"/>
      <c r="F652" s="139"/>
      <c r="G652" s="1" t="str">
        <f>IFERROR(IF(ventas_b_mes1[[#This Row],[CUIT]]="","-",VLOOKUP(ventas_b_mes1[[#This Row],[CUIT]],Lista_CUIT[#All],2,0)),"CUIT NO CARGADO")</f>
        <v>-</v>
      </c>
      <c r="H652" s="64">
        <f>ventas_b_mes1[[#This Row],[TOTAL]]/1.21</f>
        <v>0</v>
      </c>
      <c r="I652" s="140">
        <f>ventas_b_mes1[[#This Row],[IMPORTE NETO]]*0.21</f>
        <v>0</v>
      </c>
      <c r="J652" s="141"/>
      <c r="K652" s="141"/>
      <c r="L652" s="141"/>
      <c r="M652" s="59"/>
    </row>
    <row r="653" spans="2:13">
      <c r="B653" s="135"/>
      <c r="C653" s="136"/>
      <c r="D653" s="137"/>
      <c r="E653" s="138"/>
      <c r="F653" s="139"/>
      <c r="G653" s="1" t="str">
        <f>IFERROR(IF(ventas_b_mes1[[#This Row],[CUIT]]="","-",VLOOKUP(ventas_b_mes1[[#This Row],[CUIT]],Lista_CUIT[#All],2,0)),"CUIT NO CARGADO")</f>
        <v>-</v>
      </c>
      <c r="H653" s="64">
        <f>ventas_b_mes1[[#This Row],[TOTAL]]/1.21</f>
        <v>0</v>
      </c>
      <c r="I653" s="140">
        <f>ventas_b_mes1[[#This Row],[IMPORTE NETO]]*0.21</f>
        <v>0</v>
      </c>
      <c r="J653" s="141"/>
      <c r="K653" s="141"/>
      <c r="L653" s="141"/>
      <c r="M653" s="59"/>
    </row>
    <row r="654" spans="2:13">
      <c r="B654" s="135"/>
      <c r="C654" s="136"/>
      <c r="D654" s="137"/>
      <c r="E654" s="138"/>
      <c r="F654" s="139"/>
      <c r="G654" s="1" t="str">
        <f>IFERROR(IF(ventas_b_mes1[[#This Row],[CUIT]]="","-",VLOOKUP(ventas_b_mes1[[#This Row],[CUIT]],Lista_CUIT[#All],2,0)),"CUIT NO CARGADO")</f>
        <v>-</v>
      </c>
      <c r="H654" s="64">
        <f>ventas_b_mes1[[#This Row],[TOTAL]]/1.21</f>
        <v>0</v>
      </c>
      <c r="I654" s="140">
        <f>ventas_b_mes1[[#This Row],[IMPORTE NETO]]*0.21</f>
        <v>0</v>
      </c>
      <c r="J654" s="141"/>
      <c r="K654" s="141"/>
      <c r="L654" s="141"/>
      <c r="M654" s="59"/>
    </row>
    <row r="655" spans="2:13">
      <c r="B655" s="135"/>
      <c r="C655" s="136"/>
      <c r="D655" s="137"/>
      <c r="E655" s="138"/>
      <c r="F655" s="139"/>
      <c r="G655" s="1" t="str">
        <f>IFERROR(IF(ventas_b_mes1[[#This Row],[CUIT]]="","-",VLOOKUP(ventas_b_mes1[[#This Row],[CUIT]],Lista_CUIT[#All],2,0)),"CUIT NO CARGADO")</f>
        <v>-</v>
      </c>
      <c r="H655" s="64">
        <f>ventas_b_mes1[[#This Row],[TOTAL]]/1.21</f>
        <v>0</v>
      </c>
      <c r="I655" s="140">
        <f>ventas_b_mes1[[#This Row],[IMPORTE NETO]]*0.21</f>
        <v>0</v>
      </c>
      <c r="J655" s="141"/>
      <c r="K655" s="141"/>
      <c r="L655" s="141"/>
      <c r="M655" s="59"/>
    </row>
    <row r="656" spans="2:13">
      <c r="B656" s="135"/>
      <c r="C656" s="136"/>
      <c r="D656" s="137"/>
      <c r="E656" s="138"/>
      <c r="F656" s="139"/>
      <c r="G656" s="1" t="str">
        <f>IFERROR(IF(ventas_b_mes1[[#This Row],[CUIT]]="","-",VLOOKUP(ventas_b_mes1[[#This Row],[CUIT]],Lista_CUIT[#All],2,0)),"CUIT NO CARGADO")</f>
        <v>-</v>
      </c>
      <c r="H656" s="64">
        <f>ventas_b_mes1[[#This Row],[TOTAL]]/1.21</f>
        <v>0</v>
      </c>
      <c r="I656" s="140">
        <f>ventas_b_mes1[[#This Row],[IMPORTE NETO]]*0.21</f>
        <v>0</v>
      </c>
      <c r="J656" s="141"/>
      <c r="K656" s="141"/>
      <c r="L656" s="141"/>
      <c r="M656" s="59"/>
    </row>
    <row r="657" spans="2:13">
      <c r="B657" s="135"/>
      <c r="C657" s="136"/>
      <c r="D657" s="137"/>
      <c r="E657" s="138"/>
      <c r="F657" s="139"/>
      <c r="G657" s="1" t="str">
        <f>IFERROR(IF(ventas_b_mes1[[#This Row],[CUIT]]="","-",VLOOKUP(ventas_b_mes1[[#This Row],[CUIT]],Lista_CUIT[#All],2,0)),"CUIT NO CARGADO")</f>
        <v>-</v>
      </c>
      <c r="H657" s="64">
        <f>ventas_b_mes1[[#This Row],[TOTAL]]/1.21</f>
        <v>0</v>
      </c>
      <c r="I657" s="140">
        <f>ventas_b_mes1[[#This Row],[IMPORTE NETO]]*0.21</f>
        <v>0</v>
      </c>
      <c r="J657" s="141"/>
      <c r="K657" s="141"/>
      <c r="L657" s="141"/>
      <c r="M657" s="59"/>
    </row>
    <row r="658" spans="2:13">
      <c r="B658" s="135"/>
      <c r="C658" s="136"/>
      <c r="D658" s="137"/>
      <c r="E658" s="138"/>
      <c r="F658" s="139"/>
      <c r="G658" s="1" t="str">
        <f>IFERROR(IF(ventas_b_mes1[[#This Row],[CUIT]]="","-",VLOOKUP(ventas_b_mes1[[#This Row],[CUIT]],Lista_CUIT[#All],2,0)),"CUIT NO CARGADO")</f>
        <v>-</v>
      </c>
      <c r="H658" s="64">
        <f>ventas_b_mes1[[#This Row],[TOTAL]]/1.21</f>
        <v>0</v>
      </c>
      <c r="I658" s="140">
        <f>ventas_b_mes1[[#This Row],[IMPORTE NETO]]*0.21</f>
        <v>0</v>
      </c>
      <c r="J658" s="141"/>
      <c r="K658" s="141"/>
      <c r="L658" s="141"/>
      <c r="M658" s="59"/>
    </row>
    <row r="659" spans="2:13">
      <c r="B659" s="135"/>
      <c r="C659" s="136"/>
      <c r="D659" s="137"/>
      <c r="E659" s="138"/>
      <c r="F659" s="139"/>
      <c r="G659" s="1" t="str">
        <f>IFERROR(IF(ventas_b_mes1[[#This Row],[CUIT]]="","-",VLOOKUP(ventas_b_mes1[[#This Row],[CUIT]],Lista_CUIT[#All],2,0)),"CUIT NO CARGADO")</f>
        <v>-</v>
      </c>
      <c r="H659" s="64">
        <f>ventas_b_mes1[[#This Row],[TOTAL]]/1.21</f>
        <v>0</v>
      </c>
      <c r="I659" s="140">
        <f>ventas_b_mes1[[#This Row],[IMPORTE NETO]]*0.21</f>
        <v>0</v>
      </c>
      <c r="J659" s="141"/>
      <c r="K659" s="141"/>
      <c r="L659" s="141"/>
      <c r="M659" s="59"/>
    </row>
    <row r="660" spans="2:13">
      <c r="B660" s="135"/>
      <c r="C660" s="136"/>
      <c r="D660" s="137"/>
      <c r="E660" s="138"/>
      <c r="F660" s="139"/>
      <c r="G660" s="1" t="str">
        <f>IFERROR(IF(ventas_b_mes1[[#This Row],[CUIT]]="","-",VLOOKUP(ventas_b_mes1[[#This Row],[CUIT]],Lista_CUIT[#All],2,0)),"CUIT NO CARGADO")</f>
        <v>-</v>
      </c>
      <c r="H660" s="64">
        <f>ventas_b_mes1[[#This Row],[TOTAL]]/1.21</f>
        <v>0</v>
      </c>
      <c r="I660" s="140">
        <f>ventas_b_mes1[[#This Row],[IMPORTE NETO]]*0.21</f>
        <v>0</v>
      </c>
      <c r="J660" s="141"/>
      <c r="K660" s="141"/>
      <c r="L660" s="141"/>
      <c r="M660" s="59"/>
    </row>
    <row r="661" spans="2:13">
      <c r="B661" s="135"/>
      <c r="C661" s="136"/>
      <c r="D661" s="137"/>
      <c r="E661" s="138"/>
      <c r="F661" s="139"/>
      <c r="G661" s="1" t="str">
        <f>IFERROR(IF(ventas_b_mes1[[#This Row],[CUIT]]="","-",VLOOKUP(ventas_b_mes1[[#This Row],[CUIT]],Lista_CUIT[#All],2,0)),"CUIT NO CARGADO")</f>
        <v>-</v>
      </c>
      <c r="H661" s="64">
        <f>ventas_b_mes1[[#This Row],[TOTAL]]/1.21</f>
        <v>0</v>
      </c>
      <c r="I661" s="140">
        <f>ventas_b_mes1[[#This Row],[IMPORTE NETO]]*0.21</f>
        <v>0</v>
      </c>
      <c r="J661" s="141"/>
      <c r="K661" s="141"/>
      <c r="L661" s="141"/>
      <c r="M661" s="59"/>
    </row>
    <row r="662" spans="2:13">
      <c r="B662" s="135"/>
      <c r="C662" s="136"/>
      <c r="D662" s="137"/>
      <c r="E662" s="138"/>
      <c r="F662" s="139"/>
      <c r="G662" s="1" t="str">
        <f>IFERROR(IF(ventas_b_mes1[[#This Row],[CUIT]]="","-",VLOOKUP(ventas_b_mes1[[#This Row],[CUIT]],Lista_CUIT[#All],2,0)),"CUIT NO CARGADO")</f>
        <v>-</v>
      </c>
      <c r="H662" s="64">
        <f>ventas_b_mes1[[#This Row],[TOTAL]]/1.21</f>
        <v>0</v>
      </c>
      <c r="I662" s="140">
        <f>ventas_b_mes1[[#This Row],[IMPORTE NETO]]*0.21</f>
        <v>0</v>
      </c>
      <c r="J662" s="141"/>
      <c r="K662" s="141"/>
      <c r="L662" s="141"/>
      <c r="M662" s="59"/>
    </row>
    <row r="663" spans="2:13">
      <c r="B663" s="135"/>
      <c r="C663" s="136"/>
      <c r="D663" s="137"/>
      <c r="E663" s="138"/>
      <c r="F663" s="139"/>
      <c r="G663" s="1" t="str">
        <f>IFERROR(IF(ventas_b_mes1[[#This Row],[CUIT]]="","-",VLOOKUP(ventas_b_mes1[[#This Row],[CUIT]],Lista_CUIT[#All],2,0)),"CUIT NO CARGADO")</f>
        <v>-</v>
      </c>
      <c r="H663" s="64">
        <f>ventas_b_mes1[[#This Row],[TOTAL]]/1.21</f>
        <v>0</v>
      </c>
      <c r="I663" s="140">
        <f>ventas_b_mes1[[#This Row],[IMPORTE NETO]]*0.21</f>
        <v>0</v>
      </c>
      <c r="J663" s="141"/>
      <c r="K663" s="141"/>
      <c r="L663" s="141"/>
      <c r="M663" s="59"/>
    </row>
    <row r="664" spans="2:13">
      <c r="B664" s="135"/>
      <c r="C664" s="136"/>
      <c r="D664" s="137"/>
      <c r="E664" s="138"/>
      <c r="F664" s="139"/>
      <c r="G664" s="1" t="str">
        <f>IFERROR(IF(ventas_b_mes1[[#This Row],[CUIT]]="","-",VLOOKUP(ventas_b_mes1[[#This Row],[CUIT]],Lista_CUIT[#All],2,0)),"CUIT NO CARGADO")</f>
        <v>-</v>
      </c>
      <c r="H664" s="64">
        <f>ventas_b_mes1[[#This Row],[TOTAL]]/1.21</f>
        <v>0</v>
      </c>
      <c r="I664" s="140">
        <f>ventas_b_mes1[[#This Row],[IMPORTE NETO]]*0.21</f>
        <v>0</v>
      </c>
      <c r="J664" s="141"/>
      <c r="K664" s="141"/>
      <c r="L664" s="141"/>
      <c r="M664" s="59"/>
    </row>
    <row r="665" spans="2:13">
      <c r="B665" s="135"/>
      <c r="C665" s="136"/>
      <c r="D665" s="137"/>
      <c r="E665" s="138"/>
      <c r="F665" s="139"/>
      <c r="G665" s="1" t="str">
        <f>IFERROR(IF(ventas_b_mes1[[#This Row],[CUIT]]="","-",VLOOKUP(ventas_b_mes1[[#This Row],[CUIT]],Lista_CUIT[#All],2,0)),"CUIT NO CARGADO")</f>
        <v>-</v>
      </c>
      <c r="H665" s="64">
        <f>ventas_b_mes1[[#This Row],[TOTAL]]/1.21</f>
        <v>0</v>
      </c>
      <c r="I665" s="140">
        <f>ventas_b_mes1[[#This Row],[IMPORTE NETO]]*0.21</f>
        <v>0</v>
      </c>
      <c r="J665" s="141"/>
      <c r="K665" s="141"/>
      <c r="L665" s="141"/>
      <c r="M665" s="59"/>
    </row>
    <row r="666" spans="2:13">
      <c r="B666" s="135"/>
      <c r="C666" s="136"/>
      <c r="D666" s="137"/>
      <c r="E666" s="138"/>
      <c r="F666" s="139"/>
      <c r="G666" s="1" t="str">
        <f>IFERROR(IF(ventas_b_mes1[[#This Row],[CUIT]]="","-",VLOOKUP(ventas_b_mes1[[#This Row],[CUIT]],Lista_CUIT[#All],2,0)),"CUIT NO CARGADO")</f>
        <v>-</v>
      </c>
      <c r="H666" s="64">
        <f>ventas_b_mes1[[#This Row],[TOTAL]]/1.21</f>
        <v>0</v>
      </c>
      <c r="I666" s="140">
        <f>ventas_b_mes1[[#This Row],[IMPORTE NETO]]*0.21</f>
        <v>0</v>
      </c>
      <c r="J666" s="141"/>
      <c r="K666" s="141"/>
      <c r="L666" s="141"/>
      <c r="M666" s="59"/>
    </row>
    <row r="667" spans="2:13">
      <c r="B667" s="135"/>
      <c r="C667" s="136"/>
      <c r="D667" s="137"/>
      <c r="E667" s="138"/>
      <c r="F667" s="139"/>
      <c r="G667" s="1" t="str">
        <f>IFERROR(IF(ventas_b_mes1[[#This Row],[CUIT]]="","-",VLOOKUP(ventas_b_mes1[[#This Row],[CUIT]],Lista_CUIT[#All],2,0)),"CUIT NO CARGADO")</f>
        <v>-</v>
      </c>
      <c r="H667" s="64">
        <f>ventas_b_mes1[[#This Row],[TOTAL]]/1.21</f>
        <v>0</v>
      </c>
      <c r="I667" s="140">
        <f>ventas_b_mes1[[#This Row],[IMPORTE NETO]]*0.21</f>
        <v>0</v>
      </c>
      <c r="J667" s="141"/>
      <c r="K667" s="141"/>
      <c r="L667" s="141"/>
      <c r="M667" s="59"/>
    </row>
    <row r="668" spans="2:13">
      <c r="B668" s="135"/>
      <c r="C668" s="136"/>
      <c r="D668" s="137"/>
      <c r="E668" s="138"/>
      <c r="F668" s="139"/>
      <c r="G668" s="1" t="str">
        <f>IFERROR(IF(ventas_b_mes1[[#This Row],[CUIT]]="","-",VLOOKUP(ventas_b_mes1[[#This Row],[CUIT]],Lista_CUIT[#All],2,0)),"CUIT NO CARGADO")</f>
        <v>-</v>
      </c>
      <c r="H668" s="64">
        <f>ventas_b_mes1[[#This Row],[TOTAL]]/1.21</f>
        <v>0</v>
      </c>
      <c r="I668" s="140">
        <f>ventas_b_mes1[[#This Row],[IMPORTE NETO]]*0.21</f>
        <v>0</v>
      </c>
      <c r="J668" s="141"/>
      <c r="K668" s="141"/>
      <c r="L668" s="141"/>
      <c r="M668" s="59"/>
    </row>
    <row r="669" spans="2:13">
      <c r="B669" s="135"/>
      <c r="C669" s="136"/>
      <c r="D669" s="137"/>
      <c r="E669" s="138"/>
      <c r="F669" s="139"/>
      <c r="G669" s="1" t="str">
        <f>IFERROR(IF(ventas_b_mes1[[#This Row],[CUIT]]="","-",VLOOKUP(ventas_b_mes1[[#This Row],[CUIT]],Lista_CUIT[#All],2,0)),"CUIT NO CARGADO")</f>
        <v>-</v>
      </c>
      <c r="H669" s="64">
        <f>ventas_b_mes1[[#This Row],[TOTAL]]/1.21</f>
        <v>0</v>
      </c>
      <c r="I669" s="140">
        <f>ventas_b_mes1[[#This Row],[IMPORTE NETO]]*0.21</f>
        <v>0</v>
      </c>
      <c r="J669" s="141"/>
      <c r="K669" s="141"/>
      <c r="L669" s="141"/>
      <c r="M669" s="59"/>
    </row>
    <row r="670" spans="2:13">
      <c r="B670" s="135"/>
      <c r="C670" s="136"/>
      <c r="D670" s="137"/>
      <c r="E670" s="138"/>
      <c r="F670" s="139"/>
      <c r="G670" s="1" t="str">
        <f>IFERROR(IF(ventas_b_mes1[[#This Row],[CUIT]]="","-",VLOOKUP(ventas_b_mes1[[#This Row],[CUIT]],Lista_CUIT[#All],2,0)),"CUIT NO CARGADO")</f>
        <v>-</v>
      </c>
      <c r="H670" s="64">
        <f>ventas_b_mes1[[#This Row],[TOTAL]]/1.21</f>
        <v>0</v>
      </c>
      <c r="I670" s="140">
        <f>ventas_b_mes1[[#This Row],[IMPORTE NETO]]*0.21</f>
        <v>0</v>
      </c>
      <c r="J670" s="141"/>
      <c r="K670" s="141"/>
      <c r="L670" s="141"/>
      <c r="M670" s="59"/>
    </row>
    <row r="671" spans="2:13">
      <c r="B671" s="135"/>
      <c r="C671" s="136"/>
      <c r="D671" s="137"/>
      <c r="E671" s="138"/>
      <c r="F671" s="139"/>
      <c r="G671" s="1" t="str">
        <f>IFERROR(IF(ventas_b_mes1[[#This Row],[CUIT]]="","-",VLOOKUP(ventas_b_mes1[[#This Row],[CUIT]],Lista_CUIT[#All],2,0)),"CUIT NO CARGADO")</f>
        <v>-</v>
      </c>
      <c r="H671" s="64">
        <f>ventas_b_mes1[[#This Row],[TOTAL]]/1.21</f>
        <v>0</v>
      </c>
      <c r="I671" s="140">
        <f>ventas_b_mes1[[#This Row],[IMPORTE NETO]]*0.21</f>
        <v>0</v>
      </c>
      <c r="J671" s="141"/>
      <c r="K671" s="141"/>
      <c r="L671" s="141"/>
      <c r="M671" s="59"/>
    </row>
    <row r="672" spans="2:13">
      <c r="B672" s="135"/>
      <c r="C672" s="136"/>
      <c r="D672" s="137"/>
      <c r="E672" s="138"/>
      <c r="F672" s="139"/>
      <c r="G672" s="1" t="str">
        <f>IFERROR(IF(ventas_b_mes1[[#This Row],[CUIT]]="","-",VLOOKUP(ventas_b_mes1[[#This Row],[CUIT]],Lista_CUIT[#All],2,0)),"CUIT NO CARGADO")</f>
        <v>-</v>
      </c>
      <c r="H672" s="64">
        <f>ventas_b_mes1[[#This Row],[TOTAL]]/1.21</f>
        <v>0</v>
      </c>
      <c r="I672" s="140">
        <f>ventas_b_mes1[[#This Row],[IMPORTE NETO]]*0.21</f>
        <v>0</v>
      </c>
      <c r="J672" s="141"/>
      <c r="K672" s="141"/>
      <c r="L672" s="141"/>
      <c r="M672" s="59"/>
    </row>
    <row r="673" spans="2:13">
      <c r="B673" s="135"/>
      <c r="C673" s="136"/>
      <c r="D673" s="137"/>
      <c r="E673" s="138"/>
      <c r="F673" s="139"/>
      <c r="G673" s="1" t="str">
        <f>IFERROR(IF(ventas_b_mes1[[#This Row],[CUIT]]="","-",VLOOKUP(ventas_b_mes1[[#This Row],[CUIT]],Lista_CUIT[#All],2,0)),"CUIT NO CARGADO")</f>
        <v>-</v>
      </c>
      <c r="H673" s="64">
        <f>ventas_b_mes1[[#This Row],[TOTAL]]/1.21</f>
        <v>0</v>
      </c>
      <c r="I673" s="140">
        <f>ventas_b_mes1[[#This Row],[IMPORTE NETO]]*0.21</f>
        <v>0</v>
      </c>
      <c r="J673" s="141"/>
      <c r="K673" s="141"/>
      <c r="L673" s="141"/>
      <c r="M673" s="59"/>
    </row>
    <row r="674" spans="2:13">
      <c r="B674" s="135"/>
      <c r="C674" s="136"/>
      <c r="D674" s="137"/>
      <c r="E674" s="138"/>
      <c r="F674" s="139"/>
      <c r="G674" s="1" t="str">
        <f>IFERROR(IF(ventas_b_mes1[[#This Row],[CUIT]]="","-",VLOOKUP(ventas_b_mes1[[#This Row],[CUIT]],Lista_CUIT[#All],2,0)),"CUIT NO CARGADO")</f>
        <v>-</v>
      </c>
      <c r="H674" s="64">
        <f>ventas_b_mes1[[#This Row],[TOTAL]]/1.21</f>
        <v>0</v>
      </c>
      <c r="I674" s="140">
        <f>ventas_b_mes1[[#This Row],[IMPORTE NETO]]*0.21</f>
        <v>0</v>
      </c>
      <c r="J674" s="141"/>
      <c r="K674" s="141"/>
      <c r="L674" s="141"/>
      <c r="M674" s="59"/>
    </row>
    <row r="675" spans="2:13">
      <c r="B675" s="135"/>
      <c r="C675" s="136"/>
      <c r="D675" s="137"/>
      <c r="E675" s="138"/>
      <c r="F675" s="139"/>
      <c r="G675" s="1" t="str">
        <f>IFERROR(IF(ventas_b_mes1[[#This Row],[CUIT]]="","-",VLOOKUP(ventas_b_mes1[[#This Row],[CUIT]],Lista_CUIT[#All],2,0)),"CUIT NO CARGADO")</f>
        <v>-</v>
      </c>
      <c r="H675" s="64">
        <f>ventas_b_mes1[[#This Row],[TOTAL]]/1.21</f>
        <v>0</v>
      </c>
      <c r="I675" s="140">
        <f>ventas_b_mes1[[#This Row],[IMPORTE NETO]]*0.21</f>
        <v>0</v>
      </c>
      <c r="J675" s="141"/>
      <c r="K675" s="141"/>
      <c r="L675" s="141"/>
      <c r="M675" s="59"/>
    </row>
    <row r="676" spans="2:13">
      <c r="B676" s="135"/>
      <c r="C676" s="136"/>
      <c r="D676" s="137"/>
      <c r="E676" s="138"/>
      <c r="F676" s="139"/>
      <c r="G676" s="1" t="str">
        <f>IFERROR(IF(ventas_b_mes1[[#This Row],[CUIT]]="","-",VLOOKUP(ventas_b_mes1[[#This Row],[CUIT]],Lista_CUIT[#All],2,0)),"CUIT NO CARGADO")</f>
        <v>-</v>
      </c>
      <c r="H676" s="64">
        <f>ventas_b_mes1[[#This Row],[TOTAL]]/1.21</f>
        <v>0</v>
      </c>
      <c r="I676" s="140">
        <f>ventas_b_mes1[[#This Row],[IMPORTE NETO]]*0.21</f>
        <v>0</v>
      </c>
      <c r="J676" s="141"/>
      <c r="K676" s="141"/>
      <c r="L676" s="141"/>
      <c r="M676" s="59"/>
    </row>
    <row r="677" spans="2:13">
      <c r="B677" s="135"/>
      <c r="C677" s="136"/>
      <c r="D677" s="137"/>
      <c r="E677" s="138"/>
      <c r="F677" s="139"/>
      <c r="G677" s="1" t="str">
        <f>IFERROR(IF(ventas_b_mes1[[#This Row],[CUIT]]="","-",VLOOKUP(ventas_b_mes1[[#This Row],[CUIT]],Lista_CUIT[#All],2,0)),"CUIT NO CARGADO")</f>
        <v>-</v>
      </c>
      <c r="H677" s="64">
        <f>ventas_b_mes1[[#This Row],[TOTAL]]/1.21</f>
        <v>0</v>
      </c>
      <c r="I677" s="140">
        <f>ventas_b_mes1[[#This Row],[IMPORTE NETO]]*0.21</f>
        <v>0</v>
      </c>
      <c r="J677" s="141"/>
      <c r="K677" s="141"/>
      <c r="L677" s="141"/>
      <c r="M677" s="59"/>
    </row>
    <row r="678" spans="2:13">
      <c r="B678" s="135"/>
      <c r="C678" s="136"/>
      <c r="D678" s="137"/>
      <c r="E678" s="138"/>
      <c r="F678" s="139"/>
      <c r="G678" s="1" t="str">
        <f>IFERROR(IF(ventas_b_mes1[[#This Row],[CUIT]]="","-",VLOOKUP(ventas_b_mes1[[#This Row],[CUIT]],Lista_CUIT[#All],2,0)),"CUIT NO CARGADO")</f>
        <v>-</v>
      </c>
      <c r="H678" s="64">
        <f>ventas_b_mes1[[#This Row],[TOTAL]]/1.21</f>
        <v>0</v>
      </c>
      <c r="I678" s="140">
        <f>ventas_b_mes1[[#This Row],[IMPORTE NETO]]*0.21</f>
        <v>0</v>
      </c>
      <c r="J678" s="141"/>
      <c r="K678" s="141"/>
      <c r="L678" s="141"/>
      <c r="M678" s="59"/>
    </row>
    <row r="679" spans="2:13">
      <c r="B679" s="135"/>
      <c r="C679" s="136"/>
      <c r="D679" s="137"/>
      <c r="E679" s="138"/>
      <c r="F679" s="139"/>
      <c r="G679" s="1" t="str">
        <f>IFERROR(IF(ventas_b_mes1[[#This Row],[CUIT]]="","-",VLOOKUP(ventas_b_mes1[[#This Row],[CUIT]],Lista_CUIT[#All],2,0)),"CUIT NO CARGADO")</f>
        <v>-</v>
      </c>
      <c r="H679" s="64">
        <f>ventas_b_mes1[[#This Row],[TOTAL]]/1.21</f>
        <v>0</v>
      </c>
      <c r="I679" s="140">
        <f>ventas_b_mes1[[#This Row],[IMPORTE NETO]]*0.21</f>
        <v>0</v>
      </c>
      <c r="J679" s="141"/>
      <c r="K679" s="141"/>
      <c r="L679" s="141"/>
      <c r="M679" s="59"/>
    </row>
    <row r="680" spans="2:13">
      <c r="B680" s="135"/>
      <c r="C680" s="136"/>
      <c r="D680" s="137"/>
      <c r="E680" s="138"/>
      <c r="F680" s="139"/>
      <c r="G680" s="1" t="str">
        <f>IFERROR(IF(ventas_b_mes1[[#This Row],[CUIT]]="","-",VLOOKUP(ventas_b_mes1[[#This Row],[CUIT]],Lista_CUIT[#All],2,0)),"CUIT NO CARGADO")</f>
        <v>-</v>
      </c>
      <c r="H680" s="64">
        <f>ventas_b_mes1[[#This Row],[TOTAL]]/1.21</f>
        <v>0</v>
      </c>
      <c r="I680" s="140">
        <f>ventas_b_mes1[[#This Row],[IMPORTE NETO]]*0.21</f>
        <v>0</v>
      </c>
      <c r="J680" s="141"/>
      <c r="K680" s="141"/>
      <c r="L680" s="141"/>
      <c r="M680" s="59"/>
    </row>
    <row r="681" spans="2:13">
      <c r="B681" s="135"/>
      <c r="C681" s="136"/>
      <c r="D681" s="137"/>
      <c r="E681" s="138"/>
      <c r="F681" s="139"/>
      <c r="G681" s="1" t="str">
        <f>IFERROR(IF(ventas_b_mes1[[#This Row],[CUIT]]="","-",VLOOKUP(ventas_b_mes1[[#This Row],[CUIT]],Lista_CUIT[#All],2,0)),"CUIT NO CARGADO")</f>
        <v>-</v>
      </c>
      <c r="H681" s="64">
        <f>ventas_b_mes1[[#This Row],[TOTAL]]/1.21</f>
        <v>0</v>
      </c>
      <c r="I681" s="140">
        <f>ventas_b_mes1[[#This Row],[IMPORTE NETO]]*0.21</f>
        <v>0</v>
      </c>
      <c r="J681" s="141"/>
      <c r="K681" s="141"/>
      <c r="L681" s="141"/>
      <c r="M681" s="59"/>
    </row>
    <row r="682" spans="2:13">
      <c r="B682" s="135"/>
      <c r="C682" s="136"/>
      <c r="D682" s="137"/>
      <c r="E682" s="138"/>
      <c r="F682" s="139"/>
      <c r="G682" s="1" t="str">
        <f>IFERROR(IF(ventas_b_mes1[[#This Row],[CUIT]]="","-",VLOOKUP(ventas_b_mes1[[#This Row],[CUIT]],Lista_CUIT[#All],2,0)),"CUIT NO CARGADO")</f>
        <v>-</v>
      </c>
      <c r="H682" s="64">
        <f>ventas_b_mes1[[#This Row],[TOTAL]]/1.21</f>
        <v>0</v>
      </c>
      <c r="I682" s="140">
        <f>ventas_b_mes1[[#This Row],[IMPORTE NETO]]*0.21</f>
        <v>0</v>
      </c>
      <c r="J682" s="141"/>
      <c r="K682" s="141"/>
      <c r="L682" s="141"/>
      <c r="M682" s="59"/>
    </row>
    <row r="683" spans="2:13">
      <c r="B683" s="135"/>
      <c r="C683" s="136"/>
      <c r="D683" s="137"/>
      <c r="E683" s="138"/>
      <c r="F683" s="139"/>
      <c r="G683" s="1" t="str">
        <f>IFERROR(IF(ventas_b_mes1[[#This Row],[CUIT]]="","-",VLOOKUP(ventas_b_mes1[[#This Row],[CUIT]],Lista_CUIT[#All],2,0)),"CUIT NO CARGADO")</f>
        <v>-</v>
      </c>
      <c r="H683" s="64">
        <f>ventas_b_mes1[[#This Row],[TOTAL]]/1.21</f>
        <v>0</v>
      </c>
      <c r="I683" s="140">
        <f>ventas_b_mes1[[#This Row],[IMPORTE NETO]]*0.21</f>
        <v>0</v>
      </c>
      <c r="J683" s="141"/>
      <c r="K683" s="141"/>
      <c r="L683" s="141"/>
      <c r="M683" s="59"/>
    </row>
    <row r="684" spans="2:13">
      <c r="B684" s="135"/>
      <c r="C684" s="136"/>
      <c r="D684" s="137"/>
      <c r="E684" s="138"/>
      <c r="F684" s="139"/>
      <c r="G684" s="1" t="str">
        <f>IFERROR(IF(ventas_b_mes1[[#This Row],[CUIT]]="","-",VLOOKUP(ventas_b_mes1[[#This Row],[CUIT]],Lista_CUIT[#All],2,0)),"CUIT NO CARGADO")</f>
        <v>-</v>
      </c>
      <c r="H684" s="64">
        <f>ventas_b_mes1[[#This Row],[TOTAL]]/1.21</f>
        <v>0</v>
      </c>
      <c r="I684" s="140">
        <f>ventas_b_mes1[[#This Row],[IMPORTE NETO]]*0.21</f>
        <v>0</v>
      </c>
      <c r="J684" s="141"/>
      <c r="K684" s="141"/>
      <c r="L684" s="141"/>
      <c r="M684" s="59"/>
    </row>
    <row r="685" spans="2:13">
      <c r="B685" s="135"/>
      <c r="C685" s="136"/>
      <c r="D685" s="137"/>
      <c r="E685" s="138"/>
      <c r="F685" s="139"/>
      <c r="G685" s="1" t="str">
        <f>IFERROR(IF(ventas_b_mes1[[#This Row],[CUIT]]="","-",VLOOKUP(ventas_b_mes1[[#This Row],[CUIT]],Lista_CUIT[#All],2,0)),"CUIT NO CARGADO")</f>
        <v>-</v>
      </c>
      <c r="H685" s="64">
        <f>ventas_b_mes1[[#This Row],[TOTAL]]/1.21</f>
        <v>0</v>
      </c>
      <c r="I685" s="140">
        <f>ventas_b_mes1[[#This Row],[IMPORTE NETO]]*0.21</f>
        <v>0</v>
      </c>
      <c r="J685" s="141"/>
      <c r="K685" s="141"/>
      <c r="L685" s="141"/>
      <c r="M685" s="59"/>
    </row>
    <row r="686" spans="2:13">
      <c r="B686" s="135"/>
      <c r="C686" s="136"/>
      <c r="D686" s="137"/>
      <c r="E686" s="138"/>
      <c r="F686" s="139"/>
      <c r="G686" s="1" t="str">
        <f>IFERROR(IF(ventas_b_mes1[[#This Row],[CUIT]]="","-",VLOOKUP(ventas_b_mes1[[#This Row],[CUIT]],Lista_CUIT[#All],2,0)),"CUIT NO CARGADO")</f>
        <v>-</v>
      </c>
      <c r="H686" s="64">
        <f>ventas_b_mes1[[#This Row],[TOTAL]]/1.21</f>
        <v>0</v>
      </c>
      <c r="I686" s="140">
        <f>ventas_b_mes1[[#This Row],[IMPORTE NETO]]*0.21</f>
        <v>0</v>
      </c>
      <c r="J686" s="141"/>
      <c r="K686" s="141"/>
      <c r="L686" s="141"/>
      <c r="M686" s="59"/>
    </row>
    <row r="687" spans="2:13">
      <c r="B687" s="135"/>
      <c r="C687" s="136"/>
      <c r="D687" s="137"/>
      <c r="E687" s="138"/>
      <c r="F687" s="139"/>
      <c r="G687" s="1" t="str">
        <f>IFERROR(IF(ventas_b_mes1[[#This Row],[CUIT]]="","-",VLOOKUP(ventas_b_mes1[[#This Row],[CUIT]],Lista_CUIT[#All],2,0)),"CUIT NO CARGADO")</f>
        <v>-</v>
      </c>
      <c r="H687" s="64">
        <f>ventas_b_mes1[[#This Row],[TOTAL]]/1.21</f>
        <v>0</v>
      </c>
      <c r="I687" s="140">
        <f>ventas_b_mes1[[#This Row],[IMPORTE NETO]]*0.21</f>
        <v>0</v>
      </c>
      <c r="J687" s="141"/>
      <c r="K687" s="141"/>
      <c r="L687" s="141"/>
      <c r="M687" s="59"/>
    </row>
    <row r="688" spans="2:13">
      <c r="B688" s="135"/>
      <c r="C688" s="136"/>
      <c r="D688" s="137"/>
      <c r="E688" s="138"/>
      <c r="F688" s="139"/>
      <c r="G688" s="1" t="str">
        <f>IFERROR(IF(ventas_b_mes1[[#This Row],[CUIT]]="","-",VLOOKUP(ventas_b_mes1[[#This Row],[CUIT]],Lista_CUIT[#All],2,0)),"CUIT NO CARGADO")</f>
        <v>-</v>
      </c>
      <c r="H688" s="64">
        <f>ventas_b_mes1[[#This Row],[TOTAL]]/1.21</f>
        <v>0</v>
      </c>
      <c r="I688" s="140">
        <f>ventas_b_mes1[[#This Row],[IMPORTE NETO]]*0.21</f>
        <v>0</v>
      </c>
      <c r="J688" s="141"/>
      <c r="K688" s="141"/>
      <c r="L688" s="141"/>
      <c r="M688" s="59"/>
    </row>
    <row r="689" spans="2:13">
      <c r="B689" s="135"/>
      <c r="C689" s="136"/>
      <c r="D689" s="137"/>
      <c r="E689" s="138"/>
      <c r="F689" s="139"/>
      <c r="G689" s="1" t="str">
        <f>IFERROR(IF(ventas_b_mes1[[#This Row],[CUIT]]="","-",VLOOKUP(ventas_b_mes1[[#This Row],[CUIT]],Lista_CUIT[#All],2,0)),"CUIT NO CARGADO")</f>
        <v>-</v>
      </c>
      <c r="H689" s="64">
        <f>ventas_b_mes1[[#This Row],[TOTAL]]/1.21</f>
        <v>0</v>
      </c>
      <c r="I689" s="140">
        <f>ventas_b_mes1[[#This Row],[IMPORTE NETO]]*0.21</f>
        <v>0</v>
      </c>
      <c r="J689" s="141"/>
      <c r="K689" s="141"/>
      <c r="L689" s="141"/>
      <c r="M689" s="59"/>
    </row>
    <row r="690" spans="2:13">
      <c r="B690" s="135"/>
      <c r="C690" s="136"/>
      <c r="D690" s="137"/>
      <c r="E690" s="138"/>
      <c r="F690" s="139"/>
      <c r="G690" s="1" t="str">
        <f>IFERROR(IF(ventas_b_mes1[[#This Row],[CUIT]]="","-",VLOOKUP(ventas_b_mes1[[#This Row],[CUIT]],Lista_CUIT[#All],2,0)),"CUIT NO CARGADO")</f>
        <v>-</v>
      </c>
      <c r="H690" s="64">
        <f>ventas_b_mes1[[#This Row],[TOTAL]]/1.21</f>
        <v>0</v>
      </c>
      <c r="I690" s="140">
        <f>ventas_b_mes1[[#This Row],[IMPORTE NETO]]*0.21</f>
        <v>0</v>
      </c>
      <c r="J690" s="141"/>
      <c r="K690" s="141"/>
      <c r="L690" s="141"/>
      <c r="M690" s="59"/>
    </row>
    <row r="691" spans="2:13">
      <c r="B691" s="135"/>
      <c r="C691" s="136"/>
      <c r="D691" s="137"/>
      <c r="E691" s="138"/>
      <c r="F691" s="139"/>
      <c r="G691" s="1" t="str">
        <f>IFERROR(IF(ventas_b_mes1[[#This Row],[CUIT]]="","-",VLOOKUP(ventas_b_mes1[[#This Row],[CUIT]],Lista_CUIT[#All],2,0)),"CUIT NO CARGADO")</f>
        <v>-</v>
      </c>
      <c r="H691" s="64">
        <f>ventas_b_mes1[[#This Row],[TOTAL]]/1.21</f>
        <v>0</v>
      </c>
      <c r="I691" s="140">
        <f>ventas_b_mes1[[#This Row],[IMPORTE NETO]]*0.21</f>
        <v>0</v>
      </c>
      <c r="J691" s="141"/>
      <c r="K691" s="141"/>
      <c r="L691" s="141"/>
      <c r="M691" s="59"/>
    </row>
    <row r="692" spans="2:13">
      <c r="B692" s="135"/>
      <c r="C692" s="136"/>
      <c r="D692" s="137"/>
      <c r="E692" s="138"/>
      <c r="F692" s="139"/>
      <c r="G692" s="1" t="str">
        <f>IFERROR(IF(ventas_b_mes1[[#This Row],[CUIT]]="","-",VLOOKUP(ventas_b_mes1[[#This Row],[CUIT]],Lista_CUIT[#All],2,0)),"CUIT NO CARGADO")</f>
        <v>-</v>
      </c>
      <c r="H692" s="64">
        <f>ventas_b_mes1[[#This Row],[TOTAL]]/1.21</f>
        <v>0</v>
      </c>
      <c r="I692" s="140">
        <f>ventas_b_mes1[[#This Row],[IMPORTE NETO]]*0.21</f>
        <v>0</v>
      </c>
      <c r="J692" s="141"/>
      <c r="K692" s="141"/>
      <c r="L692" s="141"/>
      <c r="M692" s="59"/>
    </row>
    <row r="693" spans="2:13">
      <c r="B693" s="135"/>
      <c r="C693" s="136"/>
      <c r="D693" s="137"/>
      <c r="E693" s="138"/>
      <c r="F693" s="139"/>
      <c r="G693" s="1" t="str">
        <f>IFERROR(IF(ventas_b_mes1[[#This Row],[CUIT]]="","-",VLOOKUP(ventas_b_mes1[[#This Row],[CUIT]],Lista_CUIT[#All],2,0)),"CUIT NO CARGADO")</f>
        <v>-</v>
      </c>
      <c r="H693" s="64">
        <f>ventas_b_mes1[[#This Row],[TOTAL]]/1.21</f>
        <v>0</v>
      </c>
      <c r="I693" s="140">
        <f>ventas_b_mes1[[#This Row],[IMPORTE NETO]]*0.21</f>
        <v>0</v>
      </c>
      <c r="J693" s="141"/>
      <c r="K693" s="141"/>
      <c r="L693" s="141"/>
      <c r="M693" s="59"/>
    </row>
    <row r="694" spans="2:13">
      <c r="B694" s="135"/>
      <c r="C694" s="136"/>
      <c r="D694" s="137"/>
      <c r="E694" s="138"/>
      <c r="F694" s="139"/>
      <c r="G694" s="1" t="str">
        <f>IFERROR(IF(ventas_b_mes1[[#This Row],[CUIT]]="","-",VLOOKUP(ventas_b_mes1[[#This Row],[CUIT]],Lista_CUIT[#All],2,0)),"CUIT NO CARGADO")</f>
        <v>-</v>
      </c>
      <c r="H694" s="64">
        <f>ventas_b_mes1[[#This Row],[TOTAL]]/1.21</f>
        <v>0</v>
      </c>
      <c r="I694" s="140">
        <f>ventas_b_mes1[[#This Row],[IMPORTE NETO]]*0.21</f>
        <v>0</v>
      </c>
      <c r="J694" s="141"/>
      <c r="K694" s="141"/>
      <c r="L694" s="141"/>
      <c r="M694" s="59"/>
    </row>
    <row r="695" spans="2:13">
      <c r="B695" s="135"/>
      <c r="C695" s="136"/>
      <c r="D695" s="137"/>
      <c r="E695" s="138"/>
      <c r="F695" s="139"/>
      <c r="G695" s="1" t="str">
        <f>IFERROR(IF(ventas_b_mes1[[#This Row],[CUIT]]="","-",VLOOKUP(ventas_b_mes1[[#This Row],[CUIT]],Lista_CUIT[#All],2,0)),"CUIT NO CARGADO")</f>
        <v>-</v>
      </c>
      <c r="H695" s="64">
        <f>ventas_b_mes1[[#This Row],[TOTAL]]/1.21</f>
        <v>0</v>
      </c>
      <c r="I695" s="140">
        <f>ventas_b_mes1[[#This Row],[IMPORTE NETO]]*0.21</f>
        <v>0</v>
      </c>
      <c r="J695" s="141"/>
      <c r="K695" s="141"/>
      <c r="L695" s="141"/>
      <c r="M695" s="59"/>
    </row>
    <row r="696" spans="2:13">
      <c r="B696" s="135"/>
      <c r="C696" s="136"/>
      <c r="D696" s="137"/>
      <c r="E696" s="138"/>
      <c r="F696" s="139"/>
      <c r="G696" s="1" t="str">
        <f>IFERROR(IF(ventas_b_mes1[[#This Row],[CUIT]]="","-",VLOOKUP(ventas_b_mes1[[#This Row],[CUIT]],Lista_CUIT[#All],2,0)),"CUIT NO CARGADO")</f>
        <v>-</v>
      </c>
      <c r="H696" s="64">
        <f>ventas_b_mes1[[#This Row],[TOTAL]]/1.21</f>
        <v>0</v>
      </c>
      <c r="I696" s="140">
        <f>ventas_b_mes1[[#This Row],[IMPORTE NETO]]*0.21</f>
        <v>0</v>
      </c>
      <c r="J696" s="141"/>
      <c r="K696" s="141"/>
      <c r="L696" s="141"/>
      <c r="M696" s="59"/>
    </row>
    <row r="697" spans="2:13">
      <c r="B697" s="135"/>
      <c r="C697" s="136"/>
      <c r="D697" s="137"/>
      <c r="E697" s="138"/>
      <c r="F697" s="139"/>
      <c r="G697" s="1" t="str">
        <f>IFERROR(IF(ventas_b_mes1[[#This Row],[CUIT]]="","-",VLOOKUP(ventas_b_mes1[[#This Row],[CUIT]],Lista_CUIT[#All],2,0)),"CUIT NO CARGADO")</f>
        <v>-</v>
      </c>
      <c r="H697" s="64">
        <f>ventas_b_mes1[[#This Row],[TOTAL]]/1.21</f>
        <v>0</v>
      </c>
      <c r="I697" s="140">
        <f>ventas_b_mes1[[#This Row],[IMPORTE NETO]]*0.21</f>
        <v>0</v>
      </c>
      <c r="J697" s="141"/>
      <c r="K697" s="141"/>
      <c r="L697" s="141"/>
      <c r="M697" s="59"/>
    </row>
    <row r="698" spans="2:13">
      <c r="B698" s="135"/>
      <c r="C698" s="136"/>
      <c r="D698" s="137"/>
      <c r="E698" s="138"/>
      <c r="F698" s="139"/>
      <c r="G698" s="1" t="str">
        <f>IFERROR(IF(ventas_b_mes1[[#This Row],[CUIT]]="","-",VLOOKUP(ventas_b_mes1[[#This Row],[CUIT]],Lista_CUIT[#All],2,0)),"CUIT NO CARGADO")</f>
        <v>-</v>
      </c>
      <c r="H698" s="64">
        <f>ventas_b_mes1[[#This Row],[TOTAL]]/1.21</f>
        <v>0</v>
      </c>
      <c r="I698" s="140">
        <f>ventas_b_mes1[[#This Row],[IMPORTE NETO]]*0.21</f>
        <v>0</v>
      </c>
      <c r="J698" s="141"/>
      <c r="K698" s="141"/>
      <c r="L698" s="141"/>
      <c r="M698" s="59"/>
    </row>
    <row r="699" spans="2:13">
      <c r="B699" s="135"/>
      <c r="C699" s="136"/>
      <c r="D699" s="137"/>
      <c r="E699" s="138"/>
      <c r="F699" s="139"/>
      <c r="G699" s="1" t="str">
        <f>IFERROR(IF(ventas_b_mes1[[#This Row],[CUIT]]="","-",VLOOKUP(ventas_b_mes1[[#This Row],[CUIT]],Lista_CUIT[#All],2,0)),"CUIT NO CARGADO")</f>
        <v>-</v>
      </c>
      <c r="H699" s="64">
        <f>ventas_b_mes1[[#This Row],[TOTAL]]/1.21</f>
        <v>0</v>
      </c>
      <c r="I699" s="140">
        <f>ventas_b_mes1[[#This Row],[IMPORTE NETO]]*0.21</f>
        <v>0</v>
      </c>
      <c r="J699" s="141"/>
      <c r="K699" s="141"/>
      <c r="L699" s="141"/>
      <c r="M699" s="59"/>
    </row>
    <row r="700" spans="2:13">
      <c r="B700" s="135"/>
      <c r="C700" s="136"/>
      <c r="D700" s="137"/>
      <c r="E700" s="138"/>
      <c r="F700" s="139"/>
      <c r="G700" s="1" t="str">
        <f>IFERROR(IF(ventas_b_mes1[[#This Row],[CUIT]]="","-",VLOOKUP(ventas_b_mes1[[#This Row],[CUIT]],Lista_CUIT[#All],2,0)),"CUIT NO CARGADO")</f>
        <v>-</v>
      </c>
      <c r="H700" s="64">
        <f>ventas_b_mes1[[#This Row],[TOTAL]]/1.21</f>
        <v>0</v>
      </c>
      <c r="I700" s="140">
        <f>ventas_b_mes1[[#This Row],[IMPORTE NETO]]*0.21</f>
        <v>0</v>
      </c>
      <c r="J700" s="141"/>
      <c r="K700" s="141"/>
      <c r="L700" s="141"/>
      <c r="M700" s="59"/>
    </row>
    <row r="701" spans="2:13">
      <c r="B701" s="135"/>
      <c r="C701" s="136"/>
      <c r="D701" s="137"/>
      <c r="E701" s="138"/>
      <c r="F701" s="139"/>
      <c r="G701" s="1" t="str">
        <f>IFERROR(IF(ventas_b_mes1[[#This Row],[CUIT]]="","-",VLOOKUP(ventas_b_mes1[[#This Row],[CUIT]],Lista_CUIT[#All],2,0)),"CUIT NO CARGADO")</f>
        <v>-</v>
      </c>
      <c r="H701" s="64">
        <f>ventas_b_mes1[[#This Row],[TOTAL]]/1.21</f>
        <v>0</v>
      </c>
      <c r="I701" s="140">
        <f>ventas_b_mes1[[#This Row],[IMPORTE NETO]]*0.21</f>
        <v>0</v>
      </c>
      <c r="J701" s="141"/>
      <c r="K701" s="141"/>
      <c r="L701" s="141"/>
      <c r="M701" s="59"/>
    </row>
    <row r="702" spans="2:13">
      <c r="B702" s="135"/>
      <c r="C702" s="136"/>
      <c r="D702" s="137"/>
      <c r="E702" s="138"/>
      <c r="F702" s="139"/>
      <c r="G702" s="1" t="str">
        <f>IFERROR(IF(ventas_b_mes1[[#This Row],[CUIT]]="","-",VLOOKUP(ventas_b_mes1[[#This Row],[CUIT]],Lista_CUIT[#All],2,0)),"CUIT NO CARGADO")</f>
        <v>-</v>
      </c>
      <c r="H702" s="64">
        <f>ventas_b_mes1[[#This Row],[TOTAL]]/1.21</f>
        <v>0</v>
      </c>
      <c r="I702" s="140">
        <f>ventas_b_mes1[[#This Row],[IMPORTE NETO]]*0.21</f>
        <v>0</v>
      </c>
      <c r="J702" s="141"/>
      <c r="K702" s="141"/>
      <c r="L702" s="141"/>
      <c r="M702" s="59"/>
    </row>
    <row r="703" spans="2:13">
      <c r="B703" s="135"/>
      <c r="C703" s="136"/>
      <c r="D703" s="137"/>
      <c r="E703" s="138"/>
      <c r="F703" s="139"/>
      <c r="G703" s="1" t="str">
        <f>IFERROR(IF(ventas_b_mes1[[#This Row],[CUIT]]="","-",VLOOKUP(ventas_b_mes1[[#This Row],[CUIT]],Lista_CUIT[#All],2,0)),"CUIT NO CARGADO")</f>
        <v>-</v>
      </c>
      <c r="H703" s="64">
        <f>ventas_b_mes1[[#This Row],[TOTAL]]/1.21</f>
        <v>0</v>
      </c>
      <c r="I703" s="140">
        <f>ventas_b_mes1[[#This Row],[IMPORTE NETO]]*0.21</f>
        <v>0</v>
      </c>
      <c r="J703" s="141"/>
      <c r="K703" s="141"/>
      <c r="L703" s="141"/>
      <c r="M703" s="59"/>
    </row>
    <row r="704" spans="2:13">
      <c r="B704" s="135"/>
      <c r="C704" s="136"/>
      <c r="D704" s="137"/>
      <c r="E704" s="138"/>
      <c r="F704" s="139"/>
      <c r="G704" s="1" t="str">
        <f>IFERROR(IF(ventas_b_mes1[[#This Row],[CUIT]]="","-",VLOOKUP(ventas_b_mes1[[#This Row],[CUIT]],Lista_CUIT[#All],2,0)),"CUIT NO CARGADO")</f>
        <v>-</v>
      </c>
      <c r="H704" s="64">
        <f>ventas_b_mes1[[#This Row],[TOTAL]]/1.21</f>
        <v>0</v>
      </c>
      <c r="I704" s="140">
        <f>ventas_b_mes1[[#This Row],[IMPORTE NETO]]*0.21</f>
        <v>0</v>
      </c>
      <c r="J704" s="141"/>
      <c r="K704" s="141"/>
      <c r="L704" s="141"/>
      <c r="M704" s="59"/>
    </row>
    <row r="705" spans="2:13">
      <c r="B705" s="135"/>
      <c r="C705" s="136"/>
      <c r="D705" s="137"/>
      <c r="E705" s="138"/>
      <c r="F705" s="139"/>
      <c r="G705" s="1" t="str">
        <f>IFERROR(IF(ventas_b_mes1[[#This Row],[CUIT]]="","-",VLOOKUP(ventas_b_mes1[[#This Row],[CUIT]],Lista_CUIT[#All],2,0)),"CUIT NO CARGADO")</f>
        <v>-</v>
      </c>
      <c r="H705" s="64">
        <f>ventas_b_mes1[[#This Row],[TOTAL]]/1.21</f>
        <v>0</v>
      </c>
      <c r="I705" s="140">
        <f>ventas_b_mes1[[#This Row],[IMPORTE NETO]]*0.21</f>
        <v>0</v>
      </c>
      <c r="J705" s="141"/>
      <c r="K705" s="141"/>
      <c r="L705" s="141"/>
      <c r="M705" s="59"/>
    </row>
    <row r="706" spans="2:13">
      <c r="B706" s="135"/>
      <c r="C706" s="136"/>
      <c r="D706" s="137"/>
      <c r="E706" s="138"/>
      <c r="F706" s="139"/>
      <c r="G706" s="1" t="str">
        <f>IFERROR(IF(ventas_b_mes1[[#This Row],[CUIT]]="","-",VLOOKUP(ventas_b_mes1[[#This Row],[CUIT]],Lista_CUIT[#All],2,0)),"CUIT NO CARGADO")</f>
        <v>-</v>
      </c>
      <c r="H706" s="64">
        <f>ventas_b_mes1[[#This Row],[TOTAL]]/1.21</f>
        <v>0</v>
      </c>
      <c r="I706" s="140">
        <f>ventas_b_mes1[[#This Row],[IMPORTE NETO]]*0.21</f>
        <v>0</v>
      </c>
      <c r="J706" s="141"/>
      <c r="K706" s="141"/>
      <c r="L706" s="141"/>
      <c r="M706" s="59"/>
    </row>
    <row r="707" spans="2:13">
      <c r="B707" s="135"/>
      <c r="C707" s="136"/>
      <c r="D707" s="137"/>
      <c r="E707" s="138"/>
      <c r="F707" s="139"/>
      <c r="G707" s="1" t="str">
        <f>IFERROR(IF(ventas_b_mes1[[#This Row],[CUIT]]="","-",VLOOKUP(ventas_b_mes1[[#This Row],[CUIT]],Lista_CUIT[#All],2,0)),"CUIT NO CARGADO")</f>
        <v>-</v>
      </c>
      <c r="H707" s="64">
        <f>ventas_b_mes1[[#This Row],[TOTAL]]/1.21</f>
        <v>0</v>
      </c>
      <c r="I707" s="140">
        <f>ventas_b_mes1[[#This Row],[IMPORTE NETO]]*0.21</f>
        <v>0</v>
      </c>
      <c r="J707" s="141"/>
      <c r="K707" s="141"/>
      <c r="L707" s="141"/>
      <c r="M707" s="59"/>
    </row>
    <row r="708" spans="2:13">
      <c r="B708" s="135"/>
      <c r="C708" s="136"/>
      <c r="D708" s="137"/>
      <c r="E708" s="138"/>
      <c r="F708" s="139"/>
      <c r="G708" s="1" t="str">
        <f>IFERROR(IF(ventas_b_mes1[[#This Row],[CUIT]]="","-",VLOOKUP(ventas_b_mes1[[#This Row],[CUIT]],Lista_CUIT[#All],2,0)),"CUIT NO CARGADO")</f>
        <v>-</v>
      </c>
      <c r="H708" s="64">
        <f>ventas_b_mes1[[#This Row],[TOTAL]]/1.21</f>
        <v>0</v>
      </c>
      <c r="I708" s="140">
        <f>ventas_b_mes1[[#This Row],[IMPORTE NETO]]*0.21</f>
        <v>0</v>
      </c>
      <c r="J708" s="141"/>
      <c r="K708" s="141"/>
      <c r="L708" s="141"/>
      <c r="M708" s="59"/>
    </row>
    <row r="709" spans="2:13">
      <c r="B709" s="135"/>
      <c r="C709" s="136"/>
      <c r="D709" s="137"/>
      <c r="E709" s="138"/>
      <c r="F709" s="139"/>
      <c r="G709" s="1" t="str">
        <f>IFERROR(IF(ventas_b_mes1[[#This Row],[CUIT]]="","-",VLOOKUP(ventas_b_mes1[[#This Row],[CUIT]],Lista_CUIT[#All],2,0)),"CUIT NO CARGADO")</f>
        <v>-</v>
      </c>
      <c r="H709" s="64">
        <f>ventas_b_mes1[[#This Row],[TOTAL]]/1.21</f>
        <v>0</v>
      </c>
      <c r="I709" s="140">
        <f>ventas_b_mes1[[#This Row],[IMPORTE NETO]]*0.21</f>
        <v>0</v>
      </c>
      <c r="J709" s="141"/>
      <c r="K709" s="141"/>
      <c r="L709" s="141"/>
      <c r="M709" s="59"/>
    </row>
    <row r="710" spans="2:13">
      <c r="B710" s="135"/>
      <c r="C710" s="136"/>
      <c r="D710" s="137"/>
      <c r="E710" s="138"/>
      <c r="F710" s="139"/>
      <c r="G710" s="1" t="str">
        <f>IFERROR(IF(ventas_b_mes1[[#This Row],[CUIT]]="","-",VLOOKUP(ventas_b_mes1[[#This Row],[CUIT]],Lista_CUIT[#All],2,0)),"CUIT NO CARGADO")</f>
        <v>-</v>
      </c>
      <c r="H710" s="64">
        <f>ventas_b_mes1[[#This Row],[TOTAL]]/1.21</f>
        <v>0</v>
      </c>
      <c r="I710" s="140">
        <f>ventas_b_mes1[[#This Row],[IMPORTE NETO]]*0.21</f>
        <v>0</v>
      </c>
      <c r="J710" s="141"/>
      <c r="K710" s="141"/>
      <c r="L710" s="141"/>
      <c r="M710" s="59"/>
    </row>
    <row r="711" spans="2:13">
      <c r="B711" s="135"/>
      <c r="C711" s="136"/>
      <c r="D711" s="137"/>
      <c r="E711" s="138"/>
      <c r="F711" s="139"/>
      <c r="G711" s="1" t="str">
        <f>IFERROR(IF(ventas_b_mes1[[#This Row],[CUIT]]="","-",VLOOKUP(ventas_b_mes1[[#This Row],[CUIT]],Lista_CUIT[#All],2,0)),"CUIT NO CARGADO")</f>
        <v>-</v>
      </c>
      <c r="H711" s="64">
        <f>ventas_b_mes1[[#This Row],[TOTAL]]/1.21</f>
        <v>0</v>
      </c>
      <c r="I711" s="140">
        <f>ventas_b_mes1[[#This Row],[IMPORTE NETO]]*0.21</f>
        <v>0</v>
      </c>
      <c r="J711" s="141"/>
      <c r="K711" s="141"/>
      <c r="L711" s="141"/>
      <c r="M711" s="59"/>
    </row>
    <row r="712" spans="2:13">
      <c r="B712" s="135"/>
      <c r="C712" s="136"/>
      <c r="D712" s="137"/>
      <c r="E712" s="138"/>
      <c r="F712" s="139"/>
      <c r="G712" s="1" t="str">
        <f>IFERROR(IF(ventas_b_mes1[[#This Row],[CUIT]]="","-",VLOOKUP(ventas_b_mes1[[#This Row],[CUIT]],Lista_CUIT[#All],2,0)),"CUIT NO CARGADO")</f>
        <v>-</v>
      </c>
      <c r="H712" s="64">
        <f>ventas_b_mes1[[#This Row],[TOTAL]]/1.21</f>
        <v>0</v>
      </c>
      <c r="I712" s="140">
        <f>ventas_b_mes1[[#This Row],[IMPORTE NETO]]*0.21</f>
        <v>0</v>
      </c>
      <c r="J712" s="141"/>
      <c r="K712" s="141"/>
      <c r="L712" s="141"/>
      <c r="M712" s="59"/>
    </row>
    <row r="713" spans="2:13">
      <c r="B713" s="135"/>
      <c r="C713" s="136"/>
      <c r="D713" s="137"/>
      <c r="E713" s="138"/>
      <c r="F713" s="139"/>
      <c r="G713" s="1" t="str">
        <f>IFERROR(IF(ventas_b_mes1[[#This Row],[CUIT]]="","-",VLOOKUP(ventas_b_mes1[[#This Row],[CUIT]],Lista_CUIT[#All],2,0)),"CUIT NO CARGADO")</f>
        <v>-</v>
      </c>
      <c r="H713" s="64">
        <f>ventas_b_mes1[[#This Row],[TOTAL]]/1.21</f>
        <v>0</v>
      </c>
      <c r="I713" s="140">
        <f>ventas_b_mes1[[#This Row],[IMPORTE NETO]]*0.21</f>
        <v>0</v>
      </c>
      <c r="J713" s="141"/>
      <c r="K713" s="141"/>
      <c r="L713" s="141"/>
      <c r="M713" s="59"/>
    </row>
    <row r="714" spans="2:13">
      <c r="B714" s="135"/>
      <c r="C714" s="136"/>
      <c r="D714" s="137"/>
      <c r="E714" s="138"/>
      <c r="F714" s="139"/>
      <c r="G714" s="1" t="str">
        <f>IFERROR(IF(ventas_b_mes1[[#This Row],[CUIT]]="","-",VLOOKUP(ventas_b_mes1[[#This Row],[CUIT]],Lista_CUIT[#All],2,0)),"CUIT NO CARGADO")</f>
        <v>-</v>
      </c>
      <c r="H714" s="64">
        <f>ventas_b_mes1[[#This Row],[TOTAL]]/1.21</f>
        <v>0</v>
      </c>
      <c r="I714" s="140">
        <f>ventas_b_mes1[[#This Row],[IMPORTE NETO]]*0.21</f>
        <v>0</v>
      </c>
      <c r="J714" s="141"/>
      <c r="K714" s="141"/>
      <c r="L714" s="141"/>
      <c r="M714" s="59"/>
    </row>
    <row r="715" spans="2:13">
      <c r="B715" s="135"/>
      <c r="C715" s="136"/>
      <c r="D715" s="137"/>
      <c r="E715" s="138"/>
      <c r="F715" s="139"/>
      <c r="G715" s="1" t="str">
        <f>IFERROR(IF(ventas_b_mes1[[#This Row],[CUIT]]="","-",VLOOKUP(ventas_b_mes1[[#This Row],[CUIT]],Lista_CUIT[#All],2,0)),"CUIT NO CARGADO")</f>
        <v>-</v>
      </c>
      <c r="H715" s="64">
        <f>ventas_b_mes1[[#This Row],[TOTAL]]/1.21</f>
        <v>0</v>
      </c>
      <c r="I715" s="140">
        <f>ventas_b_mes1[[#This Row],[IMPORTE NETO]]*0.21</f>
        <v>0</v>
      </c>
      <c r="J715" s="141"/>
      <c r="K715" s="141"/>
      <c r="L715" s="141"/>
      <c r="M715" s="59"/>
    </row>
    <row r="716" spans="2:13">
      <c r="B716" s="135"/>
      <c r="C716" s="136"/>
      <c r="D716" s="137"/>
      <c r="E716" s="138"/>
      <c r="F716" s="139"/>
      <c r="G716" s="1" t="str">
        <f>IFERROR(IF(ventas_b_mes1[[#This Row],[CUIT]]="","-",VLOOKUP(ventas_b_mes1[[#This Row],[CUIT]],Lista_CUIT[#All],2,0)),"CUIT NO CARGADO")</f>
        <v>-</v>
      </c>
      <c r="H716" s="64">
        <f>ventas_b_mes1[[#This Row],[TOTAL]]/1.21</f>
        <v>0</v>
      </c>
      <c r="I716" s="140">
        <f>ventas_b_mes1[[#This Row],[IMPORTE NETO]]*0.21</f>
        <v>0</v>
      </c>
      <c r="J716" s="141"/>
      <c r="K716" s="141"/>
      <c r="L716" s="141"/>
      <c r="M716" s="59"/>
    </row>
    <row r="717" spans="2:13">
      <c r="B717" s="135"/>
      <c r="C717" s="136"/>
      <c r="D717" s="137"/>
      <c r="E717" s="138"/>
      <c r="F717" s="139"/>
      <c r="G717" s="1" t="str">
        <f>IFERROR(IF(ventas_b_mes1[[#This Row],[CUIT]]="","-",VLOOKUP(ventas_b_mes1[[#This Row],[CUIT]],Lista_CUIT[#All],2,0)),"CUIT NO CARGADO")</f>
        <v>-</v>
      </c>
      <c r="H717" s="64">
        <f>ventas_b_mes1[[#This Row],[TOTAL]]/1.21</f>
        <v>0</v>
      </c>
      <c r="I717" s="140">
        <f>ventas_b_mes1[[#This Row],[IMPORTE NETO]]*0.21</f>
        <v>0</v>
      </c>
      <c r="J717" s="141"/>
      <c r="K717" s="141"/>
      <c r="L717" s="141"/>
      <c r="M717" s="59"/>
    </row>
    <row r="718" spans="2:13">
      <c r="B718" s="135"/>
      <c r="C718" s="136"/>
      <c r="D718" s="137"/>
      <c r="E718" s="138"/>
      <c r="F718" s="139"/>
      <c r="G718" s="1" t="str">
        <f>IFERROR(IF(ventas_b_mes1[[#This Row],[CUIT]]="","-",VLOOKUP(ventas_b_mes1[[#This Row],[CUIT]],Lista_CUIT[#All],2,0)),"CUIT NO CARGADO")</f>
        <v>-</v>
      </c>
      <c r="H718" s="64">
        <f>ventas_b_mes1[[#This Row],[TOTAL]]/1.21</f>
        <v>0</v>
      </c>
      <c r="I718" s="140">
        <f>ventas_b_mes1[[#This Row],[IMPORTE NETO]]*0.21</f>
        <v>0</v>
      </c>
      <c r="J718" s="141"/>
      <c r="K718" s="141"/>
      <c r="L718" s="141"/>
      <c r="M718" s="59"/>
    </row>
    <row r="719" spans="2:13">
      <c r="B719" s="135"/>
      <c r="C719" s="136"/>
      <c r="D719" s="137"/>
      <c r="E719" s="138"/>
      <c r="F719" s="139"/>
      <c r="G719" s="1" t="str">
        <f>IFERROR(IF(ventas_b_mes1[[#This Row],[CUIT]]="","-",VLOOKUP(ventas_b_mes1[[#This Row],[CUIT]],Lista_CUIT[#All],2,0)),"CUIT NO CARGADO")</f>
        <v>-</v>
      </c>
      <c r="H719" s="64">
        <f>ventas_b_mes1[[#This Row],[TOTAL]]/1.21</f>
        <v>0</v>
      </c>
      <c r="I719" s="140">
        <f>ventas_b_mes1[[#This Row],[IMPORTE NETO]]*0.21</f>
        <v>0</v>
      </c>
      <c r="J719" s="141"/>
      <c r="K719" s="141"/>
      <c r="L719" s="141"/>
      <c r="M719" s="59"/>
    </row>
    <row r="720" spans="2:13">
      <c r="B720" s="135"/>
      <c r="C720" s="136"/>
      <c r="D720" s="137"/>
      <c r="E720" s="138"/>
      <c r="F720" s="139"/>
      <c r="G720" s="1" t="str">
        <f>IFERROR(IF(ventas_b_mes1[[#This Row],[CUIT]]="","-",VLOOKUP(ventas_b_mes1[[#This Row],[CUIT]],Lista_CUIT[#All],2,0)),"CUIT NO CARGADO")</f>
        <v>-</v>
      </c>
      <c r="H720" s="64">
        <f>ventas_b_mes1[[#This Row],[TOTAL]]/1.21</f>
        <v>0</v>
      </c>
      <c r="I720" s="140">
        <f>ventas_b_mes1[[#This Row],[IMPORTE NETO]]*0.21</f>
        <v>0</v>
      </c>
      <c r="J720" s="141"/>
      <c r="K720" s="141"/>
      <c r="L720" s="141"/>
      <c r="M720" s="59"/>
    </row>
    <row r="721" spans="2:13">
      <c r="B721" s="135"/>
      <c r="C721" s="136"/>
      <c r="D721" s="137"/>
      <c r="E721" s="138"/>
      <c r="F721" s="139"/>
      <c r="G721" s="1" t="str">
        <f>IFERROR(IF(ventas_b_mes1[[#This Row],[CUIT]]="","-",VLOOKUP(ventas_b_mes1[[#This Row],[CUIT]],Lista_CUIT[#All],2,0)),"CUIT NO CARGADO")</f>
        <v>-</v>
      </c>
      <c r="H721" s="64">
        <f>ventas_b_mes1[[#This Row],[TOTAL]]/1.21</f>
        <v>0</v>
      </c>
      <c r="I721" s="140">
        <f>ventas_b_mes1[[#This Row],[IMPORTE NETO]]*0.21</f>
        <v>0</v>
      </c>
      <c r="J721" s="141"/>
      <c r="K721" s="141"/>
      <c r="L721" s="141"/>
      <c r="M721" s="59"/>
    </row>
    <row r="722" spans="2:13">
      <c r="B722" s="135"/>
      <c r="C722" s="136"/>
      <c r="D722" s="137"/>
      <c r="E722" s="138"/>
      <c r="F722" s="139"/>
      <c r="G722" s="1" t="str">
        <f>IFERROR(IF(ventas_b_mes1[[#This Row],[CUIT]]="","-",VLOOKUP(ventas_b_mes1[[#This Row],[CUIT]],Lista_CUIT[#All],2,0)),"CUIT NO CARGADO")</f>
        <v>-</v>
      </c>
      <c r="H722" s="64">
        <f>ventas_b_mes1[[#This Row],[TOTAL]]/1.21</f>
        <v>0</v>
      </c>
      <c r="I722" s="140">
        <f>ventas_b_mes1[[#This Row],[IMPORTE NETO]]*0.21</f>
        <v>0</v>
      </c>
      <c r="J722" s="141"/>
      <c r="K722" s="141"/>
      <c r="L722" s="141"/>
      <c r="M722" s="59"/>
    </row>
    <row r="723" spans="2:13">
      <c r="B723" s="135"/>
      <c r="C723" s="136"/>
      <c r="D723" s="137"/>
      <c r="E723" s="138"/>
      <c r="F723" s="139"/>
      <c r="G723" s="1" t="str">
        <f>IFERROR(IF(ventas_b_mes1[[#This Row],[CUIT]]="","-",VLOOKUP(ventas_b_mes1[[#This Row],[CUIT]],Lista_CUIT[#All],2,0)),"CUIT NO CARGADO")</f>
        <v>-</v>
      </c>
      <c r="H723" s="64">
        <f>ventas_b_mes1[[#This Row],[TOTAL]]/1.21</f>
        <v>0</v>
      </c>
      <c r="I723" s="140">
        <f>ventas_b_mes1[[#This Row],[IMPORTE NETO]]*0.21</f>
        <v>0</v>
      </c>
      <c r="J723" s="141"/>
      <c r="K723" s="141"/>
      <c r="L723" s="141"/>
      <c r="M723" s="59"/>
    </row>
    <row r="724" spans="2:13">
      <c r="B724" s="135"/>
      <c r="C724" s="136"/>
      <c r="D724" s="137"/>
      <c r="E724" s="138"/>
      <c r="F724" s="139"/>
      <c r="G724" s="1" t="str">
        <f>IFERROR(IF(ventas_b_mes1[[#This Row],[CUIT]]="","-",VLOOKUP(ventas_b_mes1[[#This Row],[CUIT]],Lista_CUIT[#All],2,0)),"CUIT NO CARGADO")</f>
        <v>-</v>
      </c>
      <c r="H724" s="64">
        <f>ventas_b_mes1[[#This Row],[TOTAL]]/1.21</f>
        <v>0</v>
      </c>
      <c r="I724" s="140">
        <f>ventas_b_mes1[[#This Row],[IMPORTE NETO]]*0.21</f>
        <v>0</v>
      </c>
      <c r="J724" s="141"/>
      <c r="K724" s="141"/>
      <c r="L724" s="141"/>
      <c r="M724" s="59"/>
    </row>
    <row r="725" spans="2:13">
      <c r="B725" s="135"/>
      <c r="C725" s="136"/>
      <c r="D725" s="137"/>
      <c r="E725" s="138"/>
      <c r="F725" s="139"/>
      <c r="G725" s="1" t="str">
        <f>IFERROR(IF(ventas_b_mes1[[#This Row],[CUIT]]="","-",VLOOKUP(ventas_b_mes1[[#This Row],[CUIT]],Lista_CUIT[#All],2,0)),"CUIT NO CARGADO")</f>
        <v>-</v>
      </c>
      <c r="H725" s="64">
        <f>ventas_b_mes1[[#This Row],[TOTAL]]/1.21</f>
        <v>0</v>
      </c>
      <c r="I725" s="140">
        <f>ventas_b_mes1[[#This Row],[IMPORTE NETO]]*0.21</f>
        <v>0</v>
      </c>
      <c r="J725" s="141"/>
      <c r="K725" s="141"/>
      <c r="L725" s="141"/>
      <c r="M725" s="59"/>
    </row>
    <row r="726" spans="2:13">
      <c r="B726" s="135"/>
      <c r="C726" s="136"/>
      <c r="D726" s="137"/>
      <c r="E726" s="138"/>
      <c r="F726" s="139"/>
      <c r="G726" s="1" t="str">
        <f>IFERROR(IF(ventas_b_mes1[[#This Row],[CUIT]]="","-",VLOOKUP(ventas_b_mes1[[#This Row],[CUIT]],Lista_CUIT[#All],2,0)),"CUIT NO CARGADO")</f>
        <v>-</v>
      </c>
      <c r="H726" s="64">
        <f>ventas_b_mes1[[#This Row],[TOTAL]]/1.21</f>
        <v>0</v>
      </c>
      <c r="I726" s="140">
        <f>ventas_b_mes1[[#This Row],[IMPORTE NETO]]*0.21</f>
        <v>0</v>
      </c>
      <c r="J726" s="141"/>
      <c r="K726" s="141"/>
      <c r="L726" s="141"/>
      <c r="M726" s="59"/>
    </row>
    <row r="727" spans="2:13">
      <c r="B727" s="135"/>
      <c r="C727" s="136"/>
      <c r="D727" s="137"/>
      <c r="E727" s="138"/>
      <c r="F727" s="139"/>
      <c r="G727" s="1" t="str">
        <f>IFERROR(IF(ventas_b_mes1[[#This Row],[CUIT]]="","-",VLOOKUP(ventas_b_mes1[[#This Row],[CUIT]],Lista_CUIT[#All],2,0)),"CUIT NO CARGADO")</f>
        <v>-</v>
      </c>
      <c r="H727" s="64">
        <f>ventas_b_mes1[[#This Row],[TOTAL]]/1.21</f>
        <v>0</v>
      </c>
      <c r="I727" s="140">
        <f>ventas_b_mes1[[#This Row],[IMPORTE NETO]]*0.21</f>
        <v>0</v>
      </c>
      <c r="J727" s="141"/>
      <c r="K727" s="141"/>
      <c r="L727" s="141"/>
      <c r="M727" s="59"/>
    </row>
    <row r="728" spans="2:13">
      <c r="B728" s="135"/>
      <c r="C728" s="136"/>
      <c r="D728" s="137"/>
      <c r="E728" s="138"/>
      <c r="F728" s="139"/>
      <c r="G728" s="1" t="str">
        <f>IFERROR(IF(ventas_b_mes1[[#This Row],[CUIT]]="","-",VLOOKUP(ventas_b_mes1[[#This Row],[CUIT]],Lista_CUIT[#All],2,0)),"CUIT NO CARGADO")</f>
        <v>-</v>
      </c>
      <c r="H728" s="64">
        <f>ventas_b_mes1[[#This Row],[TOTAL]]/1.21</f>
        <v>0</v>
      </c>
      <c r="I728" s="140">
        <f>ventas_b_mes1[[#This Row],[IMPORTE NETO]]*0.21</f>
        <v>0</v>
      </c>
      <c r="J728" s="141"/>
      <c r="K728" s="141"/>
      <c r="L728" s="141"/>
      <c r="M728" s="59"/>
    </row>
    <row r="729" spans="2:13">
      <c r="B729" s="135"/>
      <c r="C729" s="136"/>
      <c r="D729" s="137"/>
      <c r="E729" s="138"/>
      <c r="F729" s="139"/>
      <c r="G729" s="1" t="str">
        <f>IFERROR(IF(ventas_b_mes1[[#This Row],[CUIT]]="","-",VLOOKUP(ventas_b_mes1[[#This Row],[CUIT]],Lista_CUIT[#All],2,0)),"CUIT NO CARGADO")</f>
        <v>-</v>
      </c>
      <c r="H729" s="64">
        <f>ventas_b_mes1[[#This Row],[TOTAL]]/1.21</f>
        <v>0</v>
      </c>
      <c r="I729" s="140">
        <f>ventas_b_mes1[[#This Row],[IMPORTE NETO]]*0.21</f>
        <v>0</v>
      </c>
      <c r="J729" s="141"/>
      <c r="K729" s="141"/>
      <c r="L729" s="141"/>
      <c r="M729" s="59"/>
    </row>
    <row r="730" spans="2:13">
      <c r="B730" s="135"/>
      <c r="C730" s="136"/>
      <c r="D730" s="137"/>
      <c r="E730" s="138"/>
      <c r="F730" s="139"/>
      <c r="G730" s="1" t="str">
        <f>IFERROR(IF(ventas_b_mes1[[#This Row],[CUIT]]="","-",VLOOKUP(ventas_b_mes1[[#This Row],[CUIT]],Lista_CUIT[#All],2,0)),"CUIT NO CARGADO")</f>
        <v>-</v>
      </c>
      <c r="H730" s="64">
        <f>ventas_b_mes1[[#This Row],[TOTAL]]/1.21</f>
        <v>0</v>
      </c>
      <c r="I730" s="140">
        <f>ventas_b_mes1[[#This Row],[IMPORTE NETO]]*0.21</f>
        <v>0</v>
      </c>
      <c r="J730" s="141"/>
      <c r="K730" s="141"/>
      <c r="L730" s="141"/>
      <c r="M730" s="59"/>
    </row>
    <row r="731" spans="2:13">
      <c r="B731" s="135"/>
      <c r="C731" s="136"/>
      <c r="D731" s="137"/>
      <c r="E731" s="138"/>
      <c r="F731" s="139"/>
      <c r="G731" s="1" t="str">
        <f>IFERROR(IF(ventas_b_mes1[[#This Row],[CUIT]]="","-",VLOOKUP(ventas_b_mes1[[#This Row],[CUIT]],Lista_CUIT[#All],2,0)),"CUIT NO CARGADO")</f>
        <v>-</v>
      </c>
      <c r="H731" s="64">
        <f>ventas_b_mes1[[#This Row],[TOTAL]]/1.21</f>
        <v>0</v>
      </c>
      <c r="I731" s="140">
        <f>ventas_b_mes1[[#This Row],[IMPORTE NETO]]*0.21</f>
        <v>0</v>
      </c>
      <c r="J731" s="141"/>
      <c r="K731" s="141"/>
      <c r="L731" s="141"/>
      <c r="M731" s="59"/>
    </row>
    <row r="732" spans="2:13">
      <c r="B732" s="135"/>
      <c r="C732" s="136"/>
      <c r="D732" s="137"/>
      <c r="E732" s="138"/>
      <c r="F732" s="139"/>
      <c r="G732" s="1" t="str">
        <f>IFERROR(IF(ventas_b_mes1[[#This Row],[CUIT]]="","-",VLOOKUP(ventas_b_mes1[[#This Row],[CUIT]],Lista_CUIT[#All],2,0)),"CUIT NO CARGADO")</f>
        <v>-</v>
      </c>
      <c r="H732" s="64">
        <f>ventas_b_mes1[[#This Row],[TOTAL]]/1.21</f>
        <v>0</v>
      </c>
      <c r="I732" s="140">
        <f>ventas_b_mes1[[#This Row],[IMPORTE NETO]]*0.21</f>
        <v>0</v>
      </c>
      <c r="J732" s="141"/>
      <c r="K732" s="141"/>
      <c r="L732" s="141"/>
      <c r="M732" s="59"/>
    </row>
    <row r="733" spans="2:13">
      <c r="B733" s="135"/>
      <c r="C733" s="136"/>
      <c r="D733" s="137"/>
      <c r="E733" s="138"/>
      <c r="F733" s="139"/>
      <c r="G733" s="1" t="str">
        <f>IFERROR(IF(ventas_b_mes1[[#This Row],[CUIT]]="","-",VLOOKUP(ventas_b_mes1[[#This Row],[CUIT]],Lista_CUIT[#All],2,0)),"CUIT NO CARGADO")</f>
        <v>-</v>
      </c>
      <c r="H733" s="64">
        <f>ventas_b_mes1[[#This Row],[TOTAL]]/1.21</f>
        <v>0</v>
      </c>
      <c r="I733" s="140">
        <f>ventas_b_mes1[[#This Row],[IMPORTE NETO]]*0.21</f>
        <v>0</v>
      </c>
      <c r="J733" s="141"/>
      <c r="K733" s="141"/>
      <c r="L733" s="141"/>
      <c r="M733" s="59"/>
    </row>
    <row r="734" spans="2:13">
      <c r="B734" s="135"/>
      <c r="C734" s="136"/>
      <c r="D734" s="137"/>
      <c r="E734" s="138"/>
      <c r="F734" s="139"/>
      <c r="G734" s="1" t="str">
        <f>IFERROR(IF(ventas_b_mes1[[#This Row],[CUIT]]="","-",VLOOKUP(ventas_b_mes1[[#This Row],[CUIT]],Lista_CUIT[#All],2,0)),"CUIT NO CARGADO")</f>
        <v>-</v>
      </c>
      <c r="H734" s="64">
        <f>ventas_b_mes1[[#This Row],[TOTAL]]/1.21</f>
        <v>0</v>
      </c>
      <c r="I734" s="140">
        <f>ventas_b_mes1[[#This Row],[IMPORTE NETO]]*0.21</f>
        <v>0</v>
      </c>
      <c r="J734" s="141"/>
      <c r="K734" s="141"/>
      <c r="L734" s="141"/>
      <c r="M734" s="59"/>
    </row>
    <row r="735" spans="2:13">
      <c r="B735" s="135"/>
      <c r="C735" s="136"/>
      <c r="D735" s="137"/>
      <c r="E735" s="138"/>
      <c r="F735" s="139"/>
      <c r="G735" s="1" t="str">
        <f>IFERROR(IF(ventas_b_mes1[[#This Row],[CUIT]]="","-",VLOOKUP(ventas_b_mes1[[#This Row],[CUIT]],Lista_CUIT[#All],2,0)),"CUIT NO CARGADO")</f>
        <v>-</v>
      </c>
      <c r="H735" s="64">
        <f>ventas_b_mes1[[#This Row],[TOTAL]]/1.21</f>
        <v>0</v>
      </c>
      <c r="I735" s="140">
        <f>ventas_b_mes1[[#This Row],[IMPORTE NETO]]*0.21</f>
        <v>0</v>
      </c>
      <c r="J735" s="141"/>
      <c r="K735" s="141"/>
      <c r="L735" s="141"/>
      <c r="M735" s="59"/>
    </row>
    <row r="736" spans="2:13">
      <c r="B736" s="135"/>
      <c r="C736" s="136"/>
      <c r="D736" s="137"/>
      <c r="E736" s="138"/>
      <c r="F736" s="139"/>
      <c r="G736" s="1" t="str">
        <f>IFERROR(IF(ventas_b_mes1[[#This Row],[CUIT]]="","-",VLOOKUP(ventas_b_mes1[[#This Row],[CUIT]],Lista_CUIT[#All],2,0)),"CUIT NO CARGADO")</f>
        <v>-</v>
      </c>
      <c r="H736" s="64">
        <f>ventas_b_mes1[[#This Row],[TOTAL]]/1.21</f>
        <v>0</v>
      </c>
      <c r="I736" s="140">
        <f>ventas_b_mes1[[#This Row],[IMPORTE NETO]]*0.21</f>
        <v>0</v>
      </c>
      <c r="J736" s="141"/>
      <c r="K736" s="141"/>
      <c r="L736" s="141"/>
      <c r="M736" s="59"/>
    </row>
    <row r="737" spans="2:13">
      <c r="B737" s="135"/>
      <c r="C737" s="136"/>
      <c r="D737" s="137"/>
      <c r="E737" s="138"/>
      <c r="F737" s="139"/>
      <c r="G737" s="1" t="str">
        <f>IFERROR(IF(ventas_b_mes1[[#This Row],[CUIT]]="","-",VLOOKUP(ventas_b_mes1[[#This Row],[CUIT]],Lista_CUIT[#All],2,0)),"CUIT NO CARGADO")</f>
        <v>-</v>
      </c>
      <c r="H737" s="64">
        <f>ventas_b_mes1[[#This Row],[TOTAL]]/1.21</f>
        <v>0</v>
      </c>
      <c r="I737" s="140">
        <f>ventas_b_mes1[[#This Row],[IMPORTE NETO]]*0.21</f>
        <v>0</v>
      </c>
      <c r="J737" s="141"/>
      <c r="K737" s="141"/>
      <c r="L737" s="141"/>
      <c r="M737" s="59"/>
    </row>
    <row r="738" spans="2:13">
      <c r="B738" s="135"/>
      <c r="C738" s="136"/>
      <c r="D738" s="137"/>
      <c r="E738" s="138"/>
      <c r="F738" s="139"/>
      <c r="G738" s="1" t="str">
        <f>IFERROR(IF(ventas_b_mes1[[#This Row],[CUIT]]="","-",VLOOKUP(ventas_b_mes1[[#This Row],[CUIT]],Lista_CUIT[#All],2,0)),"CUIT NO CARGADO")</f>
        <v>-</v>
      </c>
      <c r="H738" s="64">
        <f>ventas_b_mes1[[#This Row],[TOTAL]]/1.21</f>
        <v>0</v>
      </c>
      <c r="I738" s="140">
        <f>ventas_b_mes1[[#This Row],[IMPORTE NETO]]*0.21</f>
        <v>0</v>
      </c>
      <c r="J738" s="141"/>
      <c r="K738" s="141"/>
      <c r="L738" s="141"/>
      <c r="M738" s="59"/>
    </row>
    <row r="739" spans="2:13">
      <c r="B739" s="135"/>
      <c r="C739" s="136"/>
      <c r="D739" s="137"/>
      <c r="E739" s="138"/>
      <c r="F739" s="139"/>
      <c r="G739" s="1" t="str">
        <f>IFERROR(IF(ventas_b_mes1[[#This Row],[CUIT]]="","-",VLOOKUP(ventas_b_mes1[[#This Row],[CUIT]],Lista_CUIT[#All],2,0)),"CUIT NO CARGADO")</f>
        <v>-</v>
      </c>
      <c r="H739" s="64">
        <f>ventas_b_mes1[[#This Row],[TOTAL]]/1.21</f>
        <v>0</v>
      </c>
      <c r="I739" s="140">
        <f>ventas_b_mes1[[#This Row],[IMPORTE NETO]]*0.21</f>
        <v>0</v>
      </c>
      <c r="J739" s="141"/>
      <c r="K739" s="141"/>
      <c r="L739" s="141"/>
      <c r="M739" s="59"/>
    </row>
    <row r="740" spans="2:13">
      <c r="B740" s="135"/>
      <c r="C740" s="136"/>
      <c r="D740" s="137"/>
      <c r="E740" s="138"/>
      <c r="F740" s="139"/>
      <c r="G740" s="1" t="str">
        <f>IFERROR(IF(ventas_b_mes1[[#This Row],[CUIT]]="","-",VLOOKUP(ventas_b_mes1[[#This Row],[CUIT]],Lista_CUIT[#All],2,0)),"CUIT NO CARGADO")</f>
        <v>-</v>
      </c>
      <c r="H740" s="64">
        <f>ventas_b_mes1[[#This Row],[TOTAL]]/1.21</f>
        <v>0</v>
      </c>
      <c r="I740" s="140">
        <f>ventas_b_mes1[[#This Row],[IMPORTE NETO]]*0.21</f>
        <v>0</v>
      </c>
      <c r="J740" s="141"/>
      <c r="K740" s="141"/>
      <c r="L740" s="141"/>
      <c r="M740" s="59"/>
    </row>
    <row r="741" spans="2:13">
      <c r="B741" s="135"/>
      <c r="C741" s="136"/>
      <c r="D741" s="137"/>
      <c r="E741" s="138"/>
      <c r="F741" s="139"/>
      <c r="G741" s="1" t="str">
        <f>IFERROR(IF(ventas_b_mes1[[#This Row],[CUIT]]="","-",VLOOKUP(ventas_b_mes1[[#This Row],[CUIT]],Lista_CUIT[#All],2,0)),"CUIT NO CARGADO")</f>
        <v>-</v>
      </c>
      <c r="H741" s="64">
        <f>ventas_b_mes1[[#This Row],[TOTAL]]/1.21</f>
        <v>0</v>
      </c>
      <c r="I741" s="140">
        <f>ventas_b_mes1[[#This Row],[IMPORTE NETO]]*0.21</f>
        <v>0</v>
      </c>
      <c r="J741" s="141"/>
      <c r="K741" s="141"/>
      <c r="L741" s="141"/>
      <c r="M741" s="59"/>
    </row>
    <row r="742" spans="2:13">
      <c r="B742" s="135"/>
      <c r="C742" s="136"/>
      <c r="D742" s="137"/>
      <c r="E742" s="138"/>
      <c r="F742" s="139"/>
      <c r="G742" s="1" t="str">
        <f>IFERROR(IF(ventas_b_mes1[[#This Row],[CUIT]]="","-",VLOOKUP(ventas_b_mes1[[#This Row],[CUIT]],Lista_CUIT[#All],2,0)),"CUIT NO CARGADO")</f>
        <v>-</v>
      </c>
      <c r="H742" s="64">
        <f>ventas_b_mes1[[#This Row],[TOTAL]]/1.21</f>
        <v>0</v>
      </c>
      <c r="I742" s="140">
        <f>ventas_b_mes1[[#This Row],[IMPORTE NETO]]*0.21</f>
        <v>0</v>
      </c>
      <c r="J742" s="141"/>
      <c r="K742" s="141"/>
      <c r="L742" s="141"/>
      <c r="M742" s="59"/>
    </row>
    <row r="743" spans="2:13">
      <c r="B743" s="135"/>
      <c r="C743" s="136"/>
      <c r="D743" s="137"/>
      <c r="E743" s="138"/>
      <c r="F743" s="139"/>
      <c r="G743" s="1" t="str">
        <f>IFERROR(IF(ventas_b_mes1[[#This Row],[CUIT]]="","-",VLOOKUP(ventas_b_mes1[[#This Row],[CUIT]],Lista_CUIT[#All],2,0)),"CUIT NO CARGADO")</f>
        <v>-</v>
      </c>
      <c r="H743" s="64">
        <f>ventas_b_mes1[[#This Row],[TOTAL]]/1.21</f>
        <v>0</v>
      </c>
      <c r="I743" s="140">
        <f>ventas_b_mes1[[#This Row],[IMPORTE NETO]]*0.21</f>
        <v>0</v>
      </c>
      <c r="J743" s="141"/>
      <c r="K743" s="141"/>
      <c r="L743" s="141"/>
      <c r="M743" s="59"/>
    </row>
    <row r="744" spans="2:13">
      <c r="B744" s="135"/>
      <c r="C744" s="136"/>
      <c r="D744" s="137"/>
      <c r="E744" s="138"/>
      <c r="F744" s="139"/>
      <c r="G744" s="1" t="str">
        <f>IFERROR(IF(ventas_b_mes1[[#This Row],[CUIT]]="","-",VLOOKUP(ventas_b_mes1[[#This Row],[CUIT]],Lista_CUIT[#All],2,0)),"CUIT NO CARGADO")</f>
        <v>-</v>
      </c>
      <c r="H744" s="64">
        <f>ventas_b_mes1[[#This Row],[TOTAL]]/1.21</f>
        <v>0</v>
      </c>
      <c r="I744" s="140">
        <f>ventas_b_mes1[[#This Row],[IMPORTE NETO]]*0.21</f>
        <v>0</v>
      </c>
      <c r="J744" s="141"/>
      <c r="K744" s="141"/>
      <c r="L744" s="141"/>
      <c r="M744" s="59"/>
    </row>
    <row r="745" spans="2:13">
      <c r="B745" s="135"/>
      <c r="C745" s="136"/>
      <c r="D745" s="137"/>
      <c r="E745" s="138"/>
      <c r="F745" s="139"/>
      <c r="G745" s="1" t="str">
        <f>IFERROR(IF(ventas_b_mes1[[#This Row],[CUIT]]="","-",VLOOKUP(ventas_b_mes1[[#This Row],[CUIT]],Lista_CUIT[#All],2,0)),"CUIT NO CARGADO")</f>
        <v>-</v>
      </c>
      <c r="H745" s="64">
        <f>ventas_b_mes1[[#This Row],[TOTAL]]/1.21</f>
        <v>0</v>
      </c>
      <c r="I745" s="140">
        <f>ventas_b_mes1[[#This Row],[IMPORTE NETO]]*0.21</f>
        <v>0</v>
      </c>
      <c r="J745" s="141"/>
      <c r="K745" s="141"/>
      <c r="L745" s="141"/>
      <c r="M745" s="59"/>
    </row>
    <row r="746" spans="2:13">
      <c r="B746" s="135"/>
      <c r="C746" s="136"/>
      <c r="D746" s="137"/>
      <c r="E746" s="138"/>
      <c r="F746" s="139"/>
      <c r="G746" s="1" t="str">
        <f>IFERROR(IF(ventas_b_mes1[[#This Row],[CUIT]]="","-",VLOOKUP(ventas_b_mes1[[#This Row],[CUIT]],Lista_CUIT[#All],2,0)),"CUIT NO CARGADO")</f>
        <v>-</v>
      </c>
      <c r="H746" s="64">
        <f>ventas_b_mes1[[#This Row],[TOTAL]]/1.21</f>
        <v>0</v>
      </c>
      <c r="I746" s="140">
        <f>ventas_b_mes1[[#This Row],[IMPORTE NETO]]*0.21</f>
        <v>0</v>
      </c>
      <c r="J746" s="141"/>
      <c r="K746" s="141"/>
      <c r="L746" s="141"/>
      <c r="M746" s="59"/>
    </row>
    <row r="747" spans="2:13">
      <c r="B747" s="135"/>
      <c r="C747" s="136"/>
      <c r="D747" s="137"/>
      <c r="E747" s="138"/>
      <c r="F747" s="139"/>
      <c r="G747" s="1" t="str">
        <f>IFERROR(IF(ventas_b_mes1[[#This Row],[CUIT]]="","-",VLOOKUP(ventas_b_mes1[[#This Row],[CUIT]],Lista_CUIT[#All],2,0)),"CUIT NO CARGADO")</f>
        <v>-</v>
      </c>
      <c r="H747" s="64">
        <f>ventas_b_mes1[[#This Row],[TOTAL]]/1.21</f>
        <v>0</v>
      </c>
      <c r="I747" s="140">
        <f>ventas_b_mes1[[#This Row],[IMPORTE NETO]]*0.21</f>
        <v>0</v>
      </c>
      <c r="J747" s="141"/>
      <c r="K747" s="141"/>
      <c r="L747" s="141"/>
      <c r="M747" s="59"/>
    </row>
    <row r="748" spans="2:13">
      <c r="B748" s="135"/>
      <c r="C748" s="136"/>
      <c r="D748" s="137"/>
      <c r="E748" s="138"/>
      <c r="F748" s="139"/>
      <c r="G748" s="1" t="str">
        <f>IFERROR(IF(ventas_b_mes1[[#This Row],[CUIT]]="","-",VLOOKUP(ventas_b_mes1[[#This Row],[CUIT]],Lista_CUIT[#All],2,0)),"CUIT NO CARGADO")</f>
        <v>-</v>
      </c>
      <c r="H748" s="64">
        <f>ventas_b_mes1[[#This Row],[TOTAL]]/1.21</f>
        <v>0</v>
      </c>
      <c r="I748" s="140">
        <f>ventas_b_mes1[[#This Row],[IMPORTE NETO]]*0.21</f>
        <v>0</v>
      </c>
      <c r="J748" s="141"/>
      <c r="K748" s="141"/>
      <c r="L748" s="141"/>
      <c r="M748" s="59"/>
    </row>
    <row r="749" spans="2:13">
      <c r="B749" s="135"/>
      <c r="C749" s="136"/>
      <c r="D749" s="137"/>
      <c r="E749" s="138"/>
      <c r="F749" s="139"/>
      <c r="G749" s="1" t="str">
        <f>IFERROR(IF(ventas_b_mes1[[#This Row],[CUIT]]="","-",VLOOKUP(ventas_b_mes1[[#This Row],[CUIT]],Lista_CUIT[#All],2,0)),"CUIT NO CARGADO")</f>
        <v>-</v>
      </c>
      <c r="H749" s="64">
        <f>ventas_b_mes1[[#This Row],[TOTAL]]/1.21</f>
        <v>0</v>
      </c>
      <c r="I749" s="140">
        <f>ventas_b_mes1[[#This Row],[IMPORTE NETO]]*0.21</f>
        <v>0</v>
      </c>
      <c r="J749" s="141"/>
      <c r="K749" s="141"/>
      <c r="L749" s="141"/>
      <c r="M749" s="59"/>
    </row>
    <row r="750" spans="2:13">
      <c r="B750" s="135"/>
      <c r="C750" s="136"/>
      <c r="D750" s="137"/>
      <c r="E750" s="138"/>
      <c r="F750" s="139"/>
      <c r="G750" s="1" t="str">
        <f>IFERROR(IF(ventas_b_mes1[[#This Row],[CUIT]]="","-",VLOOKUP(ventas_b_mes1[[#This Row],[CUIT]],Lista_CUIT[#All],2,0)),"CUIT NO CARGADO")</f>
        <v>-</v>
      </c>
      <c r="H750" s="64">
        <f>ventas_b_mes1[[#This Row],[TOTAL]]/1.21</f>
        <v>0</v>
      </c>
      <c r="I750" s="140">
        <f>ventas_b_mes1[[#This Row],[IMPORTE NETO]]*0.21</f>
        <v>0</v>
      </c>
      <c r="J750" s="141"/>
      <c r="K750" s="141"/>
      <c r="L750" s="141"/>
      <c r="M750" s="59"/>
    </row>
    <row r="751" spans="2:13">
      <c r="B751" s="135"/>
      <c r="C751" s="136"/>
      <c r="D751" s="137"/>
      <c r="E751" s="138"/>
      <c r="F751" s="139"/>
      <c r="G751" s="1" t="str">
        <f>IFERROR(IF(ventas_b_mes1[[#This Row],[CUIT]]="","-",VLOOKUP(ventas_b_mes1[[#This Row],[CUIT]],Lista_CUIT[#All],2,0)),"CUIT NO CARGADO")</f>
        <v>-</v>
      </c>
      <c r="H751" s="64">
        <f>ventas_b_mes1[[#This Row],[TOTAL]]/1.21</f>
        <v>0</v>
      </c>
      <c r="I751" s="140">
        <f>ventas_b_mes1[[#This Row],[IMPORTE NETO]]*0.21</f>
        <v>0</v>
      </c>
      <c r="J751" s="141"/>
      <c r="K751" s="141"/>
      <c r="L751" s="141"/>
      <c r="M751" s="59"/>
    </row>
    <row r="752" spans="2:13">
      <c r="B752" s="135"/>
      <c r="C752" s="136"/>
      <c r="D752" s="137"/>
      <c r="E752" s="138"/>
      <c r="F752" s="139"/>
      <c r="G752" s="1" t="str">
        <f>IFERROR(IF(ventas_b_mes1[[#This Row],[CUIT]]="","-",VLOOKUP(ventas_b_mes1[[#This Row],[CUIT]],Lista_CUIT[#All],2,0)),"CUIT NO CARGADO")</f>
        <v>-</v>
      </c>
      <c r="H752" s="64">
        <f>ventas_b_mes1[[#This Row],[TOTAL]]/1.21</f>
        <v>0</v>
      </c>
      <c r="I752" s="140">
        <f>ventas_b_mes1[[#This Row],[IMPORTE NETO]]*0.21</f>
        <v>0</v>
      </c>
      <c r="J752" s="141"/>
      <c r="K752" s="141"/>
      <c r="L752" s="141"/>
      <c r="M752" s="59"/>
    </row>
    <row r="753" spans="2:13">
      <c r="B753" s="135"/>
      <c r="C753" s="136"/>
      <c r="D753" s="137"/>
      <c r="E753" s="138"/>
      <c r="F753" s="139"/>
      <c r="G753" s="1" t="str">
        <f>IFERROR(IF(ventas_b_mes1[[#This Row],[CUIT]]="","-",VLOOKUP(ventas_b_mes1[[#This Row],[CUIT]],Lista_CUIT[#All],2,0)),"CUIT NO CARGADO")</f>
        <v>-</v>
      </c>
      <c r="H753" s="64">
        <f>ventas_b_mes1[[#This Row],[TOTAL]]/1.21</f>
        <v>0</v>
      </c>
      <c r="I753" s="140">
        <f>ventas_b_mes1[[#This Row],[IMPORTE NETO]]*0.21</f>
        <v>0</v>
      </c>
      <c r="J753" s="141"/>
      <c r="K753" s="141"/>
      <c r="L753" s="141"/>
      <c r="M753" s="59"/>
    </row>
    <row r="754" spans="2:13">
      <c r="B754" s="135"/>
      <c r="C754" s="136"/>
      <c r="D754" s="137"/>
      <c r="E754" s="138"/>
      <c r="F754" s="139"/>
      <c r="G754" s="1" t="str">
        <f>IFERROR(IF(ventas_b_mes1[[#This Row],[CUIT]]="","-",VLOOKUP(ventas_b_mes1[[#This Row],[CUIT]],Lista_CUIT[#All],2,0)),"CUIT NO CARGADO")</f>
        <v>-</v>
      </c>
      <c r="H754" s="64">
        <f>ventas_b_mes1[[#This Row],[TOTAL]]/1.21</f>
        <v>0</v>
      </c>
      <c r="I754" s="140">
        <f>ventas_b_mes1[[#This Row],[IMPORTE NETO]]*0.21</f>
        <v>0</v>
      </c>
      <c r="J754" s="141"/>
      <c r="K754" s="141"/>
      <c r="L754" s="141"/>
      <c r="M754" s="59"/>
    </row>
    <row r="755" spans="2:13">
      <c r="B755" s="135"/>
      <c r="C755" s="136"/>
      <c r="D755" s="137"/>
      <c r="E755" s="138"/>
      <c r="F755" s="139"/>
      <c r="G755" s="1" t="str">
        <f>IFERROR(IF(ventas_b_mes1[[#This Row],[CUIT]]="","-",VLOOKUP(ventas_b_mes1[[#This Row],[CUIT]],Lista_CUIT[#All],2,0)),"CUIT NO CARGADO")</f>
        <v>-</v>
      </c>
      <c r="H755" s="64">
        <f>ventas_b_mes1[[#This Row],[TOTAL]]/1.21</f>
        <v>0</v>
      </c>
      <c r="I755" s="140">
        <f>ventas_b_mes1[[#This Row],[IMPORTE NETO]]*0.21</f>
        <v>0</v>
      </c>
      <c r="J755" s="141"/>
      <c r="K755" s="141"/>
      <c r="L755" s="141"/>
      <c r="M755" s="59"/>
    </row>
    <row r="756" spans="2:13">
      <c r="B756" s="135"/>
      <c r="C756" s="136"/>
      <c r="D756" s="137"/>
      <c r="E756" s="138"/>
      <c r="F756" s="139"/>
      <c r="G756" s="1" t="str">
        <f>IFERROR(IF(ventas_b_mes1[[#This Row],[CUIT]]="","-",VLOOKUP(ventas_b_mes1[[#This Row],[CUIT]],Lista_CUIT[#All],2,0)),"CUIT NO CARGADO")</f>
        <v>-</v>
      </c>
      <c r="H756" s="64">
        <f>ventas_b_mes1[[#This Row],[TOTAL]]/1.21</f>
        <v>0</v>
      </c>
      <c r="I756" s="140">
        <f>ventas_b_mes1[[#This Row],[IMPORTE NETO]]*0.21</f>
        <v>0</v>
      </c>
      <c r="J756" s="141"/>
      <c r="K756" s="141"/>
      <c r="L756" s="141"/>
      <c r="M756" s="59"/>
    </row>
    <row r="757" spans="2:13">
      <c r="B757" s="135"/>
      <c r="C757" s="136"/>
      <c r="D757" s="137"/>
      <c r="E757" s="138"/>
      <c r="F757" s="139"/>
      <c r="G757" s="1" t="str">
        <f>IFERROR(IF(ventas_b_mes1[[#This Row],[CUIT]]="","-",VLOOKUP(ventas_b_mes1[[#This Row],[CUIT]],Lista_CUIT[#All],2,0)),"CUIT NO CARGADO")</f>
        <v>-</v>
      </c>
      <c r="H757" s="64">
        <f>ventas_b_mes1[[#This Row],[TOTAL]]/1.21</f>
        <v>0</v>
      </c>
      <c r="I757" s="140">
        <f>ventas_b_mes1[[#This Row],[IMPORTE NETO]]*0.21</f>
        <v>0</v>
      </c>
      <c r="J757" s="141"/>
      <c r="K757" s="141"/>
      <c r="L757" s="141"/>
      <c r="M757" s="59"/>
    </row>
    <row r="758" spans="2:13">
      <c r="B758" s="135"/>
      <c r="C758" s="136"/>
      <c r="D758" s="137"/>
      <c r="E758" s="138"/>
      <c r="F758" s="139"/>
      <c r="G758" s="1" t="str">
        <f>IFERROR(IF(ventas_b_mes1[[#This Row],[CUIT]]="","-",VLOOKUP(ventas_b_mes1[[#This Row],[CUIT]],Lista_CUIT[#All],2,0)),"CUIT NO CARGADO")</f>
        <v>-</v>
      </c>
      <c r="H758" s="64">
        <f>ventas_b_mes1[[#This Row],[TOTAL]]/1.21</f>
        <v>0</v>
      </c>
      <c r="I758" s="140">
        <f>ventas_b_mes1[[#This Row],[IMPORTE NETO]]*0.21</f>
        <v>0</v>
      </c>
      <c r="J758" s="141"/>
      <c r="K758" s="141"/>
      <c r="L758" s="141"/>
      <c r="M758" s="59"/>
    </row>
    <row r="759" spans="2:13">
      <c r="B759" s="135"/>
      <c r="C759" s="136"/>
      <c r="D759" s="137"/>
      <c r="E759" s="138"/>
      <c r="F759" s="139"/>
      <c r="G759" s="1" t="str">
        <f>IFERROR(IF(ventas_b_mes1[[#This Row],[CUIT]]="","-",VLOOKUP(ventas_b_mes1[[#This Row],[CUIT]],Lista_CUIT[#All],2,0)),"CUIT NO CARGADO")</f>
        <v>-</v>
      </c>
      <c r="H759" s="64">
        <f>ventas_b_mes1[[#This Row],[TOTAL]]/1.21</f>
        <v>0</v>
      </c>
      <c r="I759" s="140">
        <f>ventas_b_mes1[[#This Row],[IMPORTE NETO]]*0.21</f>
        <v>0</v>
      </c>
      <c r="J759" s="141"/>
      <c r="K759" s="141"/>
      <c r="L759" s="141"/>
      <c r="M759" s="59"/>
    </row>
    <row r="760" spans="2:13">
      <c r="B760" s="135"/>
      <c r="C760" s="136"/>
      <c r="D760" s="137"/>
      <c r="E760" s="138"/>
      <c r="F760" s="139"/>
      <c r="G760" s="1" t="str">
        <f>IFERROR(IF(ventas_b_mes1[[#This Row],[CUIT]]="","-",VLOOKUP(ventas_b_mes1[[#This Row],[CUIT]],Lista_CUIT[#All],2,0)),"CUIT NO CARGADO")</f>
        <v>-</v>
      </c>
      <c r="H760" s="64">
        <f>ventas_b_mes1[[#This Row],[TOTAL]]/1.21</f>
        <v>0</v>
      </c>
      <c r="I760" s="140">
        <f>ventas_b_mes1[[#This Row],[IMPORTE NETO]]*0.21</f>
        <v>0</v>
      </c>
      <c r="J760" s="141"/>
      <c r="K760" s="141"/>
      <c r="L760" s="141"/>
      <c r="M760" s="59"/>
    </row>
    <row r="761" spans="2:13">
      <c r="B761" s="135"/>
      <c r="C761" s="136"/>
      <c r="D761" s="137"/>
      <c r="E761" s="138"/>
      <c r="F761" s="139"/>
      <c r="G761" s="1" t="str">
        <f>IFERROR(IF(ventas_b_mes1[[#This Row],[CUIT]]="","-",VLOOKUP(ventas_b_mes1[[#This Row],[CUIT]],Lista_CUIT[#All],2,0)),"CUIT NO CARGADO")</f>
        <v>-</v>
      </c>
      <c r="H761" s="64">
        <f>ventas_b_mes1[[#This Row],[TOTAL]]/1.21</f>
        <v>0</v>
      </c>
      <c r="I761" s="140">
        <f>ventas_b_mes1[[#This Row],[IMPORTE NETO]]*0.21</f>
        <v>0</v>
      </c>
      <c r="J761" s="141"/>
      <c r="K761" s="141"/>
      <c r="L761" s="141"/>
      <c r="M761" s="59"/>
    </row>
    <row r="762" spans="2:13">
      <c r="B762" s="135"/>
      <c r="C762" s="136"/>
      <c r="D762" s="137"/>
      <c r="E762" s="138"/>
      <c r="F762" s="139"/>
      <c r="G762" s="1" t="str">
        <f>IFERROR(IF(ventas_b_mes1[[#This Row],[CUIT]]="","-",VLOOKUP(ventas_b_mes1[[#This Row],[CUIT]],Lista_CUIT[#All],2,0)),"CUIT NO CARGADO")</f>
        <v>-</v>
      </c>
      <c r="H762" s="64">
        <f>ventas_b_mes1[[#This Row],[TOTAL]]/1.21</f>
        <v>0</v>
      </c>
      <c r="I762" s="140">
        <f>ventas_b_mes1[[#This Row],[IMPORTE NETO]]*0.21</f>
        <v>0</v>
      </c>
      <c r="J762" s="141"/>
      <c r="K762" s="141"/>
      <c r="L762" s="141"/>
      <c r="M762" s="59"/>
    </row>
    <row r="763" spans="2:13">
      <c r="B763" s="135"/>
      <c r="C763" s="136"/>
      <c r="D763" s="137"/>
      <c r="E763" s="138"/>
      <c r="F763" s="139"/>
      <c r="G763" s="1" t="str">
        <f>IFERROR(IF(ventas_b_mes1[[#This Row],[CUIT]]="","-",VLOOKUP(ventas_b_mes1[[#This Row],[CUIT]],Lista_CUIT[#All],2,0)),"CUIT NO CARGADO")</f>
        <v>-</v>
      </c>
      <c r="H763" s="64">
        <f>ventas_b_mes1[[#This Row],[TOTAL]]/1.21</f>
        <v>0</v>
      </c>
      <c r="I763" s="140">
        <f>ventas_b_mes1[[#This Row],[IMPORTE NETO]]*0.21</f>
        <v>0</v>
      </c>
      <c r="J763" s="141"/>
      <c r="K763" s="141"/>
      <c r="L763" s="141"/>
      <c r="M763" s="59"/>
    </row>
    <row r="764" spans="2:13">
      <c r="B764" s="135"/>
      <c r="C764" s="136"/>
      <c r="D764" s="137"/>
      <c r="E764" s="138"/>
      <c r="F764" s="139"/>
      <c r="G764" s="1" t="str">
        <f>IFERROR(IF(ventas_b_mes1[[#This Row],[CUIT]]="","-",VLOOKUP(ventas_b_mes1[[#This Row],[CUIT]],Lista_CUIT[#All],2,0)),"CUIT NO CARGADO")</f>
        <v>-</v>
      </c>
      <c r="H764" s="64">
        <f>ventas_b_mes1[[#This Row],[TOTAL]]/1.21</f>
        <v>0</v>
      </c>
      <c r="I764" s="140">
        <f>ventas_b_mes1[[#This Row],[IMPORTE NETO]]*0.21</f>
        <v>0</v>
      </c>
      <c r="J764" s="141"/>
      <c r="K764" s="141"/>
      <c r="L764" s="141"/>
      <c r="M764" s="59"/>
    </row>
    <row r="765" spans="2:13">
      <c r="B765" s="135"/>
      <c r="C765" s="136"/>
      <c r="D765" s="137"/>
      <c r="E765" s="138"/>
      <c r="F765" s="139"/>
      <c r="G765" s="1" t="str">
        <f>IFERROR(IF(ventas_b_mes1[[#This Row],[CUIT]]="","-",VLOOKUP(ventas_b_mes1[[#This Row],[CUIT]],Lista_CUIT[#All],2,0)),"CUIT NO CARGADO")</f>
        <v>-</v>
      </c>
      <c r="H765" s="64">
        <f>ventas_b_mes1[[#This Row],[TOTAL]]/1.21</f>
        <v>0</v>
      </c>
      <c r="I765" s="140">
        <f>ventas_b_mes1[[#This Row],[IMPORTE NETO]]*0.21</f>
        <v>0</v>
      </c>
      <c r="J765" s="141"/>
      <c r="K765" s="141"/>
      <c r="L765" s="141"/>
      <c r="M765" s="59"/>
    </row>
    <row r="766" spans="2:13">
      <c r="B766" s="135"/>
      <c r="C766" s="136"/>
      <c r="D766" s="137"/>
      <c r="E766" s="138"/>
      <c r="F766" s="139"/>
      <c r="G766" s="1" t="str">
        <f>IFERROR(IF(ventas_b_mes1[[#This Row],[CUIT]]="","-",VLOOKUP(ventas_b_mes1[[#This Row],[CUIT]],Lista_CUIT[#All],2,0)),"CUIT NO CARGADO")</f>
        <v>-</v>
      </c>
      <c r="H766" s="64">
        <f>ventas_b_mes1[[#This Row],[TOTAL]]/1.21</f>
        <v>0</v>
      </c>
      <c r="I766" s="140">
        <f>ventas_b_mes1[[#This Row],[IMPORTE NETO]]*0.21</f>
        <v>0</v>
      </c>
      <c r="J766" s="141"/>
      <c r="K766" s="141"/>
      <c r="L766" s="141"/>
      <c r="M766" s="59"/>
    </row>
    <row r="767" spans="2:13">
      <c r="B767" s="135"/>
      <c r="C767" s="136"/>
      <c r="D767" s="137"/>
      <c r="E767" s="138"/>
      <c r="F767" s="139"/>
      <c r="G767" s="1" t="str">
        <f>IFERROR(IF(ventas_b_mes1[[#This Row],[CUIT]]="","-",VLOOKUP(ventas_b_mes1[[#This Row],[CUIT]],Lista_CUIT[#All],2,0)),"CUIT NO CARGADO")</f>
        <v>-</v>
      </c>
      <c r="H767" s="64">
        <f>ventas_b_mes1[[#This Row],[TOTAL]]/1.21</f>
        <v>0</v>
      </c>
      <c r="I767" s="140">
        <f>ventas_b_mes1[[#This Row],[IMPORTE NETO]]*0.21</f>
        <v>0</v>
      </c>
      <c r="J767" s="141"/>
      <c r="K767" s="141"/>
      <c r="L767" s="141"/>
      <c r="M767" s="59"/>
    </row>
    <row r="768" spans="2:13">
      <c r="B768" s="135"/>
      <c r="C768" s="136"/>
      <c r="D768" s="137"/>
      <c r="E768" s="138"/>
      <c r="F768" s="139"/>
      <c r="G768" s="1" t="str">
        <f>IFERROR(IF(ventas_b_mes1[[#This Row],[CUIT]]="","-",VLOOKUP(ventas_b_mes1[[#This Row],[CUIT]],Lista_CUIT[#All],2,0)),"CUIT NO CARGADO")</f>
        <v>-</v>
      </c>
      <c r="H768" s="64">
        <f>ventas_b_mes1[[#This Row],[TOTAL]]/1.21</f>
        <v>0</v>
      </c>
      <c r="I768" s="140">
        <f>ventas_b_mes1[[#This Row],[IMPORTE NETO]]*0.21</f>
        <v>0</v>
      </c>
      <c r="J768" s="141"/>
      <c r="K768" s="141"/>
      <c r="L768" s="141"/>
      <c r="M768" s="59"/>
    </row>
    <row r="769" spans="2:13">
      <c r="B769" s="135"/>
      <c r="C769" s="136"/>
      <c r="D769" s="137"/>
      <c r="E769" s="138"/>
      <c r="F769" s="139"/>
      <c r="G769" s="1" t="str">
        <f>IFERROR(IF(ventas_b_mes1[[#This Row],[CUIT]]="","-",VLOOKUP(ventas_b_mes1[[#This Row],[CUIT]],Lista_CUIT[#All],2,0)),"CUIT NO CARGADO")</f>
        <v>-</v>
      </c>
      <c r="H769" s="64">
        <f>ventas_b_mes1[[#This Row],[TOTAL]]/1.21</f>
        <v>0</v>
      </c>
      <c r="I769" s="140">
        <f>ventas_b_mes1[[#This Row],[IMPORTE NETO]]*0.21</f>
        <v>0</v>
      </c>
      <c r="J769" s="141"/>
      <c r="K769" s="141"/>
      <c r="L769" s="141"/>
      <c r="M769" s="59"/>
    </row>
    <row r="770" spans="2:13">
      <c r="B770" s="135"/>
      <c r="C770" s="136"/>
      <c r="D770" s="137"/>
      <c r="E770" s="138"/>
      <c r="F770" s="139"/>
      <c r="G770" s="1" t="str">
        <f>IFERROR(IF(ventas_b_mes1[[#This Row],[CUIT]]="","-",VLOOKUP(ventas_b_mes1[[#This Row],[CUIT]],Lista_CUIT[#All],2,0)),"CUIT NO CARGADO")</f>
        <v>-</v>
      </c>
      <c r="H770" s="64">
        <f>ventas_b_mes1[[#This Row],[TOTAL]]/1.21</f>
        <v>0</v>
      </c>
      <c r="I770" s="140">
        <f>ventas_b_mes1[[#This Row],[IMPORTE NETO]]*0.21</f>
        <v>0</v>
      </c>
      <c r="J770" s="141"/>
      <c r="K770" s="141"/>
      <c r="L770" s="141"/>
      <c r="M770" s="59"/>
    </row>
    <row r="771" spans="2:13">
      <c r="B771" s="135"/>
      <c r="C771" s="136"/>
      <c r="D771" s="137"/>
      <c r="E771" s="138"/>
      <c r="F771" s="139"/>
      <c r="G771" s="1" t="str">
        <f>IFERROR(IF(ventas_b_mes1[[#This Row],[CUIT]]="","-",VLOOKUP(ventas_b_mes1[[#This Row],[CUIT]],Lista_CUIT[#All],2,0)),"CUIT NO CARGADO")</f>
        <v>-</v>
      </c>
      <c r="H771" s="64">
        <f>ventas_b_mes1[[#This Row],[TOTAL]]/1.21</f>
        <v>0</v>
      </c>
      <c r="I771" s="140">
        <f>ventas_b_mes1[[#This Row],[IMPORTE NETO]]*0.21</f>
        <v>0</v>
      </c>
      <c r="J771" s="141"/>
      <c r="K771" s="141"/>
      <c r="L771" s="141"/>
      <c r="M771" s="59"/>
    </row>
    <row r="772" spans="2:13">
      <c r="B772" s="135"/>
      <c r="C772" s="136"/>
      <c r="D772" s="137"/>
      <c r="E772" s="138"/>
      <c r="F772" s="139"/>
      <c r="G772" s="1" t="str">
        <f>IFERROR(IF(ventas_b_mes1[[#This Row],[CUIT]]="","-",VLOOKUP(ventas_b_mes1[[#This Row],[CUIT]],Lista_CUIT[#All],2,0)),"CUIT NO CARGADO")</f>
        <v>-</v>
      </c>
      <c r="H772" s="64">
        <f>ventas_b_mes1[[#This Row],[TOTAL]]/1.21</f>
        <v>0</v>
      </c>
      <c r="I772" s="140">
        <f>ventas_b_mes1[[#This Row],[IMPORTE NETO]]*0.21</f>
        <v>0</v>
      </c>
      <c r="J772" s="141"/>
      <c r="K772" s="141"/>
      <c r="L772" s="141"/>
      <c r="M772" s="59"/>
    </row>
    <row r="773" spans="2:13">
      <c r="B773" s="135"/>
      <c r="C773" s="136"/>
      <c r="D773" s="137"/>
      <c r="E773" s="138"/>
      <c r="F773" s="139"/>
      <c r="G773" s="1" t="str">
        <f>IFERROR(IF(ventas_b_mes1[[#This Row],[CUIT]]="","-",VLOOKUP(ventas_b_mes1[[#This Row],[CUIT]],Lista_CUIT[#All],2,0)),"CUIT NO CARGADO")</f>
        <v>-</v>
      </c>
      <c r="H773" s="64">
        <f>ventas_b_mes1[[#This Row],[TOTAL]]/1.21</f>
        <v>0</v>
      </c>
      <c r="I773" s="140">
        <f>ventas_b_mes1[[#This Row],[IMPORTE NETO]]*0.21</f>
        <v>0</v>
      </c>
      <c r="J773" s="141"/>
      <c r="K773" s="141"/>
      <c r="L773" s="141"/>
      <c r="M773" s="59"/>
    </row>
    <row r="774" spans="2:13">
      <c r="B774" s="135"/>
      <c r="C774" s="136"/>
      <c r="D774" s="137"/>
      <c r="E774" s="138"/>
      <c r="F774" s="139"/>
      <c r="G774" s="1" t="str">
        <f>IFERROR(IF(ventas_b_mes1[[#This Row],[CUIT]]="","-",VLOOKUP(ventas_b_mes1[[#This Row],[CUIT]],Lista_CUIT[#All],2,0)),"CUIT NO CARGADO")</f>
        <v>-</v>
      </c>
      <c r="H774" s="64">
        <f>ventas_b_mes1[[#This Row],[TOTAL]]/1.21</f>
        <v>0</v>
      </c>
      <c r="I774" s="140">
        <f>ventas_b_mes1[[#This Row],[IMPORTE NETO]]*0.21</f>
        <v>0</v>
      </c>
      <c r="J774" s="141"/>
      <c r="K774" s="141"/>
      <c r="L774" s="141"/>
      <c r="M774" s="59"/>
    </row>
    <row r="775" spans="2:13">
      <c r="B775" s="135"/>
      <c r="C775" s="136"/>
      <c r="D775" s="137"/>
      <c r="E775" s="138"/>
      <c r="F775" s="139"/>
      <c r="G775" s="1" t="str">
        <f>IFERROR(IF(ventas_b_mes1[[#This Row],[CUIT]]="","-",VLOOKUP(ventas_b_mes1[[#This Row],[CUIT]],Lista_CUIT[#All],2,0)),"CUIT NO CARGADO")</f>
        <v>-</v>
      </c>
      <c r="H775" s="64">
        <f>ventas_b_mes1[[#This Row],[TOTAL]]/1.21</f>
        <v>0</v>
      </c>
      <c r="I775" s="140">
        <f>ventas_b_mes1[[#This Row],[IMPORTE NETO]]*0.21</f>
        <v>0</v>
      </c>
      <c r="J775" s="141"/>
      <c r="K775" s="141"/>
      <c r="L775" s="141"/>
      <c r="M775" s="59"/>
    </row>
    <row r="776" spans="2:13">
      <c r="B776" s="135"/>
      <c r="C776" s="136"/>
      <c r="D776" s="137"/>
      <c r="E776" s="138"/>
      <c r="F776" s="139"/>
      <c r="G776" s="1" t="str">
        <f>IFERROR(IF(ventas_b_mes1[[#This Row],[CUIT]]="","-",VLOOKUP(ventas_b_mes1[[#This Row],[CUIT]],Lista_CUIT[#All],2,0)),"CUIT NO CARGADO")</f>
        <v>-</v>
      </c>
      <c r="H776" s="64">
        <f>ventas_b_mes1[[#This Row],[TOTAL]]/1.21</f>
        <v>0</v>
      </c>
      <c r="I776" s="140">
        <f>ventas_b_mes1[[#This Row],[IMPORTE NETO]]*0.21</f>
        <v>0</v>
      </c>
      <c r="J776" s="141"/>
      <c r="K776" s="141"/>
      <c r="L776" s="141"/>
      <c r="M776" s="59"/>
    </row>
    <row r="777" spans="2:13">
      <c r="B777" s="135"/>
      <c r="C777" s="136"/>
      <c r="D777" s="137"/>
      <c r="E777" s="138"/>
      <c r="F777" s="139"/>
      <c r="G777" s="1" t="str">
        <f>IFERROR(IF(ventas_b_mes1[[#This Row],[CUIT]]="","-",VLOOKUP(ventas_b_mes1[[#This Row],[CUIT]],Lista_CUIT[#All],2,0)),"CUIT NO CARGADO")</f>
        <v>-</v>
      </c>
      <c r="H777" s="64">
        <f>ventas_b_mes1[[#This Row],[TOTAL]]/1.21</f>
        <v>0</v>
      </c>
      <c r="I777" s="140">
        <f>ventas_b_mes1[[#This Row],[IMPORTE NETO]]*0.21</f>
        <v>0</v>
      </c>
      <c r="J777" s="141"/>
      <c r="K777" s="141"/>
      <c r="L777" s="141"/>
      <c r="M777" s="59"/>
    </row>
    <row r="778" spans="2:13">
      <c r="B778" s="135"/>
      <c r="C778" s="136"/>
      <c r="D778" s="137"/>
      <c r="E778" s="138"/>
      <c r="F778" s="139"/>
      <c r="G778" s="1" t="str">
        <f>IFERROR(IF(ventas_b_mes1[[#This Row],[CUIT]]="","-",VLOOKUP(ventas_b_mes1[[#This Row],[CUIT]],Lista_CUIT[#All],2,0)),"CUIT NO CARGADO")</f>
        <v>-</v>
      </c>
      <c r="H778" s="64">
        <f>ventas_b_mes1[[#This Row],[TOTAL]]/1.21</f>
        <v>0</v>
      </c>
      <c r="I778" s="140">
        <f>ventas_b_mes1[[#This Row],[IMPORTE NETO]]*0.21</f>
        <v>0</v>
      </c>
      <c r="J778" s="141"/>
      <c r="K778" s="141"/>
      <c r="L778" s="141"/>
      <c r="M778" s="59"/>
    </row>
    <row r="779" spans="2:13">
      <c r="B779" s="135"/>
      <c r="C779" s="136"/>
      <c r="D779" s="137"/>
      <c r="E779" s="138"/>
      <c r="F779" s="139"/>
      <c r="G779" s="1" t="str">
        <f>IFERROR(IF(ventas_b_mes1[[#This Row],[CUIT]]="","-",VLOOKUP(ventas_b_mes1[[#This Row],[CUIT]],Lista_CUIT[#All],2,0)),"CUIT NO CARGADO")</f>
        <v>-</v>
      </c>
      <c r="H779" s="64">
        <f>ventas_b_mes1[[#This Row],[TOTAL]]/1.21</f>
        <v>0</v>
      </c>
      <c r="I779" s="140">
        <f>ventas_b_mes1[[#This Row],[IMPORTE NETO]]*0.21</f>
        <v>0</v>
      </c>
      <c r="J779" s="141"/>
      <c r="K779" s="141"/>
      <c r="L779" s="141"/>
      <c r="M779" s="59"/>
    </row>
    <row r="780" spans="2:13">
      <c r="B780" s="135"/>
      <c r="C780" s="136"/>
      <c r="D780" s="137"/>
      <c r="E780" s="138"/>
      <c r="F780" s="139"/>
      <c r="G780" s="1" t="str">
        <f>IFERROR(IF(ventas_b_mes1[[#This Row],[CUIT]]="","-",VLOOKUP(ventas_b_mes1[[#This Row],[CUIT]],Lista_CUIT[#All],2,0)),"CUIT NO CARGADO")</f>
        <v>-</v>
      </c>
      <c r="H780" s="64">
        <f>ventas_b_mes1[[#This Row],[TOTAL]]/1.21</f>
        <v>0</v>
      </c>
      <c r="I780" s="140">
        <f>ventas_b_mes1[[#This Row],[IMPORTE NETO]]*0.21</f>
        <v>0</v>
      </c>
      <c r="J780" s="141"/>
      <c r="K780" s="141"/>
      <c r="L780" s="141"/>
      <c r="M780" s="59"/>
    </row>
    <row r="781" spans="2:13">
      <c r="B781" s="135"/>
      <c r="C781" s="136"/>
      <c r="D781" s="137"/>
      <c r="E781" s="138"/>
      <c r="F781" s="139"/>
      <c r="G781" s="1" t="str">
        <f>IFERROR(IF(ventas_b_mes1[[#This Row],[CUIT]]="","-",VLOOKUP(ventas_b_mes1[[#This Row],[CUIT]],Lista_CUIT[#All],2,0)),"CUIT NO CARGADO")</f>
        <v>-</v>
      </c>
      <c r="H781" s="64">
        <f>ventas_b_mes1[[#This Row],[TOTAL]]/1.21</f>
        <v>0</v>
      </c>
      <c r="I781" s="140">
        <f>ventas_b_mes1[[#This Row],[IMPORTE NETO]]*0.21</f>
        <v>0</v>
      </c>
      <c r="J781" s="141"/>
      <c r="K781" s="141"/>
      <c r="L781" s="141"/>
      <c r="M781" s="59"/>
    </row>
    <row r="782" spans="2:13">
      <c r="B782" s="135"/>
      <c r="C782" s="136"/>
      <c r="D782" s="137"/>
      <c r="E782" s="138"/>
      <c r="F782" s="139"/>
      <c r="G782" s="1" t="str">
        <f>IFERROR(IF(ventas_b_mes1[[#This Row],[CUIT]]="","-",VLOOKUP(ventas_b_mes1[[#This Row],[CUIT]],Lista_CUIT[#All],2,0)),"CUIT NO CARGADO")</f>
        <v>-</v>
      </c>
      <c r="H782" s="64">
        <f>ventas_b_mes1[[#This Row],[TOTAL]]/1.21</f>
        <v>0</v>
      </c>
      <c r="I782" s="140">
        <f>ventas_b_mes1[[#This Row],[IMPORTE NETO]]*0.21</f>
        <v>0</v>
      </c>
      <c r="J782" s="141"/>
      <c r="K782" s="141"/>
      <c r="L782" s="141"/>
      <c r="M782" s="59"/>
    </row>
    <row r="783" spans="2:13">
      <c r="B783" s="135"/>
      <c r="C783" s="136"/>
      <c r="D783" s="137"/>
      <c r="E783" s="138"/>
      <c r="F783" s="139"/>
      <c r="G783" s="1" t="str">
        <f>IFERROR(IF(ventas_b_mes1[[#This Row],[CUIT]]="","-",VLOOKUP(ventas_b_mes1[[#This Row],[CUIT]],Lista_CUIT[#All],2,0)),"CUIT NO CARGADO")</f>
        <v>-</v>
      </c>
      <c r="H783" s="64">
        <f>ventas_b_mes1[[#This Row],[TOTAL]]/1.21</f>
        <v>0</v>
      </c>
      <c r="I783" s="140">
        <f>ventas_b_mes1[[#This Row],[IMPORTE NETO]]*0.21</f>
        <v>0</v>
      </c>
      <c r="J783" s="141"/>
      <c r="K783" s="141"/>
      <c r="L783" s="141"/>
      <c r="M783" s="59"/>
    </row>
    <row r="784" spans="2:13">
      <c r="B784" s="135"/>
      <c r="C784" s="136"/>
      <c r="D784" s="137"/>
      <c r="E784" s="138"/>
      <c r="F784" s="139"/>
      <c r="G784" s="1" t="str">
        <f>IFERROR(IF(ventas_b_mes1[[#This Row],[CUIT]]="","-",VLOOKUP(ventas_b_mes1[[#This Row],[CUIT]],Lista_CUIT[#All],2,0)),"CUIT NO CARGADO")</f>
        <v>-</v>
      </c>
      <c r="H784" s="64">
        <f>ventas_b_mes1[[#This Row],[TOTAL]]/1.21</f>
        <v>0</v>
      </c>
      <c r="I784" s="140">
        <f>ventas_b_mes1[[#This Row],[IMPORTE NETO]]*0.21</f>
        <v>0</v>
      </c>
      <c r="J784" s="141"/>
      <c r="K784" s="141"/>
      <c r="L784" s="141"/>
      <c r="M784" s="59"/>
    </row>
    <row r="785" spans="2:13">
      <c r="B785" s="135"/>
      <c r="C785" s="136"/>
      <c r="D785" s="137"/>
      <c r="E785" s="138"/>
      <c r="F785" s="139"/>
      <c r="G785" s="1" t="str">
        <f>IFERROR(IF(ventas_b_mes1[[#This Row],[CUIT]]="","-",VLOOKUP(ventas_b_mes1[[#This Row],[CUIT]],Lista_CUIT[#All],2,0)),"CUIT NO CARGADO")</f>
        <v>-</v>
      </c>
      <c r="H785" s="64">
        <f>ventas_b_mes1[[#This Row],[TOTAL]]/1.21</f>
        <v>0</v>
      </c>
      <c r="I785" s="140">
        <f>ventas_b_mes1[[#This Row],[IMPORTE NETO]]*0.21</f>
        <v>0</v>
      </c>
      <c r="J785" s="141"/>
      <c r="K785" s="141"/>
      <c r="L785" s="141"/>
      <c r="M785" s="59"/>
    </row>
    <row r="786" spans="2:13">
      <c r="B786" s="135"/>
      <c r="C786" s="136"/>
      <c r="D786" s="137"/>
      <c r="E786" s="138"/>
      <c r="F786" s="139"/>
      <c r="G786" s="1" t="str">
        <f>IFERROR(IF(ventas_b_mes1[[#This Row],[CUIT]]="","-",VLOOKUP(ventas_b_mes1[[#This Row],[CUIT]],Lista_CUIT[#All],2,0)),"CUIT NO CARGADO")</f>
        <v>-</v>
      </c>
      <c r="H786" s="64">
        <f>ventas_b_mes1[[#This Row],[TOTAL]]/1.21</f>
        <v>0</v>
      </c>
      <c r="I786" s="140">
        <f>ventas_b_mes1[[#This Row],[IMPORTE NETO]]*0.21</f>
        <v>0</v>
      </c>
      <c r="J786" s="141"/>
      <c r="K786" s="141"/>
      <c r="L786" s="141"/>
      <c r="M786" s="59"/>
    </row>
    <row r="787" spans="2:13">
      <c r="B787" s="135"/>
      <c r="C787" s="136"/>
      <c r="D787" s="137"/>
      <c r="E787" s="138"/>
      <c r="F787" s="139"/>
      <c r="G787" s="1" t="str">
        <f>IFERROR(IF(ventas_b_mes1[[#This Row],[CUIT]]="","-",VLOOKUP(ventas_b_mes1[[#This Row],[CUIT]],Lista_CUIT[#All],2,0)),"CUIT NO CARGADO")</f>
        <v>-</v>
      </c>
      <c r="H787" s="64">
        <f>ventas_b_mes1[[#This Row],[TOTAL]]/1.21</f>
        <v>0</v>
      </c>
      <c r="I787" s="140">
        <f>ventas_b_mes1[[#This Row],[IMPORTE NETO]]*0.21</f>
        <v>0</v>
      </c>
      <c r="J787" s="141"/>
      <c r="K787" s="141"/>
      <c r="L787" s="141"/>
      <c r="M787" s="59"/>
    </row>
    <row r="788" spans="2:13">
      <c r="B788" s="135"/>
      <c r="C788" s="136"/>
      <c r="D788" s="137"/>
      <c r="E788" s="138"/>
      <c r="F788" s="139"/>
      <c r="G788" s="1" t="str">
        <f>IFERROR(IF(ventas_b_mes1[[#This Row],[CUIT]]="","-",VLOOKUP(ventas_b_mes1[[#This Row],[CUIT]],Lista_CUIT[#All],2,0)),"CUIT NO CARGADO")</f>
        <v>-</v>
      </c>
      <c r="H788" s="64">
        <f>ventas_b_mes1[[#This Row],[TOTAL]]/1.21</f>
        <v>0</v>
      </c>
      <c r="I788" s="140">
        <f>ventas_b_mes1[[#This Row],[IMPORTE NETO]]*0.21</f>
        <v>0</v>
      </c>
      <c r="J788" s="141"/>
      <c r="K788" s="141"/>
      <c r="L788" s="141"/>
      <c r="M788" s="59"/>
    </row>
    <row r="789" spans="2:13">
      <c r="B789" s="135"/>
      <c r="C789" s="136"/>
      <c r="D789" s="137"/>
      <c r="E789" s="138"/>
      <c r="F789" s="139"/>
      <c r="G789" s="1" t="str">
        <f>IFERROR(IF(ventas_b_mes1[[#This Row],[CUIT]]="","-",VLOOKUP(ventas_b_mes1[[#This Row],[CUIT]],Lista_CUIT[#All],2,0)),"CUIT NO CARGADO")</f>
        <v>-</v>
      </c>
      <c r="H789" s="64">
        <f>ventas_b_mes1[[#This Row],[TOTAL]]/1.21</f>
        <v>0</v>
      </c>
      <c r="I789" s="140">
        <f>ventas_b_mes1[[#This Row],[IMPORTE NETO]]*0.21</f>
        <v>0</v>
      </c>
      <c r="J789" s="141"/>
      <c r="K789" s="141"/>
      <c r="L789" s="141"/>
      <c r="M789" s="59"/>
    </row>
    <row r="790" spans="2:13">
      <c r="B790" s="135"/>
      <c r="C790" s="136"/>
      <c r="D790" s="137"/>
      <c r="E790" s="138"/>
      <c r="F790" s="139"/>
      <c r="G790" s="1" t="str">
        <f>IFERROR(IF(ventas_b_mes1[[#This Row],[CUIT]]="","-",VLOOKUP(ventas_b_mes1[[#This Row],[CUIT]],Lista_CUIT[#All],2,0)),"CUIT NO CARGADO")</f>
        <v>-</v>
      </c>
      <c r="H790" s="64">
        <f>ventas_b_mes1[[#This Row],[TOTAL]]/1.21</f>
        <v>0</v>
      </c>
      <c r="I790" s="140">
        <f>ventas_b_mes1[[#This Row],[IMPORTE NETO]]*0.21</f>
        <v>0</v>
      </c>
      <c r="J790" s="141"/>
      <c r="K790" s="141"/>
      <c r="L790" s="141"/>
      <c r="M790" s="59"/>
    </row>
    <row r="791" spans="2:13">
      <c r="B791" s="135"/>
      <c r="C791" s="136"/>
      <c r="D791" s="137"/>
      <c r="E791" s="138"/>
      <c r="F791" s="139"/>
      <c r="G791" s="1" t="str">
        <f>IFERROR(IF(ventas_b_mes1[[#This Row],[CUIT]]="","-",VLOOKUP(ventas_b_mes1[[#This Row],[CUIT]],Lista_CUIT[#All],2,0)),"CUIT NO CARGADO")</f>
        <v>-</v>
      </c>
      <c r="H791" s="64">
        <f>ventas_b_mes1[[#This Row],[TOTAL]]/1.21</f>
        <v>0</v>
      </c>
      <c r="I791" s="140">
        <f>ventas_b_mes1[[#This Row],[IMPORTE NETO]]*0.21</f>
        <v>0</v>
      </c>
      <c r="J791" s="141"/>
      <c r="K791" s="141"/>
      <c r="L791" s="141"/>
      <c r="M791" s="59"/>
    </row>
    <row r="792" spans="2:13">
      <c r="B792" s="135"/>
      <c r="C792" s="136"/>
      <c r="D792" s="137"/>
      <c r="E792" s="138"/>
      <c r="F792" s="139"/>
      <c r="G792" s="1" t="str">
        <f>IFERROR(IF(ventas_b_mes1[[#This Row],[CUIT]]="","-",VLOOKUP(ventas_b_mes1[[#This Row],[CUIT]],Lista_CUIT[#All],2,0)),"CUIT NO CARGADO")</f>
        <v>-</v>
      </c>
      <c r="H792" s="64">
        <f>ventas_b_mes1[[#This Row],[TOTAL]]/1.21</f>
        <v>0</v>
      </c>
      <c r="I792" s="140">
        <f>ventas_b_mes1[[#This Row],[IMPORTE NETO]]*0.21</f>
        <v>0</v>
      </c>
      <c r="J792" s="141"/>
      <c r="K792" s="141"/>
      <c r="L792" s="141"/>
      <c r="M792" s="59"/>
    </row>
    <row r="793" spans="2:13">
      <c r="B793" s="135"/>
      <c r="C793" s="136"/>
      <c r="D793" s="137"/>
      <c r="E793" s="138"/>
      <c r="F793" s="139"/>
      <c r="G793" s="1" t="str">
        <f>IFERROR(IF(ventas_b_mes1[[#This Row],[CUIT]]="","-",VLOOKUP(ventas_b_mes1[[#This Row],[CUIT]],Lista_CUIT[#All],2,0)),"CUIT NO CARGADO")</f>
        <v>-</v>
      </c>
      <c r="H793" s="64">
        <f>ventas_b_mes1[[#This Row],[TOTAL]]/1.21</f>
        <v>0</v>
      </c>
      <c r="I793" s="140">
        <f>ventas_b_mes1[[#This Row],[IMPORTE NETO]]*0.21</f>
        <v>0</v>
      </c>
      <c r="J793" s="141"/>
      <c r="K793" s="141"/>
      <c r="L793" s="141"/>
      <c r="M793" s="59"/>
    </row>
    <row r="794" spans="2:13">
      <c r="B794" s="135"/>
      <c r="C794" s="136"/>
      <c r="D794" s="137"/>
      <c r="E794" s="138"/>
      <c r="F794" s="139"/>
      <c r="G794" s="1" t="str">
        <f>IFERROR(IF(ventas_b_mes1[[#This Row],[CUIT]]="","-",VLOOKUP(ventas_b_mes1[[#This Row],[CUIT]],Lista_CUIT[#All],2,0)),"CUIT NO CARGADO")</f>
        <v>-</v>
      </c>
      <c r="H794" s="64">
        <f>ventas_b_mes1[[#This Row],[TOTAL]]/1.21</f>
        <v>0</v>
      </c>
      <c r="I794" s="140">
        <f>ventas_b_mes1[[#This Row],[IMPORTE NETO]]*0.21</f>
        <v>0</v>
      </c>
      <c r="J794" s="141"/>
      <c r="K794" s="141"/>
      <c r="L794" s="141"/>
      <c r="M794" s="59"/>
    </row>
    <row r="795" spans="2:13">
      <c r="B795" s="135"/>
      <c r="C795" s="136"/>
      <c r="D795" s="137"/>
      <c r="E795" s="138"/>
      <c r="F795" s="139"/>
      <c r="G795" s="1" t="str">
        <f>IFERROR(IF(ventas_b_mes1[[#This Row],[CUIT]]="","-",VLOOKUP(ventas_b_mes1[[#This Row],[CUIT]],Lista_CUIT[#All],2,0)),"CUIT NO CARGADO")</f>
        <v>-</v>
      </c>
      <c r="H795" s="64">
        <f>ventas_b_mes1[[#This Row],[TOTAL]]/1.21</f>
        <v>0</v>
      </c>
      <c r="I795" s="140">
        <f>ventas_b_mes1[[#This Row],[IMPORTE NETO]]*0.21</f>
        <v>0</v>
      </c>
      <c r="J795" s="141"/>
      <c r="K795" s="141"/>
      <c r="L795" s="141"/>
      <c r="M795" s="59"/>
    </row>
    <row r="796" spans="2:13">
      <c r="B796" s="135"/>
      <c r="C796" s="136"/>
      <c r="D796" s="137"/>
      <c r="E796" s="138"/>
      <c r="F796" s="139"/>
      <c r="G796" s="1" t="str">
        <f>IFERROR(IF(ventas_b_mes1[[#This Row],[CUIT]]="","-",VLOOKUP(ventas_b_mes1[[#This Row],[CUIT]],Lista_CUIT[#All],2,0)),"CUIT NO CARGADO")</f>
        <v>-</v>
      </c>
      <c r="H796" s="64">
        <f>ventas_b_mes1[[#This Row],[TOTAL]]/1.21</f>
        <v>0</v>
      </c>
      <c r="I796" s="140">
        <f>ventas_b_mes1[[#This Row],[IMPORTE NETO]]*0.21</f>
        <v>0</v>
      </c>
      <c r="J796" s="141"/>
      <c r="K796" s="141"/>
      <c r="L796" s="141"/>
      <c r="M796" s="59"/>
    </row>
    <row r="797" spans="2:13">
      <c r="B797" s="135"/>
      <c r="C797" s="136"/>
      <c r="D797" s="137"/>
      <c r="E797" s="138"/>
      <c r="F797" s="139"/>
      <c r="G797" s="1" t="str">
        <f>IFERROR(IF(ventas_b_mes1[[#This Row],[CUIT]]="","-",VLOOKUP(ventas_b_mes1[[#This Row],[CUIT]],Lista_CUIT[#All],2,0)),"CUIT NO CARGADO")</f>
        <v>-</v>
      </c>
      <c r="H797" s="64">
        <f>ventas_b_mes1[[#This Row],[TOTAL]]/1.21</f>
        <v>0</v>
      </c>
      <c r="I797" s="140">
        <f>ventas_b_mes1[[#This Row],[IMPORTE NETO]]*0.21</f>
        <v>0</v>
      </c>
      <c r="J797" s="141"/>
      <c r="K797" s="141"/>
      <c r="L797" s="141"/>
      <c r="M797" s="59"/>
    </row>
    <row r="798" spans="2:13">
      <c r="B798" s="135"/>
      <c r="C798" s="136"/>
      <c r="D798" s="137"/>
      <c r="E798" s="138"/>
      <c r="F798" s="139"/>
      <c r="G798" s="1" t="str">
        <f>IFERROR(IF(ventas_b_mes1[[#This Row],[CUIT]]="","-",VLOOKUP(ventas_b_mes1[[#This Row],[CUIT]],Lista_CUIT[#All],2,0)),"CUIT NO CARGADO")</f>
        <v>-</v>
      </c>
      <c r="H798" s="64">
        <f>ventas_b_mes1[[#This Row],[TOTAL]]/1.21</f>
        <v>0</v>
      </c>
      <c r="I798" s="140">
        <f>ventas_b_mes1[[#This Row],[IMPORTE NETO]]*0.21</f>
        <v>0</v>
      </c>
      <c r="J798" s="141"/>
      <c r="K798" s="141"/>
      <c r="L798" s="141"/>
      <c r="M798" s="59"/>
    </row>
    <row r="799" spans="2:13">
      <c r="B799" s="135"/>
      <c r="C799" s="136"/>
      <c r="D799" s="137"/>
      <c r="E799" s="138"/>
      <c r="F799" s="139"/>
      <c r="G799" s="1" t="str">
        <f>IFERROR(IF(ventas_b_mes1[[#This Row],[CUIT]]="","-",VLOOKUP(ventas_b_mes1[[#This Row],[CUIT]],Lista_CUIT[#All],2,0)),"CUIT NO CARGADO")</f>
        <v>-</v>
      </c>
      <c r="H799" s="64">
        <f>ventas_b_mes1[[#This Row],[TOTAL]]/1.21</f>
        <v>0</v>
      </c>
      <c r="I799" s="140">
        <f>ventas_b_mes1[[#This Row],[IMPORTE NETO]]*0.21</f>
        <v>0</v>
      </c>
      <c r="J799" s="141"/>
      <c r="K799" s="141"/>
      <c r="L799" s="141"/>
      <c r="M799" s="59"/>
    </row>
    <row r="800" spans="2:13">
      <c r="B800" s="135"/>
      <c r="C800" s="136"/>
      <c r="D800" s="137"/>
      <c r="E800" s="138"/>
      <c r="F800" s="139"/>
      <c r="G800" s="1" t="str">
        <f>IFERROR(IF(ventas_b_mes1[[#This Row],[CUIT]]="","-",VLOOKUP(ventas_b_mes1[[#This Row],[CUIT]],Lista_CUIT[#All],2,0)),"CUIT NO CARGADO")</f>
        <v>-</v>
      </c>
      <c r="H800" s="64">
        <f>ventas_b_mes1[[#This Row],[TOTAL]]/1.21</f>
        <v>0</v>
      </c>
      <c r="I800" s="140">
        <f>ventas_b_mes1[[#This Row],[IMPORTE NETO]]*0.21</f>
        <v>0</v>
      </c>
      <c r="J800" s="141"/>
      <c r="K800" s="141"/>
      <c r="L800" s="141"/>
      <c r="M800" s="59"/>
    </row>
    <row r="801" spans="2:13">
      <c r="B801" s="135"/>
      <c r="C801" s="136"/>
      <c r="D801" s="137"/>
      <c r="E801" s="138"/>
      <c r="F801" s="139"/>
      <c r="G801" s="1" t="str">
        <f>IFERROR(IF(ventas_b_mes1[[#This Row],[CUIT]]="","-",VLOOKUP(ventas_b_mes1[[#This Row],[CUIT]],Lista_CUIT[#All],2,0)),"CUIT NO CARGADO")</f>
        <v>-</v>
      </c>
      <c r="H801" s="64">
        <f>ventas_b_mes1[[#This Row],[TOTAL]]/1.21</f>
        <v>0</v>
      </c>
      <c r="I801" s="140">
        <f>ventas_b_mes1[[#This Row],[IMPORTE NETO]]*0.21</f>
        <v>0</v>
      </c>
      <c r="J801" s="141"/>
      <c r="K801" s="141"/>
      <c r="L801" s="141"/>
      <c r="M801" s="59"/>
    </row>
    <row r="802" spans="2:13">
      <c r="B802" s="135"/>
      <c r="C802" s="136"/>
      <c r="D802" s="137"/>
      <c r="E802" s="138"/>
      <c r="F802" s="139"/>
      <c r="G802" s="1" t="str">
        <f>IFERROR(IF(ventas_b_mes1[[#This Row],[CUIT]]="","-",VLOOKUP(ventas_b_mes1[[#This Row],[CUIT]],Lista_CUIT[#All],2,0)),"CUIT NO CARGADO")</f>
        <v>-</v>
      </c>
      <c r="H802" s="64">
        <f>ventas_b_mes1[[#This Row],[TOTAL]]/1.21</f>
        <v>0</v>
      </c>
      <c r="I802" s="140">
        <f>ventas_b_mes1[[#This Row],[IMPORTE NETO]]*0.21</f>
        <v>0</v>
      </c>
      <c r="J802" s="141"/>
      <c r="K802" s="141"/>
      <c r="L802" s="141"/>
      <c r="M802" s="59"/>
    </row>
    <row r="803" spans="2:13">
      <c r="B803" s="135"/>
      <c r="C803" s="136"/>
      <c r="D803" s="137"/>
      <c r="E803" s="138"/>
      <c r="F803" s="139"/>
      <c r="G803" s="1" t="str">
        <f>IFERROR(IF(ventas_b_mes1[[#This Row],[CUIT]]="","-",VLOOKUP(ventas_b_mes1[[#This Row],[CUIT]],Lista_CUIT[#All],2,0)),"CUIT NO CARGADO")</f>
        <v>-</v>
      </c>
      <c r="H803" s="64">
        <f>ventas_b_mes1[[#This Row],[TOTAL]]/1.21</f>
        <v>0</v>
      </c>
      <c r="I803" s="140">
        <f>ventas_b_mes1[[#This Row],[IMPORTE NETO]]*0.21</f>
        <v>0</v>
      </c>
      <c r="J803" s="141"/>
      <c r="K803" s="141"/>
      <c r="L803" s="141"/>
      <c r="M803" s="59"/>
    </row>
    <row r="804" spans="2:13">
      <c r="B804" s="135"/>
      <c r="C804" s="136"/>
      <c r="D804" s="137"/>
      <c r="E804" s="138"/>
      <c r="F804" s="139"/>
      <c r="G804" s="1" t="str">
        <f>IFERROR(IF(ventas_b_mes1[[#This Row],[CUIT]]="","-",VLOOKUP(ventas_b_mes1[[#This Row],[CUIT]],Lista_CUIT[#All],2,0)),"CUIT NO CARGADO")</f>
        <v>-</v>
      </c>
      <c r="H804" s="64">
        <f>ventas_b_mes1[[#This Row],[TOTAL]]/1.21</f>
        <v>0</v>
      </c>
      <c r="I804" s="140">
        <f>ventas_b_mes1[[#This Row],[IMPORTE NETO]]*0.21</f>
        <v>0</v>
      </c>
      <c r="J804" s="141"/>
      <c r="K804" s="141"/>
      <c r="L804" s="141"/>
      <c r="M804" s="59"/>
    </row>
    <row r="805" spans="2:13">
      <c r="B805" s="135"/>
      <c r="C805" s="136"/>
      <c r="D805" s="137"/>
      <c r="E805" s="138"/>
      <c r="F805" s="139"/>
      <c r="G805" s="1" t="str">
        <f>IFERROR(IF(ventas_b_mes1[[#This Row],[CUIT]]="","-",VLOOKUP(ventas_b_mes1[[#This Row],[CUIT]],Lista_CUIT[#All],2,0)),"CUIT NO CARGADO")</f>
        <v>-</v>
      </c>
      <c r="H805" s="64">
        <f>ventas_b_mes1[[#This Row],[TOTAL]]/1.21</f>
        <v>0</v>
      </c>
      <c r="I805" s="140">
        <f>ventas_b_mes1[[#This Row],[IMPORTE NETO]]*0.21</f>
        <v>0</v>
      </c>
      <c r="J805" s="141"/>
      <c r="K805" s="141"/>
      <c r="L805" s="141"/>
      <c r="M805" s="59"/>
    </row>
    <row r="806" spans="2:13">
      <c r="B806" s="135"/>
      <c r="C806" s="136"/>
      <c r="D806" s="137"/>
      <c r="E806" s="138"/>
      <c r="F806" s="139"/>
      <c r="G806" s="1" t="str">
        <f>IFERROR(IF(ventas_b_mes1[[#This Row],[CUIT]]="","-",VLOOKUP(ventas_b_mes1[[#This Row],[CUIT]],Lista_CUIT[#All],2,0)),"CUIT NO CARGADO")</f>
        <v>-</v>
      </c>
      <c r="H806" s="64">
        <f>ventas_b_mes1[[#This Row],[TOTAL]]/1.21</f>
        <v>0</v>
      </c>
      <c r="I806" s="140">
        <f>ventas_b_mes1[[#This Row],[IMPORTE NETO]]*0.21</f>
        <v>0</v>
      </c>
      <c r="J806" s="141"/>
      <c r="K806" s="141"/>
      <c r="L806" s="141"/>
      <c r="M806" s="59"/>
    </row>
    <row r="807" spans="2:13">
      <c r="B807" s="135"/>
      <c r="C807" s="136"/>
      <c r="D807" s="137"/>
      <c r="E807" s="138"/>
      <c r="F807" s="139"/>
      <c r="G807" s="1" t="str">
        <f>IFERROR(IF(ventas_b_mes1[[#This Row],[CUIT]]="","-",VLOOKUP(ventas_b_mes1[[#This Row],[CUIT]],Lista_CUIT[#All],2,0)),"CUIT NO CARGADO")</f>
        <v>-</v>
      </c>
      <c r="H807" s="64">
        <f>ventas_b_mes1[[#This Row],[TOTAL]]/1.21</f>
        <v>0</v>
      </c>
      <c r="I807" s="140">
        <f>ventas_b_mes1[[#This Row],[IMPORTE NETO]]*0.21</f>
        <v>0</v>
      </c>
      <c r="J807" s="141"/>
      <c r="K807" s="141"/>
      <c r="L807" s="141"/>
      <c r="M807" s="59"/>
    </row>
    <row r="808" spans="2:13">
      <c r="B808" s="135"/>
      <c r="C808" s="136"/>
      <c r="D808" s="137"/>
      <c r="E808" s="138"/>
      <c r="F808" s="139"/>
      <c r="G808" s="1" t="str">
        <f>IFERROR(IF(ventas_b_mes1[[#This Row],[CUIT]]="","-",VLOOKUP(ventas_b_mes1[[#This Row],[CUIT]],Lista_CUIT[#All],2,0)),"CUIT NO CARGADO")</f>
        <v>-</v>
      </c>
      <c r="H808" s="64">
        <f>ventas_b_mes1[[#This Row],[TOTAL]]/1.21</f>
        <v>0</v>
      </c>
      <c r="I808" s="140">
        <f>ventas_b_mes1[[#This Row],[IMPORTE NETO]]*0.21</f>
        <v>0</v>
      </c>
      <c r="J808" s="141"/>
      <c r="K808" s="141"/>
      <c r="L808" s="141"/>
      <c r="M808" s="59"/>
    </row>
    <row r="809" spans="2:13">
      <c r="B809" s="135"/>
      <c r="C809" s="136"/>
      <c r="D809" s="137"/>
      <c r="E809" s="138"/>
      <c r="F809" s="139"/>
      <c r="G809" s="1" t="str">
        <f>IFERROR(IF(ventas_b_mes1[[#This Row],[CUIT]]="","-",VLOOKUP(ventas_b_mes1[[#This Row],[CUIT]],Lista_CUIT[#All],2,0)),"CUIT NO CARGADO")</f>
        <v>-</v>
      </c>
      <c r="H809" s="64">
        <f>ventas_b_mes1[[#This Row],[TOTAL]]/1.21</f>
        <v>0</v>
      </c>
      <c r="I809" s="140">
        <f>ventas_b_mes1[[#This Row],[IMPORTE NETO]]*0.21</f>
        <v>0</v>
      </c>
      <c r="J809" s="141"/>
      <c r="K809" s="141"/>
      <c r="L809" s="141"/>
      <c r="M809" s="59"/>
    </row>
    <row r="810" spans="2:13">
      <c r="B810" s="135"/>
      <c r="C810" s="136"/>
      <c r="D810" s="137"/>
      <c r="E810" s="138"/>
      <c r="F810" s="139"/>
      <c r="G810" s="1" t="str">
        <f>IFERROR(IF(ventas_b_mes1[[#This Row],[CUIT]]="","-",VLOOKUP(ventas_b_mes1[[#This Row],[CUIT]],Lista_CUIT[#All],2,0)),"CUIT NO CARGADO")</f>
        <v>-</v>
      </c>
      <c r="H810" s="64">
        <f>ventas_b_mes1[[#This Row],[TOTAL]]/1.21</f>
        <v>0</v>
      </c>
      <c r="I810" s="140">
        <f>ventas_b_mes1[[#This Row],[IMPORTE NETO]]*0.21</f>
        <v>0</v>
      </c>
      <c r="J810" s="141"/>
      <c r="K810" s="141"/>
      <c r="L810" s="141"/>
      <c r="M810" s="59"/>
    </row>
    <row r="811" spans="2:13">
      <c r="B811" s="135"/>
      <c r="C811" s="136"/>
      <c r="D811" s="137"/>
      <c r="E811" s="138"/>
      <c r="F811" s="139"/>
      <c r="G811" s="1" t="str">
        <f>IFERROR(IF(ventas_b_mes1[[#This Row],[CUIT]]="","-",VLOOKUP(ventas_b_mes1[[#This Row],[CUIT]],Lista_CUIT[#All],2,0)),"CUIT NO CARGADO")</f>
        <v>-</v>
      </c>
      <c r="H811" s="64">
        <f>ventas_b_mes1[[#This Row],[TOTAL]]/1.21</f>
        <v>0</v>
      </c>
      <c r="I811" s="140">
        <f>ventas_b_mes1[[#This Row],[IMPORTE NETO]]*0.21</f>
        <v>0</v>
      </c>
      <c r="J811" s="141"/>
      <c r="K811" s="141"/>
      <c r="L811" s="141"/>
      <c r="M811" s="59"/>
    </row>
    <row r="812" spans="2:13">
      <c r="B812" s="135"/>
      <c r="C812" s="136"/>
      <c r="D812" s="137"/>
      <c r="E812" s="138"/>
      <c r="F812" s="139"/>
      <c r="G812" s="1" t="str">
        <f>IFERROR(IF(ventas_b_mes1[[#This Row],[CUIT]]="","-",VLOOKUP(ventas_b_mes1[[#This Row],[CUIT]],Lista_CUIT[#All],2,0)),"CUIT NO CARGADO")</f>
        <v>-</v>
      </c>
      <c r="H812" s="64">
        <f>ventas_b_mes1[[#This Row],[TOTAL]]/1.21</f>
        <v>0</v>
      </c>
      <c r="I812" s="140">
        <f>ventas_b_mes1[[#This Row],[IMPORTE NETO]]*0.21</f>
        <v>0</v>
      </c>
      <c r="J812" s="141"/>
      <c r="K812" s="141"/>
      <c r="L812" s="141"/>
      <c r="M812" s="59"/>
    </row>
    <row r="813" spans="2:13">
      <c r="B813" s="135"/>
      <c r="C813" s="136"/>
      <c r="D813" s="137"/>
      <c r="E813" s="138"/>
      <c r="F813" s="139"/>
      <c r="G813" s="1" t="str">
        <f>IFERROR(IF(ventas_b_mes1[[#This Row],[CUIT]]="","-",VLOOKUP(ventas_b_mes1[[#This Row],[CUIT]],Lista_CUIT[#All],2,0)),"CUIT NO CARGADO")</f>
        <v>-</v>
      </c>
      <c r="H813" s="64">
        <f>ventas_b_mes1[[#This Row],[TOTAL]]/1.21</f>
        <v>0</v>
      </c>
      <c r="I813" s="140">
        <f>ventas_b_mes1[[#This Row],[IMPORTE NETO]]*0.21</f>
        <v>0</v>
      </c>
      <c r="J813" s="141"/>
      <c r="K813" s="141"/>
      <c r="L813" s="141"/>
      <c r="M813" s="59"/>
    </row>
    <row r="814" spans="2:13">
      <c r="B814" s="135"/>
      <c r="C814" s="136"/>
      <c r="D814" s="137"/>
      <c r="E814" s="138"/>
      <c r="F814" s="139"/>
      <c r="G814" s="1" t="str">
        <f>IFERROR(IF(ventas_b_mes1[[#This Row],[CUIT]]="","-",VLOOKUP(ventas_b_mes1[[#This Row],[CUIT]],Lista_CUIT[#All],2,0)),"CUIT NO CARGADO")</f>
        <v>-</v>
      </c>
      <c r="H814" s="64">
        <f>ventas_b_mes1[[#This Row],[TOTAL]]/1.21</f>
        <v>0</v>
      </c>
      <c r="I814" s="140">
        <f>ventas_b_mes1[[#This Row],[IMPORTE NETO]]*0.21</f>
        <v>0</v>
      </c>
      <c r="J814" s="141"/>
      <c r="K814" s="141"/>
      <c r="L814" s="141"/>
      <c r="M814" s="59"/>
    </row>
    <row r="815" spans="2:13">
      <c r="B815" s="135"/>
      <c r="C815" s="136"/>
      <c r="D815" s="137"/>
      <c r="E815" s="138"/>
      <c r="F815" s="139"/>
      <c r="G815" s="1" t="str">
        <f>IFERROR(IF(ventas_b_mes1[[#This Row],[CUIT]]="","-",VLOOKUP(ventas_b_mes1[[#This Row],[CUIT]],Lista_CUIT[#All],2,0)),"CUIT NO CARGADO")</f>
        <v>-</v>
      </c>
      <c r="H815" s="64">
        <f>ventas_b_mes1[[#This Row],[TOTAL]]/1.21</f>
        <v>0</v>
      </c>
      <c r="I815" s="140">
        <f>ventas_b_mes1[[#This Row],[IMPORTE NETO]]*0.21</f>
        <v>0</v>
      </c>
      <c r="J815" s="141"/>
      <c r="K815" s="141"/>
      <c r="L815" s="141"/>
      <c r="M815" s="59"/>
    </row>
    <row r="816" spans="2:13">
      <c r="B816" s="135"/>
      <c r="C816" s="136"/>
      <c r="D816" s="137"/>
      <c r="E816" s="138"/>
      <c r="F816" s="139"/>
      <c r="G816" s="1" t="str">
        <f>IFERROR(IF(ventas_b_mes1[[#This Row],[CUIT]]="","-",VLOOKUP(ventas_b_mes1[[#This Row],[CUIT]],Lista_CUIT[#All],2,0)),"CUIT NO CARGADO")</f>
        <v>-</v>
      </c>
      <c r="H816" s="64">
        <f>ventas_b_mes1[[#This Row],[TOTAL]]/1.21</f>
        <v>0</v>
      </c>
      <c r="I816" s="140">
        <f>ventas_b_mes1[[#This Row],[IMPORTE NETO]]*0.21</f>
        <v>0</v>
      </c>
      <c r="J816" s="141"/>
      <c r="K816" s="141"/>
      <c r="L816" s="141"/>
      <c r="M816" s="59"/>
    </row>
    <row r="817" spans="2:13">
      <c r="B817" s="135"/>
      <c r="C817" s="136"/>
      <c r="D817" s="137"/>
      <c r="E817" s="138"/>
      <c r="F817" s="139"/>
      <c r="G817" s="1" t="str">
        <f>IFERROR(IF(ventas_b_mes1[[#This Row],[CUIT]]="","-",VLOOKUP(ventas_b_mes1[[#This Row],[CUIT]],Lista_CUIT[#All],2,0)),"CUIT NO CARGADO")</f>
        <v>-</v>
      </c>
      <c r="H817" s="64">
        <f>ventas_b_mes1[[#This Row],[TOTAL]]/1.21</f>
        <v>0</v>
      </c>
      <c r="I817" s="140">
        <f>ventas_b_mes1[[#This Row],[IMPORTE NETO]]*0.21</f>
        <v>0</v>
      </c>
      <c r="J817" s="141"/>
      <c r="K817" s="141"/>
      <c r="L817" s="141"/>
      <c r="M817" s="59"/>
    </row>
    <row r="818" spans="2:13">
      <c r="B818" s="135"/>
      <c r="C818" s="136"/>
      <c r="D818" s="137"/>
      <c r="E818" s="138"/>
      <c r="F818" s="139"/>
      <c r="G818" s="1" t="str">
        <f>IFERROR(IF(ventas_b_mes1[[#This Row],[CUIT]]="","-",VLOOKUP(ventas_b_mes1[[#This Row],[CUIT]],Lista_CUIT[#All],2,0)),"CUIT NO CARGADO")</f>
        <v>-</v>
      </c>
      <c r="H818" s="64">
        <f>ventas_b_mes1[[#This Row],[TOTAL]]/1.21</f>
        <v>0</v>
      </c>
      <c r="I818" s="140">
        <f>ventas_b_mes1[[#This Row],[IMPORTE NETO]]*0.21</f>
        <v>0</v>
      </c>
      <c r="J818" s="141"/>
      <c r="K818" s="141"/>
      <c r="L818" s="141"/>
      <c r="M818" s="59"/>
    </row>
    <row r="819" spans="2:13">
      <c r="B819" s="135"/>
      <c r="C819" s="136"/>
      <c r="D819" s="137"/>
      <c r="E819" s="138"/>
      <c r="F819" s="139"/>
      <c r="G819" s="1" t="str">
        <f>IFERROR(IF(ventas_b_mes1[[#This Row],[CUIT]]="","-",VLOOKUP(ventas_b_mes1[[#This Row],[CUIT]],Lista_CUIT[#All],2,0)),"CUIT NO CARGADO")</f>
        <v>-</v>
      </c>
      <c r="H819" s="64">
        <f>ventas_b_mes1[[#This Row],[TOTAL]]/1.21</f>
        <v>0</v>
      </c>
      <c r="I819" s="140">
        <f>ventas_b_mes1[[#This Row],[IMPORTE NETO]]*0.21</f>
        <v>0</v>
      </c>
      <c r="J819" s="141"/>
      <c r="K819" s="141"/>
      <c r="L819" s="141"/>
      <c r="M819" s="59"/>
    </row>
    <row r="820" spans="2:13">
      <c r="B820" s="135"/>
      <c r="C820" s="136"/>
      <c r="D820" s="137"/>
      <c r="E820" s="138"/>
      <c r="F820" s="139"/>
      <c r="G820" s="1" t="str">
        <f>IFERROR(IF(ventas_b_mes1[[#This Row],[CUIT]]="","-",VLOOKUP(ventas_b_mes1[[#This Row],[CUIT]],Lista_CUIT[#All],2,0)),"CUIT NO CARGADO")</f>
        <v>-</v>
      </c>
      <c r="H820" s="64">
        <f>ventas_b_mes1[[#This Row],[TOTAL]]/1.21</f>
        <v>0</v>
      </c>
      <c r="I820" s="140">
        <f>ventas_b_mes1[[#This Row],[IMPORTE NETO]]*0.21</f>
        <v>0</v>
      </c>
      <c r="J820" s="141"/>
      <c r="K820" s="141"/>
      <c r="L820" s="141"/>
      <c r="M820" s="59"/>
    </row>
    <row r="821" spans="2:13">
      <c r="B821" s="135"/>
      <c r="C821" s="136"/>
      <c r="D821" s="137"/>
      <c r="E821" s="138"/>
      <c r="F821" s="139"/>
      <c r="G821" s="1" t="str">
        <f>IFERROR(IF(ventas_b_mes1[[#This Row],[CUIT]]="","-",VLOOKUP(ventas_b_mes1[[#This Row],[CUIT]],Lista_CUIT[#All],2,0)),"CUIT NO CARGADO")</f>
        <v>-</v>
      </c>
      <c r="H821" s="64">
        <f>ventas_b_mes1[[#This Row],[TOTAL]]/1.21</f>
        <v>0</v>
      </c>
      <c r="I821" s="140">
        <f>ventas_b_mes1[[#This Row],[IMPORTE NETO]]*0.21</f>
        <v>0</v>
      </c>
      <c r="J821" s="141"/>
      <c r="K821" s="141"/>
      <c r="L821" s="141"/>
      <c r="M821" s="59"/>
    </row>
    <row r="822" spans="2:13">
      <c r="B822" s="135"/>
      <c r="C822" s="136"/>
      <c r="D822" s="137"/>
      <c r="E822" s="138"/>
      <c r="F822" s="139"/>
      <c r="G822" s="1" t="str">
        <f>IFERROR(IF(ventas_b_mes1[[#This Row],[CUIT]]="","-",VLOOKUP(ventas_b_mes1[[#This Row],[CUIT]],Lista_CUIT[#All],2,0)),"CUIT NO CARGADO")</f>
        <v>-</v>
      </c>
      <c r="H822" s="64">
        <f>ventas_b_mes1[[#This Row],[TOTAL]]/1.21</f>
        <v>0</v>
      </c>
      <c r="I822" s="140">
        <f>ventas_b_mes1[[#This Row],[IMPORTE NETO]]*0.21</f>
        <v>0</v>
      </c>
      <c r="J822" s="141"/>
      <c r="K822" s="141"/>
      <c r="L822" s="141"/>
      <c r="M822" s="59"/>
    </row>
    <row r="823" spans="2:13">
      <c r="B823" s="135"/>
      <c r="C823" s="136"/>
      <c r="D823" s="137"/>
      <c r="E823" s="138"/>
      <c r="F823" s="139"/>
      <c r="G823" s="1" t="str">
        <f>IFERROR(IF(ventas_b_mes1[[#This Row],[CUIT]]="","-",VLOOKUP(ventas_b_mes1[[#This Row],[CUIT]],Lista_CUIT[#All],2,0)),"CUIT NO CARGADO")</f>
        <v>-</v>
      </c>
      <c r="H823" s="64">
        <f>ventas_b_mes1[[#This Row],[TOTAL]]/1.21</f>
        <v>0</v>
      </c>
      <c r="I823" s="140">
        <f>ventas_b_mes1[[#This Row],[IMPORTE NETO]]*0.21</f>
        <v>0</v>
      </c>
      <c r="J823" s="141"/>
      <c r="K823" s="141"/>
      <c r="L823" s="141"/>
      <c r="M823" s="59"/>
    </row>
    <row r="824" spans="2:13">
      <c r="B824" s="135"/>
      <c r="C824" s="136"/>
      <c r="D824" s="137"/>
      <c r="E824" s="138"/>
      <c r="F824" s="139"/>
      <c r="G824" s="1" t="str">
        <f>IFERROR(IF(ventas_b_mes1[[#This Row],[CUIT]]="","-",VLOOKUP(ventas_b_mes1[[#This Row],[CUIT]],Lista_CUIT[#All],2,0)),"CUIT NO CARGADO")</f>
        <v>-</v>
      </c>
      <c r="H824" s="64">
        <f>ventas_b_mes1[[#This Row],[TOTAL]]/1.21</f>
        <v>0</v>
      </c>
      <c r="I824" s="140">
        <f>ventas_b_mes1[[#This Row],[IMPORTE NETO]]*0.21</f>
        <v>0</v>
      </c>
      <c r="J824" s="141"/>
      <c r="K824" s="141"/>
      <c r="L824" s="141"/>
      <c r="M824" s="59"/>
    </row>
    <row r="825" spans="2:13">
      <c r="B825" s="135"/>
      <c r="C825" s="136"/>
      <c r="D825" s="137"/>
      <c r="E825" s="138"/>
      <c r="F825" s="139"/>
      <c r="G825" s="1" t="str">
        <f>IFERROR(IF(ventas_b_mes1[[#This Row],[CUIT]]="","-",VLOOKUP(ventas_b_mes1[[#This Row],[CUIT]],Lista_CUIT[#All],2,0)),"CUIT NO CARGADO")</f>
        <v>-</v>
      </c>
      <c r="H825" s="64">
        <f>ventas_b_mes1[[#This Row],[TOTAL]]/1.21</f>
        <v>0</v>
      </c>
      <c r="I825" s="140">
        <f>ventas_b_mes1[[#This Row],[IMPORTE NETO]]*0.21</f>
        <v>0</v>
      </c>
      <c r="J825" s="141"/>
      <c r="K825" s="141"/>
      <c r="L825" s="141"/>
      <c r="M825" s="59"/>
    </row>
    <row r="826" spans="2:13">
      <c r="B826" s="135"/>
      <c r="C826" s="136"/>
      <c r="D826" s="137"/>
      <c r="E826" s="138"/>
      <c r="F826" s="139"/>
      <c r="G826" s="1" t="str">
        <f>IFERROR(IF(ventas_b_mes1[[#This Row],[CUIT]]="","-",VLOOKUP(ventas_b_mes1[[#This Row],[CUIT]],Lista_CUIT[#All],2,0)),"CUIT NO CARGADO")</f>
        <v>-</v>
      </c>
      <c r="H826" s="64">
        <f>ventas_b_mes1[[#This Row],[TOTAL]]/1.21</f>
        <v>0</v>
      </c>
      <c r="I826" s="140">
        <f>ventas_b_mes1[[#This Row],[IMPORTE NETO]]*0.21</f>
        <v>0</v>
      </c>
      <c r="J826" s="141"/>
      <c r="K826" s="141"/>
      <c r="L826" s="141"/>
      <c r="M826" s="59"/>
    </row>
    <row r="827" spans="2:13">
      <c r="B827" s="135"/>
      <c r="C827" s="136"/>
      <c r="D827" s="137"/>
      <c r="E827" s="138"/>
      <c r="F827" s="139"/>
      <c r="G827" s="1" t="str">
        <f>IFERROR(IF(ventas_b_mes1[[#This Row],[CUIT]]="","-",VLOOKUP(ventas_b_mes1[[#This Row],[CUIT]],Lista_CUIT[#All],2,0)),"CUIT NO CARGADO")</f>
        <v>-</v>
      </c>
      <c r="H827" s="64">
        <f>ventas_b_mes1[[#This Row],[TOTAL]]/1.21</f>
        <v>0</v>
      </c>
      <c r="I827" s="140">
        <f>ventas_b_mes1[[#This Row],[IMPORTE NETO]]*0.21</f>
        <v>0</v>
      </c>
      <c r="J827" s="141"/>
      <c r="K827" s="141"/>
      <c r="L827" s="141"/>
      <c r="M827" s="59"/>
    </row>
    <row r="828" spans="2:13">
      <c r="B828" s="135"/>
      <c r="C828" s="136"/>
      <c r="D828" s="137"/>
      <c r="E828" s="138"/>
      <c r="F828" s="139"/>
      <c r="G828" s="1" t="str">
        <f>IFERROR(IF(ventas_b_mes1[[#This Row],[CUIT]]="","-",VLOOKUP(ventas_b_mes1[[#This Row],[CUIT]],Lista_CUIT[#All],2,0)),"CUIT NO CARGADO")</f>
        <v>-</v>
      </c>
      <c r="H828" s="64">
        <f>ventas_b_mes1[[#This Row],[TOTAL]]/1.21</f>
        <v>0</v>
      </c>
      <c r="I828" s="140">
        <f>ventas_b_mes1[[#This Row],[IMPORTE NETO]]*0.21</f>
        <v>0</v>
      </c>
      <c r="J828" s="141"/>
      <c r="K828" s="141"/>
      <c r="L828" s="141"/>
      <c r="M828" s="59"/>
    </row>
    <row r="829" spans="2:13">
      <c r="B829" s="135"/>
      <c r="C829" s="136"/>
      <c r="D829" s="137"/>
      <c r="E829" s="138"/>
      <c r="F829" s="139"/>
      <c r="G829" s="1" t="str">
        <f>IFERROR(IF(ventas_b_mes1[[#This Row],[CUIT]]="","-",VLOOKUP(ventas_b_mes1[[#This Row],[CUIT]],Lista_CUIT[#All],2,0)),"CUIT NO CARGADO")</f>
        <v>-</v>
      </c>
      <c r="H829" s="64">
        <f>ventas_b_mes1[[#This Row],[TOTAL]]/1.21</f>
        <v>0</v>
      </c>
      <c r="I829" s="140">
        <f>ventas_b_mes1[[#This Row],[IMPORTE NETO]]*0.21</f>
        <v>0</v>
      </c>
      <c r="J829" s="141"/>
      <c r="K829" s="141"/>
      <c r="L829" s="141"/>
      <c r="M829" s="59"/>
    </row>
    <row r="830" spans="2:13">
      <c r="B830" s="135"/>
      <c r="C830" s="136"/>
      <c r="D830" s="137"/>
      <c r="E830" s="138"/>
      <c r="F830" s="139"/>
      <c r="G830" s="1" t="str">
        <f>IFERROR(IF(ventas_b_mes1[[#This Row],[CUIT]]="","-",VLOOKUP(ventas_b_mes1[[#This Row],[CUIT]],Lista_CUIT[#All],2,0)),"CUIT NO CARGADO")</f>
        <v>-</v>
      </c>
      <c r="H830" s="64">
        <f>ventas_b_mes1[[#This Row],[TOTAL]]/1.21</f>
        <v>0</v>
      </c>
      <c r="I830" s="140">
        <f>ventas_b_mes1[[#This Row],[IMPORTE NETO]]*0.21</f>
        <v>0</v>
      </c>
      <c r="J830" s="141"/>
      <c r="K830" s="141"/>
      <c r="L830" s="141"/>
      <c r="M830" s="59"/>
    </row>
    <row r="831" spans="2:13">
      <c r="B831" s="135"/>
      <c r="C831" s="136"/>
      <c r="D831" s="137"/>
      <c r="E831" s="138"/>
      <c r="F831" s="139"/>
      <c r="G831" s="1" t="str">
        <f>IFERROR(IF(ventas_b_mes1[[#This Row],[CUIT]]="","-",VLOOKUP(ventas_b_mes1[[#This Row],[CUIT]],Lista_CUIT[#All],2,0)),"CUIT NO CARGADO")</f>
        <v>-</v>
      </c>
      <c r="H831" s="64">
        <f>ventas_b_mes1[[#This Row],[TOTAL]]/1.21</f>
        <v>0</v>
      </c>
      <c r="I831" s="140">
        <f>ventas_b_mes1[[#This Row],[IMPORTE NETO]]*0.21</f>
        <v>0</v>
      </c>
      <c r="J831" s="141"/>
      <c r="K831" s="141"/>
      <c r="L831" s="141"/>
      <c r="M831" s="59"/>
    </row>
    <row r="832" spans="2:13">
      <c r="B832" s="135"/>
      <c r="C832" s="136"/>
      <c r="D832" s="137"/>
      <c r="E832" s="138"/>
      <c r="F832" s="139"/>
      <c r="G832" s="1" t="str">
        <f>IFERROR(IF(ventas_b_mes1[[#This Row],[CUIT]]="","-",VLOOKUP(ventas_b_mes1[[#This Row],[CUIT]],Lista_CUIT[#All],2,0)),"CUIT NO CARGADO")</f>
        <v>-</v>
      </c>
      <c r="H832" s="64">
        <f>ventas_b_mes1[[#This Row],[TOTAL]]/1.21</f>
        <v>0</v>
      </c>
      <c r="I832" s="140">
        <f>ventas_b_mes1[[#This Row],[IMPORTE NETO]]*0.21</f>
        <v>0</v>
      </c>
      <c r="J832" s="141"/>
      <c r="K832" s="141"/>
      <c r="L832" s="141"/>
      <c r="M832" s="59"/>
    </row>
    <row r="833" spans="2:13">
      <c r="B833" s="135"/>
      <c r="C833" s="136"/>
      <c r="D833" s="137"/>
      <c r="E833" s="138"/>
      <c r="F833" s="139"/>
      <c r="G833" s="1" t="str">
        <f>IFERROR(IF(ventas_b_mes1[[#This Row],[CUIT]]="","-",VLOOKUP(ventas_b_mes1[[#This Row],[CUIT]],Lista_CUIT[#All],2,0)),"CUIT NO CARGADO")</f>
        <v>-</v>
      </c>
      <c r="H833" s="64">
        <f>ventas_b_mes1[[#This Row],[TOTAL]]/1.21</f>
        <v>0</v>
      </c>
      <c r="I833" s="140">
        <f>ventas_b_mes1[[#This Row],[IMPORTE NETO]]*0.21</f>
        <v>0</v>
      </c>
      <c r="J833" s="141"/>
      <c r="K833" s="141"/>
      <c r="L833" s="141"/>
      <c r="M833" s="59"/>
    </row>
    <row r="834" spans="2:13">
      <c r="B834" s="135"/>
      <c r="C834" s="136"/>
      <c r="D834" s="137"/>
      <c r="E834" s="138"/>
      <c r="F834" s="139"/>
      <c r="G834" s="1" t="str">
        <f>IFERROR(IF(ventas_b_mes1[[#This Row],[CUIT]]="","-",VLOOKUP(ventas_b_mes1[[#This Row],[CUIT]],Lista_CUIT[#All],2,0)),"CUIT NO CARGADO")</f>
        <v>-</v>
      </c>
      <c r="H834" s="64">
        <f>ventas_b_mes1[[#This Row],[TOTAL]]/1.21</f>
        <v>0</v>
      </c>
      <c r="I834" s="140">
        <f>ventas_b_mes1[[#This Row],[IMPORTE NETO]]*0.21</f>
        <v>0</v>
      </c>
      <c r="J834" s="141"/>
      <c r="K834" s="141"/>
      <c r="L834" s="141"/>
      <c r="M834" s="59"/>
    </row>
    <row r="835" spans="2:13">
      <c r="B835" s="135"/>
      <c r="C835" s="136"/>
      <c r="D835" s="137"/>
      <c r="E835" s="138"/>
      <c r="F835" s="139"/>
      <c r="G835" s="1" t="str">
        <f>IFERROR(IF(ventas_b_mes1[[#This Row],[CUIT]]="","-",VLOOKUP(ventas_b_mes1[[#This Row],[CUIT]],Lista_CUIT[#All],2,0)),"CUIT NO CARGADO")</f>
        <v>-</v>
      </c>
      <c r="H835" s="64">
        <f>ventas_b_mes1[[#This Row],[TOTAL]]/1.21</f>
        <v>0</v>
      </c>
      <c r="I835" s="140">
        <f>ventas_b_mes1[[#This Row],[IMPORTE NETO]]*0.21</f>
        <v>0</v>
      </c>
      <c r="J835" s="141"/>
      <c r="K835" s="141"/>
      <c r="L835" s="141"/>
      <c r="M835" s="59"/>
    </row>
    <row r="836" spans="2:13">
      <c r="B836" s="135"/>
      <c r="C836" s="136"/>
      <c r="D836" s="137"/>
      <c r="E836" s="138"/>
      <c r="F836" s="139"/>
      <c r="G836" s="1" t="str">
        <f>IFERROR(IF(ventas_b_mes1[[#This Row],[CUIT]]="","-",VLOOKUP(ventas_b_mes1[[#This Row],[CUIT]],Lista_CUIT[#All],2,0)),"CUIT NO CARGADO")</f>
        <v>-</v>
      </c>
      <c r="H836" s="64">
        <f>ventas_b_mes1[[#This Row],[TOTAL]]/1.21</f>
        <v>0</v>
      </c>
      <c r="I836" s="140">
        <f>ventas_b_mes1[[#This Row],[IMPORTE NETO]]*0.21</f>
        <v>0</v>
      </c>
      <c r="J836" s="141"/>
      <c r="K836" s="141"/>
      <c r="L836" s="141"/>
      <c r="M836" s="59"/>
    </row>
    <row r="837" spans="2:13">
      <c r="B837" s="135"/>
      <c r="C837" s="136"/>
      <c r="D837" s="137"/>
      <c r="E837" s="138"/>
      <c r="F837" s="139"/>
      <c r="G837" s="1" t="str">
        <f>IFERROR(IF(ventas_b_mes1[[#This Row],[CUIT]]="","-",VLOOKUP(ventas_b_mes1[[#This Row],[CUIT]],Lista_CUIT[#All],2,0)),"CUIT NO CARGADO")</f>
        <v>-</v>
      </c>
      <c r="H837" s="64">
        <f>ventas_b_mes1[[#This Row],[TOTAL]]/1.21</f>
        <v>0</v>
      </c>
      <c r="I837" s="140">
        <f>ventas_b_mes1[[#This Row],[IMPORTE NETO]]*0.21</f>
        <v>0</v>
      </c>
      <c r="J837" s="141"/>
      <c r="K837" s="141"/>
      <c r="L837" s="141"/>
      <c r="M837" s="59"/>
    </row>
    <row r="838" spans="2:13">
      <c r="B838" s="135"/>
      <c r="C838" s="136"/>
      <c r="D838" s="137"/>
      <c r="E838" s="138"/>
      <c r="F838" s="139"/>
      <c r="G838" s="1" t="str">
        <f>IFERROR(IF(ventas_b_mes1[[#This Row],[CUIT]]="","-",VLOOKUP(ventas_b_mes1[[#This Row],[CUIT]],Lista_CUIT[#All],2,0)),"CUIT NO CARGADO")</f>
        <v>-</v>
      </c>
      <c r="H838" s="64">
        <f>ventas_b_mes1[[#This Row],[TOTAL]]/1.21</f>
        <v>0</v>
      </c>
      <c r="I838" s="140">
        <f>ventas_b_mes1[[#This Row],[IMPORTE NETO]]*0.21</f>
        <v>0</v>
      </c>
      <c r="J838" s="141"/>
      <c r="K838" s="141"/>
      <c r="L838" s="141"/>
      <c r="M838" s="59"/>
    </row>
    <row r="839" spans="2:13">
      <c r="B839" s="135"/>
      <c r="C839" s="136"/>
      <c r="D839" s="137"/>
      <c r="E839" s="138"/>
      <c r="F839" s="139"/>
      <c r="G839" s="1" t="str">
        <f>IFERROR(IF(ventas_b_mes1[[#This Row],[CUIT]]="","-",VLOOKUP(ventas_b_mes1[[#This Row],[CUIT]],Lista_CUIT[#All],2,0)),"CUIT NO CARGADO")</f>
        <v>-</v>
      </c>
      <c r="H839" s="64">
        <f>ventas_b_mes1[[#This Row],[TOTAL]]/1.21</f>
        <v>0</v>
      </c>
      <c r="I839" s="140">
        <f>ventas_b_mes1[[#This Row],[IMPORTE NETO]]*0.21</f>
        <v>0</v>
      </c>
      <c r="J839" s="141"/>
      <c r="K839" s="141"/>
      <c r="L839" s="141"/>
      <c r="M839" s="59"/>
    </row>
    <row r="840" spans="2:13">
      <c r="B840" s="135"/>
      <c r="C840" s="136"/>
      <c r="D840" s="137"/>
      <c r="E840" s="138"/>
      <c r="F840" s="139"/>
      <c r="G840" s="1" t="str">
        <f>IFERROR(IF(ventas_b_mes1[[#This Row],[CUIT]]="","-",VLOOKUP(ventas_b_mes1[[#This Row],[CUIT]],Lista_CUIT[#All],2,0)),"CUIT NO CARGADO")</f>
        <v>-</v>
      </c>
      <c r="H840" s="64">
        <f>ventas_b_mes1[[#This Row],[TOTAL]]/1.21</f>
        <v>0</v>
      </c>
      <c r="I840" s="140">
        <f>ventas_b_mes1[[#This Row],[IMPORTE NETO]]*0.21</f>
        <v>0</v>
      </c>
      <c r="J840" s="141"/>
      <c r="K840" s="141"/>
      <c r="L840" s="141"/>
      <c r="M840" s="59"/>
    </row>
    <row r="841" spans="2:13">
      <c r="B841" s="135"/>
      <c r="C841" s="136"/>
      <c r="D841" s="137"/>
      <c r="E841" s="138"/>
      <c r="F841" s="139"/>
      <c r="G841" s="1" t="str">
        <f>IFERROR(IF(ventas_b_mes1[[#This Row],[CUIT]]="","-",VLOOKUP(ventas_b_mes1[[#This Row],[CUIT]],Lista_CUIT[#All],2,0)),"CUIT NO CARGADO")</f>
        <v>-</v>
      </c>
      <c r="H841" s="64">
        <f>ventas_b_mes1[[#This Row],[TOTAL]]/1.21</f>
        <v>0</v>
      </c>
      <c r="I841" s="140">
        <f>ventas_b_mes1[[#This Row],[IMPORTE NETO]]*0.21</f>
        <v>0</v>
      </c>
      <c r="J841" s="141"/>
      <c r="K841" s="141"/>
      <c r="L841" s="141"/>
      <c r="M841" s="59"/>
    </row>
    <row r="842" spans="2:13">
      <c r="B842" s="135"/>
      <c r="C842" s="136"/>
      <c r="D842" s="137"/>
      <c r="E842" s="138"/>
      <c r="F842" s="139"/>
      <c r="G842" s="1" t="str">
        <f>IFERROR(IF(ventas_b_mes1[[#This Row],[CUIT]]="","-",VLOOKUP(ventas_b_mes1[[#This Row],[CUIT]],Lista_CUIT[#All],2,0)),"CUIT NO CARGADO")</f>
        <v>-</v>
      </c>
      <c r="H842" s="64">
        <f>ventas_b_mes1[[#This Row],[TOTAL]]/1.21</f>
        <v>0</v>
      </c>
      <c r="I842" s="140">
        <f>ventas_b_mes1[[#This Row],[IMPORTE NETO]]*0.21</f>
        <v>0</v>
      </c>
      <c r="J842" s="141"/>
      <c r="K842" s="141"/>
      <c r="L842" s="141"/>
      <c r="M842" s="59"/>
    </row>
    <row r="843" spans="2:13">
      <c r="B843" s="135"/>
      <c r="C843" s="136"/>
      <c r="D843" s="137"/>
      <c r="E843" s="138"/>
      <c r="F843" s="139"/>
      <c r="G843" s="1" t="str">
        <f>IFERROR(IF(ventas_b_mes1[[#This Row],[CUIT]]="","-",VLOOKUP(ventas_b_mes1[[#This Row],[CUIT]],Lista_CUIT[#All],2,0)),"CUIT NO CARGADO")</f>
        <v>-</v>
      </c>
      <c r="H843" s="64">
        <f>ventas_b_mes1[[#This Row],[TOTAL]]/1.21</f>
        <v>0</v>
      </c>
      <c r="I843" s="140">
        <f>ventas_b_mes1[[#This Row],[IMPORTE NETO]]*0.21</f>
        <v>0</v>
      </c>
      <c r="J843" s="141"/>
      <c r="K843" s="141"/>
      <c r="L843" s="141"/>
      <c r="M843" s="59"/>
    </row>
    <row r="844" spans="2:13">
      <c r="B844" s="135"/>
      <c r="C844" s="136"/>
      <c r="D844" s="137"/>
      <c r="E844" s="138"/>
      <c r="F844" s="139"/>
      <c r="G844" s="1" t="str">
        <f>IFERROR(IF(ventas_b_mes1[[#This Row],[CUIT]]="","-",VLOOKUP(ventas_b_mes1[[#This Row],[CUIT]],Lista_CUIT[#All],2,0)),"CUIT NO CARGADO")</f>
        <v>-</v>
      </c>
      <c r="H844" s="64">
        <f>ventas_b_mes1[[#This Row],[TOTAL]]/1.21</f>
        <v>0</v>
      </c>
      <c r="I844" s="140">
        <f>ventas_b_mes1[[#This Row],[IMPORTE NETO]]*0.21</f>
        <v>0</v>
      </c>
      <c r="J844" s="141"/>
      <c r="K844" s="141"/>
      <c r="L844" s="141"/>
      <c r="M844" s="59"/>
    </row>
    <row r="845" spans="2:13">
      <c r="B845" s="135"/>
      <c r="C845" s="136"/>
      <c r="D845" s="137"/>
      <c r="E845" s="138"/>
      <c r="F845" s="139"/>
      <c r="G845" s="1" t="str">
        <f>IFERROR(IF(ventas_b_mes1[[#This Row],[CUIT]]="","-",VLOOKUP(ventas_b_mes1[[#This Row],[CUIT]],Lista_CUIT[#All],2,0)),"CUIT NO CARGADO")</f>
        <v>-</v>
      </c>
      <c r="H845" s="64">
        <f>ventas_b_mes1[[#This Row],[TOTAL]]/1.21</f>
        <v>0</v>
      </c>
      <c r="I845" s="140">
        <f>ventas_b_mes1[[#This Row],[IMPORTE NETO]]*0.21</f>
        <v>0</v>
      </c>
      <c r="J845" s="141"/>
      <c r="K845" s="141"/>
      <c r="L845" s="141"/>
      <c r="M845" s="59"/>
    </row>
    <row r="846" spans="2:13">
      <c r="B846" s="135"/>
      <c r="C846" s="136"/>
      <c r="D846" s="137"/>
      <c r="E846" s="138"/>
      <c r="F846" s="139"/>
      <c r="G846" s="1" t="str">
        <f>IFERROR(IF(ventas_b_mes1[[#This Row],[CUIT]]="","-",VLOOKUP(ventas_b_mes1[[#This Row],[CUIT]],Lista_CUIT[#All],2,0)),"CUIT NO CARGADO")</f>
        <v>-</v>
      </c>
      <c r="H846" s="64">
        <f>ventas_b_mes1[[#This Row],[TOTAL]]/1.21</f>
        <v>0</v>
      </c>
      <c r="I846" s="140">
        <f>ventas_b_mes1[[#This Row],[IMPORTE NETO]]*0.21</f>
        <v>0</v>
      </c>
      <c r="J846" s="141"/>
      <c r="K846" s="141"/>
      <c r="L846" s="141"/>
      <c r="M846" s="59"/>
    </row>
    <row r="847" spans="2:13">
      <c r="B847" s="135"/>
      <c r="C847" s="136"/>
      <c r="D847" s="137"/>
      <c r="E847" s="138"/>
      <c r="F847" s="139"/>
      <c r="G847" s="1" t="str">
        <f>IFERROR(IF(ventas_b_mes1[[#This Row],[CUIT]]="","-",VLOOKUP(ventas_b_mes1[[#This Row],[CUIT]],Lista_CUIT[#All],2,0)),"CUIT NO CARGADO")</f>
        <v>-</v>
      </c>
      <c r="H847" s="64">
        <f>ventas_b_mes1[[#This Row],[TOTAL]]/1.21</f>
        <v>0</v>
      </c>
      <c r="I847" s="140">
        <f>ventas_b_mes1[[#This Row],[IMPORTE NETO]]*0.21</f>
        <v>0</v>
      </c>
      <c r="J847" s="141"/>
      <c r="K847" s="141"/>
      <c r="L847" s="141"/>
      <c r="M847" s="59"/>
    </row>
    <row r="848" spans="2:13">
      <c r="B848" s="135"/>
      <c r="C848" s="136"/>
      <c r="D848" s="137"/>
      <c r="E848" s="138"/>
      <c r="F848" s="139"/>
      <c r="G848" s="1" t="str">
        <f>IFERROR(IF(ventas_b_mes1[[#This Row],[CUIT]]="","-",VLOOKUP(ventas_b_mes1[[#This Row],[CUIT]],Lista_CUIT[#All],2,0)),"CUIT NO CARGADO")</f>
        <v>-</v>
      </c>
      <c r="H848" s="64">
        <f>ventas_b_mes1[[#This Row],[TOTAL]]/1.21</f>
        <v>0</v>
      </c>
      <c r="I848" s="140">
        <f>ventas_b_mes1[[#This Row],[IMPORTE NETO]]*0.21</f>
        <v>0</v>
      </c>
      <c r="J848" s="141"/>
      <c r="K848" s="141"/>
      <c r="L848" s="141"/>
      <c r="M848" s="59"/>
    </row>
    <row r="849" spans="2:13">
      <c r="B849" s="135"/>
      <c r="C849" s="136"/>
      <c r="D849" s="137"/>
      <c r="E849" s="138"/>
      <c r="F849" s="139"/>
      <c r="G849" s="1" t="str">
        <f>IFERROR(IF(ventas_b_mes1[[#This Row],[CUIT]]="","-",VLOOKUP(ventas_b_mes1[[#This Row],[CUIT]],Lista_CUIT[#All],2,0)),"CUIT NO CARGADO")</f>
        <v>-</v>
      </c>
      <c r="H849" s="64">
        <f>ventas_b_mes1[[#This Row],[TOTAL]]/1.21</f>
        <v>0</v>
      </c>
      <c r="I849" s="140">
        <f>ventas_b_mes1[[#This Row],[IMPORTE NETO]]*0.21</f>
        <v>0</v>
      </c>
      <c r="J849" s="141"/>
      <c r="K849" s="141"/>
      <c r="L849" s="141"/>
      <c r="M849" s="59"/>
    </row>
    <row r="850" spans="2:13">
      <c r="B850" s="135"/>
      <c r="C850" s="136"/>
      <c r="D850" s="137"/>
      <c r="E850" s="138"/>
      <c r="F850" s="139"/>
      <c r="G850" s="1" t="str">
        <f>IFERROR(IF(ventas_b_mes1[[#This Row],[CUIT]]="","-",VLOOKUP(ventas_b_mes1[[#This Row],[CUIT]],Lista_CUIT[#All],2,0)),"CUIT NO CARGADO")</f>
        <v>-</v>
      </c>
      <c r="H850" s="64">
        <f>ventas_b_mes1[[#This Row],[TOTAL]]/1.21</f>
        <v>0</v>
      </c>
      <c r="I850" s="140">
        <f>ventas_b_mes1[[#This Row],[IMPORTE NETO]]*0.21</f>
        <v>0</v>
      </c>
      <c r="J850" s="141"/>
      <c r="K850" s="141"/>
      <c r="L850" s="141"/>
      <c r="M850" s="59"/>
    </row>
    <row r="851" spans="2:13">
      <c r="B851" s="135"/>
      <c r="C851" s="136"/>
      <c r="D851" s="137"/>
      <c r="E851" s="138"/>
      <c r="F851" s="139"/>
      <c r="G851" s="1" t="str">
        <f>IFERROR(IF(ventas_b_mes1[[#This Row],[CUIT]]="","-",VLOOKUP(ventas_b_mes1[[#This Row],[CUIT]],Lista_CUIT[#All],2,0)),"CUIT NO CARGADO")</f>
        <v>-</v>
      </c>
      <c r="H851" s="64">
        <f>ventas_b_mes1[[#This Row],[TOTAL]]/1.21</f>
        <v>0</v>
      </c>
      <c r="I851" s="140">
        <f>ventas_b_mes1[[#This Row],[IMPORTE NETO]]*0.21</f>
        <v>0</v>
      </c>
      <c r="J851" s="141"/>
      <c r="K851" s="141"/>
      <c r="L851" s="141"/>
      <c r="M851" s="59"/>
    </row>
    <row r="852" spans="2:13">
      <c r="B852" s="135"/>
      <c r="C852" s="136"/>
      <c r="D852" s="137"/>
      <c r="E852" s="138"/>
      <c r="F852" s="139"/>
      <c r="G852" s="1" t="str">
        <f>IFERROR(IF(ventas_b_mes1[[#This Row],[CUIT]]="","-",VLOOKUP(ventas_b_mes1[[#This Row],[CUIT]],Lista_CUIT[#All],2,0)),"CUIT NO CARGADO")</f>
        <v>-</v>
      </c>
      <c r="H852" s="64">
        <f>ventas_b_mes1[[#This Row],[TOTAL]]/1.21</f>
        <v>0</v>
      </c>
      <c r="I852" s="140">
        <f>ventas_b_mes1[[#This Row],[IMPORTE NETO]]*0.21</f>
        <v>0</v>
      </c>
      <c r="J852" s="141"/>
      <c r="K852" s="141"/>
      <c r="L852" s="141"/>
      <c r="M852" s="59"/>
    </row>
    <row r="853" spans="2:13">
      <c r="B853" s="135"/>
      <c r="C853" s="136"/>
      <c r="D853" s="137"/>
      <c r="E853" s="138"/>
      <c r="F853" s="139"/>
      <c r="G853" s="1" t="str">
        <f>IFERROR(IF(ventas_b_mes1[[#This Row],[CUIT]]="","-",VLOOKUP(ventas_b_mes1[[#This Row],[CUIT]],Lista_CUIT[#All],2,0)),"CUIT NO CARGADO")</f>
        <v>-</v>
      </c>
      <c r="H853" s="64">
        <f>ventas_b_mes1[[#This Row],[TOTAL]]/1.21</f>
        <v>0</v>
      </c>
      <c r="I853" s="140">
        <f>ventas_b_mes1[[#This Row],[IMPORTE NETO]]*0.21</f>
        <v>0</v>
      </c>
      <c r="J853" s="141"/>
      <c r="K853" s="141"/>
      <c r="L853" s="141"/>
      <c r="M853" s="59"/>
    </row>
    <row r="854" spans="2:13">
      <c r="B854" s="135"/>
      <c r="C854" s="136"/>
      <c r="D854" s="137"/>
      <c r="E854" s="138"/>
      <c r="F854" s="139"/>
      <c r="G854" s="1" t="str">
        <f>IFERROR(IF(ventas_b_mes1[[#This Row],[CUIT]]="","-",VLOOKUP(ventas_b_mes1[[#This Row],[CUIT]],Lista_CUIT[#All],2,0)),"CUIT NO CARGADO")</f>
        <v>-</v>
      </c>
      <c r="H854" s="64">
        <f>ventas_b_mes1[[#This Row],[TOTAL]]/1.21</f>
        <v>0</v>
      </c>
      <c r="I854" s="140">
        <f>ventas_b_mes1[[#This Row],[IMPORTE NETO]]*0.21</f>
        <v>0</v>
      </c>
      <c r="J854" s="141"/>
      <c r="K854" s="141"/>
      <c r="L854" s="141"/>
      <c r="M854" s="59"/>
    </row>
    <row r="855" spans="2:13">
      <c r="B855" s="135"/>
      <c r="C855" s="136"/>
      <c r="D855" s="137"/>
      <c r="E855" s="138"/>
      <c r="F855" s="139"/>
      <c r="G855" s="1" t="str">
        <f>IFERROR(IF(ventas_b_mes1[[#This Row],[CUIT]]="","-",VLOOKUP(ventas_b_mes1[[#This Row],[CUIT]],Lista_CUIT[#All],2,0)),"CUIT NO CARGADO")</f>
        <v>-</v>
      </c>
      <c r="H855" s="64">
        <f>ventas_b_mes1[[#This Row],[TOTAL]]/1.21</f>
        <v>0</v>
      </c>
      <c r="I855" s="140">
        <f>ventas_b_mes1[[#This Row],[IMPORTE NETO]]*0.21</f>
        <v>0</v>
      </c>
      <c r="J855" s="141"/>
      <c r="K855" s="141"/>
      <c r="L855" s="141"/>
      <c r="M855" s="59"/>
    </row>
    <row r="856" spans="2:13">
      <c r="B856" s="135"/>
      <c r="C856" s="136"/>
      <c r="D856" s="137"/>
      <c r="E856" s="138"/>
      <c r="F856" s="139"/>
      <c r="G856" s="1" t="str">
        <f>IFERROR(IF(ventas_b_mes1[[#This Row],[CUIT]]="","-",VLOOKUP(ventas_b_mes1[[#This Row],[CUIT]],Lista_CUIT[#All],2,0)),"CUIT NO CARGADO")</f>
        <v>-</v>
      </c>
      <c r="H856" s="64">
        <f>ventas_b_mes1[[#This Row],[TOTAL]]/1.21</f>
        <v>0</v>
      </c>
      <c r="I856" s="140">
        <f>ventas_b_mes1[[#This Row],[IMPORTE NETO]]*0.21</f>
        <v>0</v>
      </c>
      <c r="J856" s="141"/>
      <c r="K856" s="141"/>
      <c r="L856" s="141"/>
      <c r="M856" s="59"/>
    </row>
    <row r="857" spans="2:13">
      <c r="B857" s="135"/>
      <c r="C857" s="136"/>
      <c r="D857" s="137"/>
      <c r="E857" s="138"/>
      <c r="F857" s="139"/>
      <c r="G857" s="1" t="str">
        <f>IFERROR(IF(ventas_b_mes1[[#This Row],[CUIT]]="","-",VLOOKUP(ventas_b_mes1[[#This Row],[CUIT]],Lista_CUIT[#All],2,0)),"CUIT NO CARGADO")</f>
        <v>-</v>
      </c>
      <c r="H857" s="64">
        <f>ventas_b_mes1[[#This Row],[TOTAL]]/1.21</f>
        <v>0</v>
      </c>
      <c r="I857" s="140">
        <f>ventas_b_mes1[[#This Row],[IMPORTE NETO]]*0.21</f>
        <v>0</v>
      </c>
      <c r="J857" s="141"/>
      <c r="K857" s="141"/>
      <c r="L857" s="141"/>
      <c r="M857" s="59"/>
    </row>
    <row r="858" spans="2:13">
      <c r="B858" s="135"/>
      <c r="C858" s="136"/>
      <c r="D858" s="137"/>
      <c r="E858" s="138"/>
      <c r="F858" s="139"/>
      <c r="G858" s="1" t="str">
        <f>IFERROR(IF(ventas_b_mes1[[#This Row],[CUIT]]="","-",VLOOKUP(ventas_b_mes1[[#This Row],[CUIT]],Lista_CUIT[#All],2,0)),"CUIT NO CARGADO")</f>
        <v>-</v>
      </c>
      <c r="H858" s="64">
        <f>ventas_b_mes1[[#This Row],[TOTAL]]/1.21</f>
        <v>0</v>
      </c>
      <c r="I858" s="140">
        <f>ventas_b_mes1[[#This Row],[IMPORTE NETO]]*0.21</f>
        <v>0</v>
      </c>
      <c r="J858" s="141"/>
      <c r="K858" s="141"/>
      <c r="L858" s="141"/>
      <c r="M858" s="59"/>
    </row>
    <row r="859" spans="2:13">
      <c r="B859" s="135"/>
      <c r="C859" s="136"/>
      <c r="D859" s="137"/>
      <c r="E859" s="138"/>
      <c r="F859" s="139"/>
      <c r="G859" s="1" t="str">
        <f>IFERROR(IF(ventas_b_mes1[[#This Row],[CUIT]]="","-",VLOOKUP(ventas_b_mes1[[#This Row],[CUIT]],Lista_CUIT[#All],2,0)),"CUIT NO CARGADO")</f>
        <v>-</v>
      </c>
      <c r="H859" s="64">
        <f>ventas_b_mes1[[#This Row],[TOTAL]]/1.21</f>
        <v>0</v>
      </c>
      <c r="I859" s="140">
        <f>ventas_b_mes1[[#This Row],[IMPORTE NETO]]*0.21</f>
        <v>0</v>
      </c>
      <c r="J859" s="141"/>
      <c r="K859" s="141"/>
      <c r="L859" s="141"/>
      <c r="M859" s="59"/>
    </row>
    <row r="860" spans="2:13">
      <c r="B860" s="135"/>
      <c r="C860" s="136"/>
      <c r="D860" s="137"/>
      <c r="E860" s="138"/>
      <c r="F860" s="139"/>
      <c r="G860" s="1" t="str">
        <f>IFERROR(IF(ventas_b_mes1[[#This Row],[CUIT]]="","-",VLOOKUP(ventas_b_mes1[[#This Row],[CUIT]],Lista_CUIT[#All],2,0)),"CUIT NO CARGADO")</f>
        <v>-</v>
      </c>
      <c r="H860" s="64">
        <f>ventas_b_mes1[[#This Row],[TOTAL]]/1.21</f>
        <v>0</v>
      </c>
      <c r="I860" s="140">
        <f>ventas_b_mes1[[#This Row],[IMPORTE NETO]]*0.21</f>
        <v>0</v>
      </c>
      <c r="J860" s="141"/>
      <c r="K860" s="141"/>
      <c r="L860" s="141"/>
      <c r="M860" s="59"/>
    </row>
    <row r="861" spans="2:13">
      <c r="B861" s="135"/>
      <c r="C861" s="136"/>
      <c r="D861" s="137"/>
      <c r="E861" s="138"/>
      <c r="F861" s="139"/>
      <c r="G861" s="1" t="str">
        <f>IFERROR(IF(ventas_b_mes1[[#This Row],[CUIT]]="","-",VLOOKUP(ventas_b_mes1[[#This Row],[CUIT]],Lista_CUIT[#All],2,0)),"CUIT NO CARGADO")</f>
        <v>-</v>
      </c>
      <c r="H861" s="64">
        <f>ventas_b_mes1[[#This Row],[TOTAL]]/1.21</f>
        <v>0</v>
      </c>
      <c r="I861" s="140">
        <f>ventas_b_mes1[[#This Row],[IMPORTE NETO]]*0.21</f>
        <v>0</v>
      </c>
      <c r="J861" s="141"/>
      <c r="K861" s="141"/>
      <c r="L861" s="141"/>
      <c r="M861" s="59"/>
    </row>
    <row r="862" spans="2:13">
      <c r="B862" s="135"/>
      <c r="C862" s="136"/>
      <c r="D862" s="137"/>
      <c r="E862" s="138"/>
      <c r="F862" s="139"/>
      <c r="G862" s="1" t="str">
        <f>IFERROR(IF(ventas_b_mes1[[#This Row],[CUIT]]="","-",VLOOKUP(ventas_b_mes1[[#This Row],[CUIT]],Lista_CUIT[#All],2,0)),"CUIT NO CARGADO")</f>
        <v>-</v>
      </c>
      <c r="H862" s="64">
        <f>ventas_b_mes1[[#This Row],[TOTAL]]/1.21</f>
        <v>0</v>
      </c>
      <c r="I862" s="140">
        <f>ventas_b_mes1[[#This Row],[IMPORTE NETO]]*0.21</f>
        <v>0</v>
      </c>
      <c r="J862" s="141"/>
      <c r="K862" s="141"/>
      <c r="L862" s="141"/>
      <c r="M862" s="59"/>
    </row>
    <row r="863" spans="2:13">
      <c r="B863" s="135"/>
      <c r="C863" s="136"/>
      <c r="D863" s="137"/>
      <c r="E863" s="138"/>
      <c r="F863" s="139"/>
      <c r="G863" s="1" t="str">
        <f>IFERROR(IF(ventas_b_mes1[[#This Row],[CUIT]]="","-",VLOOKUP(ventas_b_mes1[[#This Row],[CUIT]],Lista_CUIT[#All],2,0)),"CUIT NO CARGADO")</f>
        <v>-</v>
      </c>
      <c r="H863" s="64">
        <f>ventas_b_mes1[[#This Row],[TOTAL]]/1.21</f>
        <v>0</v>
      </c>
      <c r="I863" s="140">
        <f>ventas_b_mes1[[#This Row],[IMPORTE NETO]]*0.21</f>
        <v>0</v>
      </c>
      <c r="J863" s="141"/>
      <c r="K863" s="141"/>
      <c r="L863" s="141"/>
      <c r="M863" s="59"/>
    </row>
    <row r="864" spans="2:13">
      <c r="B864" s="135"/>
      <c r="C864" s="136"/>
      <c r="D864" s="137"/>
      <c r="E864" s="138"/>
      <c r="F864" s="139"/>
      <c r="G864" s="1" t="str">
        <f>IFERROR(IF(ventas_b_mes1[[#This Row],[CUIT]]="","-",VLOOKUP(ventas_b_mes1[[#This Row],[CUIT]],Lista_CUIT[#All],2,0)),"CUIT NO CARGADO")</f>
        <v>-</v>
      </c>
      <c r="H864" s="64">
        <f>ventas_b_mes1[[#This Row],[TOTAL]]/1.21</f>
        <v>0</v>
      </c>
      <c r="I864" s="140">
        <f>ventas_b_mes1[[#This Row],[IMPORTE NETO]]*0.21</f>
        <v>0</v>
      </c>
      <c r="J864" s="141"/>
      <c r="K864" s="141"/>
      <c r="L864" s="141"/>
      <c r="M864" s="59"/>
    </row>
    <row r="865" spans="2:13">
      <c r="B865" s="135"/>
      <c r="C865" s="136"/>
      <c r="D865" s="137"/>
      <c r="E865" s="138"/>
      <c r="F865" s="139"/>
      <c r="G865" s="1" t="str">
        <f>IFERROR(IF(ventas_b_mes1[[#This Row],[CUIT]]="","-",VLOOKUP(ventas_b_mes1[[#This Row],[CUIT]],Lista_CUIT[#All],2,0)),"CUIT NO CARGADO")</f>
        <v>-</v>
      </c>
      <c r="H865" s="64">
        <f>ventas_b_mes1[[#This Row],[TOTAL]]/1.21</f>
        <v>0</v>
      </c>
      <c r="I865" s="140">
        <f>ventas_b_mes1[[#This Row],[IMPORTE NETO]]*0.21</f>
        <v>0</v>
      </c>
      <c r="J865" s="141"/>
      <c r="K865" s="141"/>
      <c r="L865" s="141"/>
      <c r="M865" s="59"/>
    </row>
    <row r="866" spans="2:13">
      <c r="B866" s="135"/>
      <c r="C866" s="136"/>
      <c r="D866" s="137"/>
      <c r="E866" s="138"/>
      <c r="F866" s="139"/>
      <c r="G866" s="1" t="str">
        <f>IFERROR(IF(ventas_b_mes1[[#This Row],[CUIT]]="","-",VLOOKUP(ventas_b_mes1[[#This Row],[CUIT]],Lista_CUIT[#All],2,0)),"CUIT NO CARGADO")</f>
        <v>-</v>
      </c>
      <c r="H866" s="64">
        <f>ventas_b_mes1[[#This Row],[TOTAL]]/1.21</f>
        <v>0</v>
      </c>
      <c r="I866" s="140">
        <f>ventas_b_mes1[[#This Row],[IMPORTE NETO]]*0.21</f>
        <v>0</v>
      </c>
      <c r="J866" s="141"/>
      <c r="K866" s="141"/>
      <c r="L866" s="141"/>
      <c r="M866" s="59"/>
    </row>
    <row r="867" spans="2:13">
      <c r="B867" s="135"/>
      <c r="C867" s="136"/>
      <c r="D867" s="137"/>
      <c r="E867" s="138"/>
      <c r="F867" s="139"/>
      <c r="G867" s="1" t="str">
        <f>IFERROR(IF(ventas_b_mes1[[#This Row],[CUIT]]="","-",VLOOKUP(ventas_b_mes1[[#This Row],[CUIT]],Lista_CUIT[#All],2,0)),"CUIT NO CARGADO")</f>
        <v>-</v>
      </c>
      <c r="H867" s="64">
        <f>ventas_b_mes1[[#This Row],[TOTAL]]/1.21</f>
        <v>0</v>
      </c>
      <c r="I867" s="140">
        <f>ventas_b_mes1[[#This Row],[IMPORTE NETO]]*0.21</f>
        <v>0</v>
      </c>
      <c r="J867" s="141"/>
      <c r="K867" s="141"/>
      <c r="L867" s="141"/>
      <c r="M867" s="59"/>
    </row>
    <row r="868" spans="2:13">
      <c r="B868" s="135"/>
      <c r="C868" s="136"/>
      <c r="D868" s="137"/>
      <c r="E868" s="138"/>
      <c r="F868" s="139"/>
      <c r="G868" s="1" t="str">
        <f>IFERROR(IF(ventas_b_mes1[[#This Row],[CUIT]]="","-",VLOOKUP(ventas_b_mes1[[#This Row],[CUIT]],Lista_CUIT[#All],2,0)),"CUIT NO CARGADO")</f>
        <v>-</v>
      </c>
      <c r="H868" s="64">
        <f>ventas_b_mes1[[#This Row],[TOTAL]]/1.21</f>
        <v>0</v>
      </c>
      <c r="I868" s="140">
        <f>ventas_b_mes1[[#This Row],[IMPORTE NETO]]*0.21</f>
        <v>0</v>
      </c>
      <c r="J868" s="141"/>
      <c r="K868" s="141"/>
      <c r="L868" s="141"/>
      <c r="M868" s="59"/>
    </row>
    <row r="869" spans="2:13">
      <c r="B869" s="135"/>
      <c r="C869" s="136"/>
      <c r="D869" s="137"/>
      <c r="E869" s="138"/>
      <c r="F869" s="139"/>
      <c r="G869" s="1" t="str">
        <f>IFERROR(IF(ventas_b_mes1[[#This Row],[CUIT]]="","-",VLOOKUP(ventas_b_mes1[[#This Row],[CUIT]],Lista_CUIT[#All],2,0)),"CUIT NO CARGADO")</f>
        <v>-</v>
      </c>
      <c r="H869" s="64">
        <f>ventas_b_mes1[[#This Row],[TOTAL]]/1.21</f>
        <v>0</v>
      </c>
      <c r="I869" s="140">
        <f>ventas_b_mes1[[#This Row],[IMPORTE NETO]]*0.21</f>
        <v>0</v>
      </c>
      <c r="J869" s="141"/>
      <c r="K869" s="141"/>
      <c r="L869" s="141"/>
      <c r="M869" s="59"/>
    </row>
    <row r="870" spans="2:13">
      <c r="B870" s="135"/>
      <c r="C870" s="136"/>
      <c r="D870" s="137"/>
      <c r="E870" s="138"/>
      <c r="F870" s="139"/>
      <c r="G870" s="1" t="str">
        <f>IFERROR(IF(ventas_b_mes1[[#This Row],[CUIT]]="","-",VLOOKUP(ventas_b_mes1[[#This Row],[CUIT]],Lista_CUIT[#All],2,0)),"CUIT NO CARGADO")</f>
        <v>-</v>
      </c>
      <c r="H870" s="64">
        <f>ventas_b_mes1[[#This Row],[TOTAL]]/1.21</f>
        <v>0</v>
      </c>
      <c r="I870" s="140">
        <f>ventas_b_mes1[[#This Row],[IMPORTE NETO]]*0.21</f>
        <v>0</v>
      </c>
      <c r="J870" s="141"/>
      <c r="K870" s="141"/>
      <c r="L870" s="141"/>
      <c r="M870" s="59"/>
    </row>
    <row r="871" spans="2:13">
      <c r="B871" s="135"/>
      <c r="C871" s="136"/>
      <c r="D871" s="137"/>
      <c r="E871" s="138"/>
      <c r="F871" s="139"/>
      <c r="G871" s="1" t="str">
        <f>IFERROR(IF(ventas_b_mes1[[#This Row],[CUIT]]="","-",VLOOKUP(ventas_b_mes1[[#This Row],[CUIT]],Lista_CUIT[#All],2,0)),"CUIT NO CARGADO")</f>
        <v>-</v>
      </c>
      <c r="H871" s="64">
        <f>ventas_b_mes1[[#This Row],[TOTAL]]/1.21</f>
        <v>0</v>
      </c>
      <c r="I871" s="140">
        <f>ventas_b_mes1[[#This Row],[IMPORTE NETO]]*0.21</f>
        <v>0</v>
      </c>
      <c r="J871" s="141"/>
      <c r="K871" s="141"/>
      <c r="L871" s="141"/>
      <c r="M871" s="59"/>
    </row>
    <row r="872" spans="2:13">
      <c r="B872" s="135"/>
      <c r="C872" s="136"/>
      <c r="D872" s="137"/>
      <c r="E872" s="138"/>
      <c r="F872" s="139"/>
      <c r="G872" s="1" t="str">
        <f>IFERROR(IF(ventas_b_mes1[[#This Row],[CUIT]]="","-",VLOOKUP(ventas_b_mes1[[#This Row],[CUIT]],Lista_CUIT[#All],2,0)),"CUIT NO CARGADO")</f>
        <v>-</v>
      </c>
      <c r="H872" s="64">
        <f>ventas_b_mes1[[#This Row],[TOTAL]]/1.21</f>
        <v>0</v>
      </c>
      <c r="I872" s="140">
        <f>ventas_b_mes1[[#This Row],[IMPORTE NETO]]*0.21</f>
        <v>0</v>
      </c>
      <c r="J872" s="141"/>
      <c r="K872" s="141"/>
      <c r="L872" s="141"/>
      <c r="M872" s="59"/>
    </row>
    <row r="873" spans="2:13">
      <c r="B873" s="135"/>
      <c r="C873" s="136"/>
      <c r="D873" s="137"/>
      <c r="E873" s="138"/>
      <c r="F873" s="139"/>
      <c r="G873" s="1" t="str">
        <f>IFERROR(IF(ventas_b_mes1[[#This Row],[CUIT]]="","-",VLOOKUP(ventas_b_mes1[[#This Row],[CUIT]],Lista_CUIT[#All],2,0)),"CUIT NO CARGADO")</f>
        <v>-</v>
      </c>
      <c r="H873" s="64">
        <f>ventas_b_mes1[[#This Row],[TOTAL]]/1.21</f>
        <v>0</v>
      </c>
      <c r="I873" s="140">
        <f>ventas_b_mes1[[#This Row],[IMPORTE NETO]]*0.21</f>
        <v>0</v>
      </c>
      <c r="J873" s="141"/>
      <c r="K873" s="141"/>
      <c r="L873" s="141"/>
      <c r="M873" s="59"/>
    </row>
    <row r="874" spans="2:13">
      <c r="B874" s="135"/>
      <c r="C874" s="136"/>
      <c r="D874" s="137"/>
      <c r="E874" s="138"/>
      <c r="F874" s="139"/>
      <c r="G874" s="1" t="str">
        <f>IFERROR(IF(ventas_b_mes1[[#This Row],[CUIT]]="","-",VLOOKUP(ventas_b_mes1[[#This Row],[CUIT]],Lista_CUIT[#All],2,0)),"CUIT NO CARGADO")</f>
        <v>-</v>
      </c>
      <c r="H874" s="64">
        <f>ventas_b_mes1[[#This Row],[TOTAL]]/1.21</f>
        <v>0</v>
      </c>
      <c r="I874" s="140">
        <f>ventas_b_mes1[[#This Row],[IMPORTE NETO]]*0.21</f>
        <v>0</v>
      </c>
      <c r="J874" s="141"/>
      <c r="K874" s="141"/>
      <c r="L874" s="141"/>
      <c r="M874" s="59"/>
    </row>
    <row r="875" spans="2:13">
      <c r="B875" s="135"/>
      <c r="C875" s="136"/>
      <c r="D875" s="137"/>
      <c r="E875" s="138"/>
      <c r="F875" s="139"/>
      <c r="G875" s="1" t="str">
        <f>IFERROR(IF(ventas_b_mes1[[#This Row],[CUIT]]="","-",VLOOKUP(ventas_b_mes1[[#This Row],[CUIT]],Lista_CUIT[#All],2,0)),"CUIT NO CARGADO")</f>
        <v>-</v>
      </c>
      <c r="H875" s="64">
        <f>ventas_b_mes1[[#This Row],[TOTAL]]/1.21</f>
        <v>0</v>
      </c>
      <c r="I875" s="140">
        <f>ventas_b_mes1[[#This Row],[IMPORTE NETO]]*0.21</f>
        <v>0</v>
      </c>
      <c r="J875" s="141"/>
      <c r="K875" s="141"/>
      <c r="L875" s="141"/>
      <c r="M875" s="59"/>
    </row>
    <row r="876" spans="2:13">
      <c r="B876" s="135"/>
      <c r="C876" s="136"/>
      <c r="D876" s="137"/>
      <c r="E876" s="138"/>
      <c r="F876" s="139"/>
      <c r="G876" s="1" t="str">
        <f>IFERROR(IF(ventas_b_mes1[[#This Row],[CUIT]]="","-",VLOOKUP(ventas_b_mes1[[#This Row],[CUIT]],Lista_CUIT[#All],2,0)),"CUIT NO CARGADO")</f>
        <v>-</v>
      </c>
      <c r="H876" s="64">
        <f>ventas_b_mes1[[#This Row],[TOTAL]]/1.21</f>
        <v>0</v>
      </c>
      <c r="I876" s="140">
        <f>ventas_b_mes1[[#This Row],[IMPORTE NETO]]*0.21</f>
        <v>0</v>
      </c>
      <c r="J876" s="141"/>
      <c r="K876" s="141"/>
      <c r="L876" s="141"/>
      <c r="M876" s="59"/>
    </row>
    <row r="877" spans="2:13">
      <c r="B877" s="135"/>
      <c r="C877" s="136"/>
      <c r="D877" s="137"/>
      <c r="E877" s="138"/>
      <c r="F877" s="139"/>
      <c r="G877" s="1" t="str">
        <f>IFERROR(IF(ventas_b_mes1[[#This Row],[CUIT]]="","-",VLOOKUP(ventas_b_mes1[[#This Row],[CUIT]],Lista_CUIT[#All],2,0)),"CUIT NO CARGADO")</f>
        <v>-</v>
      </c>
      <c r="H877" s="64">
        <f>ventas_b_mes1[[#This Row],[TOTAL]]/1.21</f>
        <v>0</v>
      </c>
      <c r="I877" s="140">
        <f>ventas_b_mes1[[#This Row],[IMPORTE NETO]]*0.21</f>
        <v>0</v>
      </c>
      <c r="J877" s="141"/>
      <c r="K877" s="141"/>
      <c r="L877" s="141"/>
      <c r="M877" s="59"/>
    </row>
    <row r="878" spans="2:13">
      <c r="B878" s="135"/>
      <c r="C878" s="136"/>
      <c r="D878" s="137"/>
      <c r="E878" s="138"/>
      <c r="F878" s="139"/>
      <c r="G878" s="1" t="str">
        <f>IFERROR(IF(ventas_b_mes1[[#This Row],[CUIT]]="","-",VLOOKUP(ventas_b_mes1[[#This Row],[CUIT]],Lista_CUIT[#All],2,0)),"CUIT NO CARGADO")</f>
        <v>-</v>
      </c>
      <c r="H878" s="64">
        <f>ventas_b_mes1[[#This Row],[TOTAL]]/1.21</f>
        <v>0</v>
      </c>
      <c r="I878" s="140">
        <f>ventas_b_mes1[[#This Row],[IMPORTE NETO]]*0.21</f>
        <v>0</v>
      </c>
      <c r="J878" s="141"/>
      <c r="K878" s="141"/>
      <c r="L878" s="141"/>
      <c r="M878" s="59"/>
    </row>
    <row r="879" spans="2:13">
      <c r="B879" s="135"/>
      <c r="C879" s="136"/>
      <c r="D879" s="137"/>
      <c r="E879" s="138"/>
      <c r="F879" s="139"/>
      <c r="G879" s="1" t="str">
        <f>IFERROR(IF(ventas_b_mes1[[#This Row],[CUIT]]="","-",VLOOKUP(ventas_b_mes1[[#This Row],[CUIT]],Lista_CUIT[#All],2,0)),"CUIT NO CARGADO")</f>
        <v>-</v>
      </c>
      <c r="H879" s="64">
        <f>ventas_b_mes1[[#This Row],[TOTAL]]/1.21</f>
        <v>0</v>
      </c>
      <c r="I879" s="140">
        <f>ventas_b_mes1[[#This Row],[IMPORTE NETO]]*0.21</f>
        <v>0</v>
      </c>
      <c r="J879" s="141"/>
      <c r="K879" s="141"/>
      <c r="L879" s="141"/>
      <c r="M879" s="59"/>
    </row>
    <row r="880" spans="2:13">
      <c r="B880" s="135"/>
      <c r="C880" s="136"/>
      <c r="D880" s="137"/>
      <c r="E880" s="138"/>
      <c r="F880" s="139"/>
      <c r="G880" s="1" t="str">
        <f>IFERROR(IF(ventas_b_mes1[[#This Row],[CUIT]]="","-",VLOOKUP(ventas_b_mes1[[#This Row],[CUIT]],Lista_CUIT[#All],2,0)),"CUIT NO CARGADO")</f>
        <v>-</v>
      </c>
      <c r="H880" s="64">
        <f>ventas_b_mes1[[#This Row],[TOTAL]]/1.21</f>
        <v>0</v>
      </c>
      <c r="I880" s="140">
        <f>ventas_b_mes1[[#This Row],[IMPORTE NETO]]*0.21</f>
        <v>0</v>
      </c>
      <c r="J880" s="141"/>
      <c r="K880" s="141"/>
      <c r="L880" s="141"/>
      <c r="M880" s="59"/>
    </row>
    <row r="881" spans="2:13">
      <c r="B881" s="135"/>
      <c r="C881" s="136"/>
      <c r="D881" s="137"/>
      <c r="E881" s="138"/>
      <c r="F881" s="139"/>
      <c r="G881" s="1" t="str">
        <f>IFERROR(IF(ventas_b_mes1[[#This Row],[CUIT]]="","-",VLOOKUP(ventas_b_mes1[[#This Row],[CUIT]],Lista_CUIT[#All],2,0)),"CUIT NO CARGADO")</f>
        <v>-</v>
      </c>
      <c r="H881" s="64">
        <f>ventas_b_mes1[[#This Row],[TOTAL]]/1.21</f>
        <v>0</v>
      </c>
      <c r="I881" s="140">
        <f>ventas_b_mes1[[#This Row],[IMPORTE NETO]]*0.21</f>
        <v>0</v>
      </c>
      <c r="J881" s="141"/>
      <c r="K881" s="141"/>
      <c r="L881" s="141"/>
      <c r="M881" s="59"/>
    </row>
    <row r="882" spans="2:13">
      <c r="B882" s="135"/>
      <c r="C882" s="136"/>
      <c r="D882" s="137"/>
      <c r="E882" s="138"/>
      <c r="F882" s="139"/>
      <c r="G882" s="1" t="str">
        <f>IFERROR(IF(ventas_b_mes1[[#This Row],[CUIT]]="","-",VLOOKUP(ventas_b_mes1[[#This Row],[CUIT]],Lista_CUIT[#All],2,0)),"CUIT NO CARGADO")</f>
        <v>-</v>
      </c>
      <c r="H882" s="64">
        <f>ventas_b_mes1[[#This Row],[TOTAL]]/1.21</f>
        <v>0</v>
      </c>
      <c r="I882" s="140">
        <f>ventas_b_mes1[[#This Row],[IMPORTE NETO]]*0.21</f>
        <v>0</v>
      </c>
      <c r="J882" s="141"/>
      <c r="K882" s="141"/>
      <c r="L882" s="141"/>
      <c r="M882" s="59"/>
    </row>
    <row r="883" spans="2:13">
      <c r="B883" s="135"/>
      <c r="C883" s="136"/>
      <c r="D883" s="137"/>
      <c r="E883" s="138"/>
      <c r="F883" s="139"/>
      <c r="G883" s="1" t="str">
        <f>IFERROR(IF(ventas_b_mes1[[#This Row],[CUIT]]="","-",VLOOKUP(ventas_b_mes1[[#This Row],[CUIT]],Lista_CUIT[#All],2,0)),"CUIT NO CARGADO")</f>
        <v>-</v>
      </c>
      <c r="H883" s="64">
        <f>ventas_b_mes1[[#This Row],[TOTAL]]/1.21</f>
        <v>0</v>
      </c>
      <c r="I883" s="140">
        <f>ventas_b_mes1[[#This Row],[IMPORTE NETO]]*0.21</f>
        <v>0</v>
      </c>
      <c r="J883" s="141"/>
      <c r="K883" s="141"/>
      <c r="L883" s="141"/>
      <c r="M883" s="59"/>
    </row>
    <row r="884" spans="2:13">
      <c r="B884" s="135"/>
      <c r="C884" s="136"/>
      <c r="D884" s="137"/>
      <c r="E884" s="138"/>
      <c r="F884" s="139"/>
      <c r="G884" s="1" t="str">
        <f>IFERROR(IF(ventas_b_mes1[[#This Row],[CUIT]]="","-",VLOOKUP(ventas_b_mes1[[#This Row],[CUIT]],Lista_CUIT[#All],2,0)),"CUIT NO CARGADO")</f>
        <v>-</v>
      </c>
      <c r="H884" s="64">
        <f>ventas_b_mes1[[#This Row],[TOTAL]]/1.21</f>
        <v>0</v>
      </c>
      <c r="I884" s="140">
        <f>ventas_b_mes1[[#This Row],[IMPORTE NETO]]*0.21</f>
        <v>0</v>
      </c>
      <c r="J884" s="141"/>
      <c r="K884" s="141"/>
      <c r="L884" s="141"/>
      <c r="M884" s="59"/>
    </row>
    <row r="885" spans="2:13">
      <c r="B885" s="135"/>
      <c r="C885" s="136"/>
      <c r="D885" s="137"/>
      <c r="E885" s="138"/>
      <c r="F885" s="139"/>
      <c r="G885" s="1" t="str">
        <f>IFERROR(IF(ventas_b_mes1[[#This Row],[CUIT]]="","-",VLOOKUP(ventas_b_mes1[[#This Row],[CUIT]],Lista_CUIT[#All],2,0)),"CUIT NO CARGADO")</f>
        <v>-</v>
      </c>
      <c r="H885" s="64">
        <f>ventas_b_mes1[[#This Row],[TOTAL]]/1.21</f>
        <v>0</v>
      </c>
      <c r="I885" s="140">
        <f>ventas_b_mes1[[#This Row],[IMPORTE NETO]]*0.21</f>
        <v>0</v>
      </c>
      <c r="J885" s="141"/>
      <c r="K885" s="141"/>
      <c r="L885" s="141"/>
      <c r="M885" s="59"/>
    </row>
    <row r="886" spans="2:13">
      <c r="B886" s="135"/>
      <c r="C886" s="136"/>
      <c r="D886" s="137"/>
      <c r="E886" s="138"/>
      <c r="F886" s="139"/>
      <c r="G886" s="1" t="str">
        <f>IFERROR(IF(ventas_b_mes1[[#This Row],[CUIT]]="","-",VLOOKUP(ventas_b_mes1[[#This Row],[CUIT]],Lista_CUIT[#All],2,0)),"CUIT NO CARGADO")</f>
        <v>-</v>
      </c>
      <c r="H886" s="64">
        <f>ventas_b_mes1[[#This Row],[TOTAL]]/1.21</f>
        <v>0</v>
      </c>
      <c r="I886" s="140">
        <f>ventas_b_mes1[[#This Row],[IMPORTE NETO]]*0.21</f>
        <v>0</v>
      </c>
      <c r="J886" s="141"/>
      <c r="K886" s="141"/>
      <c r="L886" s="141"/>
      <c r="M886" s="59"/>
    </row>
    <row r="887" spans="2:13">
      <c r="B887" s="135"/>
      <c r="C887" s="136"/>
      <c r="D887" s="137"/>
      <c r="E887" s="138"/>
      <c r="F887" s="139"/>
      <c r="G887" s="1" t="str">
        <f>IFERROR(IF(ventas_b_mes1[[#This Row],[CUIT]]="","-",VLOOKUP(ventas_b_mes1[[#This Row],[CUIT]],Lista_CUIT[#All],2,0)),"CUIT NO CARGADO")</f>
        <v>-</v>
      </c>
      <c r="H887" s="64">
        <f>ventas_b_mes1[[#This Row],[TOTAL]]/1.21</f>
        <v>0</v>
      </c>
      <c r="I887" s="140">
        <f>ventas_b_mes1[[#This Row],[IMPORTE NETO]]*0.21</f>
        <v>0</v>
      </c>
      <c r="J887" s="141"/>
      <c r="K887" s="141"/>
      <c r="L887" s="141"/>
      <c r="M887" s="59"/>
    </row>
    <row r="888" spans="2:13">
      <c r="B888" s="135"/>
      <c r="C888" s="136"/>
      <c r="D888" s="137"/>
      <c r="E888" s="138"/>
      <c r="F888" s="139"/>
      <c r="G888" s="1" t="str">
        <f>IFERROR(IF(ventas_b_mes1[[#This Row],[CUIT]]="","-",VLOOKUP(ventas_b_mes1[[#This Row],[CUIT]],Lista_CUIT[#All],2,0)),"CUIT NO CARGADO")</f>
        <v>-</v>
      </c>
      <c r="H888" s="64">
        <f>ventas_b_mes1[[#This Row],[TOTAL]]/1.21</f>
        <v>0</v>
      </c>
      <c r="I888" s="140">
        <f>ventas_b_mes1[[#This Row],[IMPORTE NETO]]*0.21</f>
        <v>0</v>
      </c>
      <c r="J888" s="141"/>
      <c r="K888" s="141"/>
      <c r="L888" s="141"/>
      <c r="M888" s="59"/>
    </row>
    <row r="889" spans="2:13">
      <c r="B889" s="135"/>
      <c r="C889" s="136"/>
      <c r="D889" s="137"/>
      <c r="E889" s="138"/>
      <c r="F889" s="139"/>
      <c r="G889" s="1" t="str">
        <f>IFERROR(IF(ventas_b_mes1[[#This Row],[CUIT]]="","-",VLOOKUP(ventas_b_mes1[[#This Row],[CUIT]],Lista_CUIT[#All],2,0)),"CUIT NO CARGADO")</f>
        <v>-</v>
      </c>
      <c r="H889" s="64">
        <f>ventas_b_mes1[[#This Row],[TOTAL]]/1.21</f>
        <v>0</v>
      </c>
      <c r="I889" s="140">
        <f>ventas_b_mes1[[#This Row],[IMPORTE NETO]]*0.21</f>
        <v>0</v>
      </c>
      <c r="J889" s="141"/>
      <c r="K889" s="141"/>
      <c r="L889" s="141"/>
      <c r="M889" s="59"/>
    </row>
    <row r="890" spans="2:13">
      <c r="B890" s="135"/>
      <c r="C890" s="136"/>
      <c r="D890" s="137"/>
      <c r="E890" s="138"/>
      <c r="F890" s="139"/>
      <c r="G890" s="1" t="str">
        <f>IFERROR(IF(ventas_b_mes1[[#This Row],[CUIT]]="","-",VLOOKUP(ventas_b_mes1[[#This Row],[CUIT]],Lista_CUIT[#All],2,0)),"CUIT NO CARGADO")</f>
        <v>-</v>
      </c>
      <c r="H890" s="64">
        <f>ventas_b_mes1[[#This Row],[TOTAL]]/1.21</f>
        <v>0</v>
      </c>
      <c r="I890" s="140">
        <f>ventas_b_mes1[[#This Row],[IMPORTE NETO]]*0.21</f>
        <v>0</v>
      </c>
      <c r="J890" s="141"/>
      <c r="K890" s="141"/>
      <c r="L890" s="141"/>
      <c r="M890" s="59"/>
    </row>
    <row r="891" spans="2:13">
      <c r="B891" s="135"/>
      <c r="C891" s="136"/>
      <c r="D891" s="137"/>
      <c r="E891" s="138"/>
      <c r="F891" s="139"/>
      <c r="G891" s="1" t="str">
        <f>IFERROR(IF(ventas_b_mes1[[#This Row],[CUIT]]="","-",VLOOKUP(ventas_b_mes1[[#This Row],[CUIT]],Lista_CUIT[#All],2,0)),"CUIT NO CARGADO")</f>
        <v>-</v>
      </c>
      <c r="H891" s="64">
        <f>ventas_b_mes1[[#This Row],[TOTAL]]/1.21</f>
        <v>0</v>
      </c>
      <c r="I891" s="140">
        <f>ventas_b_mes1[[#This Row],[IMPORTE NETO]]*0.21</f>
        <v>0</v>
      </c>
      <c r="J891" s="141"/>
      <c r="K891" s="141"/>
      <c r="L891" s="141"/>
      <c r="M891" s="59"/>
    </row>
    <row r="892" spans="2:13">
      <c r="B892" s="135"/>
      <c r="C892" s="136"/>
      <c r="D892" s="137"/>
      <c r="E892" s="138"/>
      <c r="F892" s="139"/>
      <c r="G892" s="1" t="str">
        <f>IFERROR(IF(ventas_b_mes1[[#This Row],[CUIT]]="","-",VLOOKUP(ventas_b_mes1[[#This Row],[CUIT]],Lista_CUIT[#All],2,0)),"CUIT NO CARGADO")</f>
        <v>-</v>
      </c>
      <c r="H892" s="64">
        <f>ventas_b_mes1[[#This Row],[TOTAL]]/1.21</f>
        <v>0</v>
      </c>
      <c r="I892" s="140">
        <f>ventas_b_mes1[[#This Row],[IMPORTE NETO]]*0.21</f>
        <v>0</v>
      </c>
      <c r="J892" s="141"/>
      <c r="K892" s="141"/>
      <c r="L892" s="141"/>
      <c r="M892" s="59"/>
    </row>
    <row r="893" spans="2:13">
      <c r="B893" s="135"/>
      <c r="C893" s="136"/>
      <c r="D893" s="137"/>
      <c r="E893" s="138"/>
      <c r="F893" s="139"/>
      <c r="G893" s="1" t="str">
        <f>IFERROR(IF(ventas_b_mes1[[#This Row],[CUIT]]="","-",VLOOKUP(ventas_b_mes1[[#This Row],[CUIT]],Lista_CUIT[#All],2,0)),"CUIT NO CARGADO")</f>
        <v>-</v>
      </c>
      <c r="H893" s="64">
        <f>ventas_b_mes1[[#This Row],[TOTAL]]/1.21</f>
        <v>0</v>
      </c>
      <c r="I893" s="140">
        <f>ventas_b_mes1[[#This Row],[IMPORTE NETO]]*0.21</f>
        <v>0</v>
      </c>
      <c r="J893" s="141"/>
      <c r="K893" s="141"/>
      <c r="L893" s="141"/>
      <c r="M893" s="59"/>
    </row>
    <row r="894" spans="2:13">
      <c r="B894" s="135"/>
      <c r="C894" s="136"/>
      <c r="D894" s="137"/>
      <c r="E894" s="138"/>
      <c r="F894" s="139"/>
      <c r="G894" s="1" t="str">
        <f>IFERROR(IF(ventas_b_mes1[[#This Row],[CUIT]]="","-",VLOOKUP(ventas_b_mes1[[#This Row],[CUIT]],Lista_CUIT[#All],2,0)),"CUIT NO CARGADO")</f>
        <v>-</v>
      </c>
      <c r="H894" s="64">
        <f>ventas_b_mes1[[#This Row],[TOTAL]]/1.21</f>
        <v>0</v>
      </c>
      <c r="I894" s="140">
        <f>ventas_b_mes1[[#This Row],[IMPORTE NETO]]*0.21</f>
        <v>0</v>
      </c>
      <c r="J894" s="141"/>
      <c r="K894" s="141"/>
      <c r="L894" s="141"/>
      <c r="M894" s="59"/>
    </row>
    <row r="895" spans="2:13">
      <c r="B895" s="135"/>
      <c r="C895" s="136"/>
      <c r="D895" s="137"/>
      <c r="E895" s="138"/>
      <c r="F895" s="139"/>
      <c r="G895" s="1" t="str">
        <f>IFERROR(IF(ventas_b_mes1[[#This Row],[CUIT]]="","-",VLOOKUP(ventas_b_mes1[[#This Row],[CUIT]],Lista_CUIT[#All],2,0)),"CUIT NO CARGADO")</f>
        <v>-</v>
      </c>
      <c r="H895" s="64">
        <f>ventas_b_mes1[[#This Row],[TOTAL]]/1.21</f>
        <v>0</v>
      </c>
      <c r="I895" s="140">
        <f>ventas_b_mes1[[#This Row],[IMPORTE NETO]]*0.21</f>
        <v>0</v>
      </c>
      <c r="J895" s="141"/>
      <c r="K895" s="141"/>
      <c r="L895" s="141"/>
      <c r="M895" s="59"/>
    </row>
    <row r="896" spans="2:13">
      <c r="B896" s="135"/>
      <c r="C896" s="136"/>
      <c r="D896" s="137"/>
      <c r="E896" s="138"/>
      <c r="F896" s="139"/>
      <c r="G896" s="1" t="str">
        <f>IFERROR(IF(ventas_b_mes1[[#This Row],[CUIT]]="","-",VLOOKUP(ventas_b_mes1[[#This Row],[CUIT]],Lista_CUIT[#All],2,0)),"CUIT NO CARGADO")</f>
        <v>-</v>
      </c>
      <c r="H896" s="64">
        <f>ventas_b_mes1[[#This Row],[TOTAL]]/1.21</f>
        <v>0</v>
      </c>
      <c r="I896" s="140">
        <f>ventas_b_mes1[[#This Row],[IMPORTE NETO]]*0.21</f>
        <v>0</v>
      </c>
      <c r="J896" s="141"/>
      <c r="K896" s="141"/>
      <c r="L896" s="141"/>
      <c r="M896" s="59"/>
    </row>
    <row r="897" spans="2:13">
      <c r="B897" s="135"/>
      <c r="C897" s="136"/>
      <c r="D897" s="137"/>
      <c r="E897" s="138"/>
      <c r="F897" s="139"/>
      <c r="G897" s="1" t="str">
        <f>IFERROR(IF(ventas_b_mes1[[#This Row],[CUIT]]="","-",VLOOKUP(ventas_b_mes1[[#This Row],[CUIT]],Lista_CUIT[#All],2,0)),"CUIT NO CARGADO")</f>
        <v>-</v>
      </c>
      <c r="H897" s="64">
        <f>ventas_b_mes1[[#This Row],[TOTAL]]/1.21</f>
        <v>0</v>
      </c>
      <c r="I897" s="140">
        <f>ventas_b_mes1[[#This Row],[IMPORTE NETO]]*0.21</f>
        <v>0</v>
      </c>
      <c r="J897" s="141"/>
      <c r="K897" s="141"/>
      <c r="L897" s="141"/>
      <c r="M897" s="59"/>
    </row>
    <row r="898" spans="2:13">
      <c r="B898" s="135"/>
      <c r="C898" s="136"/>
      <c r="D898" s="137"/>
      <c r="E898" s="138"/>
      <c r="F898" s="139"/>
      <c r="G898" s="1" t="str">
        <f>IFERROR(IF(ventas_b_mes1[[#This Row],[CUIT]]="","-",VLOOKUP(ventas_b_mes1[[#This Row],[CUIT]],Lista_CUIT[#All],2,0)),"CUIT NO CARGADO")</f>
        <v>-</v>
      </c>
      <c r="H898" s="64">
        <f>ventas_b_mes1[[#This Row],[TOTAL]]/1.21</f>
        <v>0</v>
      </c>
      <c r="I898" s="140">
        <f>ventas_b_mes1[[#This Row],[IMPORTE NETO]]*0.21</f>
        <v>0</v>
      </c>
      <c r="J898" s="141"/>
      <c r="K898" s="141"/>
      <c r="L898" s="141"/>
      <c r="M898" s="59"/>
    </row>
    <row r="899" spans="2:13">
      <c r="B899" s="135"/>
      <c r="C899" s="136"/>
      <c r="D899" s="137"/>
      <c r="E899" s="138"/>
      <c r="F899" s="139"/>
      <c r="G899" s="1" t="str">
        <f>IFERROR(IF(ventas_b_mes1[[#This Row],[CUIT]]="","-",VLOOKUP(ventas_b_mes1[[#This Row],[CUIT]],Lista_CUIT[#All],2,0)),"CUIT NO CARGADO")</f>
        <v>-</v>
      </c>
      <c r="H899" s="64">
        <f>ventas_b_mes1[[#This Row],[TOTAL]]/1.21</f>
        <v>0</v>
      </c>
      <c r="I899" s="140">
        <f>ventas_b_mes1[[#This Row],[IMPORTE NETO]]*0.21</f>
        <v>0</v>
      </c>
      <c r="J899" s="141"/>
      <c r="K899" s="141"/>
      <c r="L899" s="141"/>
      <c r="M899" s="59"/>
    </row>
    <row r="900" spans="2:13">
      <c r="B900" s="135"/>
      <c r="C900" s="136"/>
      <c r="D900" s="137"/>
      <c r="E900" s="138"/>
      <c r="F900" s="139"/>
      <c r="G900" s="1" t="str">
        <f>IFERROR(IF(ventas_b_mes1[[#This Row],[CUIT]]="","-",VLOOKUP(ventas_b_mes1[[#This Row],[CUIT]],Lista_CUIT[#All],2,0)),"CUIT NO CARGADO")</f>
        <v>-</v>
      </c>
      <c r="H900" s="64">
        <f>ventas_b_mes1[[#This Row],[TOTAL]]/1.21</f>
        <v>0</v>
      </c>
      <c r="I900" s="140">
        <f>ventas_b_mes1[[#This Row],[IMPORTE NETO]]*0.21</f>
        <v>0</v>
      </c>
      <c r="J900" s="141"/>
      <c r="K900" s="141"/>
      <c r="L900" s="141"/>
      <c r="M900" s="59"/>
    </row>
    <row r="901" spans="2:13">
      <c r="B901" s="135"/>
      <c r="C901" s="136"/>
      <c r="D901" s="137"/>
      <c r="E901" s="138"/>
      <c r="F901" s="139"/>
      <c r="G901" s="1" t="str">
        <f>IFERROR(IF(ventas_b_mes1[[#This Row],[CUIT]]="","-",VLOOKUP(ventas_b_mes1[[#This Row],[CUIT]],Lista_CUIT[#All],2,0)),"CUIT NO CARGADO")</f>
        <v>-</v>
      </c>
      <c r="H901" s="64">
        <f>ventas_b_mes1[[#This Row],[TOTAL]]/1.21</f>
        <v>0</v>
      </c>
      <c r="I901" s="140">
        <f>ventas_b_mes1[[#This Row],[IMPORTE NETO]]*0.21</f>
        <v>0</v>
      </c>
      <c r="J901" s="141"/>
      <c r="K901" s="141"/>
      <c r="L901" s="141"/>
      <c r="M901" s="59"/>
    </row>
    <row r="902" spans="2:13">
      <c r="B902" s="135"/>
      <c r="C902" s="136"/>
      <c r="D902" s="137"/>
      <c r="E902" s="138"/>
      <c r="F902" s="139"/>
      <c r="G902" s="1" t="str">
        <f>IFERROR(IF(ventas_b_mes1[[#This Row],[CUIT]]="","-",VLOOKUP(ventas_b_mes1[[#This Row],[CUIT]],Lista_CUIT[#All],2,0)),"CUIT NO CARGADO")</f>
        <v>-</v>
      </c>
      <c r="H902" s="64">
        <f>ventas_b_mes1[[#This Row],[TOTAL]]/1.21</f>
        <v>0</v>
      </c>
      <c r="I902" s="140">
        <f>ventas_b_mes1[[#This Row],[IMPORTE NETO]]*0.21</f>
        <v>0</v>
      </c>
      <c r="J902" s="141"/>
      <c r="K902" s="141"/>
      <c r="L902" s="141"/>
      <c r="M902" s="59"/>
    </row>
    <row r="903" spans="2:13">
      <c r="B903" s="135"/>
      <c r="C903" s="136"/>
      <c r="D903" s="137"/>
      <c r="E903" s="138"/>
      <c r="F903" s="139"/>
      <c r="G903" s="1" t="str">
        <f>IFERROR(IF(ventas_b_mes1[[#This Row],[CUIT]]="","-",VLOOKUP(ventas_b_mes1[[#This Row],[CUIT]],Lista_CUIT[#All],2,0)),"CUIT NO CARGADO")</f>
        <v>-</v>
      </c>
      <c r="H903" s="64">
        <f>ventas_b_mes1[[#This Row],[TOTAL]]/1.21</f>
        <v>0</v>
      </c>
      <c r="I903" s="140">
        <f>ventas_b_mes1[[#This Row],[IMPORTE NETO]]*0.21</f>
        <v>0</v>
      </c>
      <c r="J903" s="141"/>
      <c r="K903" s="141"/>
      <c r="L903" s="141"/>
      <c r="M903" s="59"/>
    </row>
    <row r="904" spans="2:13">
      <c r="B904" s="135"/>
      <c r="C904" s="136"/>
      <c r="D904" s="137"/>
      <c r="E904" s="138"/>
      <c r="F904" s="139"/>
      <c r="G904" s="1" t="str">
        <f>IFERROR(IF(ventas_b_mes1[[#This Row],[CUIT]]="","-",VLOOKUP(ventas_b_mes1[[#This Row],[CUIT]],Lista_CUIT[#All],2,0)),"CUIT NO CARGADO")</f>
        <v>-</v>
      </c>
      <c r="H904" s="64">
        <f>ventas_b_mes1[[#This Row],[TOTAL]]/1.21</f>
        <v>0</v>
      </c>
      <c r="I904" s="140">
        <f>ventas_b_mes1[[#This Row],[IMPORTE NETO]]*0.21</f>
        <v>0</v>
      </c>
      <c r="J904" s="141"/>
      <c r="K904" s="141"/>
      <c r="L904" s="141"/>
      <c r="M904" s="59"/>
    </row>
    <row r="905" spans="2:13">
      <c r="B905" s="135"/>
      <c r="C905" s="136"/>
      <c r="D905" s="137"/>
      <c r="E905" s="138"/>
      <c r="F905" s="139"/>
      <c r="G905" s="1" t="str">
        <f>IFERROR(IF(ventas_b_mes1[[#This Row],[CUIT]]="","-",VLOOKUP(ventas_b_mes1[[#This Row],[CUIT]],Lista_CUIT[#All],2,0)),"CUIT NO CARGADO")</f>
        <v>-</v>
      </c>
      <c r="H905" s="64">
        <f>ventas_b_mes1[[#This Row],[TOTAL]]/1.21</f>
        <v>0</v>
      </c>
      <c r="I905" s="140">
        <f>ventas_b_mes1[[#This Row],[IMPORTE NETO]]*0.21</f>
        <v>0</v>
      </c>
      <c r="J905" s="141"/>
      <c r="K905" s="141"/>
      <c r="L905" s="141"/>
      <c r="M905" s="59"/>
    </row>
    <row r="906" spans="2:13">
      <c r="B906" s="135"/>
      <c r="C906" s="136"/>
      <c r="D906" s="137"/>
      <c r="E906" s="138"/>
      <c r="F906" s="139"/>
      <c r="G906" s="1" t="str">
        <f>IFERROR(IF(ventas_b_mes1[[#This Row],[CUIT]]="","-",VLOOKUP(ventas_b_mes1[[#This Row],[CUIT]],Lista_CUIT[#All],2,0)),"CUIT NO CARGADO")</f>
        <v>-</v>
      </c>
      <c r="H906" s="64">
        <f>ventas_b_mes1[[#This Row],[TOTAL]]/1.21</f>
        <v>0</v>
      </c>
      <c r="I906" s="140">
        <f>ventas_b_mes1[[#This Row],[IMPORTE NETO]]*0.21</f>
        <v>0</v>
      </c>
      <c r="J906" s="141"/>
      <c r="K906" s="141"/>
      <c r="L906" s="141"/>
      <c r="M906" s="59"/>
    </row>
    <row r="907" spans="2:13">
      <c r="B907" s="135"/>
      <c r="C907" s="136"/>
      <c r="D907" s="137"/>
      <c r="E907" s="138"/>
      <c r="F907" s="139"/>
      <c r="G907" s="1" t="str">
        <f>IFERROR(IF(ventas_b_mes1[[#This Row],[CUIT]]="","-",VLOOKUP(ventas_b_mes1[[#This Row],[CUIT]],Lista_CUIT[#All],2,0)),"CUIT NO CARGADO")</f>
        <v>-</v>
      </c>
      <c r="H907" s="64">
        <f>ventas_b_mes1[[#This Row],[TOTAL]]/1.21</f>
        <v>0</v>
      </c>
      <c r="I907" s="140">
        <f>ventas_b_mes1[[#This Row],[IMPORTE NETO]]*0.21</f>
        <v>0</v>
      </c>
      <c r="J907" s="141"/>
      <c r="K907" s="141"/>
      <c r="L907" s="141"/>
      <c r="M907" s="59"/>
    </row>
    <row r="908" spans="2:13">
      <c r="B908" s="135"/>
      <c r="C908" s="136"/>
      <c r="D908" s="137"/>
      <c r="E908" s="138"/>
      <c r="F908" s="139"/>
      <c r="G908" s="1" t="str">
        <f>IFERROR(IF(ventas_b_mes1[[#This Row],[CUIT]]="","-",VLOOKUP(ventas_b_mes1[[#This Row],[CUIT]],Lista_CUIT[#All],2,0)),"CUIT NO CARGADO")</f>
        <v>-</v>
      </c>
      <c r="H908" s="64">
        <f>ventas_b_mes1[[#This Row],[TOTAL]]/1.21</f>
        <v>0</v>
      </c>
      <c r="I908" s="140">
        <f>ventas_b_mes1[[#This Row],[IMPORTE NETO]]*0.21</f>
        <v>0</v>
      </c>
      <c r="J908" s="141"/>
      <c r="K908" s="141"/>
      <c r="L908" s="141"/>
      <c r="M908" s="59"/>
    </row>
    <row r="909" spans="2:13">
      <c r="B909" s="135"/>
      <c r="C909" s="136"/>
      <c r="D909" s="137"/>
      <c r="E909" s="138"/>
      <c r="F909" s="139"/>
      <c r="G909" s="1" t="str">
        <f>IFERROR(IF(ventas_b_mes1[[#This Row],[CUIT]]="","-",VLOOKUP(ventas_b_mes1[[#This Row],[CUIT]],Lista_CUIT[#All],2,0)),"CUIT NO CARGADO")</f>
        <v>-</v>
      </c>
      <c r="H909" s="64">
        <f>ventas_b_mes1[[#This Row],[TOTAL]]/1.21</f>
        <v>0</v>
      </c>
      <c r="I909" s="140">
        <f>ventas_b_mes1[[#This Row],[IMPORTE NETO]]*0.21</f>
        <v>0</v>
      </c>
      <c r="J909" s="141"/>
      <c r="K909" s="141"/>
      <c r="L909" s="141"/>
      <c r="M909" s="59"/>
    </row>
    <row r="910" spans="2:13">
      <c r="B910" s="135"/>
      <c r="C910" s="136"/>
      <c r="D910" s="137"/>
      <c r="E910" s="138"/>
      <c r="F910" s="139"/>
      <c r="G910" s="1" t="str">
        <f>IFERROR(IF(ventas_b_mes1[[#This Row],[CUIT]]="","-",VLOOKUP(ventas_b_mes1[[#This Row],[CUIT]],Lista_CUIT[#All],2,0)),"CUIT NO CARGADO")</f>
        <v>-</v>
      </c>
      <c r="H910" s="64">
        <f>ventas_b_mes1[[#This Row],[TOTAL]]/1.21</f>
        <v>0</v>
      </c>
      <c r="I910" s="140">
        <f>ventas_b_mes1[[#This Row],[IMPORTE NETO]]*0.21</f>
        <v>0</v>
      </c>
      <c r="J910" s="141"/>
      <c r="K910" s="141"/>
      <c r="L910" s="141"/>
      <c r="M910" s="59"/>
    </row>
    <row r="911" spans="2:13">
      <c r="B911" s="135"/>
      <c r="C911" s="136"/>
      <c r="D911" s="137"/>
      <c r="E911" s="138"/>
      <c r="F911" s="139"/>
      <c r="G911" s="1" t="str">
        <f>IFERROR(IF(ventas_b_mes1[[#This Row],[CUIT]]="","-",VLOOKUP(ventas_b_mes1[[#This Row],[CUIT]],Lista_CUIT[#All],2,0)),"CUIT NO CARGADO")</f>
        <v>-</v>
      </c>
      <c r="H911" s="64">
        <f>ventas_b_mes1[[#This Row],[TOTAL]]/1.21</f>
        <v>0</v>
      </c>
      <c r="I911" s="140">
        <f>ventas_b_mes1[[#This Row],[IMPORTE NETO]]*0.21</f>
        <v>0</v>
      </c>
      <c r="J911" s="141"/>
      <c r="K911" s="141"/>
      <c r="L911" s="141"/>
      <c r="M911" s="59"/>
    </row>
    <row r="912" spans="2:13">
      <c r="B912" s="135"/>
      <c r="C912" s="136"/>
      <c r="D912" s="137"/>
      <c r="E912" s="138"/>
      <c r="F912" s="139"/>
      <c r="G912" s="1" t="str">
        <f>IFERROR(IF(ventas_b_mes1[[#This Row],[CUIT]]="","-",VLOOKUP(ventas_b_mes1[[#This Row],[CUIT]],Lista_CUIT[#All],2,0)),"CUIT NO CARGADO")</f>
        <v>-</v>
      </c>
      <c r="H912" s="64">
        <f>ventas_b_mes1[[#This Row],[TOTAL]]/1.21</f>
        <v>0</v>
      </c>
      <c r="I912" s="140">
        <f>ventas_b_mes1[[#This Row],[IMPORTE NETO]]*0.21</f>
        <v>0</v>
      </c>
      <c r="J912" s="141"/>
      <c r="K912" s="141"/>
      <c r="L912" s="141"/>
      <c r="M912" s="59"/>
    </row>
    <row r="913" spans="2:13">
      <c r="B913" s="135"/>
      <c r="C913" s="136"/>
      <c r="D913" s="137"/>
      <c r="E913" s="138"/>
      <c r="F913" s="139"/>
      <c r="G913" s="1" t="str">
        <f>IFERROR(IF(ventas_b_mes1[[#This Row],[CUIT]]="","-",VLOOKUP(ventas_b_mes1[[#This Row],[CUIT]],Lista_CUIT[#All],2,0)),"CUIT NO CARGADO")</f>
        <v>-</v>
      </c>
      <c r="H913" s="64">
        <f>ventas_b_mes1[[#This Row],[TOTAL]]/1.21</f>
        <v>0</v>
      </c>
      <c r="I913" s="140">
        <f>ventas_b_mes1[[#This Row],[IMPORTE NETO]]*0.21</f>
        <v>0</v>
      </c>
      <c r="J913" s="141"/>
      <c r="K913" s="141"/>
      <c r="L913" s="141"/>
      <c r="M913" s="59"/>
    </row>
    <row r="914" spans="2:13">
      <c r="B914" s="135"/>
      <c r="C914" s="136"/>
      <c r="D914" s="137"/>
      <c r="E914" s="138"/>
      <c r="F914" s="139"/>
      <c r="G914" s="1" t="str">
        <f>IFERROR(IF(ventas_b_mes1[[#This Row],[CUIT]]="","-",VLOOKUP(ventas_b_mes1[[#This Row],[CUIT]],Lista_CUIT[#All],2,0)),"CUIT NO CARGADO")</f>
        <v>-</v>
      </c>
      <c r="H914" s="64">
        <f>ventas_b_mes1[[#This Row],[TOTAL]]/1.21</f>
        <v>0</v>
      </c>
      <c r="I914" s="140">
        <f>ventas_b_mes1[[#This Row],[IMPORTE NETO]]*0.21</f>
        <v>0</v>
      </c>
      <c r="J914" s="141"/>
      <c r="K914" s="141"/>
      <c r="L914" s="141"/>
      <c r="M914" s="59"/>
    </row>
    <row r="915" spans="2:13">
      <c r="B915" s="135"/>
      <c r="C915" s="136"/>
      <c r="D915" s="137"/>
      <c r="E915" s="138"/>
      <c r="F915" s="139"/>
      <c r="G915" s="1" t="str">
        <f>IFERROR(IF(ventas_b_mes1[[#This Row],[CUIT]]="","-",VLOOKUP(ventas_b_mes1[[#This Row],[CUIT]],Lista_CUIT[#All],2,0)),"CUIT NO CARGADO")</f>
        <v>-</v>
      </c>
      <c r="H915" s="64">
        <f>ventas_b_mes1[[#This Row],[TOTAL]]/1.21</f>
        <v>0</v>
      </c>
      <c r="I915" s="140">
        <f>ventas_b_mes1[[#This Row],[IMPORTE NETO]]*0.21</f>
        <v>0</v>
      </c>
      <c r="J915" s="141"/>
      <c r="K915" s="141"/>
      <c r="L915" s="141"/>
      <c r="M915" s="59"/>
    </row>
    <row r="916" spans="2:13">
      <c r="B916" s="135"/>
      <c r="C916" s="136"/>
      <c r="D916" s="137"/>
      <c r="E916" s="138"/>
      <c r="F916" s="139"/>
      <c r="G916" s="1" t="str">
        <f>IFERROR(IF(ventas_b_mes1[[#This Row],[CUIT]]="","-",VLOOKUP(ventas_b_mes1[[#This Row],[CUIT]],Lista_CUIT[#All],2,0)),"CUIT NO CARGADO")</f>
        <v>-</v>
      </c>
      <c r="H916" s="64">
        <f>ventas_b_mes1[[#This Row],[TOTAL]]/1.21</f>
        <v>0</v>
      </c>
      <c r="I916" s="140">
        <f>ventas_b_mes1[[#This Row],[IMPORTE NETO]]*0.21</f>
        <v>0</v>
      </c>
      <c r="J916" s="141"/>
      <c r="K916" s="141"/>
      <c r="L916" s="141"/>
      <c r="M916" s="59"/>
    </row>
    <row r="917" spans="2:13">
      <c r="B917" s="135"/>
      <c r="C917" s="136"/>
      <c r="D917" s="137"/>
      <c r="E917" s="138"/>
      <c r="F917" s="139"/>
      <c r="G917" s="1" t="str">
        <f>IFERROR(IF(ventas_b_mes1[[#This Row],[CUIT]]="","-",VLOOKUP(ventas_b_mes1[[#This Row],[CUIT]],Lista_CUIT[#All],2,0)),"CUIT NO CARGADO")</f>
        <v>-</v>
      </c>
      <c r="H917" s="64">
        <f>ventas_b_mes1[[#This Row],[TOTAL]]/1.21</f>
        <v>0</v>
      </c>
      <c r="I917" s="140">
        <f>ventas_b_mes1[[#This Row],[IMPORTE NETO]]*0.21</f>
        <v>0</v>
      </c>
      <c r="J917" s="141"/>
      <c r="K917" s="141"/>
      <c r="L917" s="141"/>
      <c r="M917" s="59"/>
    </row>
    <row r="918" spans="2:13">
      <c r="B918" s="135"/>
      <c r="C918" s="136"/>
      <c r="D918" s="137"/>
      <c r="E918" s="138"/>
      <c r="F918" s="139"/>
      <c r="G918" s="1" t="str">
        <f>IFERROR(IF(ventas_b_mes1[[#This Row],[CUIT]]="","-",VLOOKUP(ventas_b_mes1[[#This Row],[CUIT]],Lista_CUIT[#All],2,0)),"CUIT NO CARGADO")</f>
        <v>-</v>
      </c>
      <c r="H918" s="64">
        <f>ventas_b_mes1[[#This Row],[TOTAL]]/1.21</f>
        <v>0</v>
      </c>
      <c r="I918" s="140">
        <f>ventas_b_mes1[[#This Row],[IMPORTE NETO]]*0.21</f>
        <v>0</v>
      </c>
      <c r="J918" s="141"/>
      <c r="K918" s="141"/>
      <c r="L918" s="141"/>
      <c r="M918" s="59"/>
    </row>
    <row r="919" spans="2:13">
      <c r="B919" s="135"/>
      <c r="C919" s="136"/>
      <c r="D919" s="137"/>
      <c r="E919" s="138"/>
      <c r="F919" s="139"/>
      <c r="G919" s="1" t="str">
        <f>IFERROR(IF(ventas_b_mes1[[#This Row],[CUIT]]="","-",VLOOKUP(ventas_b_mes1[[#This Row],[CUIT]],Lista_CUIT[#All],2,0)),"CUIT NO CARGADO")</f>
        <v>-</v>
      </c>
      <c r="H919" s="64">
        <f>ventas_b_mes1[[#This Row],[TOTAL]]/1.21</f>
        <v>0</v>
      </c>
      <c r="I919" s="140">
        <f>ventas_b_mes1[[#This Row],[IMPORTE NETO]]*0.21</f>
        <v>0</v>
      </c>
      <c r="J919" s="141"/>
      <c r="K919" s="141"/>
      <c r="L919" s="141"/>
      <c r="M919" s="59"/>
    </row>
    <row r="920" spans="2:13">
      <c r="B920" s="135"/>
      <c r="C920" s="136"/>
      <c r="D920" s="137"/>
      <c r="E920" s="138"/>
      <c r="F920" s="139"/>
      <c r="G920" s="1" t="str">
        <f>IFERROR(IF(ventas_b_mes1[[#This Row],[CUIT]]="","-",VLOOKUP(ventas_b_mes1[[#This Row],[CUIT]],Lista_CUIT[#All],2,0)),"CUIT NO CARGADO")</f>
        <v>-</v>
      </c>
      <c r="H920" s="64">
        <f>ventas_b_mes1[[#This Row],[TOTAL]]/1.21</f>
        <v>0</v>
      </c>
      <c r="I920" s="140">
        <f>ventas_b_mes1[[#This Row],[IMPORTE NETO]]*0.21</f>
        <v>0</v>
      </c>
      <c r="J920" s="141"/>
      <c r="K920" s="141"/>
      <c r="L920" s="141"/>
      <c r="M920" s="59"/>
    </row>
    <row r="921" spans="2:13">
      <c r="B921" s="135"/>
      <c r="C921" s="136"/>
      <c r="D921" s="137"/>
      <c r="E921" s="138"/>
      <c r="F921" s="139"/>
      <c r="G921" s="1" t="str">
        <f>IFERROR(IF(ventas_b_mes1[[#This Row],[CUIT]]="","-",VLOOKUP(ventas_b_mes1[[#This Row],[CUIT]],Lista_CUIT[#All],2,0)),"CUIT NO CARGADO")</f>
        <v>-</v>
      </c>
      <c r="H921" s="64">
        <f>ventas_b_mes1[[#This Row],[TOTAL]]/1.21</f>
        <v>0</v>
      </c>
      <c r="I921" s="140">
        <f>ventas_b_mes1[[#This Row],[IMPORTE NETO]]*0.21</f>
        <v>0</v>
      </c>
      <c r="J921" s="141"/>
      <c r="K921" s="141"/>
      <c r="L921" s="141"/>
      <c r="M921" s="59"/>
    </row>
    <row r="922" spans="2:13">
      <c r="B922" s="135"/>
      <c r="C922" s="136"/>
      <c r="D922" s="137"/>
      <c r="E922" s="138"/>
      <c r="F922" s="139"/>
      <c r="G922" s="1" t="str">
        <f>IFERROR(IF(ventas_b_mes1[[#This Row],[CUIT]]="","-",VLOOKUP(ventas_b_mes1[[#This Row],[CUIT]],Lista_CUIT[#All],2,0)),"CUIT NO CARGADO")</f>
        <v>-</v>
      </c>
      <c r="H922" s="64">
        <f>ventas_b_mes1[[#This Row],[TOTAL]]/1.21</f>
        <v>0</v>
      </c>
      <c r="I922" s="140">
        <f>ventas_b_mes1[[#This Row],[IMPORTE NETO]]*0.21</f>
        <v>0</v>
      </c>
      <c r="J922" s="141"/>
      <c r="K922" s="141"/>
      <c r="L922" s="141"/>
      <c r="M922" s="59"/>
    </row>
    <row r="923" spans="2:13">
      <c r="B923" s="135"/>
      <c r="C923" s="136"/>
      <c r="D923" s="137"/>
      <c r="E923" s="138"/>
      <c r="F923" s="139"/>
      <c r="G923" s="1" t="str">
        <f>IFERROR(IF(ventas_b_mes1[[#This Row],[CUIT]]="","-",VLOOKUP(ventas_b_mes1[[#This Row],[CUIT]],Lista_CUIT[#All],2,0)),"CUIT NO CARGADO")</f>
        <v>-</v>
      </c>
      <c r="H923" s="64">
        <f>ventas_b_mes1[[#This Row],[TOTAL]]/1.21</f>
        <v>0</v>
      </c>
      <c r="I923" s="140">
        <f>ventas_b_mes1[[#This Row],[IMPORTE NETO]]*0.21</f>
        <v>0</v>
      </c>
      <c r="J923" s="141"/>
      <c r="K923" s="141"/>
      <c r="L923" s="141"/>
      <c r="M923" s="59"/>
    </row>
    <row r="924" spans="2:13">
      <c r="B924" s="135"/>
      <c r="C924" s="136"/>
      <c r="D924" s="137"/>
      <c r="E924" s="138"/>
      <c r="F924" s="139"/>
      <c r="G924" s="1" t="str">
        <f>IFERROR(IF(ventas_b_mes1[[#This Row],[CUIT]]="","-",VLOOKUP(ventas_b_mes1[[#This Row],[CUIT]],Lista_CUIT[#All],2,0)),"CUIT NO CARGADO")</f>
        <v>-</v>
      </c>
      <c r="H924" s="64">
        <f>ventas_b_mes1[[#This Row],[TOTAL]]/1.21</f>
        <v>0</v>
      </c>
      <c r="I924" s="140">
        <f>ventas_b_mes1[[#This Row],[IMPORTE NETO]]*0.21</f>
        <v>0</v>
      </c>
      <c r="J924" s="141"/>
      <c r="K924" s="141"/>
      <c r="L924" s="141"/>
      <c r="M924" s="59"/>
    </row>
    <row r="925" spans="2:13">
      <c r="B925" s="135"/>
      <c r="C925" s="136"/>
      <c r="D925" s="137"/>
      <c r="E925" s="138"/>
      <c r="F925" s="139"/>
      <c r="G925" s="1" t="str">
        <f>IFERROR(IF(ventas_b_mes1[[#This Row],[CUIT]]="","-",VLOOKUP(ventas_b_mes1[[#This Row],[CUIT]],Lista_CUIT[#All],2,0)),"CUIT NO CARGADO")</f>
        <v>-</v>
      </c>
      <c r="H925" s="64">
        <f>ventas_b_mes1[[#This Row],[TOTAL]]/1.21</f>
        <v>0</v>
      </c>
      <c r="I925" s="140">
        <f>ventas_b_mes1[[#This Row],[IMPORTE NETO]]*0.21</f>
        <v>0</v>
      </c>
      <c r="J925" s="141"/>
      <c r="K925" s="141"/>
      <c r="L925" s="141"/>
      <c r="M925" s="59"/>
    </row>
    <row r="926" spans="2:13">
      <c r="B926" s="135"/>
      <c r="C926" s="136"/>
      <c r="D926" s="137"/>
      <c r="E926" s="138"/>
      <c r="F926" s="139"/>
      <c r="G926" s="1" t="str">
        <f>IFERROR(IF(ventas_b_mes1[[#This Row],[CUIT]]="","-",VLOOKUP(ventas_b_mes1[[#This Row],[CUIT]],Lista_CUIT[#All],2,0)),"CUIT NO CARGADO")</f>
        <v>-</v>
      </c>
      <c r="H926" s="64">
        <f>ventas_b_mes1[[#This Row],[TOTAL]]/1.21</f>
        <v>0</v>
      </c>
      <c r="I926" s="140">
        <f>ventas_b_mes1[[#This Row],[IMPORTE NETO]]*0.21</f>
        <v>0</v>
      </c>
      <c r="J926" s="141"/>
      <c r="K926" s="141"/>
      <c r="L926" s="141"/>
      <c r="M926" s="59"/>
    </row>
    <row r="927" spans="2:13">
      <c r="B927" s="135"/>
      <c r="C927" s="136"/>
      <c r="D927" s="137"/>
      <c r="E927" s="138"/>
      <c r="F927" s="139"/>
      <c r="G927" s="1" t="str">
        <f>IFERROR(IF(ventas_b_mes1[[#This Row],[CUIT]]="","-",VLOOKUP(ventas_b_mes1[[#This Row],[CUIT]],Lista_CUIT[#All],2,0)),"CUIT NO CARGADO")</f>
        <v>-</v>
      </c>
      <c r="H927" s="64">
        <f>ventas_b_mes1[[#This Row],[TOTAL]]/1.21</f>
        <v>0</v>
      </c>
      <c r="I927" s="140">
        <f>ventas_b_mes1[[#This Row],[IMPORTE NETO]]*0.21</f>
        <v>0</v>
      </c>
      <c r="J927" s="141"/>
      <c r="K927" s="141"/>
      <c r="L927" s="141"/>
      <c r="M927" s="59"/>
    </row>
    <row r="928" spans="2:13">
      <c r="B928" s="135"/>
      <c r="C928" s="136"/>
      <c r="D928" s="137"/>
      <c r="E928" s="138"/>
      <c r="F928" s="139"/>
      <c r="G928" s="1" t="str">
        <f>IFERROR(IF(ventas_b_mes1[[#This Row],[CUIT]]="","-",VLOOKUP(ventas_b_mes1[[#This Row],[CUIT]],Lista_CUIT[#All],2,0)),"CUIT NO CARGADO")</f>
        <v>-</v>
      </c>
      <c r="H928" s="64">
        <f>ventas_b_mes1[[#This Row],[TOTAL]]/1.21</f>
        <v>0</v>
      </c>
      <c r="I928" s="140">
        <f>ventas_b_mes1[[#This Row],[IMPORTE NETO]]*0.21</f>
        <v>0</v>
      </c>
      <c r="J928" s="141"/>
      <c r="K928" s="141"/>
      <c r="L928" s="141"/>
      <c r="M928" s="59"/>
    </row>
    <row r="929" spans="2:13">
      <c r="B929" s="135"/>
      <c r="C929" s="136"/>
      <c r="D929" s="137"/>
      <c r="E929" s="138"/>
      <c r="F929" s="139"/>
      <c r="G929" s="1" t="str">
        <f>IFERROR(IF(ventas_b_mes1[[#This Row],[CUIT]]="","-",VLOOKUP(ventas_b_mes1[[#This Row],[CUIT]],Lista_CUIT[#All],2,0)),"CUIT NO CARGADO")</f>
        <v>-</v>
      </c>
      <c r="H929" s="64">
        <f>ventas_b_mes1[[#This Row],[TOTAL]]/1.21</f>
        <v>0</v>
      </c>
      <c r="I929" s="140">
        <f>ventas_b_mes1[[#This Row],[IMPORTE NETO]]*0.21</f>
        <v>0</v>
      </c>
      <c r="J929" s="141"/>
      <c r="K929" s="141"/>
      <c r="L929" s="141"/>
      <c r="M929" s="59"/>
    </row>
    <row r="930" spans="2:13">
      <c r="B930" s="135"/>
      <c r="C930" s="136"/>
      <c r="D930" s="137"/>
      <c r="E930" s="138"/>
      <c r="F930" s="139"/>
      <c r="G930" s="1" t="str">
        <f>IFERROR(IF(ventas_b_mes1[[#This Row],[CUIT]]="","-",VLOOKUP(ventas_b_mes1[[#This Row],[CUIT]],Lista_CUIT[#All],2,0)),"CUIT NO CARGADO")</f>
        <v>-</v>
      </c>
      <c r="H930" s="64">
        <f>ventas_b_mes1[[#This Row],[TOTAL]]/1.21</f>
        <v>0</v>
      </c>
      <c r="I930" s="140">
        <f>ventas_b_mes1[[#This Row],[IMPORTE NETO]]*0.21</f>
        <v>0</v>
      </c>
      <c r="J930" s="141"/>
      <c r="K930" s="141"/>
      <c r="L930" s="141"/>
      <c r="M930" s="59"/>
    </row>
    <row r="931" spans="2:13">
      <c r="B931" s="135"/>
      <c r="C931" s="136"/>
      <c r="D931" s="137"/>
      <c r="E931" s="138"/>
      <c r="F931" s="139"/>
      <c r="G931" s="1" t="str">
        <f>IFERROR(IF(ventas_b_mes1[[#This Row],[CUIT]]="","-",VLOOKUP(ventas_b_mes1[[#This Row],[CUIT]],Lista_CUIT[#All],2,0)),"CUIT NO CARGADO")</f>
        <v>-</v>
      </c>
      <c r="H931" s="64">
        <f>ventas_b_mes1[[#This Row],[TOTAL]]/1.21</f>
        <v>0</v>
      </c>
      <c r="I931" s="140">
        <f>ventas_b_mes1[[#This Row],[IMPORTE NETO]]*0.21</f>
        <v>0</v>
      </c>
      <c r="J931" s="141"/>
      <c r="K931" s="141"/>
      <c r="L931" s="141"/>
      <c r="M931" s="59"/>
    </row>
    <row r="932" spans="2:13">
      <c r="B932" s="135"/>
      <c r="C932" s="136"/>
      <c r="D932" s="137"/>
      <c r="E932" s="138"/>
      <c r="F932" s="139"/>
      <c r="G932" s="1" t="str">
        <f>IFERROR(IF(ventas_b_mes1[[#This Row],[CUIT]]="","-",VLOOKUP(ventas_b_mes1[[#This Row],[CUIT]],Lista_CUIT[#All],2,0)),"CUIT NO CARGADO")</f>
        <v>-</v>
      </c>
      <c r="H932" s="64">
        <f>ventas_b_mes1[[#This Row],[TOTAL]]/1.21</f>
        <v>0</v>
      </c>
      <c r="I932" s="140">
        <f>ventas_b_mes1[[#This Row],[IMPORTE NETO]]*0.21</f>
        <v>0</v>
      </c>
      <c r="J932" s="141"/>
      <c r="K932" s="141"/>
      <c r="L932" s="141"/>
      <c r="M932" s="59"/>
    </row>
    <row r="933" spans="2:13">
      <c r="B933" s="135"/>
      <c r="C933" s="136"/>
      <c r="D933" s="137"/>
      <c r="E933" s="138"/>
      <c r="F933" s="139"/>
      <c r="G933" s="1" t="str">
        <f>IFERROR(IF(ventas_b_mes1[[#This Row],[CUIT]]="","-",VLOOKUP(ventas_b_mes1[[#This Row],[CUIT]],Lista_CUIT[#All],2,0)),"CUIT NO CARGADO")</f>
        <v>-</v>
      </c>
      <c r="H933" s="64">
        <f>ventas_b_mes1[[#This Row],[TOTAL]]/1.21</f>
        <v>0</v>
      </c>
      <c r="I933" s="140">
        <f>ventas_b_mes1[[#This Row],[IMPORTE NETO]]*0.21</f>
        <v>0</v>
      </c>
      <c r="J933" s="141"/>
      <c r="K933" s="141"/>
      <c r="L933" s="141"/>
      <c r="M933" s="59"/>
    </row>
    <row r="934" spans="2:13">
      <c r="B934" s="135"/>
      <c r="C934" s="136"/>
      <c r="D934" s="137"/>
      <c r="E934" s="138"/>
      <c r="F934" s="139"/>
      <c r="G934" s="1" t="str">
        <f>IFERROR(IF(ventas_b_mes1[[#This Row],[CUIT]]="","-",VLOOKUP(ventas_b_mes1[[#This Row],[CUIT]],Lista_CUIT[#All],2,0)),"CUIT NO CARGADO")</f>
        <v>-</v>
      </c>
      <c r="H934" s="64">
        <f>ventas_b_mes1[[#This Row],[TOTAL]]/1.21</f>
        <v>0</v>
      </c>
      <c r="I934" s="140">
        <f>ventas_b_mes1[[#This Row],[IMPORTE NETO]]*0.21</f>
        <v>0</v>
      </c>
      <c r="J934" s="141"/>
      <c r="K934" s="141"/>
      <c r="L934" s="141"/>
      <c r="M934" s="59"/>
    </row>
    <row r="935" spans="2:13">
      <c r="B935" s="135"/>
      <c r="C935" s="136"/>
      <c r="D935" s="137"/>
      <c r="E935" s="138"/>
      <c r="F935" s="139"/>
      <c r="G935" s="1" t="str">
        <f>IFERROR(IF(ventas_b_mes1[[#This Row],[CUIT]]="","-",VLOOKUP(ventas_b_mes1[[#This Row],[CUIT]],Lista_CUIT[#All],2,0)),"CUIT NO CARGADO")</f>
        <v>-</v>
      </c>
      <c r="H935" s="64">
        <f>ventas_b_mes1[[#This Row],[TOTAL]]/1.21</f>
        <v>0</v>
      </c>
      <c r="I935" s="140">
        <f>ventas_b_mes1[[#This Row],[IMPORTE NETO]]*0.21</f>
        <v>0</v>
      </c>
      <c r="J935" s="141"/>
      <c r="K935" s="141"/>
      <c r="L935" s="141"/>
      <c r="M935" s="59"/>
    </row>
    <row r="936" spans="2:13">
      <c r="B936" s="135"/>
      <c r="C936" s="136"/>
      <c r="D936" s="137"/>
      <c r="E936" s="138"/>
      <c r="F936" s="139"/>
      <c r="G936" s="1" t="str">
        <f>IFERROR(IF(ventas_b_mes1[[#This Row],[CUIT]]="","-",VLOOKUP(ventas_b_mes1[[#This Row],[CUIT]],Lista_CUIT[#All],2,0)),"CUIT NO CARGADO")</f>
        <v>-</v>
      </c>
      <c r="H936" s="64">
        <f>ventas_b_mes1[[#This Row],[TOTAL]]/1.21</f>
        <v>0</v>
      </c>
      <c r="I936" s="140">
        <f>ventas_b_mes1[[#This Row],[IMPORTE NETO]]*0.21</f>
        <v>0</v>
      </c>
      <c r="J936" s="141"/>
      <c r="K936" s="141"/>
      <c r="L936" s="141"/>
      <c r="M936" s="59"/>
    </row>
    <row r="937" spans="2:13">
      <c r="B937" s="135"/>
      <c r="C937" s="136"/>
      <c r="D937" s="137"/>
      <c r="E937" s="138"/>
      <c r="F937" s="139"/>
      <c r="G937" s="1" t="str">
        <f>IFERROR(IF(ventas_b_mes1[[#This Row],[CUIT]]="","-",VLOOKUP(ventas_b_mes1[[#This Row],[CUIT]],Lista_CUIT[#All],2,0)),"CUIT NO CARGADO")</f>
        <v>-</v>
      </c>
      <c r="H937" s="64">
        <f>ventas_b_mes1[[#This Row],[TOTAL]]/1.21</f>
        <v>0</v>
      </c>
      <c r="I937" s="140">
        <f>ventas_b_mes1[[#This Row],[IMPORTE NETO]]*0.21</f>
        <v>0</v>
      </c>
      <c r="J937" s="141"/>
      <c r="K937" s="141"/>
      <c r="L937" s="141"/>
      <c r="M937" s="59"/>
    </row>
    <row r="938" spans="2:13">
      <c r="B938" s="135"/>
      <c r="C938" s="136"/>
      <c r="D938" s="137"/>
      <c r="E938" s="138"/>
      <c r="F938" s="139"/>
      <c r="G938" s="1" t="str">
        <f>IFERROR(IF(ventas_b_mes1[[#This Row],[CUIT]]="","-",VLOOKUP(ventas_b_mes1[[#This Row],[CUIT]],Lista_CUIT[#All],2,0)),"CUIT NO CARGADO")</f>
        <v>-</v>
      </c>
      <c r="H938" s="64">
        <f>ventas_b_mes1[[#This Row],[TOTAL]]/1.21</f>
        <v>0</v>
      </c>
      <c r="I938" s="140">
        <f>ventas_b_mes1[[#This Row],[IMPORTE NETO]]*0.21</f>
        <v>0</v>
      </c>
      <c r="J938" s="141"/>
      <c r="K938" s="141"/>
      <c r="L938" s="141"/>
      <c r="M938" s="59"/>
    </row>
    <row r="939" spans="2:13">
      <c r="B939" s="135"/>
      <c r="C939" s="136"/>
      <c r="D939" s="137"/>
      <c r="E939" s="138"/>
      <c r="F939" s="139"/>
      <c r="G939" s="1" t="str">
        <f>IFERROR(IF(ventas_b_mes1[[#This Row],[CUIT]]="","-",VLOOKUP(ventas_b_mes1[[#This Row],[CUIT]],Lista_CUIT[#All],2,0)),"CUIT NO CARGADO")</f>
        <v>-</v>
      </c>
      <c r="H939" s="64">
        <f>ventas_b_mes1[[#This Row],[TOTAL]]/1.21</f>
        <v>0</v>
      </c>
      <c r="I939" s="140">
        <f>ventas_b_mes1[[#This Row],[IMPORTE NETO]]*0.21</f>
        <v>0</v>
      </c>
      <c r="J939" s="141"/>
      <c r="K939" s="141"/>
      <c r="L939" s="141"/>
      <c r="M939" s="59"/>
    </row>
    <row r="940" spans="2:13">
      <c r="B940" s="135"/>
      <c r="C940" s="136"/>
      <c r="D940" s="137"/>
      <c r="E940" s="138"/>
      <c r="F940" s="139"/>
      <c r="G940" s="1" t="str">
        <f>IFERROR(IF(ventas_b_mes1[[#This Row],[CUIT]]="","-",VLOOKUP(ventas_b_mes1[[#This Row],[CUIT]],Lista_CUIT[#All],2,0)),"CUIT NO CARGADO")</f>
        <v>-</v>
      </c>
      <c r="H940" s="64">
        <f>ventas_b_mes1[[#This Row],[TOTAL]]/1.21</f>
        <v>0</v>
      </c>
      <c r="I940" s="140">
        <f>ventas_b_mes1[[#This Row],[IMPORTE NETO]]*0.21</f>
        <v>0</v>
      </c>
      <c r="J940" s="141"/>
      <c r="K940" s="141"/>
      <c r="L940" s="141"/>
      <c r="M940" s="59"/>
    </row>
    <row r="941" spans="2:13">
      <c r="B941" s="135"/>
      <c r="C941" s="136"/>
      <c r="D941" s="137"/>
      <c r="E941" s="138"/>
      <c r="F941" s="139"/>
      <c r="G941" s="1" t="str">
        <f>IFERROR(IF(ventas_b_mes1[[#This Row],[CUIT]]="","-",VLOOKUP(ventas_b_mes1[[#This Row],[CUIT]],Lista_CUIT[#All],2,0)),"CUIT NO CARGADO")</f>
        <v>-</v>
      </c>
      <c r="H941" s="64">
        <f>ventas_b_mes1[[#This Row],[TOTAL]]/1.21</f>
        <v>0</v>
      </c>
      <c r="I941" s="140">
        <f>ventas_b_mes1[[#This Row],[IMPORTE NETO]]*0.21</f>
        <v>0</v>
      </c>
      <c r="J941" s="141"/>
      <c r="K941" s="141"/>
      <c r="L941" s="141"/>
      <c r="M941" s="59"/>
    </row>
    <row r="942" spans="2:13">
      <c r="B942" s="135"/>
      <c r="C942" s="136"/>
      <c r="D942" s="137"/>
      <c r="E942" s="138"/>
      <c r="F942" s="139"/>
      <c r="G942" s="1" t="str">
        <f>IFERROR(IF(ventas_b_mes1[[#This Row],[CUIT]]="","-",VLOOKUP(ventas_b_mes1[[#This Row],[CUIT]],Lista_CUIT[#All],2,0)),"CUIT NO CARGADO")</f>
        <v>-</v>
      </c>
      <c r="H942" s="64">
        <f>ventas_b_mes1[[#This Row],[TOTAL]]/1.21</f>
        <v>0</v>
      </c>
      <c r="I942" s="140">
        <f>ventas_b_mes1[[#This Row],[IMPORTE NETO]]*0.21</f>
        <v>0</v>
      </c>
      <c r="J942" s="141"/>
      <c r="K942" s="141"/>
      <c r="L942" s="141"/>
      <c r="M942" s="59"/>
    </row>
    <row r="943" spans="2:13">
      <c r="B943" s="135"/>
      <c r="C943" s="136"/>
      <c r="D943" s="137"/>
      <c r="E943" s="138"/>
      <c r="F943" s="139"/>
      <c r="G943" s="1" t="str">
        <f>IFERROR(IF(ventas_b_mes1[[#This Row],[CUIT]]="","-",VLOOKUP(ventas_b_mes1[[#This Row],[CUIT]],Lista_CUIT[#All],2,0)),"CUIT NO CARGADO")</f>
        <v>-</v>
      </c>
      <c r="H943" s="64">
        <f>ventas_b_mes1[[#This Row],[TOTAL]]/1.21</f>
        <v>0</v>
      </c>
      <c r="I943" s="140">
        <f>ventas_b_mes1[[#This Row],[IMPORTE NETO]]*0.21</f>
        <v>0</v>
      </c>
      <c r="J943" s="141"/>
      <c r="K943" s="141"/>
      <c r="L943" s="141"/>
      <c r="M943" s="59"/>
    </row>
    <row r="944" spans="2:13">
      <c r="B944" s="135"/>
      <c r="C944" s="136"/>
      <c r="D944" s="137"/>
      <c r="E944" s="138"/>
      <c r="F944" s="139"/>
      <c r="G944" s="1" t="str">
        <f>IFERROR(IF(ventas_b_mes1[[#This Row],[CUIT]]="","-",VLOOKUP(ventas_b_mes1[[#This Row],[CUIT]],Lista_CUIT[#All],2,0)),"CUIT NO CARGADO")</f>
        <v>-</v>
      </c>
      <c r="H944" s="64">
        <f>ventas_b_mes1[[#This Row],[TOTAL]]/1.21</f>
        <v>0</v>
      </c>
      <c r="I944" s="140">
        <f>ventas_b_mes1[[#This Row],[IMPORTE NETO]]*0.21</f>
        <v>0</v>
      </c>
      <c r="J944" s="141"/>
      <c r="K944" s="141"/>
      <c r="L944" s="141"/>
      <c r="M944" s="59"/>
    </row>
    <row r="945" spans="2:13">
      <c r="B945" s="135"/>
      <c r="C945" s="136"/>
      <c r="D945" s="137"/>
      <c r="E945" s="138"/>
      <c r="F945" s="139"/>
      <c r="G945" s="1" t="str">
        <f>IFERROR(IF(ventas_b_mes1[[#This Row],[CUIT]]="","-",VLOOKUP(ventas_b_mes1[[#This Row],[CUIT]],Lista_CUIT[#All],2,0)),"CUIT NO CARGADO")</f>
        <v>-</v>
      </c>
      <c r="H945" s="64">
        <f>ventas_b_mes1[[#This Row],[TOTAL]]/1.21</f>
        <v>0</v>
      </c>
      <c r="I945" s="140">
        <f>ventas_b_mes1[[#This Row],[IMPORTE NETO]]*0.21</f>
        <v>0</v>
      </c>
      <c r="J945" s="141"/>
      <c r="K945" s="141"/>
      <c r="L945" s="141"/>
      <c r="M945" s="59"/>
    </row>
    <row r="946" spans="2:13">
      <c r="B946" s="135"/>
      <c r="C946" s="136"/>
      <c r="D946" s="137"/>
      <c r="E946" s="138"/>
      <c r="F946" s="139"/>
      <c r="G946" s="1" t="str">
        <f>IFERROR(IF(ventas_b_mes1[[#This Row],[CUIT]]="","-",VLOOKUP(ventas_b_mes1[[#This Row],[CUIT]],Lista_CUIT[#All],2,0)),"CUIT NO CARGADO")</f>
        <v>-</v>
      </c>
      <c r="H946" s="64">
        <f>ventas_b_mes1[[#This Row],[TOTAL]]/1.21</f>
        <v>0</v>
      </c>
      <c r="I946" s="140">
        <f>ventas_b_mes1[[#This Row],[IMPORTE NETO]]*0.21</f>
        <v>0</v>
      </c>
      <c r="J946" s="141"/>
      <c r="K946" s="141"/>
      <c r="L946" s="141"/>
      <c r="M946" s="59"/>
    </row>
    <row r="947" spans="2:13">
      <c r="B947" s="135"/>
      <c r="C947" s="136"/>
      <c r="D947" s="137"/>
      <c r="E947" s="138"/>
      <c r="F947" s="139"/>
      <c r="G947" s="1" t="str">
        <f>IFERROR(IF(ventas_b_mes1[[#This Row],[CUIT]]="","-",VLOOKUP(ventas_b_mes1[[#This Row],[CUIT]],Lista_CUIT[#All],2,0)),"CUIT NO CARGADO")</f>
        <v>-</v>
      </c>
      <c r="H947" s="64">
        <f>ventas_b_mes1[[#This Row],[TOTAL]]/1.21</f>
        <v>0</v>
      </c>
      <c r="I947" s="140">
        <f>ventas_b_mes1[[#This Row],[IMPORTE NETO]]*0.21</f>
        <v>0</v>
      </c>
      <c r="J947" s="141"/>
      <c r="K947" s="141"/>
      <c r="L947" s="141"/>
      <c r="M947" s="59"/>
    </row>
    <row r="948" spans="2:13">
      <c r="B948" s="135"/>
      <c r="C948" s="136"/>
      <c r="D948" s="137"/>
      <c r="E948" s="138"/>
      <c r="F948" s="139"/>
      <c r="G948" s="1" t="str">
        <f>IFERROR(IF(ventas_b_mes1[[#This Row],[CUIT]]="","-",VLOOKUP(ventas_b_mes1[[#This Row],[CUIT]],Lista_CUIT[#All],2,0)),"CUIT NO CARGADO")</f>
        <v>-</v>
      </c>
      <c r="H948" s="64">
        <f>ventas_b_mes1[[#This Row],[TOTAL]]/1.21</f>
        <v>0</v>
      </c>
      <c r="I948" s="140">
        <f>ventas_b_mes1[[#This Row],[IMPORTE NETO]]*0.21</f>
        <v>0</v>
      </c>
      <c r="J948" s="141"/>
      <c r="K948" s="141"/>
      <c r="L948" s="141"/>
      <c r="M948" s="59"/>
    </row>
    <row r="949" spans="2:13">
      <c r="B949" s="135"/>
      <c r="C949" s="136"/>
      <c r="D949" s="137"/>
      <c r="E949" s="138"/>
      <c r="F949" s="139"/>
      <c r="G949" s="1" t="str">
        <f>IFERROR(IF(ventas_b_mes1[[#This Row],[CUIT]]="","-",VLOOKUP(ventas_b_mes1[[#This Row],[CUIT]],Lista_CUIT[#All],2,0)),"CUIT NO CARGADO")</f>
        <v>-</v>
      </c>
      <c r="H949" s="64">
        <f>ventas_b_mes1[[#This Row],[TOTAL]]/1.21</f>
        <v>0</v>
      </c>
      <c r="I949" s="140">
        <f>ventas_b_mes1[[#This Row],[IMPORTE NETO]]*0.21</f>
        <v>0</v>
      </c>
      <c r="J949" s="141"/>
      <c r="K949" s="141"/>
      <c r="L949" s="141"/>
      <c r="M949" s="59"/>
    </row>
    <row r="950" spans="2:13">
      <c r="B950" s="135"/>
      <c r="C950" s="136"/>
      <c r="D950" s="137"/>
      <c r="E950" s="138"/>
      <c r="F950" s="139"/>
      <c r="G950" s="1" t="str">
        <f>IFERROR(IF(ventas_b_mes1[[#This Row],[CUIT]]="","-",VLOOKUP(ventas_b_mes1[[#This Row],[CUIT]],Lista_CUIT[#All],2,0)),"CUIT NO CARGADO")</f>
        <v>-</v>
      </c>
      <c r="H950" s="64">
        <f>ventas_b_mes1[[#This Row],[TOTAL]]/1.21</f>
        <v>0</v>
      </c>
      <c r="I950" s="140">
        <f>ventas_b_mes1[[#This Row],[IMPORTE NETO]]*0.21</f>
        <v>0</v>
      </c>
      <c r="J950" s="141"/>
      <c r="K950" s="141"/>
      <c r="L950" s="141"/>
      <c r="M950" s="59"/>
    </row>
    <row r="951" spans="2:13">
      <c r="B951" s="135"/>
      <c r="C951" s="136"/>
      <c r="D951" s="137"/>
      <c r="E951" s="138"/>
      <c r="F951" s="139"/>
      <c r="G951" s="1" t="str">
        <f>IFERROR(IF(ventas_b_mes1[[#This Row],[CUIT]]="","-",VLOOKUP(ventas_b_mes1[[#This Row],[CUIT]],Lista_CUIT[#All],2,0)),"CUIT NO CARGADO")</f>
        <v>-</v>
      </c>
      <c r="H951" s="64">
        <f>ventas_b_mes1[[#This Row],[TOTAL]]/1.21</f>
        <v>0</v>
      </c>
      <c r="I951" s="140">
        <f>ventas_b_mes1[[#This Row],[IMPORTE NETO]]*0.21</f>
        <v>0</v>
      </c>
      <c r="J951" s="141"/>
      <c r="K951" s="141"/>
      <c r="L951" s="141"/>
      <c r="M951" s="59"/>
    </row>
    <row r="952" spans="2:13">
      <c r="B952" s="135"/>
      <c r="C952" s="136"/>
      <c r="D952" s="137"/>
      <c r="E952" s="138"/>
      <c r="F952" s="139"/>
      <c r="G952" s="1" t="str">
        <f>IFERROR(IF(ventas_b_mes1[[#This Row],[CUIT]]="","-",VLOOKUP(ventas_b_mes1[[#This Row],[CUIT]],Lista_CUIT[#All],2,0)),"CUIT NO CARGADO")</f>
        <v>-</v>
      </c>
      <c r="H952" s="64">
        <f>ventas_b_mes1[[#This Row],[TOTAL]]/1.21</f>
        <v>0</v>
      </c>
      <c r="I952" s="140">
        <f>ventas_b_mes1[[#This Row],[IMPORTE NETO]]*0.21</f>
        <v>0</v>
      </c>
      <c r="J952" s="141"/>
      <c r="K952" s="141"/>
      <c r="L952" s="141"/>
      <c r="M952" s="59"/>
    </row>
    <row r="953" spans="2:13">
      <c r="B953" s="135"/>
      <c r="C953" s="136"/>
      <c r="D953" s="137"/>
      <c r="E953" s="138"/>
      <c r="F953" s="139"/>
      <c r="G953" s="1" t="str">
        <f>IFERROR(IF(ventas_b_mes1[[#This Row],[CUIT]]="","-",VLOOKUP(ventas_b_mes1[[#This Row],[CUIT]],Lista_CUIT[#All],2,0)),"CUIT NO CARGADO")</f>
        <v>-</v>
      </c>
      <c r="H953" s="64">
        <f>ventas_b_mes1[[#This Row],[TOTAL]]/1.21</f>
        <v>0</v>
      </c>
      <c r="I953" s="140">
        <f>ventas_b_mes1[[#This Row],[IMPORTE NETO]]*0.21</f>
        <v>0</v>
      </c>
      <c r="J953" s="141"/>
      <c r="K953" s="141"/>
      <c r="L953" s="141"/>
      <c r="M953" s="59"/>
    </row>
    <row r="954" spans="2:13">
      <c r="B954" s="135"/>
      <c r="C954" s="136"/>
      <c r="D954" s="137"/>
      <c r="E954" s="138"/>
      <c r="F954" s="139"/>
      <c r="G954" s="1" t="str">
        <f>IFERROR(IF(ventas_b_mes1[[#This Row],[CUIT]]="","-",VLOOKUP(ventas_b_mes1[[#This Row],[CUIT]],Lista_CUIT[#All],2,0)),"CUIT NO CARGADO")</f>
        <v>-</v>
      </c>
      <c r="H954" s="64">
        <f>ventas_b_mes1[[#This Row],[TOTAL]]/1.21</f>
        <v>0</v>
      </c>
      <c r="I954" s="140">
        <f>ventas_b_mes1[[#This Row],[IMPORTE NETO]]*0.21</f>
        <v>0</v>
      </c>
      <c r="J954" s="141"/>
      <c r="K954" s="141"/>
      <c r="L954" s="141"/>
      <c r="M954" s="59"/>
    </row>
    <row r="955" spans="2:13">
      <c r="B955" s="135"/>
      <c r="C955" s="136"/>
      <c r="D955" s="137"/>
      <c r="E955" s="138"/>
      <c r="F955" s="139"/>
      <c r="G955" s="1" t="str">
        <f>IFERROR(IF(ventas_b_mes1[[#This Row],[CUIT]]="","-",VLOOKUP(ventas_b_mes1[[#This Row],[CUIT]],Lista_CUIT[#All],2,0)),"CUIT NO CARGADO")</f>
        <v>-</v>
      </c>
      <c r="H955" s="64">
        <f>ventas_b_mes1[[#This Row],[TOTAL]]/1.21</f>
        <v>0</v>
      </c>
      <c r="I955" s="140">
        <f>ventas_b_mes1[[#This Row],[IMPORTE NETO]]*0.21</f>
        <v>0</v>
      </c>
      <c r="J955" s="141"/>
      <c r="K955" s="141"/>
      <c r="L955" s="141"/>
      <c r="M955" s="59"/>
    </row>
    <row r="956" spans="2:13">
      <c r="B956" s="135"/>
      <c r="C956" s="136"/>
      <c r="D956" s="137"/>
      <c r="E956" s="138"/>
      <c r="F956" s="139"/>
      <c r="G956" s="1" t="str">
        <f>IFERROR(IF(ventas_b_mes1[[#This Row],[CUIT]]="","-",VLOOKUP(ventas_b_mes1[[#This Row],[CUIT]],Lista_CUIT[#All],2,0)),"CUIT NO CARGADO")</f>
        <v>-</v>
      </c>
      <c r="H956" s="64">
        <f>ventas_b_mes1[[#This Row],[TOTAL]]/1.21</f>
        <v>0</v>
      </c>
      <c r="I956" s="140">
        <f>ventas_b_mes1[[#This Row],[IMPORTE NETO]]*0.21</f>
        <v>0</v>
      </c>
      <c r="J956" s="141"/>
      <c r="K956" s="141"/>
      <c r="L956" s="141"/>
      <c r="M956" s="59"/>
    </row>
    <row r="957" spans="2:13">
      <c r="B957" s="135"/>
      <c r="C957" s="136"/>
      <c r="D957" s="137"/>
      <c r="E957" s="138"/>
      <c r="F957" s="139"/>
      <c r="G957" s="1" t="str">
        <f>IFERROR(IF(ventas_b_mes1[[#This Row],[CUIT]]="","-",VLOOKUP(ventas_b_mes1[[#This Row],[CUIT]],Lista_CUIT[#All],2,0)),"CUIT NO CARGADO")</f>
        <v>-</v>
      </c>
      <c r="H957" s="64">
        <f>ventas_b_mes1[[#This Row],[TOTAL]]/1.21</f>
        <v>0</v>
      </c>
      <c r="I957" s="140">
        <f>ventas_b_mes1[[#This Row],[IMPORTE NETO]]*0.21</f>
        <v>0</v>
      </c>
      <c r="J957" s="141"/>
      <c r="K957" s="141"/>
      <c r="L957" s="141"/>
      <c r="M957" s="59"/>
    </row>
    <row r="958" spans="2:13">
      <c r="B958" s="135"/>
      <c r="C958" s="136"/>
      <c r="D958" s="137"/>
      <c r="E958" s="138"/>
      <c r="F958" s="139"/>
      <c r="G958" s="1" t="str">
        <f>IFERROR(IF(ventas_b_mes1[[#This Row],[CUIT]]="","-",VLOOKUP(ventas_b_mes1[[#This Row],[CUIT]],Lista_CUIT[#All],2,0)),"CUIT NO CARGADO")</f>
        <v>-</v>
      </c>
      <c r="H958" s="64">
        <f>ventas_b_mes1[[#This Row],[TOTAL]]/1.21</f>
        <v>0</v>
      </c>
      <c r="I958" s="140">
        <f>ventas_b_mes1[[#This Row],[IMPORTE NETO]]*0.21</f>
        <v>0</v>
      </c>
      <c r="J958" s="141"/>
      <c r="K958" s="141"/>
      <c r="L958" s="141"/>
      <c r="M958" s="59"/>
    </row>
    <row r="959" spans="2:13">
      <c r="B959" s="135"/>
      <c r="C959" s="136"/>
      <c r="D959" s="137"/>
      <c r="E959" s="138"/>
      <c r="F959" s="139"/>
      <c r="G959" s="1" t="str">
        <f>IFERROR(IF(ventas_b_mes1[[#This Row],[CUIT]]="","-",VLOOKUP(ventas_b_mes1[[#This Row],[CUIT]],Lista_CUIT[#All],2,0)),"CUIT NO CARGADO")</f>
        <v>-</v>
      </c>
      <c r="H959" s="64">
        <f>ventas_b_mes1[[#This Row],[TOTAL]]/1.21</f>
        <v>0</v>
      </c>
      <c r="I959" s="140">
        <f>ventas_b_mes1[[#This Row],[IMPORTE NETO]]*0.21</f>
        <v>0</v>
      </c>
      <c r="J959" s="141"/>
      <c r="K959" s="141"/>
      <c r="L959" s="141"/>
      <c r="M959" s="59"/>
    </row>
    <row r="960" spans="2:13">
      <c r="B960" s="135"/>
      <c r="C960" s="136"/>
      <c r="D960" s="137"/>
      <c r="E960" s="138"/>
      <c r="F960" s="139"/>
      <c r="G960" s="1" t="str">
        <f>IFERROR(IF(ventas_b_mes1[[#This Row],[CUIT]]="","-",VLOOKUP(ventas_b_mes1[[#This Row],[CUIT]],Lista_CUIT[#All],2,0)),"CUIT NO CARGADO")</f>
        <v>-</v>
      </c>
      <c r="H960" s="64">
        <f>ventas_b_mes1[[#This Row],[TOTAL]]/1.21</f>
        <v>0</v>
      </c>
      <c r="I960" s="140">
        <f>ventas_b_mes1[[#This Row],[IMPORTE NETO]]*0.21</f>
        <v>0</v>
      </c>
      <c r="J960" s="141"/>
      <c r="K960" s="141"/>
      <c r="L960" s="141"/>
      <c r="M960" s="59"/>
    </row>
    <row r="961" spans="2:13">
      <c r="B961" s="135"/>
      <c r="C961" s="136"/>
      <c r="D961" s="137"/>
      <c r="E961" s="138"/>
      <c r="F961" s="139"/>
      <c r="G961" s="1" t="str">
        <f>IFERROR(IF(ventas_b_mes1[[#This Row],[CUIT]]="","-",VLOOKUP(ventas_b_mes1[[#This Row],[CUIT]],Lista_CUIT[#All],2,0)),"CUIT NO CARGADO")</f>
        <v>-</v>
      </c>
      <c r="H961" s="64">
        <f>ventas_b_mes1[[#This Row],[TOTAL]]/1.21</f>
        <v>0</v>
      </c>
      <c r="I961" s="140">
        <f>ventas_b_mes1[[#This Row],[IMPORTE NETO]]*0.21</f>
        <v>0</v>
      </c>
      <c r="J961" s="141"/>
      <c r="K961" s="141"/>
      <c r="L961" s="141"/>
      <c r="M961" s="59"/>
    </row>
    <row r="962" spans="2:13">
      <c r="B962" s="135"/>
      <c r="C962" s="136"/>
      <c r="D962" s="137"/>
      <c r="E962" s="138"/>
      <c r="F962" s="139"/>
      <c r="G962" s="1" t="str">
        <f>IFERROR(IF(ventas_b_mes1[[#This Row],[CUIT]]="","-",VLOOKUP(ventas_b_mes1[[#This Row],[CUIT]],Lista_CUIT[#All],2,0)),"CUIT NO CARGADO")</f>
        <v>-</v>
      </c>
      <c r="H962" s="64">
        <f>ventas_b_mes1[[#This Row],[TOTAL]]/1.21</f>
        <v>0</v>
      </c>
      <c r="I962" s="140">
        <f>ventas_b_mes1[[#This Row],[IMPORTE NETO]]*0.21</f>
        <v>0</v>
      </c>
      <c r="J962" s="141"/>
      <c r="K962" s="141"/>
      <c r="L962" s="141"/>
      <c r="M962" s="59"/>
    </row>
    <row r="963" spans="2:13">
      <c r="B963" s="135"/>
      <c r="C963" s="136"/>
      <c r="D963" s="137"/>
      <c r="E963" s="138"/>
      <c r="F963" s="139"/>
      <c r="G963" s="1" t="str">
        <f>IFERROR(IF(ventas_b_mes1[[#This Row],[CUIT]]="","-",VLOOKUP(ventas_b_mes1[[#This Row],[CUIT]],Lista_CUIT[#All],2,0)),"CUIT NO CARGADO")</f>
        <v>-</v>
      </c>
      <c r="H963" s="64">
        <f>ventas_b_mes1[[#This Row],[TOTAL]]/1.21</f>
        <v>0</v>
      </c>
      <c r="I963" s="140">
        <f>ventas_b_mes1[[#This Row],[IMPORTE NETO]]*0.21</f>
        <v>0</v>
      </c>
      <c r="J963" s="141"/>
      <c r="K963" s="141"/>
      <c r="L963" s="141"/>
      <c r="M963" s="59"/>
    </row>
    <row r="964" spans="2:13">
      <c r="B964" s="135"/>
      <c r="C964" s="136"/>
      <c r="D964" s="137"/>
      <c r="E964" s="138"/>
      <c r="F964" s="139"/>
      <c r="G964" s="1" t="str">
        <f>IFERROR(IF(ventas_b_mes1[[#This Row],[CUIT]]="","-",VLOOKUP(ventas_b_mes1[[#This Row],[CUIT]],Lista_CUIT[#All],2,0)),"CUIT NO CARGADO")</f>
        <v>-</v>
      </c>
      <c r="H964" s="64">
        <f>ventas_b_mes1[[#This Row],[TOTAL]]/1.21</f>
        <v>0</v>
      </c>
      <c r="I964" s="140">
        <f>ventas_b_mes1[[#This Row],[IMPORTE NETO]]*0.21</f>
        <v>0</v>
      </c>
      <c r="J964" s="141"/>
      <c r="K964" s="141"/>
      <c r="L964" s="141"/>
      <c r="M964" s="59"/>
    </row>
    <row r="965" spans="2:13">
      <c r="B965" s="135"/>
      <c r="C965" s="136"/>
      <c r="D965" s="137"/>
      <c r="E965" s="138"/>
      <c r="F965" s="139"/>
      <c r="G965" s="1" t="str">
        <f>IFERROR(IF(ventas_b_mes1[[#This Row],[CUIT]]="","-",VLOOKUP(ventas_b_mes1[[#This Row],[CUIT]],Lista_CUIT[#All],2,0)),"CUIT NO CARGADO")</f>
        <v>-</v>
      </c>
      <c r="H965" s="64">
        <f>ventas_b_mes1[[#This Row],[TOTAL]]/1.21</f>
        <v>0</v>
      </c>
      <c r="I965" s="140">
        <f>ventas_b_mes1[[#This Row],[IMPORTE NETO]]*0.21</f>
        <v>0</v>
      </c>
      <c r="J965" s="141"/>
      <c r="K965" s="141"/>
      <c r="L965" s="141"/>
      <c r="M965" s="59"/>
    </row>
    <row r="966" spans="2:13">
      <c r="B966" s="135"/>
      <c r="C966" s="136"/>
      <c r="D966" s="137"/>
      <c r="E966" s="138"/>
      <c r="F966" s="139"/>
      <c r="G966" s="1" t="str">
        <f>IFERROR(IF(ventas_b_mes1[[#This Row],[CUIT]]="","-",VLOOKUP(ventas_b_mes1[[#This Row],[CUIT]],Lista_CUIT[#All],2,0)),"CUIT NO CARGADO")</f>
        <v>-</v>
      </c>
      <c r="H966" s="64">
        <f>ventas_b_mes1[[#This Row],[TOTAL]]/1.21</f>
        <v>0</v>
      </c>
      <c r="I966" s="140">
        <f>ventas_b_mes1[[#This Row],[IMPORTE NETO]]*0.21</f>
        <v>0</v>
      </c>
      <c r="J966" s="141"/>
      <c r="K966" s="141"/>
      <c r="L966" s="141"/>
      <c r="M966" s="59"/>
    </row>
    <row r="967" spans="2:13">
      <c r="B967" s="135"/>
      <c r="C967" s="136"/>
      <c r="D967" s="137"/>
      <c r="E967" s="138"/>
      <c r="F967" s="139"/>
      <c r="G967" s="1" t="str">
        <f>IFERROR(IF(ventas_b_mes1[[#This Row],[CUIT]]="","-",VLOOKUP(ventas_b_mes1[[#This Row],[CUIT]],Lista_CUIT[#All],2,0)),"CUIT NO CARGADO")</f>
        <v>-</v>
      </c>
      <c r="H967" s="64">
        <f>ventas_b_mes1[[#This Row],[TOTAL]]/1.21</f>
        <v>0</v>
      </c>
      <c r="I967" s="140">
        <f>ventas_b_mes1[[#This Row],[IMPORTE NETO]]*0.21</f>
        <v>0</v>
      </c>
      <c r="J967" s="141"/>
      <c r="K967" s="141"/>
      <c r="L967" s="141"/>
      <c r="M967" s="59"/>
    </row>
    <row r="968" spans="2:13">
      <c r="B968" s="135"/>
      <c r="C968" s="136"/>
      <c r="D968" s="137"/>
      <c r="E968" s="138"/>
      <c r="F968" s="139"/>
      <c r="G968" s="1" t="str">
        <f>IFERROR(IF(ventas_b_mes1[[#This Row],[CUIT]]="","-",VLOOKUP(ventas_b_mes1[[#This Row],[CUIT]],Lista_CUIT[#All],2,0)),"CUIT NO CARGADO")</f>
        <v>-</v>
      </c>
      <c r="H968" s="64">
        <f>ventas_b_mes1[[#This Row],[TOTAL]]/1.21</f>
        <v>0</v>
      </c>
      <c r="I968" s="140">
        <f>ventas_b_mes1[[#This Row],[IMPORTE NETO]]*0.21</f>
        <v>0</v>
      </c>
      <c r="J968" s="141"/>
      <c r="K968" s="141"/>
      <c r="L968" s="141"/>
      <c r="M968" s="59"/>
    </row>
    <row r="969" spans="2:13">
      <c r="B969" s="135"/>
      <c r="C969" s="136"/>
      <c r="D969" s="137"/>
      <c r="E969" s="138"/>
      <c r="F969" s="139"/>
      <c r="G969" s="1" t="str">
        <f>IFERROR(IF(ventas_b_mes1[[#This Row],[CUIT]]="","-",VLOOKUP(ventas_b_mes1[[#This Row],[CUIT]],Lista_CUIT[#All],2,0)),"CUIT NO CARGADO")</f>
        <v>-</v>
      </c>
      <c r="H969" s="64">
        <f>ventas_b_mes1[[#This Row],[TOTAL]]/1.21</f>
        <v>0</v>
      </c>
      <c r="I969" s="140">
        <f>ventas_b_mes1[[#This Row],[IMPORTE NETO]]*0.21</f>
        <v>0</v>
      </c>
      <c r="J969" s="141"/>
      <c r="K969" s="141"/>
      <c r="L969" s="141"/>
      <c r="M969" s="59"/>
    </row>
    <row r="970" spans="2:13">
      <c r="B970" s="135"/>
      <c r="C970" s="136"/>
      <c r="D970" s="137"/>
      <c r="E970" s="138"/>
      <c r="F970" s="139"/>
      <c r="G970" s="1" t="str">
        <f>IFERROR(IF(ventas_b_mes1[[#This Row],[CUIT]]="","-",VLOOKUP(ventas_b_mes1[[#This Row],[CUIT]],Lista_CUIT[#All],2,0)),"CUIT NO CARGADO")</f>
        <v>-</v>
      </c>
      <c r="H970" s="64">
        <f>ventas_b_mes1[[#This Row],[TOTAL]]/1.21</f>
        <v>0</v>
      </c>
      <c r="I970" s="140">
        <f>ventas_b_mes1[[#This Row],[IMPORTE NETO]]*0.21</f>
        <v>0</v>
      </c>
      <c r="J970" s="141"/>
      <c r="K970" s="141"/>
      <c r="L970" s="141"/>
      <c r="M970" s="59"/>
    </row>
    <row r="971" spans="2:13">
      <c r="B971" s="135"/>
      <c r="C971" s="136"/>
      <c r="D971" s="137"/>
      <c r="E971" s="138"/>
      <c r="F971" s="139"/>
      <c r="G971" s="1" t="str">
        <f>IFERROR(IF(ventas_b_mes1[[#This Row],[CUIT]]="","-",VLOOKUP(ventas_b_mes1[[#This Row],[CUIT]],Lista_CUIT[#All],2,0)),"CUIT NO CARGADO")</f>
        <v>-</v>
      </c>
      <c r="H971" s="64">
        <f>ventas_b_mes1[[#This Row],[TOTAL]]/1.21</f>
        <v>0</v>
      </c>
      <c r="I971" s="140">
        <f>ventas_b_mes1[[#This Row],[IMPORTE NETO]]*0.21</f>
        <v>0</v>
      </c>
      <c r="J971" s="141"/>
      <c r="K971" s="141"/>
      <c r="L971" s="141"/>
      <c r="M971" s="59"/>
    </row>
    <row r="972" spans="2:13">
      <c r="B972" s="135"/>
      <c r="C972" s="136"/>
      <c r="D972" s="137"/>
      <c r="E972" s="138"/>
      <c r="F972" s="139"/>
      <c r="G972" s="1" t="str">
        <f>IFERROR(IF(ventas_b_mes1[[#This Row],[CUIT]]="","-",VLOOKUP(ventas_b_mes1[[#This Row],[CUIT]],Lista_CUIT[#All],2,0)),"CUIT NO CARGADO")</f>
        <v>-</v>
      </c>
      <c r="H972" s="64">
        <f>ventas_b_mes1[[#This Row],[TOTAL]]/1.21</f>
        <v>0</v>
      </c>
      <c r="I972" s="140">
        <f>ventas_b_mes1[[#This Row],[IMPORTE NETO]]*0.21</f>
        <v>0</v>
      </c>
      <c r="J972" s="141"/>
      <c r="K972" s="141"/>
      <c r="L972" s="141"/>
      <c r="M972" s="59"/>
    </row>
    <row r="973" spans="2:13">
      <c r="B973" s="135"/>
      <c r="C973" s="136"/>
      <c r="D973" s="137"/>
      <c r="E973" s="138"/>
      <c r="F973" s="139"/>
      <c r="G973" s="1" t="str">
        <f>IFERROR(IF(ventas_b_mes1[[#This Row],[CUIT]]="","-",VLOOKUP(ventas_b_mes1[[#This Row],[CUIT]],Lista_CUIT[#All],2,0)),"CUIT NO CARGADO")</f>
        <v>-</v>
      </c>
      <c r="H973" s="64">
        <f>ventas_b_mes1[[#This Row],[TOTAL]]/1.21</f>
        <v>0</v>
      </c>
      <c r="I973" s="140">
        <f>ventas_b_mes1[[#This Row],[IMPORTE NETO]]*0.21</f>
        <v>0</v>
      </c>
      <c r="J973" s="141"/>
      <c r="K973" s="141"/>
      <c r="L973" s="141"/>
      <c r="M973" s="59"/>
    </row>
    <row r="974" spans="2:13">
      <c r="B974" s="135"/>
      <c r="C974" s="136"/>
      <c r="D974" s="137"/>
      <c r="E974" s="138"/>
      <c r="F974" s="139"/>
      <c r="G974" s="1" t="str">
        <f>IFERROR(IF(ventas_b_mes1[[#This Row],[CUIT]]="","-",VLOOKUP(ventas_b_mes1[[#This Row],[CUIT]],Lista_CUIT[#All],2,0)),"CUIT NO CARGADO")</f>
        <v>-</v>
      </c>
      <c r="H974" s="64">
        <f>ventas_b_mes1[[#This Row],[TOTAL]]/1.21</f>
        <v>0</v>
      </c>
      <c r="I974" s="140">
        <f>ventas_b_mes1[[#This Row],[IMPORTE NETO]]*0.21</f>
        <v>0</v>
      </c>
      <c r="J974" s="141"/>
      <c r="K974" s="141"/>
      <c r="L974" s="141"/>
      <c r="M974" s="59"/>
    </row>
    <row r="975" spans="2:13">
      <c r="B975" s="135"/>
      <c r="C975" s="136"/>
      <c r="D975" s="137"/>
      <c r="E975" s="138"/>
      <c r="F975" s="139"/>
      <c r="G975" s="1" t="str">
        <f>IFERROR(IF(ventas_b_mes1[[#This Row],[CUIT]]="","-",VLOOKUP(ventas_b_mes1[[#This Row],[CUIT]],Lista_CUIT[#All],2,0)),"CUIT NO CARGADO")</f>
        <v>-</v>
      </c>
      <c r="H975" s="64">
        <f>ventas_b_mes1[[#This Row],[TOTAL]]/1.21</f>
        <v>0</v>
      </c>
      <c r="I975" s="140">
        <f>ventas_b_mes1[[#This Row],[IMPORTE NETO]]*0.21</f>
        <v>0</v>
      </c>
      <c r="J975" s="141"/>
      <c r="K975" s="141"/>
      <c r="L975" s="141"/>
      <c r="M975" s="59"/>
    </row>
    <row r="976" spans="2:13">
      <c r="B976" s="135"/>
      <c r="C976" s="136"/>
      <c r="D976" s="137"/>
      <c r="E976" s="138"/>
      <c r="F976" s="139"/>
      <c r="G976" s="1" t="str">
        <f>IFERROR(IF(ventas_b_mes1[[#This Row],[CUIT]]="","-",VLOOKUP(ventas_b_mes1[[#This Row],[CUIT]],Lista_CUIT[#All],2,0)),"CUIT NO CARGADO")</f>
        <v>-</v>
      </c>
      <c r="H976" s="64">
        <f>ventas_b_mes1[[#This Row],[TOTAL]]/1.21</f>
        <v>0</v>
      </c>
      <c r="I976" s="140">
        <f>ventas_b_mes1[[#This Row],[IMPORTE NETO]]*0.21</f>
        <v>0</v>
      </c>
      <c r="J976" s="141"/>
      <c r="K976" s="141"/>
      <c r="L976" s="141"/>
      <c r="M976" s="59"/>
    </row>
    <row r="977" spans="2:13">
      <c r="B977" s="135"/>
      <c r="C977" s="136"/>
      <c r="D977" s="137"/>
      <c r="E977" s="138"/>
      <c r="F977" s="139"/>
      <c r="G977" s="1" t="str">
        <f>IFERROR(IF(ventas_b_mes1[[#This Row],[CUIT]]="","-",VLOOKUP(ventas_b_mes1[[#This Row],[CUIT]],Lista_CUIT[#All],2,0)),"CUIT NO CARGADO")</f>
        <v>-</v>
      </c>
      <c r="H977" s="64">
        <f>ventas_b_mes1[[#This Row],[TOTAL]]/1.21</f>
        <v>0</v>
      </c>
      <c r="I977" s="140">
        <f>ventas_b_mes1[[#This Row],[IMPORTE NETO]]*0.21</f>
        <v>0</v>
      </c>
      <c r="J977" s="141"/>
      <c r="K977" s="141"/>
      <c r="L977" s="141"/>
      <c r="M977" s="59"/>
    </row>
    <row r="978" spans="2:13">
      <c r="B978" s="135"/>
      <c r="C978" s="136"/>
      <c r="D978" s="137"/>
      <c r="E978" s="138"/>
      <c r="F978" s="139"/>
      <c r="G978" s="1" t="str">
        <f>IFERROR(IF(ventas_b_mes1[[#This Row],[CUIT]]="","-",VLOOKUP(ventas_b_mes1[[#This Row],[CUIT]],Lista_CUIT[#All],2,0)),"CUIT NO CARGADO")</f>
        <v>-</v>
      </c>
      <c r="H978" s="64">
        <f>ventas_b_mes1[[#This Row],[TOTAL]]/1.21</f>
        <v>0</v>
      </c>
      <c r="I978" s="140">
        <f>ventas_b_mes1[[#This Row],[IMPORTE NETO]]*0.21</f>
        <v>0</v>
      </c>
      <c r="J978" s="141"/>
      <c r="K978" s="141"/>
      <c r="L978" s="141"/>
      <c r="M978" s="59"/>
    </row>
    <row r="979" spans="2:13">
      <c r="B979" s="135"/>
      <c r="C979" s="136"/>
      <c r="D979" s="137"/>
      <c r="E979" s="138"/>
      <c r="F979" s="139"/>
      <c r="G979" s="1" t="str">
        <f>IFERROR(IF(ventas_b_mes1[[#This Row],[CUIT]]="","-",VLOOKUP(ventas_b_mes1[[#This Row],[CUIT]],Lista_CUIT[#All],2,0)),"CUIT NO CARGADO")</f>
        <v>-</v>
      </c>
      <c r="H979" s="64">
        <f>ventas_b_mes1[[#This Row],[TOTAL]]/1.21</f>
        <v>0</v>
      </c>
      <c r="I979" s="140">
        <f>ventas_b_mes1[[#This Row],[IMPORTE NETO]]*0.21</f>
        <v>0</v>
      </c>
      <c r="J979" s="141"/>
      <c r="K979" s="141"/>
      <c r="L979" s="141"/>
      <c r="M979" s="59"/>
    </row>
    <row r="980" spans="2:13">
      <c r="B980" s="135"/>
      <c r="C980" s="136"/>
      <c r="D980" s="137"/>
      <c r="E980" s="138"/>
      <c r="F980" s="139"/>
      <c r="G980" s="1" t="str">
        <f>IFERROR(IF(ventas_b_mes1[[#This Row],[CUIT]]="","-",VLOOKUP(ventas_b_mes1[[#This Row],[CUIT]],Lista_CUIT[#All],2,0)),"CUIT NO CARGADO")</f>
        <v>-</v>
      </c>
      <c r="H980" s="64">
        <f>ventas_b_mes1[[#This Row],[TOTAL]]/1.21</f>
        <v>0</v>
      </c>
      <c r="I980" s="140">
        <f>ventas_b_mes1[[#This Row],[IMPORTE NETO]]*0.21</f>
        <v>0</v>
      </c>
      <c r="J980" s="141"/>
      <c r="K980" s="141"/>
      <c r="L980" s="141"/>
      <c r="M980" s="59"/>
    </row>
    <row r="981" spans="2:13">
      <c r="B981" s="135"/>
      <c r="C981" s="136"/>
      <c r="D981" s="137"/>
      <c r="E981" s="138"/>
      <c r="F981" s="139"/>
      <c r="G981" s="1" t="str">
        <f>IFERROR(IF(ventas_b_mes1[[#This Row],[CUIT]]="","-",VLOOKUP(ventas_b_mes1[[#This Row],[CUIT]],Lista_CUIT[#All],2,0)),"CUIT NO CARGADO")</f>
        <v>-</v>
      </c>
      <c r="H981" s="64">
        <f>ventas_b_mes1[[#This Row],[TOTAL]]/1.21</f>
        <v>0</v>
      </c>
      <c r="I981" s="140">
        <f>ventas_b_mes1[[#This Row],[IMPORTE NETO]]*0.21</f>
        <v>0</v>
      </c>
      <c r="J981" s="141"/>
      <c r="K981" s="141"/>
      <c r="L981" s="141"/>
      <c r="M981" s="59"/>
    </row>
    <row r="982" spans="2:13">
      <c r="B982" s="135"/>
      <c r="C982" s="136"/>
      <c r="D982" s="137"/>
      <c r="E982" s="138"/>
      <c r="F982" s="139"/>
      <c r="G982" s="1" t="str">
        <f>IFERROR(IF(ventas_b_mes1[[#This Row],[CUIT]]="","-",VLOOKUP(ventas_b_mes1[[#This Row],[CUIT]],Lista_CUIT[#All],2,0)),"CUIT NO CARGADO")</f>
        <v>-</v>
      </c>
      <c r="H982" s="64">
        <f>ventas_b_mes1[[#This Row],[TOTAL]]/1.21</f>
        <v>0</v>
      </c>
      <c r="I982" s="140">
        <f>ventas_b_mes1[[#This Row],[IMPORTE NETO]]*0.21</f>
        <v>0</v>
      </c>
      <c r="J982" s="141"/>
      <c r="K982" s="141"/>
      <c r="L982" s="141"/>
      <c r="M982" s="59"/>
    </row>
    <row r="983" spans="2:13">
      <c r="B983" s="135"/>
      <c r="C983" s="136"/>
      <c r="D983" s="137"/>
      <c r="E983" s="138"/>
      <c r="F983" s="139"/>
      <c r="G983" s="1" t="str">
        <f>IFERROR(IF(ventas_b_mes1[[#This Row],[CUIT]]="","-",VLOOKUP(ventas_b_mes1[[#This Row],[CUIT]],Lista_CUIT[#All],2,0)),"CUIT NO CARGADO")</f>
        <v>-</v>
      </c>
      <c r="H983" s="64">
        <f>ventas_b_mes1[[#This Row],[TOTAL]]/1.21</f>
        <v>0</v>
      </c>
      <c r="I983" s="140">
        <f>ventas_b_mes1[[#This Row],[IMPORTE NETO]]*0.21</f>
        <v>0</v>
      </c>
      <c r="J983" s="141"/>
      <c r="K983" s="141"/>
      <c r="L983" s="141"/>
      <c r="M983" s="59"/>
    </row>
    <row r="984" spans="2:13">
      <c r="B984" s="135"/>
      <c r="C984" s="136"/>
      <c r="D984" s="137"/>
      <c r="E984" s="138"/>
      <c r="F984" s="139"/>
      <c r="G984" s="1" t="str">
        <f>IFERROR(IF(ventas_b_mes1[[#This Row],[CUIT]]="","-",VLOOKUP(ventas_b_mes1[[#This Row],[CUIT]],Lista_CUIT[#All],2,0)),"CUIT NO CARGADO")</f>
        <v>-</v>
      </c>
      <c r="H984" s="64">
        <f>ventas_b_mes1[[#This Row],[TOTAL]]/1.21</f>
        <v>0</v>
      </c>
      <c r="I984" s="140">
        <f>ventas_b_mes1[[#This Row],[IMPORTE NETO]]*0.21</f>
        <v>0</v>
      </c>
      <c r="J984" s="141"/>
      <c r="K984" s="141"/>
      <c r="L984" s="141"/>
      <c r="M984" s="59"/>
    </row>
    <row r="985" spans="2:13">
      <c r="B985" s="135"/>
      <c r="C985" s="136"/>
      <c r="D985" s="137"/>
      <c r="E985" s="138"/>
      <c r="F985" s="139"/>
      <c r="G985" s="1" t="str">
        <f>IFERROR(IF(ventas_b_mes1[[#This Row],[CUIT]]="","-",VLOOKUP(ventas_b_mes1[[#This Row],[CUIT]],Lista_CUIT[#All],2,0)),"CUIT NO CARGADO")</f>
        <v>-</v>
      </c>
      <c r="H985" s="64">
        <f>ventas_b_mes1[[#This Row],[TOTAL]]/1.21</f>
        <v>0</v>
      </c>
      <c r="I985" s="140">
        <f>ventas_b_mes1[[#This Row],[IMPORTE NETO]]*0.21</f>
        <v>0</v>
      </c>
      <c r="J985" s="141"/>
      <c r="K985" s="141"/>
      <c r="L985" s="141"/>
      <c r="M985" s="59"/>
    </row>
    <row r="986" spans="2:13">
      <c r="B986" s="135"/>
      <c r="C986" s="136"/>
      <c r="D986" s="137"/>
      <c r="E986" s="138"/>
      <c r="F986" s="139"/>
      <c r="G986" s="1" t="str">
        <f>IFERROR(IF(ventas_b_mes1[[#This Row],[CUIT]]="","-",VLOOKUP(ventas_b_mes1[[#This Row],[CUIT]],Lista_CUIT[#All],2,0)),"CUIT NO CARGADO")</f>
        <v>-</v>
      </c>
      <c r="H986" s="64">
        <f>ventas_b_mes1[[#This Row],[TOTAL]]/1.21</f>
        <v>0</v>
      </c>
      <c r="I986" s="140">
        <f>ventas_b_mes1[[#This Row],[IMPORTE NETO]]*0.21</f>
        <v>0</v>
      </c>
      <c r="J986" s="141"/>
      <c r="K986" s="141"/>
      <c r="L986" s="141"/>
      <c r="M986" s="59"/>
    </row>
    <row r="987" spans="2:13">
      <c r="B987" s="135"/>
      <c r="C987" s="136"/>
      <c r="D987" s="137"/>
      <c r="E987" s="138"/>
      <c r="F987" s="139"/>
      <c r="G987" s="1" t="str">
        <f>IFERROR(IF(ventas_b_mes1[[#This Row],[CUIT]]="","-",VLOOKUP(ventas_b_mes1[[#This Row],[CUIT]],Lista_CUIT[#All],2,0)),"CUIT NO CARGADO")</f>
        <v>-</v>
      </c>
      <c r="H987" s="64">
        <f>ventas_b_mes1[[#This Row],[TOTAL]]/1.21</f>
        <v>0</v>
      </c>
      <c r="I987" s="140">
        <f>ventas_b_mes1[[#This Row],[IMPORTE NETO]]*0.21</f>
        <v>0</v>
      </c>
      <c r="J987" s="141"/>
      <c r="K987" s="141"/>
      <c r="L987" s="141"/>
      <c r="M987" s="59"/>
    </row>
    <row r="988" spans="2:13">
      <c r="B988" s="135"/>
      <c r="C988" s="136"/>
      <c r="D988" s="137"/>
      <c r="E988" s="138"/>
      <c r="F988" s="139"/>
      <c r="G988" s="1" t="str">
        <f>IFERROR(IF(ventas_b_mes1[[#This Row],[CUIT]]="","-",VLOOKUP(ventas_b_mes1[[#This Row],[CUIT]],Lista_CUIT[#All],2,0)),"CUIT NO CARGADO")</f>
        <v>-</v>
      </c>
      <c r="H988" s="64">
        <f>ventas_b_mes1[[#This Row],[TOTAL]]/1.21</f>
        <v>0</v>
      </c>
      <c r="I988" s="140">
        <f>ventas_b_mes1[[#This Row],[IMPORTE NETO]]*0.21</f>
        <v>0</v>
      </c>
      <c r="J988" s="141"/>
      <c r="K988" s="141"/>
      <c r="L988" s="141"/>
      <c r="M988" s="59"/>
    </row>
    <row r="989" spans="2:13">
      <c r="B989" s="135"/>
      <c r="C989" s="136"/>
      <c r="D989" s="137"/>
      <c r="E989" s="138"/>
      <c r="F989" s="139"/>
      <c r="G989" s="1" t="str">
        <f>IFERROR(IF(ventas_b_mes1[[#This Row],[CUIT]]="","-",VLOOKUP(ventas_b_mes1[[#This Row],[CUIT]],Lista_CUIT[#All],2,0)),"CUIT NO CARGADO")</f>
        <v>-</v>
      </c>
      <c r="H989" s="64">
        <f>ventas_b_mes1[[#This Row],[TOTAL]]/1.21</f>
        <v>0</v>
      </c>
      <c r="I989" s="140">
        <f>ventas_b_mes1[[#This Row],[IMPORTE NETO]]*0.21</f>
        <v>0</v>
      </c>
      <c r="J989" s="141"/>
      <c r="K989" s="141"/>
      <c r="L989" s="141"/>
      <c r="M989" s="59"/>
    </row>
    <row r="990" spans="2:13">
      <c r="B990" s="135"/>
      <c r="C990" s="136"/>
      <c r="D990" s="137"/>
      <c r="E990" s="138"/>
      <c r="F990" s="139"/>
      <c r="G990" s="1" t="str">
        <f>IFERROR(IF(ventas_b_mes1[[#This Row],[CUIT]]="","-",VLOOKUP(ventas_b_mes1[[#This Row],[CUIT]],Lista_CUIT[#All],2,0)),"CUIT NO CARGADO")</f>
        <v>-</v>
      </c>
      <c r="H990" s="64">
        <f>ventas_b_mes1[[#This Row],[TOTAL]]/1.21</f>
        <v>0</v>
      </c>
      <c r="I990" s="140">
        <f>ventas_b_mes1[[#This Row],[IMPORTE NETO]]*0.21</f>
        <v>0</v>
      </c>
      <c r="J990" s="141"/>
      <c r="K990" s="141"/>
      <c r="L990" s="141"/>
      <c r="M990" s="59"/>
    </row>
    <row r="991" spans="2:13">
      <c r="B991" s="135"/>
      <c r="C991" s="136"/>
      <c r="D991" s="137"/>
      <c r="E991" s="138"/>
      <c r="F991" s="139"/>
      <c r="G991" s="1" t="str">
        <f>IFERROR(IF(ventas_b_mes1[[#This Row],[CUIT]]="","-",VLOOKUP(ventas_b_mes1[[#This Row],[CUIT]],Lista_CUIT[#All],2,0)),"CUIT NO CARGADO")</f>
        <v>-</v>
      </c>
      <c r="H991" s="64">
        <f>ventas_b_mes1[[#This Row],[TOTAL]]/1.21</f>
        <v>0</v>
      </c>
      <c r="I991" s="140">
        <f>ventas_b_mes1[[#This Row],[IMPORTE NETO]]*0.21</f>
        <v>0</v>
      </c>
      <c r="J991" s="141"/>
      <c r="K991" s="141"/>
      <c r="L991" s="141"/>
      <c r="M991" s="59"/>
    </row>
    <row r="992" spans="2:13">
      <c r="B992" s="135"/>
      <c r="C992" s="136"/>
      <c r="D992" s="137"/>
      <c r="E992" s="138"/>
      <c r="F992" s="139"/>
      <c r="G992" s="1" t="str">
        <f>IFERROR(IF(ventas_b_mes1[[#This Row],[CUIT]]="","-",VLOOKUP(ventas_b_mes1[[#This Row],[CUIT]],Lista_CUIT[#All],2,0)),"CUIT NO CARGADO")</f>
        <v>-</v>
      </c>
      <c r="H992" s="64">
        <f>ventas_b_mes1[[#This Row],[TOTAL]]/1.21</f>
        <v>0</v>
      </c>
      <c r="I992" s="140">
        <f>ventas_b_mes1[[#This Row],[IMPORTE NETO]]*0.21</f>
        <v>0</v>
      </c>
      <c r="J992" s="141"/>
      <c r="K992" s="141"/>
      <c r="L992" s="141"/>
      <c r="M992" s="59"/>
    </row>
    <row r="993" spans="2:13">
      <c r="B993" s="135"/>
      <c r="C993" s="136"/>
      <c r="D993" s="137"/>
      <c r="E993" s="138"/>
      <c r="F993" s="139"/>
      <c r="G993" s="1" t="str">
        <f>IFERROR(IF(ventas_b_mes1[[#This Row],[CUIT]]="","-",VLOOKUP(ventas_b_mes1[[#This Row],[CUIT]],Lista_CUIT[#All],2,0)),"CUIT NO CARGADO")</f>
        <v>-</v>
      </c>
      <c r="H993" s="64">
        <f>ventas_b_mes1[[#This Row],[TOTAL]]/1.21</f>
        <v>0</v>
      </c>
      <c r="I993" s="140">
        <f>ventas_b_mes1[[#This Row],[IMPORTE NETO]]*0.21</f>
        <v>0</v>
      </c>
      <c r="J993" s="141"/>
      <c r="K993" s="141"/>
      <c r="L993" s="141"/>
      <c r="M993" s="59"/>
    </row>
    <row r="994" spans="2:13">
      <c r="B994" s="135"/>
      <c r="C994" s="136"/>
      <c r="D994" s="137"/>
      <c r="E994" s="138"/>
      <c r="F994" s="139"/>
      <c r="G994" s="1" t="str">
        <f>IFERROR(IF(ventas_b_mes1[[#This Row],[CUIT]]="","-",VLOOKUP(ventas_b_mes1[[#This Row],[CUIT]],Lista_CUIT[#All],2,0)),"CUIT NO CARGADO")</f>
        <v>-</v>
      </c>
      <c r="H994" s="64">
        <f>ventas_b_mes1[[#This Row],[TOTAL]]/1.21</f>
        <v>0</v>
      </c>
      <c r="I994" s="140">
        <f>ventas_b_mes1[[#This Row],[IMPORTE NETO]]*0.21</f>
        <v>0</v>
      </c>
      <c r="J994" s="141"/>
      <c r="K994" s="141"/>
      <c r="L994" s="141"/>
      <c r="M994" s="59"/>
    </row>
    <row r="995" spans="2:13">
      <c r="B995" s="135"/>
      <c r="C995" s="136"/>
      <c r="D995" s="137"/>
      <c r="E995" s="138"/>
      <c r="F995" s="139"/>
      <c r="G995" s="1" t="str">
        <f>IFERROR(IF(ventas_b_mes1[[#This Row],[CUIT]]="","-",VLOOKUP(ventas_b_mes1[[#This Row],[CUIT]],Lista_CUIT[#All],2,0)),"CUIT NO CARGADO")</f>
        <v>-</v>
      </c>
      <c r="H995" s="64">
        <f>ventas_b_mes1[[#This Row],[TOTAL]]/1.21</f>
        <v>0</v>
      </c>
      <c r="I995" s="140">
        <f>ventas_b_mes1[[#This Row],[IMPORTE NETO]]*0.21</f>
        <v>0</v>
      </c>
      <c r="J995" s="141"/>
      <c r="K995" s="141"/>
      <c r="L995" s="141"/>
      <c r="M995" s="59"/>
    </row>
    <row r="996" spans="2:13">
      <c r="B996" s="135"/>
      <c r="C996" s="136"/>
      <c r="D996" s="137"/>
      <c r="E996" s="138"/>
      <c r="F996" s="139"/>
      <c r="G996" s="1" t="str">
        <f>IFERROR(IF(ventas_b_mes1[[#This Row],[CUIT]]="","-",VLOOKUP(ventas_b_mes1[[#This Row],[CUIT]],Lista_CUIT[#All],2,0)),"CUIT NO CARGADO")</f>
        <v>-</v>
      </c>
      <c r="H996" s="64">
        <f>ventas_b_mes1[[#This Row],[TOTAL]]/1.21</f>
        <v>0</v>
      </c>
      <c r="I996" s="140">
        <f>ventas_b_mes1[[#This Row],[IMPORTE NETO]]*0.21</f>
        <v>0</v>
      </c>
      <c r="J996" s="141"/>
      <c r="K996" s="141"/>
      <c r="L996" s="141"/>
      <c r="M996" s="59"/>
    </row>
    <row r="997" spans="2:13">
      <c r="B997" s="135"/>
      <c r="C997" s="136"/>
      <c r="D997" s="137"/>
      <c r="E997" s="138"/>
      <c r="F997" s="139"/>
      <c r="G997" s="1" t="str">
        <f>IFERROR(IF(ventas_b_mes1[[#This Row],[CUIT]]="","-",VLOOKUP(ventas_b_mes1[[#This Row],[CUIT]],Lista_CUIT[#All],2,0)),"CUIT NO CARGADO")</f>
        <v>-</v>
      </c>
      <c r="H997" s="64">
        <f>ventas_b_mes1[[#This Row],[TOTAL]]/1.21</f>
        <v>0</v>
      </c>
      <c r="I997" s="140">
        <f>ventas_b_mes1[[#This Row],[IMPORTE NETO]]*0.21</f>
        <v>0</v>
      </c>
      <c r="J997" s="141"/>
      <c r="K997" s="141"/>
      <c r="L997" s="141"/>
      <c r="M997" s="59"/>
    </row>
    <row r="998" spans="2:13">
      <c r="B998" s="135"/>
      <c r="C998" s="136"/>
      <c r="D998" s="137"/>
      <c r="E998" s="138"/>
      <c r="F998" s="139"/>
      <c r="G998" s="1" t="str">
        <f>IFERROR(IF(ventas_b_mes1[[#This Row],[CUIT]]="","-",VLOOKUP(ventas_b_mes1[[#This Row],[CUIT]],Lista_CUIT[#All],2,0)),"CUIT NO CARGADO")</f>
        <v>-</v>
      </c>
      <c r="H998" s="64">
        <f>ventas_b_mes1[[#This Row],[TOTAL]]/1.21</f>
        <v>0</v>
      </c>
      <c r="I998" s="140">
        <f>ventas_b_mes1[[#This Row],[IMPORTE NETO]]*0.21</f>
        <v>0</v>
      </c>
      <c r="J998" s="141"/>
      <c r="K998" s="141"/>
      <c r="L998" s="141"/>
      <c r="M998" s="59"/>
    </row>
    <row r="999" spans="2:13">
      <c r="B999" s="135"/>
      <c r="C999" s="136"/>
      <c r="D999" s="137"/>
      <c r="E999" s="138"/>
      <c r="F999" s="139"/>
      <c r="G999" s="1" t="str">
        <f>IFERROR(IF(ventas_b_mes1[[#This Row],[CUIT]]="","-",VLOOKUP(ventas_b_mes1[[#This Row],[CUIT]],Lista_CUIT[#All],2,0)),"CUIT NO CARGADO")</f>
        <v>-</v>
      </c>
      <c r="H999" s="64">
        <f>ventas_b_mes1[[#This Row],[TOTAL]]/1.21</f>
        <v>0</v>
      </c>
      <c r="I999" s="140">
        <f>ventas_b_mes1[[#This Row],[IMPORTE NETO]]*0.21</f>
        <v>0</v>
      </c>
      <c r="J999" s="141"/>
      <c r="K999" s="141"/>
      <c r="L999" s="141"/>
      <c r="M999" s="59"/>
    </row>
    <row r="1000" spans="2:13">
      <c r="B1000" s="135"/>
      <c r="C1000" s="136"/>
      <c r="D1000" s="137"/>
      <c r="E1000" s="138"/>
      <c r="F1000" s="139"/>
      <c r="G1000" s="1" t="str">
        <f>IFERROR(IF(ventas_b_mes1[[#This Row],[CUIT]]="","-",VLOOKUP(ventas_b_mes1[[#This Row],[CUIT]],Lista_CUIT[#All],2,0)),"CUIT NO CARGADO")</f>
        <v>-</v>
      </c>
      <c r="H1000" s="64">
        <f>ventas_b_mes1[[#This Row],[TOTAL]]/1.21</f>
        <v>0</v>
      </c>
      <c r="I1000" s="140">
        <f>ventas_b_mes1[[#This Row],[IMPORTE NETO]]*0.21</f>
        <v>0</v>
      </c>
      <c r="J1000" s="141"/>
      <c r="K1000" s="141"/>
      <c r="L1000" s="141"/>
      <c r="M1000" s="59"/>
    </row>
    <row r="1001" spans="2:13">
      <c r="B1001" s="135"/>
      <c r="C1001" s="136"/>
      <c r="D1001" s="137"/>
      <c r="E1001" s="138"/>
      <c r="F1001" s="139"/>
      <c r="G1001" s="1" t="str">
        <f>IFERROR(IF(ventas_b_mes1[[#This Row],[CUIT]]="","-",VLOOKUP(ventas_b_mes1[[#This Row],[CUIT]],Lista_CUIT[#All],2,0)),"CUIT NO CARGADO")</f>
        <v>-</v>
      </c>
      <c r="H1001" s="64">
        <f>ventas_b_mes1[[#This Row],[TOTAL]]/1.21</f>
        <v>0</v>
      </c>
      <c r="I1001" s="140">
        <f>ventas_b_mes1[[#This Row],[IMPORTE NETO]]*0.21</f>
        <v>0</v>
      </c>
      <c r="J1001" s="141"/>
      <c r="K1001" s="141"/>
      <c r="L1001" s="141"/>
      <c r="M1001" s="59"/>
    </row>
    <row r="1002" spans="2:13">
      <c r="B1002" s="135"/>
      <c r="C1002" s="136"/>
      <c r="D1002" s="137"/>
      <c r="E1002" s="138"/>
      <c r="F1002" s="139"/>
      <c r="G1002" s="1" t="str">
        <f>IFERROR(IF(ventas_b_mes1[[#This Row],[CUIT]]="","-",VLOOKUP(ventas_b_mes1[[#This Row],[CUIT]],Lista_CUIT[#All],2,0)),"CUIT NO CARGADO")</f>
        <v>-</v>
      </c>
      <c r="H1002" s="64">
        <f>ventas_b_mes1[[#This Row],[TOTAL]]/1.21</f>
        <v>0</v>
      </c>
      <c r="I1002" s="140">
        <f>ventas_b_mes1[[#This Row],[IMPORTE NETO]]*0.21</f>
        <v>0</v>
      </c>
      <c r="J1002" s="141"/>
      <c r="K1002" s="141"/>
      <c r="L1002" s="141"/>
      <c r="M1002" s="59"/>
    </row>
    <row r="1003" spans="2:13">
      <c r="B1003" s="135"/>
      <c r="C1003" s="136"/>
      <c r="D1003" s="137"/>
      <c r="E1003" s="138"/>
      <c r="F1003" s="139"/>
      <c r="G1003" s="1" t="str">
        <f>IFERROR(IF(ventas_b_mes1[[#This Row],[CUIT]]="","-",VLOOKUP(ventas_b_mes1[[#This Row],[CUIT]],Lista_CUIT[#All],2,0)),"CUIT NO CARGADO")</f>
        <v>-</v>
      </c>
      <c r="H1003" s="64">
        <f>ventas_b_mes1[[#This Row],[TOTAL]]/1.21</f>
        <v>0</v>
      </c>
      <c r="I1003" s="140">
        <f>ventas_b_mes1[[#This Row],[IMPORTE NETO]]*0.21</f>
        <v>0</v>
      </c>
      <c r="J1003" s="141"/>
      <c r="K1003" s="141"/>
      <c r="L1003" s="141"/>
      <c r="M1003" s="59"/>
    </row>
    <row r="1004" spans="2:13">
      <c r="B1004" s="135"/>
      <c r="C1004" s="136"/>
      <c r="D1004" s="137"/>
      <c r="E1004" s="138"/>
      <c r="F1004" s="139"/>
      <c r="G1004" s="1" t="str">
        <f>IFERROR(IF(ventas_b_mes1[[#This Row],[CUIT]]="","-",VLOOKUP(ventas_b_mes1[[#This Row],[CUIT]],Lista_CUIT[#All],2,0)),"CUIT NO CARGADO")</f>
        <v>-</v>
      </c>
      <c r="H1004" s="64">
        <f>ventas_b_mes1[[#This Row],[TOTAL]]/1.21</f>
        <v>0</v>
      </c>
      <c r="I1004" s="140">
        <f>ventas_b_mes1[[#This Row],[IMPORTE NETO]]*0.21</f>
        <v>0</v>
      </c>
      <c r="J1004" s="141"/>
      <c r="K1004" s="141"/>
      <c r="L1004" s="141"/>
      <c r="M1004" s="59"/>
    </row>
    <row r="1005" spans="2:13">
      <c r="B1005" s="135"/>
      <c r="C1005" s="136"/>
      <c r="D1005" s="137"/>
      <c r="E1005" s="138"/>
      <c r="F1005" s="139"/>
      <c r="G1005" s="1" t="str">
        <f>IFERROR(IF(ventas_b_mes1[[#This Row],[CUIT]]="","-",VLOOKUP(ventas_b_mes1[[#This Row],[CUIT]],Lista_CUIT[#All],2,0)),"CUIT NO CARGADO")</f>
        <v>-</v>
      </c>
      <c r="H1005" s="64">
        <f>ventas_b_mes1[[#This Row],[TOTAL]]/1.21</f>
        <v>0</v>
      </c>
      <c r="I1005" s="140">
        <f>ventas_b_mes1[[#This Row],[IMPORTE NETO]]*0.21</f>
        <v>0</v>
      </c>
      <c r="J1005" s="141"/>
      <c r="K1005" s="141"/>
      <c r="L1005" s="141"/>
      <c r="M1005" s="59"/>
    </row>
    <row r="1006" spans="2:13">
      <c r="B1006" s="135"/>
      <c r="C1006" s="136"/>
      <c r="D1006" s="137"/>
      <c r="E1006" s="138"/>
      <c r="F1006" s="139"/>
      <c r="G1006" s="1" t="str">
        <f>IFERROR(IF(ventas_b_mes1[[#This Row],[CUIT]]="","-",VLOOKUP(ventas_b_mes1[[#This Row],[CUIT]],Lista_CUIT[#All],2,0)),"CUIT NO CARGADO")</f>
        <v>-</v>
      </c>
      <c r="H1006" s="64">
        <f>ventas_b_mes1[[#This Row],[TOTAL]]/1.21</f>
        <v>0</v>
      </c>
      <c r="I1006" s="140">
        <f>ventas_b_mes1[[#This Row],[IMPORTE NETO]]*0.21</f>
        <v>0</v>
      </c>
      <c r="J1006" s="141"/>
      <c r="K1006" s="141"/>
      <c r="L1006" s="141"/>
      <c r="M1006" s="59"/>
    </row>
    <row r="1007" spans="2:13">
      <c r="B1007" s="135"/>
      <c r="C1007" s="136"/>
      <c r="D1007" s="137"/>
      <c r="E1007" s="138"/>
      <c r="F1007" s="139"/>
      <c r="G1007" s="1" t="str">
        <f>IFERROR(IF(ventas_b_mes1[[#This Row],[CUIT]]="","-",VLOOKUP(ventas_b_mes1[[#This Row],[CUIT]],Lista_CUIT[#All],2,0)),"CUIT NO CARGADO")</f>
        <v>-</v>
      </c>
      <c r="H1007" s="64">
        <f>ventas_b_mes1[[#This Row],[TOTAL]]/1.21</f>
        <v>0</v>
      </c>
      <c r="I1007" s="140">
        <f>ventas_b_mes1[[#This Row],[IMPORTE NETO]]*0.21</f>
        <v>0</v>
      </c>
      <c r="J1007" s="141"/>
      <c r="K1007" s="141"/>
      <c r="L1007" s="141"/>
      <c r="M1007" s="59"/>
    </row>
    <row r="1008" spans="2:13">
      <c r="B1008" s="135"/>
      <c r="C1008" s="136"/>
      <c r="D1008" s="137"/>
      <c r="E1008" s="138"/>
      <c r="F1008" s="139"/>
      <c r="G1008" s="1" t="str">
        <f>IFERROR(IF(ventas_b_mes1[[#This Row],[CUIT]]="","-",VLOOKUP(ventas_b_mes1[[#This Row],[CUIT]],Lista_CUIT[#All],2,0)),"CUIT NO CARGADO")</f>
        <v>-</v>
      </c>
      <c r="H1008" s="64">
        <f>ventas_b_mes1[[#This Row],[TOTAL]]/1.21</f>
        <v>0</v>
      </c>
      <c r="I1008" s="140">
        <f>ventas_b_mes1[[#This Row],[IMPORTE NETO]]*0.21</f>
        <v>0</v>
      </c>
      <c r="J1008" s="141"/>
      <c r="K1008" s="141"/>
      <c r="L1008" s="141"/>
      <c r="M1008" s="59"/>
    </row>
    <row r="1009" spans="2:13">
      <c r="B1009" s="135"/>
      <c r="C1009" s="136"/>
      <c r="D1009" s="137"/>
      <c r="E1009" s="138"/>
      <c r="F1009" s="139"/>
      <c r="G1009" s="1" t="str">
        <f>IFERROR(IF(ventas_b_mes1[[#This Row],[CUIT]]="","-",VLOOKUP(ventas_b_mes1[[#This Row],[CUIT]],Lista_CUIT[#All],2,0)),"CUIT NO CARGADO")</f>
        <v>-</v>
      </c>
      <c r="H1009" s="64">
        <f>ventas_b_mes1[[#This Row],[TOTAL]]/1.21</f>
        <v>0</v>
      </c>
      <c r="I1009" s="140">
        <f>ventas_b_mes1[[#This Row],[IMPORTE NETO]]*0.21</f>
        <v>0</v>
      </c>
      <c r="J1009" s="141"/>
      <c r="K1009" s="141"/>
      <c r="L1009" s="141"/>
      <c r="M1009" s="59"/>
    </row>
    <row r="1010" spans="2:13">
      <c r="B1010" s="135"/>
      <c r="C1010" s="136"/>
      <c r="D1010" s="137"/>
      <c r="E1010" s="138"/>
      <c r="F1010" s="139"/>
      <c r="G1010" s="1" t="str">
        <f>IFERROR(IF(ventas_b_mes1[[#This Row],[CUIT]]="","-",VLOOKUP(ventas_b_mes1[[#This Row],[CUIT]],Lista_CUIT[#All],2,0)),"CUIT NO CARGADO")</f>
        <v>-</v>
      </c>
      <c r="H1010" s="64">
        <f>ventas_b_mes1[[#This Row],[TOTAL]]/1.21</f>
        <v>0</v>
      </c>
      <c r="I1010" s="140">
        <f>ventas_b_mes1[[#This Row],[IMPORTE NETO]]*0.21</f>
        <v>0</v>
      </c>
      <c r="J1010" s="141"/>
      <c r="K1010" s="141"/>
      <c r="L1010" s="141"/>
      <c r="M1010" s="59"/>
    </row>
    <row r="1011" spans="2:13">
      <c r="B1011" s="135"/>
      <c r="C1011" s="136"/>
      <c r="D1011" s="137"/>
      <c r="E1011" s="138"/>
      <c r="F1011" s="139"/>
      <c r="G1011" s="1" t="str">
        <f>IFERROR(IF(ventas_b_mes1[[#This Row],[CUIT]]="","-",VLOOKUP(ventas_b_mes1[[#This Row],[CUIT]],Lista_CUIT[#All],2,0)),"CUIT NO CARGADO")</f>
        <v>-</v>
      </c>
      <c r="H1011" s="64">
        <f>ventas_b_mes1[[#This Row],[TOTAL]]/1.21</f>
        <v>0</v>
      </c>
      <c r="I1011" s="140">
        <f>ventas_b_mes1[[#This Row],[IMPORTE NETO]]*0.21</f>
        <v>0</v>
      </c>
      <c r="J1011" s="141"/>
      <c r="K1011" s="141"/>
      <c r="L1011" s="141"/>
      <c r="M1011" s="59"/>
    </row>
    <row r="1012" spans="2:13">
      <c r="B1012" s="135"/>
      <c r="C1012" s="136"/>
      <c r="D1012" s="137"/>
      <c r="E1012" s="138"/>
      <c r="F1012" s="139"/>
      <c r="G1012" s="1" t="str">
        <f>IFERROR(IF(ventas_b_mes1[[#This Row],[CUIT]]="","-",VLOOKUP(ventas_b_mes1[[#This Row],[CUIT]],Lista_CUIT[#All],2,0)),"CUIT NO CARGADO")</f>
        <v>-</v>
      </c>
      <c r="H1012" s="64">
        <f>ventas_b_mes1[[#This Row],[TOTAL]]/1.21</f>
        <v>0</v>
      </c>
      <c r="I1012" s="140">
        <f>ventas_b_mes1[[#This Row],[IMPORTE NETO]]*0.21</f>
        <v>0</v>
      </c>
      <c r="J1012" s="141"/>
      <c r="K1012" s="141"/>
      <c r="L1012" s="141"/>
      <c r="M1012" s="59"/>
    </row>
    <row r="1013" spans="2:13">
      <c r="B1013" s="135"/>
      <c r="C1013" s="136"/>
      <c r="D1013" s="137"/>
      <c r="E1013" s="138"/>
      <c r="F1013" s="139"/>
      <c r="G1013" s="1" t="str">
        <f>IFERROR(IF(ventas_b_mes1[[#This Row],[CUIT]]="","-",VLOOKUP(ventas_b_mes1[[#This Row],[CUIT]],Lista_CUIT[#All],2,0)),"CUIT NO CARGADO")</f>
        <v>-</v>
      </c>
      <c r="H1013" s="64">
        <f>ventas_b_mes1[[#This Row],[TOTAL]]/1.21</f>
        <v>0</v>
      </c>
      <c r="I1013" s="140">
        <f>ventas_b_mes1[[#This Row],[IMPORTE NETO]]*0.21</f>
        <v>0</v>
      </c>
      <c r="J1013" s="141"/>
      <c r="K1013" s="141"/>
      <c r="L1013" s="141"/>
      <c r="M1013" s="59"/>
    </row>
    <row r="1014" spans="2:13">
      <c r="B1014" s="135"/>
      <c r="C1014" s="136"/>
      <c r="D1014" s="137"/>
      <c r="E1014" s="138"/>
      <c r="F1014" s="139"/>
      <c r="G1014" s="1" t="str">
        <f>IFERROR(IF(ventas_b_mes1[[#This Row],[CUIT]]="","-",VLOOKUP(ventas_b_mes1[[#This Row],[CUIT]],Lista_CUIT[#All],2,0)),"CUIT NO CARGADO")</f>
        <v>-</v>
      </c>
      <c r="H1014" s="64">
        <f>ventas_b_mes1[[#This Row],[TOTAL]]/1.21</f>
        <v>0</v>
      </c>
      <c r="I1014" s="140">
        <f>ventas_b_mes1[[#This Row],[IMPORTE NETO]]*0.21</f>
        <v>0</v>
      </c>
      <c r="J1014" s="141"/>
      <c r="K1014" s="141"/>
      <c r="L1014" s="141"/>
      <c r="M1014" s="59"/>
    </row>
    <row r="1015" spans="2:13">
      <c r="B1015" s="135"/>
      <c r="C1015" s="136"/>
      <c r="D1015" s="137"/>
      <c r="E1015" s="138"/>
      <c r="F1015" s="139"/>
      <c r="G1015" s="1" t="str">
        <f>IFERROR(IF(ventas_b_mes1[[#This Row],[CUIT]]="","-",VLOOKUP(ventas_b_mes1[[#This Row],[CUIT]],Lista_CUIT[#All],2,0)),"CUIT NO CARGADO")</f>
        <v>-</v>
      </c>
      <c r="H1015" s="64">
        <f>ventas_b_mes1[[#This Row],[TOTAL]]/1.21</f>
        <v>0</v>
      </c>
      <c r="I1015" s="140">
        <f>ventas_b_mes1[[#This Row],[IMPORTE NETO]]*0.21</f>
        <v>0</v>
      </c>
      <c r="J1015" s="141"/>
      <c r="K1015" s="141"/>
      <c r="L1015" s="141"/>
      <c r="M1015" s="59"/>
    </row>
    <row r="1016" spans="2:13">
      <c r="B1016" s="135"/>
      <c r="C1016" s="136"/>
      <c r="D1016" s="137"/>
      <c r="E1016" s="138"/>
      <c r="F1016" s="139"/>
      <c r="G1016" s="1" t="str">
        <f>IFERROR(IF(ventas_b_mes1[[#This Row],[CUIT]]="","-",VLOOKUP(ventas_b_mes1[[#This Row],[CUIT]],Lista_CUIT[#All],2,0)),"CUIT NO CARGADO")</f>
        <v>-</v>
      </c>
      <c r="H1016" s="64">
        <f>ventas_b_mes1[[#This Row],[TOTAL]]/1.21</f>
        <v>0</v>
      </c>
      <c r="I1016" s="140">
        <f>ventas_b_mes1[[#This Row],[IMPORTE NETO]]*0.21</f>
        <v>0</v>
      </c>
      <c r="J1016" s="141"/>
      <c r="K1016" s="141"/>
      <c r="L1016" s="141"/>
      <c r="M1016" s="59"/>
    </row>
    <row r="1017" spans="2:13">
      <c r="B1017" s="135"/>
      <c r="C1017" s="136"/>
      <c r="D1017" s="137"/>
      <c r="E1017" s="138"/>
      <c r="F1017" s="139"/>
      <c r="G1017" s="1" t="str">
        <f>IFERROR(IF(ventas_b_mes1[[#This Row],[CUIT]]="","-",VLOOKUP(ventas_b_mes1[[#This Row],[CUIT]],Lista_CUIT[#All],2,0)),"CUIT NO CARGADO")</f>
        <v>-</v>
      </c>
      <c r="H1017" s="64">
        <f>ventas_b_mes1[[#This Row],[TOTAL]]/1.21</f>
        <v>0</v>
      </c>
      <c r="I1017" s="140">
        <f>ventas_b_mes1[[#This Row],[IMPORTE NETO]]*0.21</f>
        <v>0</v>
      </c>
      <c r="J1017" s="141"/>
      <c r="K1017" s="141"/>
      <c r="L1017" s="141"/>
      <c r="M1017" s="59"/>
    </row>
    <row r="1018" spans="2:13">
      <c r="B1018" s="135"/>
      <c r="C1018" s="136"/>
      <c r="D1018" s="137"/>
      <c r="E1018" s="138"/>
      <c r="F1018" s="139"/>
      <c r="G1018" s="1" t="str">
        <f>IFERROR(IF(ventas_b_mes1[[#This Row],[CUIT]]="","-",VLOOKUP(ventas_b_mes1[[#This Row],[CUIT]],Lista_CUIT[#All],2,0)),"CUIT NO CARGADO")</f>
        <v>-</v>
      </c>
      <c r="H1018" s="64">
        <f>ventas_b_mes1[[#This Row],[TOTAL]]/1.21</f>
        <v>0</v>
      </c>
      <c r="I1018" s="140">
        <f>ventas_b_mes1[[#This Row],[IMPORTE NETO]]*0.21</f>
        <v>0</v>
      </c>
      <c r="J1018" s="141"/>
      <c r="K1018" s="141"/>
      <c r="L1018" s="141"/>
      <c r="M1018" s="59"/>
    </row>
    <row r="1019" spans="2:13">
      <c r="B1019" s="135"/>
      <c r="C1019" s="136"/>
      <c r="D1019" s="137"/>
      <c r="E1019" s="138"/>
      <c r="F1019" s="139"/>
      <c r="G1019" s="1" t="str">
        <f>IFERROR(IF(ventas_b_mes1[[#This Row],[CUIT]]="","-",VLOOKUP(ventas_b_mes1[[#This Row],[CUIT]],Lista_CUIT[#All],2,0)),"CUIT NO CARGADO")</f>
        <v>-</v>
      </c>
      <c r="H1019" s="64">
        <f>ventas_b_mes1[[#This Row],[TOTAL]]/1.21</f>
        <v>0</v>
      </c>
      <c r="I1019" s="140">
        <f>ventas_b_mes1[[#This Row],[IMPORTE NETO]]*0.21</f>
        <v>0</v>
      </c>
      <c r="J1019" s="141"/>
      <c r="K1019" s="141"/>
      <c r="L1019" s="141"/>
      <c r="M1019" s="59"/>
    </row>
    <row r="1020" spans="2:13">
      <c r="B1020" s="135"/>
      <c r="C1020" s="136"/>
      <c r="D1020" s="137"/>
      <c r="E1020" s="138"/>
      <c r="F1020" s="139"/>
      <c r="G1020" s="1" t="str">
        <f>IFERROR(IF(ventas_b_mes1[[#This Row],[CUIT]]="","-",VLOOKUP(ventas_b_mes1[[#This Row],[CUIT]],Lista_CUIT[#All],2,0)),"CUIT NO CARGADO")</f>
        <v>-</v>
      </c>
      <c r="H1020" s="64">
        <f>ventas_b_mes1[[#This Row],[TOTAL]]/1.21</f>
        <v>0</v>
      </c>
      <c r="I1020" s="140">
        <f>ventas_b_mes1[[#This Row],[IMPORTE NETO]]*0.21</f>
        <v>0</v>
      </c>
      <c r="J1020" s="141"/>
      <c r="K1020" s="141"/>
      <c r="L1020" s="141"/>
      <c r="M1020" s="59"/>
    </row>
    <row r="1021" spans="2:13">
      <c r="B1021" s="135"/>
      <c r="C1021" s="136"/>
      <c r="D1021" s="137"/>
      <c r="E1021" s="138"/>
      <c r="F1021" s="139"/>
      <c r="G1021" s="1" t="str">
        <f>IFERROR(IF(ventas_b_mes1[[#This Row],[CUIT]]="","-",VLOOKUP(ventas_b_mes1[[#This Row],[CUIT]],Lista_CUIT[#All],2,0)),"CUIT NO CARGADO")</f>
        <v>-</v>
      </c>
      <c r="H1021" s="64">
        <f>ventas_b_mes1[[#This Row],[TOTAL]]/1.21</f>
        <v>0</v>
      </c>
      <c r="I1021" s="140">
        <f>ventas_b_mes1[[#This Row],[IMPORTE NETO]]*0.21</f>
        <v>0</v>
      </c>
      <c r="J1021" s="141"/>
      <c r="K1021" s="141"/>
      <c r="L1021" s="141"/>
      <c r="M1021" s="59"/>
    </row>
    <row r="1022" spans="2:13">
      <c r="B1022" s="135"/>
      <c r="C1022" s="136"/>
      <c r="D1022" s="137"/>
      <c r="E1022" s="138"/>
      <c r="F1022" s="139"/>
      <c r="G1022" s="1" t="str">
        <f>IFERROR(IF(ventas_b_mes1[[#This Row],[CUIT]]="","-",VLOOKUP(ventas_b_mes1[[#This Row],[CUIT]],Lista_CUIT[#All],2,0)),"CUIT NO CARGADO")</f>
        <v>-</v>
      </c>
      <c r="H1022" s="64">
        <f>ventas_b_mes1[[#This Row],[TOTAL]]/1.21</f>
        <v>0</v>
      </c>
      <c r="I1022" s="140">
        <f>ventas_b_mes1[[#This Row],[IMPORTE NETO]]*0.21</f>
        <v>0</v>
      </c>
      <c r="J1022" s="141"/>
      <c r="K1022" s="141"/>
      <c r="L1022" s="141"/>
      <c r="M1022" s="59"/>
    </row>
    <row r="1023" spans="2:13">
      <c r="B1023" s="135"/>
      <c r="C1023" s="136"/>
      <c r="D1023" s="137"/>
      <c r="E1023" s="138"/>
      <c r="F1023" s="139"/>
      <c r="G1023" s="1" t="str">
        <f>IFERROR(IF(ventas_b_mes1[[#This Row],[CUIT]]="","-",VLOOKUP(ventas_b_mes1[[#This Row],[CUIT]],Lista_CUIT[#All],2,0)),"CUIT NO CARGADO")</f>
        <v>-</v>
      </c>
      <c r="H1023" s="64">
        <f>ventas_b_mes1[[#This Row],[TOTAL]]/1.21</f>
        <v>0</v>
      </c>
      <c r="I1023" s="140">
        <f>ventas_b_mes1[[#This Row],[IMPORTE NETO]]*0.21</f>
        <v>0</v>
      </c>
      <c r="J1023" s="141"/>
      <c r="K1023" s="141"/>
      <c r="L1023" s="141"/>
      <c r="M1023" s="59"/>
    </row>
    <row r="1024" spans="2:13">
      <c r="B1024" s="135"/>
      <c r="C1024" s="136"/>
      <c r="D1024" s="137"/>
      <c r="E1024" s="138"/>
      <c r="F1024" s="139"/>
      <c r="G1024" s="1" t="str">
        <f>IFERROR(IF(ventas_b_mes1[[#This Row],[CUIT]]="","-",VLOOKUP(ventas_b_mes1[[#This Row],[CUIT]],Lista_CUIT[#All],2,0)),"CUIT NO CARGADO")</f>
        <v>-</v>
      </c>
      <c r="H1024" s="64">
        <f>ventas_b_mes1[[#This Row],[TOTAL]]/1.21</f>
        <v>0</v>
      </c>
      <c r="I1024" s="140">
        <f>ventas_b_mes1[[#This Row],[IMPORTE NETO]]*0.21</f>
        <v>0</v>
      </c>
      <c r="J1024" s="141"/>
      <c r="K1024" s="141"/>
      <c r="L1024" s="141"/>
      <c r="M1024" s="59"/>
    </row>
    <row r="1025" spans="2:13">
      <c r="B1025" s="135"/>
      <c r="C1025" s="136"/>
      <c r="D1025" s="137"/>
      <c r="E1025" s="138"/>
      <c r="F1025" s="139"/>
      <c r="G1025" s="1" t="str">
        <f>IFERROR(IF(ventas_b_mes1[[#This Row],[CUIT]]="","-",VLOOKUP(ventas_b_mes1[[#This Row],[CUIT]],Lista_CUIT[#All],2,0)),"CUIT NO CARGADO")</f>
        <v>-</v>
      </c>
      <c r="H1025" s="64">
        <f>ventas_b_mes1[[#This Row],[TOTAL]]/1.21</f>
        <v>0</v>
      </c>
      <c r="I1025" s="140">
        <f>ventas_b_mes1[[#This Row],[IMPORTE NETO]]*0.21</f>
        <v>0</v>
      </c>
      <c r="J1025" s="141"/>
      <c r="K1025" s="141"/>
      <c r="L1025" s="141"/>
      <c r="M1025" s="59"/>
    </row>
    <row r="1026" spans="2:13">
      <c r="B1026" s="135"/>
      <c r="C1026" s="136"/>
      <c r="D1026" s="137"/>
      <c r="E1026" s="138"/>
      <c r="F1026" s="139"/>
      <c r="G1026" s="1" t="str">
        <f>IFERROR(IF(ventas_b_mes1[[#This Row],[CUIT]]="","-",VLOOKUP(ventas_b_mes1[[#This Row],[CUIT]],Lista_CUIT[#All],2,0)),"CUIT NO CARGADO")</f>
        <v>-</v>
      </c>
      <c r="H1026" s="64">
        <f>ventas_b_mes1[[#This Row],[TOTAL]]/1.21</f>
        <v>0</v>
      </c>
      <c r="I1026" s="140">
        <f>ventas_b_mes1[[#This Row],[IMPORTE NETO]]*0.21</f>
        <v>0</v>
      </c>
      <c r="J1026" s="141"/>
      <c r="K1026" s="141"/>
      <c r="L1026" s="141"/>
      <c r="M1026" s="59"/>
    </row>
    <row r="1027" spans="2:13">
      <c r="B1027" s="135"/>
      <c r="C1027" s="136"/>
      <c r="D1027" s="137"/>
      <c r="E1027" s="138"/>
      <c r="F1027" s="139"/>
      <c r="G1027" s="1" t="str">
        <f>IFERROR(IF(ventas_b_mes1[[#This Row],[CUIT]]="","-",VLOOKUP(ventas_b_mes1[[#This Row],[CUIT]],Lista_CUIT[#All],2,0)),"CUIT NO CARGADO")</f>
        <v>-</v>
      </c>
      <c r="H1027" s="64">
        <f>ventas_b_mes1[[#This Row],[TOTAL]]/1.21</f>
        <v>0</v>
      </c>
      <c r="I1027" s="140">
        <f>ventas_b_mes1[[#This Row],[IMPORTE NETO]]*0.21</f>
        <v>0</v>
      </c>
      <c r="J1027" s="141"/>
      <c r="K1027" s="141"/>
      <c r="L1027" s="141"/>
      <c r="M1027" s="59"/>
    </row>
    <row r="1028" spans="2:13">
      <c r="B1028" s="135"/>
      <c r="C1028" s="136"/>
      <c r="D1028" s="137"/>
      <c r="E1028" s="138"/>
      <c r="F1028" s="139"/>
      <c r="G1028" s="1" t="str">
        <f>IFERROR(IF(ventas_b_mes1[[#This Row],[CUIT]]="","-",VLOOKUP(ventas_b_mes1[[#This Row],[CUIT]],Lista_CUIT[#All],2,0)),"CUIT NO CARGADO")</f>
        <v>-</v>
      </c>
      <c r="H1028" s="64">
        <f>ventas_b_mes1[[#This Row],[TOTAL]]/1.21</f>
        <v>0</v>
      </c>
      <c r="I1028" s="140">
        <f>ventas_b_mes1[[#This Row],[IMPORTE NETO]]*0.21</f>
        <v>0</v>
      </c>
      <c r="J1028" s="141"/>
      <c r="K1028" s="141"/>
      <c r="L1028" s="141"/>
      <c r="M1028" s="59"/>
    </row>
    <row r="1029" spans="2:13">
      <c r="B1029" s="135"/>
      <c r="C1029" s="136"/>
      <c r="D1029" s="137"/>
      <c r="E1029" s="138"/>
      <c r="F1029" s="139"/>
      <c r="G1029" s="1" t="str">
        <f>IFERROR(IF(ventas_b_mes1[[#This Row],[CUIT]]="","-",VLOOKUP(ventas_b_mes1[[#This Row],[CUIT]],Lista_CUIT[#All],2,0)),"CUIT NO CARGADO")</f>
        <v>-</v>
      </c>
      <c r="H1029" s="64">
        <f>ventas_b_mes1[[#This Row],[TOTAL]]/1.21</f>
        <v>0</v>
      </c>
      <c r="I1029" s="140">
        <f>ventas_b_mes1[[#This Row],[IMPORTE NETO]]*0.21</f>
        <v>0</v>
      </c>
      <c r="J1029" s="141"/>
      <c r="K1029" s="141"/>
      <c r="L1029" s="141"/>
      <c r="M1029" s="59"/>
    </row>
    <row r="1030" spans="2:13">
      <c r="B1030" s="135"/>
      <c r="C1030" s="136"/>
      <c r="D1030" s="137"/>
      <c r="E1030" s="138"/>
      <c r="F1030" s="139"/>
      <c r="G1030" s="1" t="str">
        <f>IFERROR(IF(ventas_b_mes1[[#This Row],[CUIT]]="","-",VLOOKUP(ventas_b_mes1[[#This Row],[CUIT]],Lista_CUIT[#All],2,0)),"CUIT NO CARGADO")</f>
        <v>-</v>
      </c>
      <c r="H1030" s="64">
        <f>ventas_b_mes1[[#This Row],[TOTAL]]/1.21</f>
        <v>0</v>
      </c>
      <c r="I1030" s="140">
        <f>ventas_b_mes1[[#This Row],[IMPORTE NETO]]*0.21</f>
        <v>0</v>
      </c>
      <c r="J1030" s="141"/>
      <c r="K1030" s="141"/>
      <c r="L1030" s="141"/>
      <c r="M1030" s="59"/>
    </row>
    <row r="1031" spans="2:13">
      <c r="B1031" s="135"/>
      <c r="C1031" s="136"/>
      <c r="D1031" s="137"/>
      <c r="E1031" s="138"/>
      <c r="F1031" s="139"/>
      <c r="G1031" s="1" t="str">
        <f>IFERROR(IF(ventas_b_mes1[[#This Row],[CUIT]]="","-",VLOOKUP(ventas_b_mes1[[#This Row],[CUIT]],Lista_CUIT[#All],2,0)),"CUIT NO CARGADO")</f>
        <v>-</v>
      </c>
      <c r="H1031" s="64">
        <f>ventas_b_mes1[[#This Row],[TOTAL]]/1.21</f>
        <v>0</v>
      </c>
      <c r="I1031" s="140">
        <f>ventas_b_mes1[[#This Row],[IMPORTE NETO]]*0.21</f>
        <v>0</v>
      </c>
      <c r="J1031" s="141"/>
      <c r="K1031" s="141"/>
      <c r="L1031" s="141"/>
      <c r="M1031" s="59"/>
    </row>
    <row r="1032" spans="2:13">
      <c r="B1032" s="135"/>
      <c r="C1032" s="136"/>
      <c r="D1032" s="137"/>
      <c r="E1032" s="138"/>
      <c r="F1032" s="139"/>
      <c r="G1032" s="1" t="str">
        <f>IFERROR(IF(ventas_b_mes1[[#This Row],[CUIT]]="","-",VLOOKUP(ventas_b_mes1[[#This Row],[CUIT]],Lista_CUIT[#All],2,0)),"CUIT NO CARGADO")</f>
        <v>-</v>
      </c>
      <c r="H1032" s="64">
        <f>ventas_b_mes1[[#This Row],[TOTAL]]/1.21</f>
        <v>0</v>
      </c>
      <c r="I1032" s="140">
        <f>ventas_b_mes1[[#This Row],[IMPORTE NETO]]*0.21</f>
        <v>0</v>
      </c>
      <c r="J1032" s="141"/>
      <c r="K1032" s="141"/>
      <c r="L1032" s="141"/>
      <c r="M1032" s="59"/>
    </row>
    <row r="1033" spans="2:13">
      <c r="B1033" s="135"/>
      <c r="C1033" s="136"/>
      <c r="D1033" s="137"/>
      <c r="E1033" s="138"/>
      <c r="F1033" s="139"/>
      <c r="G1033" s="1" t="str">
        <f>IFERROR(IF(ventas_b_mes1[[#This Row],[CUIT]]="","-",VLOOKUP(ventas_b_mes1[[#This Row],[CUIT]],Lista_CUIT[#All],2,0)),"CUIT NO CARGADO")</f>
        <v>-</v>
      </c>
      <c r="H1033" s="64">
        <f>ventas_b_mes1[[#This Row],[TOTAL]]/1.21</f>
        <v>0</v>
      </c>
      <c r="I1033" s="140">
        <f>ventas_b_mes1[[#This Row],[IMPORTE NETO]]*0.21</f>
        <v>0</v>
      </c>
      <c r="J1033" s="141"/>
      <c r="K1033" s="141"/>
      <c r="L1033" s="141"/>
      <c r="M1033" s="59"/>
    </row>
    <row r="1034" spans="2:13">
      <c r="B1034" s="135"/>
      <c r="C1034" s="136"/>
      <c r="D1034" s="137"/>
      <c r="E1034" s="138"/>
      <c r="F1034" s="139"/>
      <c r="G1034" s="1" t="str">
        <f>IFERROR(IF(ventas_b_mes1[[#This Row],[CUIT]]="","-",VLOOKUP(ventas_b_mes1[[#This Row],[CUIT]],Lista_CUIT[#All],2,0)),"CUIT NO CARGADO")</f>
        <v>-</v>
      </c>
      <c r="H1034" s="64">
        <f>ventas_b_mes1[[#This Row],[TOTAL]]/1.21</f>
        <v>0</v>
      </c>
      <c r="I1034" s="140">
        <f>ventas_b_mes1[[#This Row],[IMPORTE NETO]]*0.21</f>
        <v>0</v>
      </c>
      <c r="J1034" s="141"/>
      <c r="K1034" s="141"/>
      <c r="L1034" s="141"/>
      <c r="M1034" s="59"/>
    </row>
    <row r="1035" spans="2:13">
      <c r="B1035" s="135"/>
      <c r="C1035" s="136"/>
      <c r="D1035" s="137"/>
      <c r="E1035" s="138"/>
      <c r="F1035" s="139"/>
      <c r="G1035" s="1" t="str">
        <f>IFERROR(IF(ventas_b_mes1[[#This Row],[CUIT]]="","-",VLOOKUP(ventas_b_mes1[[#This Row],[CUIT]],Lista_CUIT[#All],2,0)),"CUIT NO CARGADO")</f>
        <v>-</v>
      </c>
      <c r="H1035" s="64">
        <f>ventas_b_mes1[[#This Row],[TOTAL]]/1.21</f>
        <v>0</v>
      </c>
      <c r="I1035" s="140">
        <f>ventas_b_mes1[[#This Row],[IMPORTE NETO]]*0.21</f>
        <v>0</v>
      </c>
      <c r="J1035" s="141"/>
      <c r="K1035" s="141"/>
      <c r="L1035" s="141"/>
      <c r="M1035" s="59"/>
    </row>
    <row r="1036" spans="2:13">
      <c r="B1036" s="135"/>
      <c r="C1036" s="136"/>
      <c r="D1036" s="137"/>
      <c r="E1036" s="138"/>
      <c r="F1036" s="139"/>
      <c r="G1036" s="1" t="str">
        <f>IFERROR(IF(ventas_b_mes1[[#This Row],[CUIT]]="","-",VLOOKUP(ventas_b_mes1[[#This Row],[CUIT]],Lista_CUIT[#All],2,0)),"CUIT NO CARGADO")</f>
        <v>-</v>
      </c>
      <c r="H1036" s="64">
        <f>ventas_b_mes1[[#This Row],[TOTAL]]/1.21</f>
        <v>0</v>
      </c>
      <c r="I1036" s="140">
        <f>ventas_b_mes1[[#This Row],[IMPORTE NETO]]*0.21</f>
        <v>0</v>
      </c>
      <c r="J1036" s="141"/>
      <c r="K1036" s="141"/>
      <c r="L1036" s="141"/>
      <c r="M1036" s="59"/>
    </row>
    <row r="1037" spans="2:13">
      <c r="B1037" s="135"/>
      <c r="C1037" s="136"/>
      <c r="D1037" s="137"/>
      <c r="E1037" s="138"/>
      <c r="F1037" s="139"/>
      <c r="G1037" s="1" t="str">
        <f>IFERROR(IF(ventas_b_mes1[[#This Row],[CUIT]]="","-",VLOOKUP(ventas_b_mes1[[#This Row],[CUIT]],Lista_CUIT[#All],2,0)),"CUIT NO CARGADO")</f>
        <v>-</v>
      </c>
      <c r="H1037" s="64">
        <f>ventas_b_mes1[[#This Row],[TOTAL]]/1.21</f>
        <v>0</v>
      </c>
      <c r="I1037" s="140">
        <f>ventas_b_mes1[[#This Row],[IMPORTE NETO]]*0.21</f>
        <v>0</v>
      </c>
      <c r="J1037" s="141"/>
      <c r="K1037" s="141"/>
      <c r="L1037" s="141"/>
      <c r="M1037" s="59"/>
    </row>
    <row r="1038" spans="2:13">
      <c r="B1038" s="135"/>
      <c r="C1038" s="136"/>
      <c r="D1038" s="137"/>
      <c r="E1038" s="138"/>
      <c r="F1038" s="139"/>
      <c r="G1038" s="1" t="str">
        <f>IFERROR(IF(ventas_b_mes1[[#This Row],[CUIT]]="","-",VLOOKUP(ventas_b_mes1[[#This Row],[CUIT]],Lista_CUIT[#All],2,0)),"CUIT NO CARGADO")</f>
        <v>-</v>
      </c>
      <c r="H1038" s="64">
        <f>ventas_b_mes1[[#This Row],[TOTAL]]/1.21</f>
        <v>0</v>
      </c>
      <c r="I1038" s="140">
        <f>ventas_b_mes1[[#This Row],[IMPORTE NETO]]*0.21</f>
        <v>0</v>
      </c>
      <c r="J1038" s="141"/>
      <c r="K1038" s="141"/>
      <c r="L1038" s="141"/>
      <c r="M1038" s="59"/>
    </row>
    <row r="1039" spans="2:13">
      <c r="B1039" s="135"/>
      <c r="C1039" s="136"/>
      <c r="D1039" s="137"/>
      <c r="E1039" s="138"/>
      <c r="F1039" s="139"/>
      <c r="G1039" s="1" t="str">
        <f>IFERROR(IF(ventas_b_mes1[[#This Row],[CUIT]]="","-",VLOOKUP(ventas_b_mes1[[#This Row],[CUIT]],Lista_CUIT[#All],2,0)),"CUIT NO CARGADO")</f>
        <v>-</v>
      </c>
      <c r="H1039" s="64">
        <f>ventas_b_mes1[[#This Row],[TOTAL]]/1.21</f>
        <v>0</v>
      </c>
      <c r="I1039" s="140">
        <f>ventas_b_mes1[[#This Row],[IMPORTE NETO]]*0.21</f>
        <v>0</v>
      </c>
      <c r="J1039" s="141"/>
      <c r="K1039" s="141"/>
      <c r="L1039" s="141"/>
      <c r="M1039" s="59"/>
    </row>
    <row r="1040" spans="2:13">
      <c r="B1040" s="135"/>
      <c r="C1040" s="136"/>
      <c r="D1040" s="137"/>
      <c r="E1040" s="138"/>
      <c r="F1040" s="139"/>
      <c r="G1040" s="1" t="str">
        <f>IFERROR(IF(ventas_b_mes1[[#This Row],[CUIT]]="","-",VLOOKUP(ventas_b_mes1[[#This Row],[CUIT]],Lista_CUIT[#All],2,0)),"CUIT NO CARGADO")</f>
        <v>-</v>
      </c>
      <c r="H1040" s="64">
        <f>ventas_b_mes1[[#This Row],[TOTAL]]/1.21</f>
        <v>0</v>
      </c>
      <c r="I1040" s="140">
        <f>ventas_b_mes1[[#This Row],[IMPORTE NETO]]*0.21</f>
        <v>0</v>
      </c>
      <c r="J1040" s="141"/>
      <c r="K1040" s="141"/>
      <c r="L1040" s="141"/>
      <c r="M1040" s="59"/>
    </row>
    <row r="1041" spans="2:13">
      <c r="B1041" s="135"/>
      <c r="C1041" s="136"/>
      <c r="D1041" s="137"/>
      <c r="E1041" s="138"/>
      <c r="F1041" s="139"/>
      <c r="G1041" s="1" t="str">
        <f>IFERROR(IF(ventas_b_mes1[[#This Row],[CUIT]]="","-",VLOOKUP(ventas_b_mes1[[#This Row],[CUIT]],Lista_CUIT[#All],2,0)),"CUIT NO CARGADO")</f>
        <v>-</v>
      </c>
      <c r="H1041" s="64">
        <f>ventas_b_mes1[[#This Row],[TOTAL]]/1.21</f>
        <v>0</v>
      </c>
      <c r="I1041" s="140">
        <f>ventas_b_mes1[[#This Row],[IMPORTE NETO]]*0.21</f>
        <v>0</v>
      </c>
      <c r="J1041" s="141"/>
      <c r="K1041" s="141"/>
      <c r="L1041" s="141"/>
      <c r="M1041" s="59"/>
    </row>
    <row r="1042" spans="2:13">
      <c r="B1042" s="135"/>
      <c r="C1042" s="136"/>
      <c r="D1042" s="137"/>
      <c r="E1042" s="138"/>
      <c r="F1042" s="139"/>
      <c r="G1042" s="1" t="str">
        <f>IFERROR(IF(ventas_b_mes1[[#This Row],[CUIT]]="","-",VLOOKUP(ventas_b_mes1[[#This Row],[CUIT]],Lista_CUIT[#All],2,0)),"CUIT NO CARGADO")</f>
        <v>-</v>
      </c>
      <c r="H1042" s="64">
        <f>ventas_b_mes1[[#This Row],[TOTAL]]/1.21</f>
        <v>0</v>
      </c>
      <c r="I1042" s="140">
        <f>ventas_b_mes1[[#This Row],[IMPORTE NETO]]*0.21</f>
        <v>0</v>
      </c>
      <c r="J1042" s="141"/>
      <c r="K1042" s="141"/>
      <c r="L1042" s="141"/>
      <c r="M1042" s="59"/>
    </row>
    <row r="1043" spans="2:13">
      <c r="B1043" s="135"/>
      <c r="C1043" s="136"/>
      <c r="D1043" s="137"/>
      <c r="E1043" s="138"/>
      <c r="F1043" s="139"/>
      <c r="G1043" s="1" t="str">
        <f>IFERROR(IF(ventas_b_mes1[[#This Row],[CUIT]]="","-",VLOOKUP(ventas_b_mes1[[#This Row],[CUIT]],Lista_CUIT[#All],2,0)),"CUIT NO CARGADO")</f>
        <v>-</v>
      </c>
      <c r="H1043" s="64">
        <f>ventas_b_mes1[[#This Row],[TOTAL]]/1.21</f>
        <v>0</v>
      </c>
      <c r="I1043" s="140">
        <f>ventas_b_mes1[[#This Row],[IMPORTE NETO]]*0.21</f>
        <v>0</v>
      </c>
      <c r="J1043" s="141"/>
      <c r="K1043" s="141"/>
      <c r="L1043" s="141"/>
      <c r="M1043" s="59"/>
    </row>
    <row r="1044" spans="2:13">
      <c r="B1044" s="135"/>
      <c r="C1044" s="136"/>
      <c r="D1044" s="137"/>
      <c r="E1044" s="138"/>
      <c r="F1044" s="139"/>
      <c r="G1044" s="1" t="str">
        <f>IFERROR(IF(ventas_b_mes1[[#This Row],[CUIT]]="","-",VLOOKUP(ventas_b_mes1[[#This Row],[CUIT]],Lista_CUIT[#All],2,0)),"CUIT NO CARGADO")</f>
        <v>-</v>
      </c>
      <c r="H1044" s="64">
        <f>ventas_b_mes1[[#This Row],[TOTAL]]/1.21</f>
        <v>0</v>
      </c>
      <c r="I1044" s="140">
        <f>ventas_b_mes1[[#This Row],[IMPORTE NETO]]*0.21</f>
        <v>0</v>
      </c>
      <c r="J1044" s="141"/>
      <c r="K1044" s="141"/>
      <c r="L1044" s="141"/>
      <c r="M1044" s="59"/>
    </row>
    <row r="1045" spans="2:13">
      <c r="B1045" s="135"/>
      <c r="C1045" s="136"/>
      <c r="D1045" s="137"/>
      <c r="E1045" s="138"/>
      <c r="F1045" s="139"/>
      <c r="G1045" s="1" t="str">
        <f>IFERROR(IF(ventas_b_mes1[[#This Row],[CUIT]]="","-",VLOOKUP(ventas_b_mes1[[#This Row],[CUIT]],Lista_CUIT[#All],2,0)),"CUIT NO CARGADO")</f>
        <v>-</v>
      </c>
      <c r="H1045" s="64">
        <f>ventas_b_mes1[[#This Row],[TOTAL]]/1.21</f>
        <v>0</v>
      </c>
      <c r="I1045" s="140">
        <f>ventas_b_mes1[[#This Row],[IMPORTE NETO]]*0.21</f>
        <v>0</v>
      </c>
      <c r="J1045" s="141"/>
      <c r="K1045" s="141"/>
      <c r="L1045" s="141"/>
      <c r="M1045" s="59"/>
    </row>
    <row r="1046" spans="2:13">
      <c r="B1046" s="135"/>
      <c r="C1046" s="136"/>
      <c r="D1046" s="137"/>
      <c r="E1046" s="138"/>
      <c r="F1046" s="139"/>
      <c r="G1046" s="1" t="str">
        <f>IFERROR(IF(ventas_b_mes1[[#This Row],[CUIT]]="","-",VLOOKUP(ventas_b_mes1[[#This Row],[CUIT]],Lista_CUIT[#All],2,0)),"CUIT NO CARGADO")</f>
        <v>-</v>
      </c>
      <c r="H1046" s="64">
        <f>ventas_b_mes1[[#This Row],[TOTAL]]/1.21</f>
        <v>0</v>
      </c>
      <c r="I1046" s="140">
        <f>ventas_b_mes1[[#This Row],[IMPORTE NETO]]*0.21</f>
        <v>0</v>
      </c>
      <c r="J1046" s="141"/>
      <c r="K1046" s="141"/>
      <c r="L1046" s="141"/>
      <c r="M1046" s="59"/>
    </row>
    <row r="1047" spans="2:13">
      <c r="B1047" s="135"/>
      <c r="C1047" s="136"/>
      <c r="D1047" s="137"/>
      <c r="E1047" s="138"/>
      <c r="F1047" s="139"/>
      <c r="G1047" s="1" t="str">
        <f>IFERROR(IF(ventas_b_mes1[[#This Row],[CUIT]]="","-",VLOOKUP(ventas_b_mes1[[#This Row],[CUIT]],Lista_CUIT[#All],2,0)),"CUIT NO CARGADO")</f>
        <v>-</v>
      </c>
      <c r="H1047" s="64">
        <f>ventas_b_mes1[[#This Row],[TOTAL]]/1.21</f>
        <v>0</v>
      </c>
      <c r="I1047" s="140">
        <f>ventas_b_mes1[[#This Row],[IMPORTE NETO]]*0.21</f>
        <v>0</v>
      </c>
      <c r="J1047" s="141"/>
      <c r="K1047" s="141"/>
      <c r="L1047" s="141"/>
      <c r="M1047" s="59"/>
    </row>
    <row r="1048" spans="2:13">
      <c r="B1048" s="135"/>
      <c r="C1048" s="136"/>
      <c r="D1048" s="137"/>
      <c r="E1048" s="138"/>
      <c r="F1048" s="139"/>
      <c r="G1048" s="1" t="str">
        <f>IFERROR(IF(ventas_b_mes1[[#This Row],[CUIT]]="","-",VLOOKUP(ventas_b_mes1[[#This Row],[CUIT]],Lista_CUIT[#All],2,0)),"CUIT NO CARGADO")</f>
        <v>-</v>
      </c>
      <c r="H1048" s="64">
        <f>ventas_b_mes1[[#This Row],[TOTAL]]/1.21</f>
        <v>0</v>
      </c>
      <c r="I1048" s="140">
        <f>ventas_b_mes1[[#This Row],[IMPORTE NETO]]*0.21</f>
        <v>0</v>
      </c>
      <c r="J1048" s="141"/>
      <c r="K1048" s="141"/>
      <c r="L1048" s="141"/>
      <c r="M1048" s="59"/>
    </row>
    <row r="1049" spans="2:13">
      <c r="B1049" s="135"/>
      <c r="C1049" s="136"/>
      <c r="D1049" s="137"/>
      <c r="E1049" s="138"/>
      <c r="F1049" s="139"/>
      <c r="G1049" s="1" t="str">
        <f>IFERROR(IF(ventas_b_mes1[[#This Row],[CUIT]]="","-",VLOOKUP(ventas_b_mes1[[#This Row],[CUIT]],Lista_CUIT[#All],2,0)),"CUIT NO CARGADO")</f>
        <v>-</v>
      </c>
      <c r="H1049" s="64">
        <f>ventas_b_mes1[[#This Row],[TOTAL]]/1.21</f>
        <v>0</v>
      </c>
      <c r="I1049" s="140">
        <f>ventas_b_mes1[[#This Row],[IMPORTE NETO]]*0.21</f>
        <v>0</v>
      </c>
      <c r="J1049" s="141"/>
      <c r="K1049" s="141"/>
      <c r="L1049" s="141"/>
      <c r="M1049" s="59"/>
    </row>
    <row r="1050" spans="2:13">
      <c r="B1050" s="135"/>
      <c r="C1050" s="136"/>
      <c r="D1050" s="137"/>
      <c r="E1050" s="138"/>
      <c r="F1050" s="139"/>
      <c r="G1050" s="1" t="str">
        <f>IFERROR(IF(ventas_b_mes1[[#This Row],[CUIT]]="","-",VLOOKUP(ventas_b_mes1[[#This Row],[CUIT]],Lista_CUIT[#All],2,0)),"CUIT NO CARGADO")</f>
        <v>-</v>
      </c>
      <c r="H1050" s="64">
        <f>ventas_b_mes1[[#This Row],[TOTAL]]/1.21</f>
        <v>0</v>
      </c>
      <c r="I1050" s="140">
        <f>ventas_b_mes1[[#This Row],[IMPORTE NETO]]*0.21</f>
        <v>0</v>
      </c>
      <c r="J1050" s="141"/>
      <c r="K1050" s="141"/>
      <c r="L1050" s="141"/>
      <c r="M1050" s="59"/>
    </row>
    <row r="1051" spans="2:13">
      <c r="B1051" s="135"/>
      <c r="C1051" s="136"/>
      <c r="D1051" s="137"/>
      <c r="E1051" s="138"/>
      <c r="F1051" s="139"/>
      <c r="G1051" s="1" t="str">
        <f>IFERROR(IF(ventas_b_mes1[[#This Row],[CUIT]]="","-",VLOOKUP(ventas_b_mes1[[#This Row],[CUIT]],Lista_CUIT[#All],2,0)),"CUIT NO CARGADO")</f>
        <v>-</v>
      </c>
      <c r="H1051" s="64">
        <f>ventas_b_mes1[[#This Row],[TOTAL]]/1.21</f>
        <v>0</v>
      </c>
      <c r="I1051" s="140">
        <f>ventas_b_mes1[[#This Row],[IMPORTE NETO]]*0.21</f>
        <v>0</v>
      </c>
      <c r="J1051" s="141"/>
      <c r="K1051" s="141"/>
      <c r="L1051" s="141"/>
      <c r="M1051" s="59"/>
    </row>
    <row r="1052" spans="2:13">
      <c r="B1052" s="135"/>
      <c r="C1052" s="136"/>
      <c r="D1052" s="137"/>
      <c r="E1052" s="138"/>
      <c r="F1052" s="139"/>
      <c r="G1052" s="1" t="str">
        <f>IFERROR(IF(ventas_b_mes1[[#This Row],[CUIT]]="","-",VLOOKUP(ventas_b_mes1[[#This Row],[CUIT]],Lista_CUIT[#All],2,0)),"CUIT NO CARGADO")</f>
        <v>-</v>
      </c>
      <c r="H1052" s="64">
        <f>ventas_b_mes1[[#This Row],[TOTAL]]/1.21</f>
        <v>0</v>
      </c>
      <c r="I1052" s="140">
        <f>ventas_b_mes1[[#This Row],[IMPORTE NETO]]*0.21</f>
        <v>0</v>
      </c>
      <c r="J1052" s="141"/>
      <c r="K1052" s="141"/>
      <c r="L1052" s="141"/>
      <c r="M1052" s="59"/>
    </row>
    <row r="1053" spans="2:13">
      <c r="B1053" s="135"/>
      <c r="C1053" s="136"/>
      <c r="D1053" s="137"/>
      <c r="E1053" s="138"/>
      <c r="F1053" s="139"/>
      <c r="G1053" s="1" t="str">
        <f>IFERROR(IF(ventas_b_mes1[[#This Row],[CUIT]]="","-",VLOOKUP(ventas_b_mes1[[#This Row],[CUIT]],Lista_CUIT[#All],2,0)),"CUIT NO CARGADO")</f>
        <v>-</v>
      </c>
      <c r="H1053" s="64">
        <f>ventas_b_mes1[[#This Row],[TOTAL]]/1.21</f>
        <v>0</v>
      </c>
      <c r="I1053" s="140">
        <f>ventas_b_mes1[[#This Row],[IMPORTE NETO]]*0.21</f>
        <v>0</v>
      </c>
      <c r="J1053" s="141"/>
      <c r="K1053" s="141"/>
      <c r="L1053" s="141"/>
      <c r="M1053" s="59"/>
    </row>
    <row r="1054" spans="2:13">
      <c r="B1054" s="135"/>
      <c r="C1054" s="136"/>
      <c r="D1054" s="137"/>
      <c r="E1054" s="138"/>
      <c r="F1054" s="139"/>
      <c r="G1054" s="1" t="str">
        <f>IFERROR(IF(ventas_b_mes1[[#This Row],[CUIT]]="","-",VLOOKUP(ventas_b_mes1[[#This Row],[CUIT]],Lista_CUIT[#All],2,0)),"CUIT NO CARGADO")</f>
        <v>-</v>
      </c>
      <c r="H1054" s="64">
        <f>ventas_b_mes1[[#This Row],[TOTAL]]/1.21</f>
        <v>0</v>
      </c>
      <c r="I1054" s="140">
        <f>ventas_b_mes1[[#This Row],[IMPORTE NETO]]*0.21</f>
        <v>0</v>
      </c>
      <c r="J1054" s="141"/>
      <c r="K1054" s="141"/>
      <c r="L1054" s="141"/>
      <c r="M1054" s="59"/>
    </row>
    <row r="1055" spans="2:13">
      <c r="B1055" s="135"/>
      <c r="C1055" s="136"/>
      <c r="D1055" s="137"/>
      <c r="E1055" s="138"/>
      <c r="F1055" s="139"/>
      <c r="G1055" s="1" t="str">
        <f>IFERROR(IF(ventas_b_mes1[[#This Row],[CUIT]]="","-",VLOOKUP(ventas_b_mes1[[#This Row],[CUIT]],Lista_CUIT[#All],2,0)),"CUIT NO CARGADO")</f>
        <v>-</v>
      </c>
      <c r="H1055" s="64">
        <f>ventas_b_mes1[[#This Row],[TOTAL]]/1.21</f>
        <v>0</v>
      </c>
      <c r="I1055" s="140">
        <f>ventas_b_mes1[[#This Row],[IMPORTE NETO]]*0.21</f>
        <v>0</v>
      </c>
      <c r="J1055" s="141"/>
      <c r="K1055" s="141"/>
      <c r="L1055" s="141"/>
      <c r="M1055" s="59"/>
    </row>
    <row r="1056" spans="2:13">
      <c r="B1056" s="135"/>
      <c r="C1056" s="136"/>
      <c r="D1056" s="137"/>
      <c r="E1056" s="138"/>
      <c r="F1056" s="139"/>
      <c r="G1056" s="1" t="str">
        <f>IFERROR(IF(ventas_b_mes1[[#This Row],[CUIT]]="","-",VLOOKUP(ventas_b_mes1[[#This Row],[CUIT]],Lista_CUIT[#All],2,0)),"CUIT NO CARGADO")</f>
        <v>-</v>
      </c>
      <c r="H1056" s="64">
        <f>ventas_b_mes1[[#This Row],[TOTAL]]/1.21</f>
        <v>0</v>
      </c>
      <c r="I1056" s="140">
        <f>ventas_b_mes1[[#This Row],[IMPORTE NETO]]*0.21</f>
        <v>0</v>
      </c>
      <c r="J1056" s="141"/>
      <c r="K1056" s="141"/>
      <c r="L1056" s="141"/>
      <c r="M1056" s="59"/>
    </row>
    <row r="1057" spans="2:13">
      <c r="B1057" s="135"/>
      <c r="C1057" s="136"/>
      <c r="D1057" s="137"/>
      <c r="E1057" s="138"/>
      <c r="F1057" s="139"/>
      <c r="G1057" s="1" t="str">
        <f>IFERROR(IF(ventas_b_mes1[[#This Row],[CUIT]]="","-",VLOOKUP(ventas_b_mes1[[#This Row],[CUIT]],Lista_CUIT[#All],2,0)),"CUIT NO CARGADO")</f>
        <v>-</v>
      </c>
      <c r="H1057" s="64">
        <f>ventas_b_mes1[[#This Row],[TOTAL]]/1.21</f>
        <v>0</v>
      </c>
      <c r="I1057" s="140">
        <f>ventas_b_mes1[[#This Row],[IMPORTE NETO]]*0.21</f>
        <v>0</v>
      </c>
      <c r="J1057" s="141"/>
      <c r="K1057" s="141"/>
      <c r="L1057" s="141"/>
      <c r="M1057" s="59"/>
    </row>
    <row r="1058" spans="2:13">
      <c r="B1058" s="135"/>
      <c r="C1058" s="136"/>
      <c r="D1058" s="137"/>
      <c r="E1058" s="138"/>
      <c r="F1058" s="139"/>
      <c r="G1058" s="1" t="str">
        <f>IFERROR(IF(ventas_b_mes1[[#This Row],[CUIT]]="","-",VLOOKUP(ventas_b_mes1[[#This Row],[CUIT]],Lista_CUIT[#All],2,0)),"CUIT NO CARGADO")</f>
        <v>-</v>
      </c>
      <c r="H1058" s="64">
        <f>ventas_b_mes1[[#This Row],[TOTAL]]/1.21</f>
        <v>0</v>
      </c>
      <c r="I1058" s="140">
        <f>ventas_b_mes1[[#This Row],[IMPORTE NETO]]*0.21</f>
        <v>0</v>
      </c>
      <c r="J1058" s="141"/>
      <c r="K1058" s="141"/>
      <c r="L1058" s="141"/>
      <c r="M1058" s="59"/>
    </row>
    <row r="1059" spans="2:13">
      <c r="B1059" s="135"/>
      <c r="C1059" s="136"/>
      <c r="D1059" s="137"/>
      <c r="E1059" s="138"/>
      <c r="F1059" s="139"/>
      <c r="G1059" s="1" t="str">
        <f>IFERROR(IF(ventas_b_mes1[[#This Row],[CUIT]]="","-",VLOOKUP(ventas_b_mes1[[#This Row],[CUIT]],Lista_CUIT[#All],2,0)),"CUIT NO CARGADO")</f>
        <v>-</v>
      </c>
      <c r="H1059" s="64">
        <f>ventas_b_mes1[[#This Row],[TOTAL]]/1.21</f>
        <v>0</v>
      </c>
      <c r="I1059" s="140">
        <f>ventas_b_mes1[[#This Row],[IMPORTE NETO]]*0.21</f>
        <v>0</v>
      </c>
      <c r="J1059" s="141"/>
      <c r="K1059" s="141"/>
      <c r="L1059" s="141"/>
      <c r="M1059" s="59"/>
    </row>
    <row r="1060" spans="2:13">
      <c r="B1060" s="135"/>
      <c r="C1060" s="136"/>
      <c r="D1060" s="137"/>
      <c r="E1060" s="138"/>
      <c r="F1060" s="139"/>
      <c r="G1060" s="1" t="str">
        <f>IFERROR(IF(ventas_b_mes1[[#This Row],[CUIT]]="","-",VLOOKUP(ventas_b_mes1[[#This Row],[CUIT]],Lista_CUIT[#All],2,0)),"CUIT NO CARGADO")</f>
        <v>-</v>
      </c>
      <c r="H1060" s="64">
        <f>ventas_b_mes1[[#This Row],[TOTAL]]/1.21</f>
        <v>0</v>
      </c>
      <c r="I1060" s="140">
        <f>ventas_b_mes1[[#This Row],[IMPORTE NETO]]*0.21</f>
        <v>0</v>
      </c>
      <c r="J1060" s="141"/>
      <c r="K1060" s="141"/>
      <c r="L1060" s="141"/>
      <c r="M1060" s="59"/>
    </row>
    <row r="1061" spans="2:13">
      <c r="B1061" s="135"/>
      <c r="C1061" s="136"/>
      <c r="D1061" s="137"/>
      <c r="E1061" s="138"/>
      <c r="F1061" s="139"/>
      <c r="G1061" s="1" t="str">
        <f>IFERROR(IF(ventas_b_mes1[[#This Row],[CUIT]]="","-",VLOOKUP(ventas_b_mes1[[#This Row],[CUIT]],Lista_CUIT[#All],2,0)),"CUIT NO CARGADO")</f>
        <v>-</v>
      </c>
      <c r="H1061" s="64">
        <f>ventas_b_mes1[[#This Row],[TOTAL]]/1.21</f>
        <v>0</v>
      </c>
      <c r="I1061" s="140">
        <f>ventas_b_mes1[[#This Row],[IMPORTE NETO]]*0.21</f>
        <v>0</v>
      </c>
      <c r="J1061" s="141"/>
      <c r="K1061" s="141"/>
      <c r="L1061" s="141"/>
      <c r="M1061" s="59"/>
    </row>
    <row r="1062" spans="2:13">
      <c r="B1062" s="135"/>
      <c r="C1062" s="136"/>
      <c r="D1062" s="137"/>
      <c r="E1062" s="138"/>
      <c r="F1062" s="139"/>
      <c r="G1062" s="1" t="str">
        <f>IFERROR(IF(ventas_b_mes1[[#This Row],[CUIT]]="","-",VLOOKUP(ventas_b_mes1[[#This Row],[CUIT]],Lista_CUIT[#All],2,0)),"CUIT NO CARGADO")</f>
        <v>-</v>
      </c>
      <c r="H1062" s="64">
        <f>ventas_b_mes1[[#This Row],[TOTAL]]/1.21</f>
        <v>0</v>
      </c>
      <c r="I1062" s="140">
        <f>ventas_b_mes1[[#This Row],[IMPORTE NETO]]*0.21</f>
        <v>0</v>
      </c>
      <c r="J1062" s="141"/>
      <c r="K1062" s="141"/>
      <c r="L1062" s="141"/>
      <c r="M1062" s="59"/>
    </row>
    <row r="1063" spans="2:13">
      <c r="B1063" s="135"/>
      <c r="C1063" s="136"/>
      <c r="D1063" s="137"/>
      <c r="E1063" s="138"/>
      <c r="F1063" s="139"/>
      <c r="G1063" s="1" t="str">
        <f>IFERROR(IF(ventas_b_mes1[[#This Row],[CUIT]]="","-",VLOOKUP(ventas_b_mes1[[#This Row],[CUIT]],Lista_CUIT[#All],2,0)),"CUIT NO CARGADO")</f>
        <v>-</v>
      </c>
      <c r="H1063" s="64">
        <f>ventas_b_mes1[[#This Row],[TOTAL]]/1.21</f>
        <v>0</v>
      </c>
      <c r="I1063" s="140">
        <f>ventas_b_mes1[[#This Row],[IMPORTE NETO]]*0.21</f>
        <v>0</v>
      </c>
      <c r="J1063" s="141"/>
      <c r="K1063" s="141"/>
      <c r="L1063" s="141"/>
      <c r="M1063" s="59"/>
    </row>
    <row r="1064" spans="2:13">
      <c r="B1064" s="135"/>
      <c r="C1064" s="136"/>
      <c r="D1064" s="137"/>
      <c r="E1064" s="138"/>
      <c r="F1064" s="139"/>
      <c r="G1064" s="1" t="str">
        <f>IFERROR(IF(ventas_b_mes1[[#This Row],[CUIT]]="","-",VLOOKUP(ventas_b_mes1[[#This Row],[CUIT]],Lista_CUIT[#All],2,0)),"CUIT NO CARGADO")</f>
        <v>-</v>
      </c>
      <c r="H1064" s="64">
        <f>ventas_b_mes1[[#This Row],[TOTAL]]/1.21</f>
        <v>0</v>
      </c>
      <c r="I1064" s="140">
        <f>ventas_b_mes1[[#This Row],[IMPORTE NETO]]*0.21</f>
        <v>0</v>
      </c>
      <c r="J1064" s="141"/>
      <c r="K1064" s="141"/>
      <c r="L1064" s="141"/>
      <c r="M1064" s="59"/>
    </row>
    <row r="1065" spans="2:13">
      <c r="B1065" s="135"/>
      <c r="C1065" s="136"/>
      <c r="D1065" s="137"/>
      <c r="E1065" s="138"/>
      <c r="F1065" s="139"/>
      <c r="G1065" s="1" t="str">
        <f>IFERROR(IF(ventas_b_mes1[[#This Row],[CUIT]]="","-",VLOOKUP(ventas_b_mes1[[#This Row],[CUIT]],Lista_CUIT[#All],2,0)),"CUIT NO CARGADO")</f>
        <v>-</v>
      </c>
      <c r="H1065" s="64">
        <f>ventas_b_mes1[[#This Row],[TOTAL]]/1.21</f>
        <v>0</v>
      </c>
      <c r="I1065" s="140">
        <f>ventas_b_mes1[[#This Row],[IMPORTE NETO]]*0.21</f>
        <v>0</v>
      </c>
      <c r="J1065" s="141"/>
      <c r="K1065" s="141"/>
      <c r="L1065" s="141"/>
      <c r="M1065" s="59"/>
    </row>
    <row r="1066" spans="2:13">
      <c r="B1066" s="135"/>
      <c r="C1066" s="136"/>
      <c r="D1066" s="137"/>
      <c r="E1066" s="138"/>
      <c r="F1066" s="139"/>
      <c r="G1066" s="1" t="str">
        <f>IFERROR(IF(ventas_b_mes1[[#This Row],[CUIT]]="","-",VLOOKUP(ventas_b_mes1[[#This Row],[CUIT]],Lista_CUIT[#All],2,0)),"CUIT NO CARGADO")</f>
        <v>-</v>
      </c>
      <c r="H1066" s="64">
        <f>ventas_b_mes1[[#This Row],[TOTAL]]/1.21</f>
        <v>0</v>
      </c>
      <c r="I1066" s="140">
        <f>ventas_b_mes1[[#This Row],[IMPORTE NETO]]*0.21</f>
        <v>0</v>
      </c>
      <c r="J1066" s="141"/>
      <c r="K1066" s="141"/>
      <c r="L1066" s="141"/>
      <c r="M1066" s="59"/>
    </row>
    <row r="1067" spans="2:13">
      <c r="B1067" s="135"/>
      <c r="C1067" s="136"/>
      <c r="D1067" s="137"/>
      <c r="E1067" s="138"/>
      <c r="F1067" s="139"/>
      <c r="G1067" s="1" t="str">
        <f>IFERROR(IF(ventas_b_mes1[[#This Row],[CUIT]]="","-",VLOOKUP(ventas_b_mes1[[#This Row],[CUIT]],Lista_CUIT[#All],2,0)),"CUIT NO CARGADO")</f>
        <v>-</v>
      </c>
      <c r="H1067" s="64">
        <f>ventas_b_mes1[[#This Row],[TOTAL]]/1.21</f>
        <v>0</v>
      </c>
      <c r="I1067" s="140">
        <f>ventas_b_mes1[[#This Row],[IMPORTE NETO]]*0.21</f>
        <v>0</v>
      </c>
      <c r="J1067" s="141"/>
      <c r="K1067" s="141"/>
      <c r="L1067" s="141"/>
      <c r="M1067" s="59"/>
    </row>
    <row r="1068" spans="2:13">
      <c r="B1068" s="135"/>
      <c r="C1068" s="136"/>
      <c r="D1068" s="137"/>
      <c r="E1068" s="138"/>
      <c r="F1068" s="139"/>
      <c r="G1068" s="1" t="str">
        <f>IFERROR(IF(ventas_b_mes1[[#This Row],[CUIT]]="","-",VLOOKUP(ventas_b_mes1[[#This Row],[CUIT]],Lista_CUIT[#All],2,0)),"CUIT NO CARGADO")</f>
        <v>-</v>
      </c>
      <c r="H1068" s="64">
        <f>ventas_b_mes1[[#This Row],[TOTAL]]/1.21</f>
        <v>0</v>
      </c>
      <c r="I1068" s="140">
        <f>ventas_b_mes1[[#This Row],[IMPORTE NETO]]*0.21</f>
        <v>0</v>
      </c>
      <c r="J1068" s="141"/>
      <c r="K1068" s="141"/>
      <c r="L1068" s="141"/>
      <c r="M1068" s="59"/>
    </row>
    <row r="1069" spans="2:13">
      <c r="B1069" s="135"/>
      <c r="C1069" s="136"/>
      <c r="D1069" s="137"/>
      <c r="E1069" s="138"/>
      <c r="F1069" s="139"/>
      <c r="G1069" s="1" t="str">
        <f>IFERROR(IF(ventas_b_mes1[[#This Row],[CUIT]]="","-",VLOOKUP(ventas_b_mes1[[#This Row],[CUIT]],Lista_CUIT[#All],2,0)),"CUIT NO CARGADO")</f>
        <v>-</v>
      </c>
      <c r="H1069" s="64">
        <f>ventas_b_mes1[[#This Row],[TOTAL]]/1.21</f>
        <v>0</v>
      </c>
      <c r="I1069" s="140">
        <f>ventas_b_mes1[[#This Row],[IMPORTE NETO]]*0.21</f>
        <v>0</v>
      </c>
      <c r="J1069" s="141"/>
      <c r="K1069" s="141"/>
      <c r="L1069" s="141"/>
      <c r="M1069" s="59"/>
    </row>
    <row r="1070" spans="2:13">
      <c r="B1070" s="135"/>
      <c r="C1070" s="136"/>
      <c r="D1070" s="137"/>
      <c r="E1070" s="138"/>
      <c r="F1070" s="139"/>
      <c r="G1070" s="1" t="str">
        <f>IFERROR(IF(ventas_b_mes1[[#This Row],[CUIT]]="","-",VLOOKUP(ventas_b_mes1[[#This Row],[CUIT]],Lista_CUIT[#All],2,0)),"CUIT NO CARGADO")</f>
        <v>-</v>
      </c>
      <c r="H1070" s="64">
        <f>ventas_b_mes1[[#This Row],[TOTAL]]/1.21</f>
        <v>0</v>
      </c>
      <c r="I1070" s="140">
        <f>ventas_b_mes1[[#This Row],[IMPORTE NETO]]*0.21</f>
        <v>0</v>
      </c>
      <c r="J1070" s="141"/>
      <c r="K1070" s="141"/>
      <c r="L1070" s="141"/>
      <c r="M1070" s="59"/>
    </row>
    <row r="1071" spans="2:13">
      <c r="B1071" s="135"/>
      <c r="C1071" s="136"/>
      <c r="D1071" s="137"/>
      <c r="E1071" s="138"/>
      <c r="F1071" s="139"/>
      <c r="G1071" s="1" t="str">
        <f>IFERROR(IF(ventas_b_mes1[[#This Row],[CUIT]]="","-",VLOOKUP(ventas_b_mes1[[#This Row],[CUIT]],Lista_CUIT[#All],2,0)),"CUIT NO CARGADO")</f>
        <v>-</v>
      </c>
      <c r="H1071" s="64">
        <f>ventas_b_mes1[[#This Row],[TOTAL]]/1.21</f>
        <v>0</v>
      </c>
      <c r="I1071" s="140">
        <f>ventas_b_mes1[[#This Row],[IMPORTE NETO]]*0.21</f>
        <v>0</v>
      </c>
      <c r="J1071" s="141"/>
      <c r="K1071" s="141"/>
      <c r="L1071" s="141"/>
      <c r="M1071" s="59"/>
    </row>
    <row r="1072" spans="2:13">
      <c r="B1072" s="135"/>
      <c r="C1072" s="136"/>
      <c r="D1072" s="137"/>
      <c r="E1072" s="138"/>
      <c r="F1072" s="139"/>
      <c r="G1072" s="1" t="str">
        <f>IFERROR(IF(ventas_b_mes1[[#This Row],[CUIT]]="","-",VLOOKUP(ventas_b_mes1[[#This Row],[CUIT]],Lista_CUIT[#All],2,0)),"CUIT NO CARGADO")</f>
        <v>-</v>
      </c>
      <c r="H1072" s="64">
        <f>ventas_b_mes1[[#This Row],[TOTAL]]/1.21</f>
        <v>0</v>
      </c>
      <c r="I1072" s="140">
        <f>ventas_b_mes1[[#This Row],[IMPORTE NETO]]*0.21</f>
        <v>0</v>
      </c>
      <c r="J1072" s="141"/>
      <c r="K1072" s="141"/>
      <c r="L1072" s="141"/>
      <c r="M1072" s="59"/>
    </row>
    <row r="1073" spans="2:13">
      <c r="B1073" s="135"/>
      <c r="C1073" s="136"/>
      <c r="D1073" s="137"/>
      <c r="E1073" s="138"/>
      <c r="F1073" s="139"/>
      <c r="G1073" s="1" t="str">
        <f>IFERROR(IF(ventas_b_mes1[[#This Row],[CUIT]]="","-",VLOOKUP(ventas_b_mes1[[#This Row],[CUIT]],Lista_CUIT[#All],2,0)),"CUIT NO CARGADO")</f>
        <v>-</v>
      </c>
      <c r="H1073" s="64">
        <f>ventas_b_mes1[[#This Row],[TOTAL]]/1.21</f>
        <v>0</v>
      </c>
      <c r="I1073" s="140">
        <f>ventas_b_mes1[[#This Row],[IMPORTE NETO]]*0.21</f>
        <v>0</v>
      </c>
      <c r="J1073" s="141"/>
      <c r="K1073" s="141"/>
      <c r="L1073" s="141"/>
      <c r="M1073" s="59"/>
    </row>
    <row r="1074" spans="2:13">
      <c r="B1074" s="135"/>
      <c r="C1074" s="136"/>
      <c r="D1074" s="137"/>
      <c r="E1074" s="138"/>
      <c r="F1074" s="139"/>
      <c r="G1074" s="1" t="str">
        <f>IFERROR(IF(ventas_b_mes1[[#This Row],[CUIT]]="","-",VLOOKUP(ventas_b_mes1[[#This Row],[CUIT]],Lista_CUIT[#All],2,0)),"CUIT NO CARGADO")</f>
        <v>-</v>
      </c>
      <c r="H1074" s="64">
        <f>ventas_b_mes1[[#This Row],[TOTAL]]/1.21</f>
        <v>0</v>
      </c>
      <c r="I1074" s="140">
        <f>ventas_b_mes1[[#This Row],[IMPORTE NETO]]*0.21</f>
        <v>0</v>
      </c>
      <c r="J1074" s="141"/>
      <c r="K1074" s="141"/>
      <c r="L1074" s="141"/>
      <c r="M1074" s="59"/>
    </row>
    <row r="1075" spans="2:13">
      <c r="B1075" s="135"/>
      <c r="C1075" s="136"/>
      <c r="D1075" s="137"/>
      <c r="E1075" s="138"/>
      <c r="F1075" s="139"/>
      <c r="G1075" s="1" t="str">
        <f>IFERROR(IF(ventas_b_mes1[[#This Row],[CUIT]]="","-",VLOOKUP(ventas_b_mes1[[#This Row],[CUIT]],Lista_CUIT[#All],2,0)),"CUIT NO CARGADO")</f>
        <v>-</v>
      </c>
      <c r="H1075" s="64">
        <f>ventas_b_mes1[[#This Row],[TOTAL]]/1.21</f>
        <v>0</v>
      </c>
      <c r="I1075" s="140">
        <f>ventas_b_mes1[[#This Row],[IMPORTE NETO]]*0.21</f>
        <v>0</v>
      </c>
      <c r="J1075" s="141"/>
      <c r="K1075" s="141"/>
      <c r="L1075" s="141"/>
      <c r="M1075" s="59"/>
    </row>
    <row r="1076" spans="2:13">
      <c r="B1076" s="135"/>
      <c r="C1076" s="136"/>
      <c r="D1076" s="137"/>
      <c r="E1076" s="138"/>
      <c r="F1076" s="139"/>
      <c r="G1076" s="1" t="str">
        <f>IFERROR(IF(ventas_b_mes1[[#This Row],[CUIT]]="","-",VLOOKUP(ventas_b_mes1[[#This Row],[CUIT]],Lista_CUIT[#All],2,0)),"CUIT NO CARGADO")</f>
        <v>-</v>
      </c>
      <c r="H1076" s="64">
        <f>ventas_b_mes1[[#This Row],[TOTAL]]/1.21</f>
        <v>0</v>
      </c>
      <c r="I1076" s="140">
        <f>ventas_b_mes1[[#This Row],[IMPORTE NETO]]*0.21</f>
        <v>0</v>
      </c>
      <c r="J1076" s="141"/>
      <c r="K1076" s="141"/>
      <c r="L1076" s="141"/>
      <c r="M1076" s="59"/>
    </row>
    <row r="1077" spans="2:13">
      <c r="B1077" s="135"/>
      <c r="C1077" s="136"/>
      <c r="D1077" s="137"/>
      <c r="E1077" s="138"/>
      <c r="F1077" s="139"/>
      <c r="G1077" s="1" t="str">
        <f>IFERROR(IF(ventas_b_mes1[[#This Row],[CUIT]]="","-",VLOOKUP(ventas_b_mes1[[#This Row],[CUIT]],Lista_CUIT[#All],2,0)),"CUIT NO CARGADO")</f>
        <v>-</v>
      </c>
      <c r="H1077" s="64">
        <f>ventas_b_mes1[[#This Row],[TOTAL]]/1.21</f>
        <v>0</v>
      </c>
      <c r="I1077" s="140">
        <f>ventas_b_mes1[[#This Row],[IMPORTE NETO]]*0.21</f>
        <v>0</v>
      </c>
      <c r="J1077" s="141"/>
      <c r="K1077" s="141"/>
      <c r="L1077" s="141"/>
      <c r="M1077" s="59"/>
    </row>
    <row r="1078" spans="2:13">
      <c r="B1078" s="135"/>
      <c r="C1078" s="136"/>
      <c r="D1078" s="137"/>
      <c r="E1078" s="138"/>
      <c r="F1078" s="139"/>
      <c r="G1078" s="1" t="str">
        <f>IFERROR(IF(ventas_b_mes1[[#This Row],[CUIT]]="","-",VLOOKUP(ventas_b_mes1[[#This Row],[CUIT]],Lista_CUIT[#All],2,0)),"CUIT NO CARGADO")</f>
        <v>-</v>
      </c>
      <c r="H1078" s="64">
        <f>ventas_b_mes1[[#This Row],[TOTAL]]/1.21</f>
        <v>0</v>
      </c>
      <c r="I1078" s="140">
        <f>ventas_b_mes1[[#This Row],[IMPORTE NETO]]*0.21</f>
        <v>0</v>
      </c>
      <c r="J1078" s="141"/>
      <c r="K1078" s="141"/>
      <c r="L1078" s="141"/>
      <c r="M1078" s="59"/>
    </row>
    <row r="1079" spans="2:13">
      <c r="B1079" s="135"/>
      <c r="C1079" s="136"/>
      <c r="D1079" s="137"/>
      <c r="E1079" s="138"/>
      <c r="F1079" s="139"/>
      <c r="G1079" s="1" t="str">
        <f>IFERROR(IF(ventas_b_mes1[[#This Row],[CUIT]]="","-",VLOOKUP(ventas_b_mes1[[#This Row],[CUIT]],Lista_CUIT[#All],2,0)),"CUIT NO CARGADO")</f>
        <v>-</v>
      </c>
      <c r="H1079" s="64">
        <f>ventas_b_mes1[[#This Row],[TOTAL]]/1.21</f>
        <v>0</v>
      </c>
      <c r="I1079" s="140">
        <f>ventas_b_mes1[[#This Row],[IMPORTE NETO]]*0.21</f>
        <v>0</v>
      </c>
      <c r="J1079" s="141"/>
      <c r="K1079" s="141"/>
      <c r="L1079" s="141"/>
      <c r="M1079" s="59"/>
    </row>
    <row r="1080" spans="2:13">
      <c r="B1080" s="135"/>
      <c r="C1080" s="136"/>
      <c r="D1080" s="137"/>
      <c r="E1080" s="138"/>
      <c r="F1080" s="139"/>
      <c r="G1080" s="1" t="str">
        <f>IFERROR(IF(ventas_b_mes1[[#This Row],[CUIT]]="","-",VLOOKUP(ventas_b_mes1[[#This Row],[CUIT]],Lista_CUIT[#All],2,0)),"CUIT NO CARGADO")</f>
        <v>-</v>
      </c>
      <c r="H1080" s="64">
        <f>ventas_b_mes1[[#This Row],[TOTAL]]/1.21</f>
        <v>0</v>
      </c>
      <c r="I1080" s="140">
        <f>ventas_b_mes1[[#This Row],[IMPORTE NETO]]*0.21</f>
        <v>0</v>
      </c>
      <c r="J1080" s="141"/>
      <c r="K1080" s="141"/>
      <c r="L1080" s="141"/>
      <c r="M1080" s="59"/>
    </row>
    <row r="1081" spans="2:13">
      <c r="B1081" s="135"/>
      <c r="C1081" s="136"/>
      <c r="D1081" s="137"/>
      <c r="E1081" s="138"/>
      <c r="F1081" s="139"/>
      <c r="G1081" s="1" t="str">
        <f>IFERROR(IF(ventas_b_mes1[[#This Row],[CUIT]]="","-",VLOOKUP(ventas_b_mes1[[#This Row],[CUIT]],Lista_CUIT[#All],2,0)),"CUIT NO CARGADO")</f>
        <v>-</v>
      </c>
      <c r="H1081" s="64">
        <f>ventas_b_mes1[[#This Row],[TOTAL]]/1.21</f>
        <v>0</v>
      </c>
      <c r="I1081" s="140">
        <f>ventas_b_mes1[[#This Row],[IMPORTE NETO]]*0.21</f>
        <v>0</v>
      </c>
      <c r="J1081" s="141"/>
      <c r="K1081" s="141"/>
      <c r="L1081" s="141"/>
      <c r="M1081" s="59"/>
    </row>
    <row r="1082" spans="2:13">
      <c r="B1082" s="135"/>
      <c r="C1082" s="136"/>
      <c r="D1082" s="137"/>
      <c r="E1082" s="138"/>
      <c r="F1082" s="139"/>
      <c r="G1082" s="1" t="str">
        <f>IFERROR(IF(ventas_b_mes1[[#This Row],[CUIT]]="","-",VLOOKUP(ventas_b_mes1[[#This Row],[CUIT]],Lista_CUIT[#All],2,0)),"CUIT NO CARGADO")</f>
        <v>-</v>
      </c>
      <c r="H1082" s="64">
        <f>ventas_b_mes1[[#This Row],[TOTAL]]/1.21</f>
        <v>0</v>
      </c>
      <c r="I1082" s="140">
        <f>ventas_b_mes1[[#This Row],[IMPORTE NETO]]*0.21</f>
        <v>0</v>
      </c>
      <c r="J1082" s="141"/>
      <c r="K1082" s="141"/>
      <c r="L1082" s="141"/>
      <c r="M1082" s="59"/>
    </row>
    <row r="1083" spans="2:13">
      <c r="B1083" s="135"/>
      <c r="C1083" s="136"/>
      <c r="D1083" s="137"/>
      <c r="E1083" s="138"/>
      <c r="F1083" s="139"/>
      <c r="G1083" s="1" t="str">
        <f>IFERROR(IF(ventas_b_mes1[[#This Row],[CUIT]]="","-",VLOOKUP(ventas_b_mes1[[#This Row],[CUIT]],Lista_CUIT[#All],2,0)),"CUIT NO CARGADO")</f>
        <v>-</v>
      </c>
      <c r="H1083" s="64">
        <f>ventas_b_mes1[[#This Row],[TOTAL]]/1.21</f>
        <v>0</v>
      </c>
      <c r="I1083" s="140">
        <f>ventas_b_mes1[[#This Row],[IMPORTE NETO]]*0.21</f>
        <v>0</v>
      </c>
      <c r="J1083" s="141"/>
      <c r="K1083" s="141"/>
      <c r="L1083" s="141"/>
      <c r="M1083" s="59"/>
    </row>
    <row r="1084" spans="2:13">
      <c r="B1084" s="135"/>
      <c r="C1084" s="136"/>
      <c r="D1084" s="137"/>
      <c r="E1084" s="138"/>
      <c r="F1084" s="139"/>
      <c r="G1084" s="1" t="str">
        <f>IFERROR(IF(ventas_b_mes1[[#This Row],[CUIT]]="","-",VLOOKUP(ventas_b_mes1[[#This Row],[CUIT]],Lista_CUIT[#All],2,0)),"CUIT NO CARGADO")</f>
        <v>-</v>
      </c>
      <c r="H1084" s="64">
        <f>ventas_b_mes1[[#This Row],[TOTAL]]/1.21</f>
        <v>0</v>
      </c>
      <c r="I1084" s="140">
        <f>ventas_b_mes1[[#This Row],[IMPORTE NETO]]*0.21</f>
        <v>0</v>
      </c>
      <c r="J1084" s="141"/>
      <c r="K1084" s="141"/>
      <c r="L1084" s="141"/>
      <c r="M1084" s="59"/>
    </row>
    <row r="1085" spans="2:13">
      <c r="B1085" s="135"/>
      <c r="C1085" s="136"/>
      <c r="D1085" s="137"/>
      <c r="E1085" s="138"/>
      <c r="F1085" s="139"/>
      <c r="G1085" s="1" t="str">
        <f>IFERROR(IF(ventas_b_mes1[[#This Row],[CUIT]]="","-",VLOOKUP(ventas_b_mes1[[#This Row],[CUIT]],Lista_CUIT[#All],2,0)),"CUIT NO CARGADO")</f>
        <v>-</v>
      </c>
      <c r="H1085" s="64">
        <f>ventas_b_mes1[[#This Row],[TOTAL]]/1.21</f>
        <v>0</v>
      </c>
      <c r="I1085" s="140">
        <f>ventas_b_mes1[[#This Row],[IMPORTE NETO]]*0.21</f>
        <v>0</v>
      </c>
      <c r="J1085" s="141"/>
      <c r="K1085" s="141"/>
      <c r="L1085" s="141"/>
      <c r="M1085" s="59"/>
    </row>
    <row r="1086" spans="2:13">
      <c r="B1086" s="135"/>
      <c r="C1086" s="136"/>
      <c r="D1086" s="137"/>
      <c r="E1086" s="138"/>
      <c r="F1086" s="139"/>
      <c r="G1086" s="1" t="str">
        <f>IFERROR(IF(ventas_b_mes1[[#This Row],[CUIT]]="","-",VLOOKUP(ventas_b_mes1[[#This Row],[CUIT]],Lista_CUIT[#All],2,0)),"CUIT NO CARGADO")</f>
        <v>-</v>
      </c>
      <c r="H1086" s="64">
        <f>ventas_b_mes1[[#This Row],[TOTAL]]/1.21</f>
        <v>0</v>
      </c>
      <c r="I1086" s="140">
        <f>ventas_b_mes1[[#This Row],[IMPORTE NETO]]*0.21</f>
        <v>0</v>
      </c>
      <c r="J1086" s="141"/>
      <c r="K1086" s="141"/>
      <c r="L1086" s="141"/>
      <c r="M1086" s="59"/>
    </row>
    <row r="1087" spans="2:13">
      <c r="B1087" s="135"/>
      <c r="C1087" s="136"/>
      <c r="D1087" s="137"/>
      <c r="E1087" s="138"/>
      <c r="F1087" s="139"/>
      <c r="G1087" s="1" t="str">
        <f>IFERROR(IF(ventas_b_mes1[[#This Row],[CUIT]]="","-",VLOOKUP(ventas_b_mes1[[#This Row],[CUIT]],Lista_CUIT[#All],2,0)),"CUIT NO CARGADO")</f>
        <v>-</v>
      </c>
      <c r="H1087" s="64">
        <f>ventas_b_mes1[[#This Row],[TOTAL]]/1.21</f>
        <v>0</v>
      </c>
      <c r="I1087" s="140">
        <f>ventas_b_mes1[[#This Row],[IMPORTE NETO]]*0.21</f>
        <v>0</v>
      </c>
      <c r="J1087" s="141"/>
      <c r="K1087" s="141"/>
      <c r="L1087" s="141"/>
      <c r="M1087" s="59"/>
    </row>
    <row r="1088" spans="2:13">
      <c r="B1088" s="135"/>
      <c r="C1088" s="136"/>
      <c r="D1088" s="137"/>
      <c r="E1088" s="138"/>
      <c r="F1088" s="139"/>
      <c r="G1088" s="1" t="str">
        <f>IFERROR(IF(ventas_b_mes1[[#This Row],[CUIT]]="","-",VLOOKUP(ventas_b_mes1[[#This Row],[CUIT]],Lista_CUIT[#All],2,0)),"CUIT NO CARGADO")</f>
        <v>-</v>
      </c>
      <c r="H1088" s="64">
        <f>ventas_b_mes1[[#This Row],[TOTAL]]/1.21</f>
        <v>0</v>
      </c>
      <c r="I1088" s="140">
        <f>ventas_b_mes1[[#This Row],[IMPORTE NETO]]*0.21</f>
        <v>0</v>
      </c>
      <c r="J1088" s="141"/>
      <c r="K1088" s="141"/>
      <c r="L1088" s="141"/>
      <c r="M1088" s="59"/>
    </row>
    <row r="1089" spans="2:13">
      <c r="B1089" s="135"/>
      <c r="C1089" s="136"/>
      <c r="D1089" s="137"/>
      <c r="E1089" s="138"/>
      <c r="F1089" s="139"/>
      <c r="G1089" s="1" t="str">
        <f>IFERROR(IF(ventas_b_mes1[[#This Row],[CUIT]]="","-",VLOOKUP(ventas_b_mes1[[#This Row],[CUIT]],Lista_CUIT[#All],2,0)),"CUIT NO CARGADO")</f>
        <v>-</v>
      </c>
      <c r="H1089" s="64">
        <f>ventas_b_mes1[[#This Row],[TOTAL]]/1.21</f>
        <v>0</v>
      </c>
      <c r="I1089" s="140">
        <f>ventas_b_mes1[[#This Row],[IMPORTE NETO]]*0.21</f>
        <v>0</v>
      </c>
      <c r="J1089" s="141"/>
      <c r="K1089" s="141"/>
      <c r="L1089" s="141"/>
      <c r="M1089" s="59"/>
    </row>
    <row r="1090" spans="2:13">
      <c r="B1090" s="135"/>
      <c r="C1090" s="136"/>
      <c r="D1090" s="137"/>
      <c r="E1090" s="138"/>
      <c r="F1090" s="139"/>
      <c r="G1090" s="1" t="str">
        <f>IFERROR(IF(ventas_b_mes1[[#This Row],[CUIT]]="","-",VLOOKUP(ventas_b_mes1[[#This Row],[CUIT]],Lista_CUIT[#All],2,0)),"CUIT NO CARGADO")</f>
        <v>-</v>
      </c>
      <c r="H1090" s="64">
        <f>ventas_b_mes1[[#This Row],[TOTAL]]/1.21</f>
        <v>0</v>
      </c>
      <c r="I1090" s="140">
        <f>ventas_b_mes1[[#This Row],[IMPORTE NETO]]*0.21</f>
        <v>0</v>
      </c>
      <c r="J1090" s="141"/>
      <c r="K1090" s="141"/>
      <c r="L1090" s="141"/>
      <c r="M1090" s="59"/>
    </row>
    <row r="1091" spans="2:13">
      <c r="B1091" s="135"/>
      <c r="C1091" s="136"/>
      <c r="D1091" s="137"/>
      <c r="E1091" s="138"/>
      <c r="F1091" s="139"/>
      <c r="G1091" s="1" t="str">
        <f>IFERROR(IF(ventas_b_mes1[[#This Row],[CUIT]]="","-",VLOOKUP(ventas_b_mes1[[#This Row],[CUIT]],Lista_CUIT[#All],2,0)),"CUIT NO CARGADO")</f>
        <v>-</v>
      </c>
      <c r="H1091" s="64">
        <f>ventas_b_mes1[[#This Row],[TOTAL]]/1.21</f>
        <v>0</v>
      </c>
      <c r="I1091" s="140">
        <f>ventas_b_mes1[[#This Row],[IMPORTE NETO]]*0.21</f>
        <v>0</v>
      </c>
      <c r="J1091" s="141"/>
      <c r="K1091" s="141"/>
      <c r="L1091" s="141"/>
      <c r="M1091" s="59"/>
    </row>
    <row r="1092" spans="2:13">
      <c r="B1092" s="135"/>
      <c r="C1092" s="136"/>
      <c r="D1092" s="137"/>
      <c r="E1092" s="138"/>
      <c r="F1092" s="139"/>
      <c r="G1092" s="1" t="str">
        <f>IFERROR(IF(ventas_b_mes1[[#This Row],[CUIT]]="","-",VLOOKUP(ventas_b_mes1[[#This Row],[CUIT]],Lista_CUIT[#All],2,0)),"CUIT NO CARGADO")</f>
        <v>-</v>
      </c>
      <c r="H1092" s="64">
        <f>ventas_b_mes1[[#This Row],[TOTAL]]/1.21</f>
        <v>0</v>
      </c>
      <c r="I1092" s="140">
        <f>ventas_b_mes1[[#This Row],[IMPORTE NETO]]*0.21</f>
        <v>0</v>
      </c>
      <c r="J1092" s="141"/>
      <c r="K1092" s="141"/>
      <c r="L1092" s="141"/>
      <c r="M1092" s="59"/>
    </row>
    <row r="1093" spans="2:13">
      <c r="B1093" s="135"/>
      <c r="C1093" s="136"/>
      <c r="D1093" s="137"/>
      <c r="E1093" s="138"/>
      <c r="F1093" s="139"/>
      <c r="G1093" s="1" t="str">
        <f>IFERROR(IF(ventas_b_mes1[[#This Row],[CUIT]]="","-",VLOOKUP(ventas_b_mes1[[#This Row],[CUIT]],Lista_CUIT[#All],2,0)),"CUIT NO CARGADO")</f>
        <v>-</v>
      </c>
      <c r="H1093" s="64">
        <f>ventas_b_mes1[[#This Row],[TOTAL]]/1.21</f>
        <v>0</v>
      </c>
      <c r="I1093" s="140">
        <f>ventas_b_mes1[[#This Row],[IMPORTE NETO]]*0.21</f>
        <v>0</v>
      </c>
      <c r="J1093" s="141"/>
      <c r="K1093" s="141"/>
      <c r="L1093" s="141"/>
      <c r="M1093" s="59"/>
    </row>
    <row r="1094" spans="2:13">
      <c r="B1094" s="135"/>
      <c r="C1094" s="136"/>
      <c r="D1094" s="137"/>
      <c r="E1094" s="138"/>
      <c r="F1094" s="139"/>
      <c r="G1094" s="1" t="str">
        <f>IFERROR(IF(ventas_b_mes1[[#This Row],[CUIT]]="","-",VLOOKUP(ventas_b_mes1[[#This Row],[CUIT]],Lista_CUIT[#All],2,0)),"CUIT NO CARGADO")</f>
        <v>-</v>
      </c>
      <c r="H1094" s="64">
        <f>ventas_b_mes1[[#This Row],[TOTAL]]/1.21</f>
        <v>0</v>
      </c>
      <c r="I1094" s="140">
        <f>ventas_b_mes1[[#This Row],[IMPORTE NETO]]*0.21</f>
        <v>0</v>
      </c>
      <c r="J1094" s="141"/>
      <c r="K1094" s="141"/>
      <c r="L1094" s="141"/>
      <c r="M1094" s="59"/>
    </row>
    <row r="1095" spans="2:13">
      <c r="B1095" s="135"/>
      <c r="C1095" s="136"/>
      <c r="D1095" s="137"/>
      <c r="E1095" s="138"/>
      <c r="F1095" s="139"/>
      <c r="G1095" s="1" t="str">
        <f>IFERROR(IF(ventas_b_mes1[[#This Row],[CUIT]]="","-",VLOOKUP(ventas_b_mes1[[#This Row],[CUIT]],Lista_CUIT[#All],2,0)),"CUIT NO CARGADO")</f>
        <v>-</v>
      </c>
      <c r="H1095" s="64">
        <f>ventas_b_mes1[[#This Row],[TOTAL]]/1.21</f>
        <v>0</v>
      </c>
      <c r="I1095" s="140">
        <f>ventas_b_mes1[[#This Row],[IMPORTE NETO]]*0.21</f>
        <v>0</v>
      </c>
      <c r="J1095" s="141"/>
      <c r="K1095" s="141"/>
      <c r="L1095" s="141"/>
      <c r="M1095" s="59"/>
    </row>
    <row r="1096" spans="2:13">
      <c r="B1096" s="135"/>
      <c r="C1096" s="136"/>
      <c r="D1096" s="137"/>
      <c r="E1096" s="138"/>
      <c r="F1096" s="139"/>
      <c r="G1096" s="1" t="str">
        <f>IFERROR(IF(ventas_b_mes1[[#This Row],[CUIT]]="","-",VLOOKUP(ventas_b_mes1[[#This Row],[CUIT]],Lista_CUIT[#All],2,0)),"CUIT NO CARGADO")</f>
        <v>-</v>
      </c>
      <c r="H1096" s="64">
        <f>ventas_b_mes1[[#This Row],[TOTAL]]/1.21</f>
        <v>0</v>
      </c>
      <c r="I1096" s="140">
        <f>ventas_b_mes1[[#This Row],[IMPORTE NETO]]*0.21</f>
        <v>0</v>
      </c>
      <c r="J1096" s="141"/>
      <c r="K1096" s="141"/>
      <c r="L1096" s="141"/>
      <c r="M1096" s="59"/>
    </row>
    <row r="1097" spans="2:13">
      <c r="B1097" s="135"/>
      <c r="C1097" s="136"/>
      <c r="D1097" s="137"/>
      <c r="E1097" s="138"/>
      <c r="F1097" s="139"/>
      <c r="G1097" s="1" t="str">
        <f>IFERROR(IF(ventas_b_mes1[[#This Row],[CUIT]]="","-",VLOOKUP(ventas_b_mes1[[#This Row],[CUIT]],Lista_CUIT[#All],2,0)),"CUIT NO CARGADO")</f>
        <v>-</v>
      </c>
      <c r="H1097" s="64">
        <f>ventas_b_mes1[[#This Row],[TOTAL]]/1.21</f>
        <v>0</v>
      </c>
      <c r="I1097" s="140">
        <f>ventas_b_mes1[[#This Row],[IMPORTE NETO]]*0.21</f>
        <v>0</v>
      </c>
      <c r="J1097" s="141"/>
      <c r="K1097" s="141"/>
      <c r="L1097" s="141"/>
      <c r="M1097" s="59"/>
    </row>
    <row r="1098" spans="2:13">
      <c r="B1098" s="135"/>
      <c r="C1098" s="136"/>
      <c r="D1098" s="137"/>
      <c r="E1098" s="138"/>
      <c r="F1098" s="139"/>
      <c r="G1098" s="1" t="str">
        <f>IFERROR(IF(ventas_b_mes1[[#This Row],[CUIT]]="","-",VLOOKUP(ventas_b_mes1[[#This Row],[CUIT]],Lista_CUIT[#All],2,0)),"CUIT NO CARGADO")</f>
        <v>-</v>
      </c>
      <c r="H1098" s="64">
        <f>ventas_b_mes1[[#This Row],[TOTAL]]/1.21</f>
        <v>0</v>
      </c>
      <c r="I1098" s="140">
        <f>ventas_b_mes1[[#This Row],[IMPORTE NETO]]*0.21</f>
        <v>0</v>
      </c>
      <c r="J1098" s="141"/>
      <c r="K1098" s="141"/>
      <c r="L1098" s="141"/>
      <c r="M1098" s="59"/>
    </row>
    <row r="1099" spans="2:13">
      <c r="B1099" s="135"/>
      <c r="C1099" s="136"/>
      <c r="D1099" s="137"/>
      <c r="E1099" s="138"/>
      <c r="F1099" s="139"/>
      <c r="G1099" s="1" t="str">
        <f>IFERROR(IF(ventas_b_mes1[[#This Row],[CUIT]]="","-",VLOOKUP(ventas_b_mes1[[#This Row],[CUIT]],Lista_CUIT[#All],2,0)),"CUIT NO CARGADO")</f>
        <v>-</v>
      </c>
      <c r="H1099" s="64">
        <f>ventas_b_mes1[[#This Row],[TOTAL]]/1.21</f>
        <v>0</v>
      </c>
      <c r="I1099" s="140">
        <f>ventas_b_mes1[[#This Row],[IMPORTE NETO]]*0.21</f>
        <v>0</v>
      </c>
      <c r="J1099" s="141"/>
      <c r="K1099" s="141"/>
      <c r="L1099" s="141"/>
      <c r="M1099" s="59"/>
    </row>
    <row r="1100" spans="2:13">
      <c r="B1100" s="135"/>
      <c r="C1100" s="136"/>
      <c r="D1100" s="137"/>
      <c r="E1100" s="138"/>
      <c r="F1100" s="139"/>
      <c r="G1100" s="1" t="str">
        <f>IFERROR(IF(ventas_b_mes1[[#This Row],[CUIT]]="","-",VLOOKUP(ventas_b_mes1[[#This Row],[CUIT]],Lista_CUIT[#All],2,0)),"CUIT NO CARGADO")</f>
        <v>-</v>
      </c>
      <c r="H1100" s="64">
        <f>ventas_b_mes1[[#This Row],[TOTAL]]/1.21</f>
        <v>0</v>
      </c>
      <c r="I1100" s="140">
        <f>ventas_b_mes1[[#This Row],[IMPORTE NETO]]*0.21</f>
        <v>0</v>
      </c>
      <c r="J1100" s="141"/>
      <c r="K1100" s="141"/>
      <c r="L1100" s="141"/>
      <c r="M1100" s="59"/>
    </row>
    <row r="1101" spans="2:13">
      <c r="B1101" s="135"/>
      <c r="C1101" s="136"/>
      <c r="D1101" s="137"/>
      <c r="E1101" s="138"/>
      <c r="F1101" s="139"/>
      <c r="G1101" s="1" t="str">
        <f>IFERROR(IF(ventas_b_mes1[[#This Row],[CUIT]]="","-",VLOOKUP(ventas_b_mes1[[#This Row],[CUIT]],Lista_CUIT[#All],2,0)),"CUIT NO CARGADO")</f>
        <v>-</v>
      </c>
      <c r="H1101" s="64">
        <f>ventas_b_mes1[[#This Row],[TOTAL]]/1.21</f>
        <v>0</v>
      </c>
      <c r="I1101" s="140">
        <f>ventas_b_mes1[[#This Row],[IMPORTE NETO]]*0.21</f>
        <v>0</v>
      </c>
      <c r="J1101" s="141"/>
      <c r="K1101" s="141"/>
      <c r="L1101" s="141"/>
      <c r="M1101" s="59"/>
    </row>
    <row r="1102" spans="2:13">
      <c r="B1102" s="135"/>
      <c r="C1102" s="136"/>
      <c r="D1102" s="137"/>
      <c r="E1102" s="138"/>
      <c r="F1102" s="139"/>
      <c r="G1102" s="1" t="str">
        <f>IFERROR(IF(ventas_b_mes1[[#This Row],[CUIT]]="","-",VLOOKUP(ventas_b_mes1[[#This Row],[CUIT]],Lista_CUIT[#All],2,0)),"CUIT NO CARGADO")</f>
        <v>-</v>
      </c>
      <c r="H1102" s="64">
        <f>ventas_b_mes1[[#This Row],[TOTAL]]/1.21</f>
        <v>0</v>
      </c>
      <c r="I1102" s="140">
        <f>ventas_b_mes1[[#This Row],[IMPORTE NETO]]*0.21</f>
        <v>0</v>
      </c>
      <c r="J1102" s="141"/>
      <c r="K1102" s="141"/>
      <c r="L1102" s="141"/>
      <c r="M1102" s="59"/>
    </row>
    <row r="1103" spans="2:13">
      <c r="B1103" s="135"/>
      <c r="C1103" s="136"/>
      <c r="D1103" s="137"/>
      <c r="E1103" s="138"/>
      <c r="F1103" s="139"/>
      <c r="G1103" s="1" t="str">
        <f>IFERROR(IF(ventas_b_mes1[[#This Row],[CUIT]]="","-",VLOOKUP(ventas_b_mes1[[#This Row],[CUIT]],Lista_CUIT[#All],2,0)),"CUIT NO CARGADO")</f>
        <v>-</v>
      </c>
      <c r="H1103" s="64">
        <f>ventas_b_mes1[[#This Row],[TOTAL]]/1.21</f>
        <v>0</v>
      </c>
      <c r="I1103" s="140">
        <f>ventas_b_mes1[[#This Row],[IMPORTE NETO]]*0.21</f>
        <v>0</v>
      </c>
      <c r="J1103" s="141"/>
      <c r="K1103" s="141"/>
      <c r="L1103" s="141"/>
      <c r="M1103" s="59"/>
    </row>
    <row r="1104" spans="2:13">
      <c r="B1104" s="135"/>
      <c r="C1104" s="136"/>
      <c r="D1104" s="137"/>
      <c r="E1104" s="138"/>
      <c r="F1104" s="139"/>
      <c r="G1104" s="1" t="str">
        <f>IFERROR(IF(ventas_b_mes1[[#This Row],[CUIT]]="","-",VLOOKUP(ventas_b_mes1[[#This Row],[CUIT]],Lista_CUIT[#All],2,0)),"CUIT NO CARGADO")</f>
        <v>-</v>
      </c>
      <c r="H1104" s="64">
        <f>ventas_b_mes1[[#This Row],[TOTAL]]/1.21</f>
        <v>0</v>
      </c>
      <c r="I1104" s="140">
        <f>ventas_b_mes1[[#This Row],[IMPORTE NETO]]*0.21</f>
        <v>0</v>
      </c>
      <c r="J1104" s="141"/>
      <c r="K1104" s="141"/>
      <c r="L1104" s="141"/>
      <c r="M1104" s="59"/>
    </row>
    <row r="1105" spans="2:13">
      <c r="B1105" s="135"/>
      <c r="C1105" s="136"/>
      <c r="D1105" s="137"/>
      <c r="E1105" s="138"/>
      <c r="F1105" s="139"/>
      <c r="G1105" s="1" t="str">
        <f>IFERROR(IF(ventas_b_mes1[[#This Row],[CUIT]]="","-",VLOOKUP(ventas_b_mes1[[#This Row],[CUIT]],Lista_CUIT[#All],2,0)),"CUIT NO CARGADO")</f>
        <v>-</v>
      </c>
      <c r="H1105" s="64">
        <f>ventas_b_mes1[[#This Row],[TOTAL]]/1.21</f>
        <v>0</v>
      </c>
      <c r="I1105" s="140">
        <f>ventas_b_mes1[[#This Row],[IMPORTE NETO]]*0.21</f>
        <v>0</v>
      </c>
      <c r="J1105" s="141"/>
      <c r="K1105" s="141"/>
      <c r="L1105" s="141"/>
      <c r="M1105" s="59"/>
    </row>
    <row r="1106" spans="2:13">
      <c r="B1106" s="135"/>
      <c r="C1106" s="136"/>
      <c r="D1106" s="137"/>
      <c r="E1106" s="138"/>
      <c r="F1106" s="139"/>
      <c r="G1106" s="1" t="str">
        <f>IFERROR(IF(ventas_b_mes1[[#This Row],[CUIT]]="","-",VLOOKUP(ventas_b_mes1[[#This Row],[CUIT]],Lista_CUIT[#All],2,0)),"CUIT NO CARGADO")</f>
        <v>-</v>
      </c>
      <c r="H1106" s="64">
        <f>ventas_b_mes1[[#This Row],[TOTAL]]/1.21</f>
        <v>0</v>
      </c>
      <c r="I1106" s="140">
        <f>ventas_b_mes1[[#This Row],[IMPORTE NETO]]*0.21</f>
        <v>0</v>
      </c>
      <c r="J1106" s="141"/>
      <c r="K1106" s="141"/>
      <c r="L1106" s="141"/>
      <c r="M1106" s="59"/>
    </row>
    <row r="1107" spans="2:13">
      <c r="B1107" s="135"/>
      <c r="C1107" s="136"/>
      <c r="D1107" s="137"/>
      <c r="E1107" s="138"/>
      <c r="F1107" s="139"/>
      <c r="G1107" s="1" t="str">
        <f>IFERROR(IF(ventas_b_mes1[[#This Row],[CUIT]]="","-",VLOOKUP(ventas_b_mes1[[#This Row],[CUIT]],Lista_CUIT[#All],2,0)),"CUIT NO CARGADO")</f>
        <v>-</v>
      </c>
      <c r="H1107" s="64">
        <f>ventas_b_mes1[[#This Row],[TOTAL]]/1.21</f>
        <v>0</v>
      </c>
      <c r="I1107" s="140">
        <f>ventas_b_mes1[[#This Row],[IMPORTE NETO]]*0.21</f>
        <v>0</v>
      </c>
      <c r="J1107" s="141"/>
      <c r="K1107" s="141"/>
      <c r="L1107" s="141"/>
      <c r="M1107" s="59"/>
    </row>
    <row r="1108" spans="2:13">
      <c r="B1108" s="135"/>
      <c r="C1108" s="136"/>
      <c r="D1108" s="137"/>
      <c r="E1108" s="138"/>
      <c r="F1108" s="139"/>
      <c r="G1108" s="1" t="str">
        <f>IFERROR(IF(ventas_b_mes1[[#This Row],[CUIT]]="","-",VLOOKUP(ventas_b_mes1[[#This Row],[CUIT]],Lista_CUIT[#All],2,0)),"CUIT NO CARGADO")</f>
        <v>-</v>
      </c>
      <c r="H1108" s="64">
        <f>ventas_b_mes1[[#This Row],[TOTAL]]/1.21</f>
        <v>0</v>
      </c>
      <c r="I1108" s="140">
        <f>ventas_b_mes1[[#This Row],[IMPORTE NETO]]*0.21</f>
        <v>0</v>
      </c>
      <c r="J1108" s="141"/>
      <c r="K1108" s="141"/>
      <c r="L1108" s="141"/>
      <c r="M1108" s="59"/>
    </row>
    <row r="1109" spans="2:13">
      <c r="B1109" s="135"/>
      <c r="C1109" s="136"/>
      <c r="D1109" s="137"/>
      <c r="E1109" s="138"/>
      <c r="F1109" s="139"/>
      <c r="G1109" s="1" t="str">
        <f>IFERROR(IF(ventas_b_mes1[[#This Row],[CUIT]]="","-",VLOOKUP(ventas_b_mes1[[#This Row],[CUIT]],Lista_CUIT[#All],2,0)),"CUIT NO CARGADO")</f>
        <v>-</v>
      </c>
      <c r="H1109" s="64">
        <f>ventas_b_mes1[[#This Row],[TOTAL]]/1.21</f>
        <v>0</v>
      </c>
      <c r="I1109" s="140">
        <f>ventas_b_mes1[[#This Row],[IMPORTE NETO]]*0.21</f>
        <v>0</v>
      </c>
      <c r="J1109" s="141"/>
      <c r="K1109" s="141"/>
      <c r="L1109" s="141"/>
      <c r="M1109" s="59"/>
    </row>
    <row r="1110" spans="2:13">
      <c r="B1110" s="135"/>
      <c r="C1110" s="136"/>
      <c r="D1110" s="137"/>
      <c r="E1110" s="138"/>
      <c r="F1110" s="139"/>
      <c r="G1110" s="1" t="str">
        <f>IFERROR(IF(ventas_b_mes1[[#This Row],[CUIT]]="","-",VLOOKUP(ventas_b_mes1[[#This Row],[CUIT]],Lista_CUIT[#All],2,0)),"CUIT NO CARGADO")</f>
        <v>-</v>
      </c>
      <c r="H1110" s="64">
        <f>ventas_b_mes1[[#This Row],[TOTAL]]/1.21</f>
        <v>0</v>
      </c>
      <c r="I1110" s="140">
        <f>ventas_b_mes1[[#This Row],[IMPORTE NETO]]*0.21</f>
        <v>0</v>
      </c>
      <c r="J1110" s="141"/>
      <c r="K1110" s="141"/>
      <c r="L1110" s="141"/>
      <c r="M1110" s="59"/>
    </row>
    <row r="1111" spans="2:13">
      <c r="B1111" s="135"/>
      <c r="C1111" s="136"/>
      <c r="D1111" s="137"/>
      <c r="E1111" s="138"/>
      <c r="F1111" s="139"/>
      <c r="G1111" s="1" t="str">
        <f>IFERROR(IF(ventas_b_mes1[[#This Row],[CUIT]]="","-",VLOOKUP(ventas_b_mes1[[#This Row],[CUIT]],Lista_CUIT[#All],2,0)),"CUIT NO CARGADO")</f>
        <v>-</v>
      </c>
      <c r="H1111" s="64">
        <f>ventas_b_mes1[[#This Row],[TOTAL]]/1.21</f>
        <v>0</v>
      </c>
      <c r="I1111" s="140">
        <f>ventas_b_mes1[[#This Row],[IMPORTE NETO]]*0.21</f>
        <v>0</v>
      </c>
      <c r="J1111" s="141"/>
      <c r="K1111" s="141"/>
      <c r="L1111" s="141"/>
      <c r="M1111" s="59"/>
    </row>
    <row r="1112" spans="2:13">
      <c r="B1112" s="135"/>
      <c r="C1112" s="136"/>
      <c r="D1112" s="137"/>
      <c r="E1112" s="138"/>
      <c r="F1112" s="139"/>
      <c r="G1112" s="1" t="str">
        <f>IFERROR(IF(ventas_b_mes1[[#This Row],[CUIT]]="","-",VLOOKUP(ventas_b_mes1[[#This Row],[CUIT]],Lista_CUIT[#All],2,0)),"CUIT NO CARGADO")</f>
        <v>-</v>
      </c>
      <c r="H1112" s="64">
        <f>ventas_b_mes1[[#This Row],[TOTAL]]/1.21</f>
        <v>0</v>
      </c>
      <c r="I1112" s="140">
        <f>ventas_b_mes1[[#This Row],[IMPORTE NETO]]*0.21</f>
        <v>0</v>
      </c>
      <c r="J1112" s="141"/>
      <c r="K1112" s="141"/>
      <c r="L1112" s="141"/>
      <c r="M1112" s="59"/>
    </row>
    <row r="1113" spans="2:13">
      <c r="B1113" s="135"/>
      <c r="C1113" s="136"/>
      <c r="D1113" s="137"/>
      <c r="E1113" s="138"/>
      <c r="F1113" s="139"/>
      <c r="G1113" s="1" t="str">
        <f>IFERROR(IF(ventas_b_mes1[[#This Row],[CUIT]]="","-",VLOOKUP(ventas_b_mes1[[#This Row],[CUIT]],Lista_CUIT[#All],2,0)),"CUIT NO CARGADO")</f>
        <v>-</v>
      </c>
      <c r="H1113" s="64">
        <f>ventas_b_mes1[[#This Row],[TOTAL]]/1.21</f>
        <v>0</v>
      </c>
      <c r="I1113" s="140">
        <f>ventas_b_mes1[[#This Row],[IMPORTE NETO]]*0.21</f>
        <v>0</v>
      </c>
      <c r="J1113" s="141"/>
      <c r="K1113" s="141"/>
      <c r="L1113" s="141"/>
      <c r="M1113" s="59"/>
    </row>
    <row r="1114" spans="2:13">
      <c r="B1114" s="135"/>
      <c r="C1114" s="136"/>
      <c r="D1114" s="137"/>
      <c r="E1114" s="138"/>
      <c r="F1114" s="139"/>
      <c r="G1114" s="1" t="str">
        <f>IFERROR(IF(ventas_b_mes1[[#This Row],[CUIT]]="","-",VLOOKUP(ventas_b_mes1[[#This Row],[CUIT]],Lista_CUIT[#All],2,0)),"CUIT NO CARGADO")</f>
        <v>-</v>
      </c>
      <c r="H1114" s="64">
        <f>ventas_b_mes1[[#This Row],[TOTAL]]/1.21</f>
        <v>0</v>
      </c>
      <c r="I1114" s="140">
        <f>ventas_b_mes1[[#This Row],[IMPORTE NETO]]*0.21</f>
        <v>0</v>
      </c>
      <c r="J1114" s="141"/>
      <c r="K1114" s="141"/>
      <c r="L1114" s="141"/>
      <c r="M1114" s="59"/>
    </row>
    <row r="1115" spans="2:13">
      <c r="B1115" s="135"/>
      <c r="C1115" s="136"/>
      <c r="D1115" s="137"/>
      <c r="E1115" s="138"/>
      <c r="F1115" s="139"/>
      <c r="G1115" s="1" t="str">
        <f>IFERROR(IF(ventas_b_mes1[[#This Row],[CUIT]]="","-",VLOOKUP(ventas_b_mes1[[#This Row],[CUIT]],Lista_CUIT[#All],2,0)),"CUIT NO CARGADO")</f>
        <v>-</v>
      </c>
      <c r="H1115" s="64">
        <f>ventas_b_mes1[[#This Row],[TOTAL]]/1.21</f>
        <v>0</v>
      </c>
      <c r="I1115" s="140">
        <f>ventas_b_mes1[[#This Row],[IMPORTE NETO]]*0.21</f>
        <v>0</v>
      </c>
      <c r="J1115" s="141"/>
      <c r="K1115" s="141"/>
      <c r="L1115" s="141"/>
      <c r="M1115" s="59"/>
    </row>
    <row r="1116" spans="2:13">
      <c r="B1116" s="135"/>
      <c r="C1116" s="136"/>
      <c r="D1116" s="137"/>
      <c r="E1116" s="138"/>
      <c r="F1116" s="139"/>
      <c r="G1116" s="1" t="str">
        <f>IFERROR(IF(ventas_b_mes1[[#This Row],[CUIT]]="","-",VLOOKUP(ventas_b_mes1[[#This Row],[CUIT]],Lista_CUIT[#All],2,0)),"CUIT NO CARGADO")</f>
        <v>-</v>
      </c>
      <c r="H1116" s="64">
        <f>ventas_b_mes1[[#This Row],[TOTAL]]/1.21</f>
        <v>0</v>
      </c>
      <c r="I1116" s="140">
        <f>ventas_b_mes1[[#This Row],[IMPORTE NETO]]*0.21</f>
        <v>0</v>
      </c>
      <c r="J1116" s="141"/>
      <c r="K1116" s="141"/>
      <c r="L1116" s="141"/>
      <c r="M1116" s="59"/>
    </row>
    <row r="1117" spans="2:13">
      <c r="B1117" s="135"/>
      <c r="C1117" s="136"/>
      <c r="D1117" s="137"/>
      <c r="E1117" s="138"/>
      <c r="F1117" s="139"/>
      <c r="G1117" s="1" t="str">
        <f>IFERROR(IF(ventas_b_mes1[[#This Row],[CUIT]]="","-",VLOOKUP(ventas_b_mes1[[#This Row],[CUIT]],Lista_CUIT[#All],2,0)),"CUIT NO CARGADO")</f>
        <v>-</v>
      </c>
      <c r="H1117" s="64">
        <f>ventas_b_mes1[[#This Row],[TOTAL]]/1.21</f>
        <v>0</v>
      </c>
      <c r="I1117" s="140">
        <f>ventas_b_mes1[[#This Row],[IMPORTE NETO]]*0.21</f>
        <v>0</v>
      </c>
      <c r="J1117" s="141"/>
      <c r="K1117" s="141"/>
      <c r="L1117" s="141"/>
      <c r="M1117" s="59"/>
    </row>
    <row r="1118" spans="2:13">
      <c r="B1118" s="135"/>
      <c r="C1118" s="136"/>
      <c r="D1118" s="137"/>
      <c r="E1118" s="138"/>
      <c r="F1118" s="139"/>
      <c r="G1118" s="1" t="str">
        <f>IFERROR(IF(ventas_b_mes1[[#This Row],[CUIT]]="","-",VLOOKUP(ventas_b_mes1[[#This Row],[CUIT]],Lista_CUIT[#All],2,0)),"CUIT NO CARGADO")</f>
        <v>-</v>
      </c>
      <c r="H1118" s="64">
        <f>ventas_b_mes1[[#This Row],[TOTAL]]/1.21</f>
        <v>0</v>
      </c>
      <c r="I1118" s="140">
        <f>ventas_b_mes1[[#This Row],[IMPORTE NETO]]*0.21</f>
        <v>0</v>
      </c>
      <c r="J1118" s="141"/>
      <c r="K1118" s="141"/>
      <c r="L1118" s="141"/>
      <c r="M1118" s="59"/>
    </row>
    <row r="1119" spans="2:13">
      <c r="B1119" s="135"/>
      <c r="C1119" s="136"/>
      <c r="D1119" s="137"/>
      <c r="E1119" s="138"/>
      <c r="F1119" s="139"/>
      <c r="G1119" s="1" t="str">
        <f>IFERROR(IF(ventas_b_mes1[[#This Row],[CUIT]]="","-",VLOOKUP(ventas_b_mes1[[#This Row],[CUIT]],Lista_CUIT[#All],2,0)),"CUIT NO CARGADO")</f>
        <v>-</v>
      </c>
      <c r="H1119" s="64">
        <f>ventas_b_mes1[[#This Row],[TOTAL]]/1.21</f>
        <v>0</v>
      </c>
      <c r="I1119" s="140">
        <f>ventas_b_mes1[[#This Row],[IMPORTE NETO]]*0.21</f>
        <v>0</v>
      </c>
      <c r="J1119" s="141"/>
      <c r="K1119" s="141"/>
      <c r="L1119" s="141"/>
      <c r="M1119" s="59"/>
    </row>
    <row r="1120" spans="2:13">
      <c r="B1120" s="135"/>
      <c r="C1120" s="136"/>
      <c r="D1120" s="137"/>
      <c r="E1120" s="138"/>
      <c r="F1120" s="139"/>
      <c r="G1120" s="1" t="str">
        <f>IFERROR(IF(ventas_b_mes1[[#This Row],[CUIT]]="","-",VLOOKUP(ventas_b_mes1[[#This Row],[CUIT]],Lista_CUIT[#All],2,0)),"CUIT NO CARGADO")</f>
        <v>-</v>
      </c>
      <c r="H1120" s="64">
        <f>ventas_b_mes1[[#This Row],[TOTAL]]/1.21</f>
        <v>0</v>
      </c>
      <c r="I1120" s="140">
        <f>ventas_b_mes1[[#This Row],[IMPORTE NETO]]*0.21</f>
        <v>0</v>
      </c>
      <c r="J1120" s="141"/>
      <c r="K1120" s="141"/>
      <c r="L1120" s="141"/>
      <c r="M1120" s="59"/>
    </row>
    <row r="1121" spans="2:13">
      <c r="B1121" s="135"/>
      <c r="C1121" s="136"/>
      <c r="D1121" s="137"/>
      <c r="E1121" s="138"/>
      <c r="F1121" s="139"/>
      <c r="G1121" s="1" t="str">
        <f>IFERROR(IF(ventas_b_mes1[[#This Row],[CUIT]]="","-",VLOOKUP(ventas_b_mes1[[#This Row],[CUIT]],Lista_CUIT[#All],2,0)),"CUIT NO CARGADO")</f>
        <v>-</v>
      </c>
      <c r="H1121" s="64">
        <f>ventas_b_mes1[[#This Row],[TOTAL]]/1.21</f>
        <v>0</v>
      </c>
      <c r="I1121" s="140">
        <f>ventas_b_mes1[[#This Row],[IMPORTE NETO]]*0.21</f>
        <v>0</v>
      </c>
      <c r="J1121" s="141"/>
      <c r="K1121" s="141"/>
      <c r="L1121" s="141"/>
      <c r="M1121" s="59"/>
    </row>
    <row r="1122" spans="2:13">
      <c r="B1122" s="135"/>
      <c r="C1122" s="136"/>
      <c r="D1122" s="137"/>
      <c r="E1122" s="138"/>
      <c r="F1122" s="139"/>
      <c r="G1122" s="1" t="str">
        <f>IFERROR(IF(ventas_b_mes1[[#This Row],[CUIT]]="","-",VLOOKUP(ventas_b_mes1[[#This Row],[CUIT]],Lista_CUIT[#All],2,0)),"CUIT NO CARGADO")</f>
        <v>-</v>
      </c>
      <c r="H1122" s="64">
        <f>ventas_b_mes1[[#This Row],[TOTAL]]/1.21</f>
        <v>0</v>
      </c>
      <c r="I1122" s="140">
        <f>ventas_b_mes1[[#This Row],[IMPORTE NETO]]*0.21</f>
        <v>0</v>
      </c>
      <c r="J1122" s="141"/>
      <c r="K1122" s="141"/>
      <c r="L1122" s="141"/>
      <c r="M1122" s="59"/>
    </row>
    <row r="1123" spans="2:13">
      <c r="B1123" s="135"/>
      <c r="C1123" s="136"/>
      <c r="D1123" s="137"/>
      <c r="E1123" s="138"/>
      <c r="F1123" s="139"/>
      <c r="G1123" s="1" t="str">
        <f>IFERROR(IF(ventas_b_mes1[[#This Row],[CUIT]]="","-",VLOOKUP(ventas_b_mes1[[#This Row],[CUIT]],Lista_CUIT[#All],2,0)),"CUIT NO CARGADO")</f>
        <v>-</v>
      </c>
      <c r="H1123" s="64">
        <f>ventas_b_mes1[[#This Row],[TOTAL]]/1.21</f>
        <v>0</v>
      </c>
      <c r="I1123" s="140">
        <f>ventas_b_mes1[[#This Row],[IMPORTE NETO]]*0.21</f>
        <v>0</v>
      </c>
      <c r="J1123" s="141"/>
      <c r="K1123" s="141"/>
      <c r="L1123" s="141"/>
      <c r="M1123" s="59"/>
    </row>
    <row r="1124" spans="2:13">
      <c r="B1124" s="135"/>
      <c r="C1124" s="136"/>
      <c r="D1124" s="137"/>
      <c r="E1124" s="138"/>
      <c r="F1124" s="139"/>
      <c r="G1124" s="1" t="str">
        <f>IFERROR(IF(ventas_b_mes1[[#This Row],[CUIT]]="","-",VLOOKUP(ventas_b_mes1[[#This Row],[CUIT]],Lista_CUIT[#All],2,0)),"CUIT NO CARGADO")</f>
        <v>-</v>
      </c>
      <c r="H1124" s="64">
        <f>ventas_b_mes1[[#This Row],[TOTAL]]/1.21</f>
        <v>0</v>
      </c>
      <c r="I1124" s="140">
        <f>ventas_b_mes1[[#This Row],[IMPORTE NETO]]*0.21</f>
        <v>0</v>
      </c>
      <c r="J1124" s="141"/>
      <c r="K1124" s="141"/>
      <c r="L1124" s="141"/>
      <c r="M1124" s="59"/>
    </row>
    <row r="1125" spans="2:13">
      <c r="B1125" s="135"/>
      <c r="C1125" s="136"/>
      <c r="D1125" s="137"/>
      <c r="E1125" s="138"/>
      <c r="F1125" s="139"/>
      <c r="G1125" s="1" t="str">
        <f>IFERROR(IF(ventas_b_mes1[[#This Row],[CUIT]]="","-",VLOOKUP(ventas_b_mes1[[#This Row],[CUIT]],Lista_CUIT[#All],2,0)),"CUIT NO CARGADO")</f>
        <v>-</v>
      </c>
      <c r="H1125" s="64">
        <f>ventas_b_mes1[[#This Row],[TOTAL]]/1.21</f>
        <v>0</v>
      </c>
      <c r="I1125" s="140">
        <f>ventas_b_mes1[[#This Row],[IMPORTE NETO]]*0.21</f>
        <v>0</v>
      </c>
      <c r="J1125" s="141"/>
      <c r="K1125" s="141"/>
      <c r="L1125" s="141"/>
      <c r="M1125" s="59"/>
    </row>
    <row r="1126" spans="2:13">
      <c r="B1126" s="135"/>
      <c r="C1126" s="136"/>
      <c r="D1126" s="137"/>
      <c r="E1126" s="138"/>
      <c r="F1126" s="139"/>
      <c r="G1126" s="1" t="str">
        <f>IFERROR(IF(ventas_b_mes1[[#This Row],[CUIT]]="","-",VLOOKUP(ventas_b_mes1[[#This Row],[CUIT]],Lista_CUIT[#All],2,0)),"CUIT NO CARGADO")</f>
        <v>-</v>
      </c>
      <c r="H1126" s="64">
        <f>ventas_b_mes1[[#This Row],[TOTAL]]/1.21</f>
        <v>0</v>
      </c>
      <c r="I1126" s="140">
        <f>ventas_b_mes1[[#This Row],[IMPORTE NETO]]*0.21</f>
        <v>0</v>
      </c>
      <c r="J1126" s="141"/>
      <c r="K1126" s="141"/>
      <c r="L1126" s="141"/>
      <c r="M1126" s="59"/>
    </row>
    <row r="1127" spans="2:13">
      <c r="B1127" s="135"/>
      <c r="C1127" s="136"/>
      <c r="D1127" s="137"/>
      <c r="E1127" s="138"/>
      <c r="F1127" s="139"/>
      <c r="G1127" s="1" t="str">
        <f>IFERROR(IF(ventas_b_mes1[[#This Row],[CUIT]]="","-",VLOOKUP(ventas_b_mes1[[#This Row],[CUIT]],Lista_CUIT[#All],2,0)),"CUIT NO CARGADO")</f>
        <v>-</v>
      </c>
      <c r="H1127" s="64">
        <f>ventas_b_mes1[[#This Row],[TOTAL]]/1.21</f>
        <v>0</v>
      </c>
      <c r="I1127" s="140">
        <f>ventas_b_mes1[[#This Row],[IMPORTE NETO]]*0.21</f>
        <v>0</v>
      </c>
      <c r="J1127" s="141"/>
      <c r="K1127" s="141"/>
      <c r="L1127" s="141"/>
      <c r="M1127" s="59"/>
    </row>
    <row r="1128" spans="2:13">
      <c r="B1128" s="135"/>
      <c r="C1128" s="136"/>
      <c r="D1128" s="137"/>
      <c r="E1128" s="138"/>
      <c r="F1128" s="139"/>
      <c r="G1128" s="1" t="str">
        <f>IFERROR(IF(ventas_b_mes1[[#This Row],[CUIT]]="","-",VLOOKUP(ventas_b_mes1[[#This Row],[CUIT]],Lista_CUIT[#All],2,0)),"CUIT NO CARGADO")</f>
        <v>-</v>
      </c>
      <c r="H1128" s="64">
        <f>ventas_b_mes1[[#This Row],[TOTAL]]/1.21</f>
        <v>0</v>
      </c>
      <c r="I1128" s="140">
        <f>ventas_b_mes1[[#This Row],[IMPORTE NETO]]*0.21</f>
        <v>0</v>
      </c>
      <c r="J1128" s="141"/>
      <c r="K1128" s="141"/>
      <c r="L1128" s="141"/>
      <c r="M1128" s="59"/>
    </row>
    <row r="1129" spans="2:13">
      <c r="B1129" s="135"/>
      <c r="C1129" s="136"/>
      <c r="D1129" s="137"/>
      <c r="E1129" s="138"/>
      <c r="F1129" s="139"/>
      <c r="G1129" s="1" t="str">
        <f>IFERROR(IF(ventas_b_mes1[[#This Row],[CUIT]]="","-",VLOOKUP(ventas_b_mes1[[#This Row],[CUIT]],Lista_CUIT[#All],2,0)),"CUIT NO CARGADO")</f>
        <v>-</v>
      </c>
      <c r="H1129" s="64">
        <f>ventas_b_mes1[[#This Row],[TOTAL]]/1.21</f>
        <v>0</v>
      </c>
      <c r="I1129" s="140">
        <f>ventas_b_mes1[[#This Row],[IMPORTE NETO]]*0.21</f>
        <v>0</v>
      </c>
      <c r="J1129" s="141"/>
      <c r="K1129" s="141"/>
      <c r="L1129" s="141"/>
      <c r="M1129" s="59"/>
    </row>
    <row r="1130" spans="2:13">
      <c r="B1130" s="135"/>
      <c r="C1130" s="136"/>
      <c r="D1130" s="137"/>
      <c r="E1130" s="138"/>
      <c r="F1130" s="139"/>
      <c r="G1130" s="1" t="str">
        <f>IFERROR(IF(ventas_b_mes1[[#This Row],[CUIT]]="","-",VLOOKUP(ventas_b_mes1[[#This Row],[CUIT]],Lista_CUIT[#All],2,0)),"CUIT NO CARGADO")</f>
        <v>-</v>
      </c>
      <c r="H1130" s="64">
        <f>ventas_b_mes1[[#This Row],[TOTAL]]/1.21</f>
        <v>0</v>
      </c>
      <c r="I1130" s="140">
        <f>ventas_b_mes1[[#This Row],[IMPORTE NETO]]*0.21</f>
        <v>0</v>
      </c>
      <c r="J1130" s="141"/>
      <c r="K1130" s="141"/>
      <c r="L1130" s="141"/>
      <c r="M1130" s="59"/>
    </row>
    <row r="1131" spans="2:13">
      <c r="B1131" s="135"/>
      <c r="C1131" s="136"/>
      <c r="D1131" s="137"/>
      <c r="E1131" s="138"/>
      <c r="F1131" s="139"/>
      <c r="G1131" s="1" t="str">
        <f>IFERROR(IF(ventas_b_mes1[[#This Row],[CUIT]]="","-",VLOOKUP(ventas_b_mes1[[#This Row],[CUIT]],Lista_CUIT[#All],2,0)),"CUIT NO CARGADO")</f>
        <v>-</v>
      </c>
      <c r="H1131" s="64">
        <f>ventas_b_mes1[[#This Row],[TOTAL]]/1.21</f>
        <v>0</v>
      </c>
      <c r="I1131" s="140">
        <f>ventas_b_mes1[[#This Row],[IMPORTE NETO]]*0.21</f>
        <v>0</v>
      </c>
      <c r="J1131" s="141"/>
      <c r="K1131" s="141"/>
      <c r="L1131" s="141"/>
      <c r="M1131" s="59"/>
    </row>
    <row r="1132" spans="2:13">
      <c r="B1132" s="135"/>
      <c r="C1132" s="136"/>
      <c r="D1132" s="137"/>
      <c r="E1132" s="138"/>
      <c r="F1132" s="139"/>
      <c r="G1132" s="1" t="str">
        <f>IFERROR(IF(ventas_b_mes1[[#This Row],[CUIT]]="","-",VLOOKUP(ventas_b_mes1[[#This Row],[CUIT]],Lista_CUIT[#All],2,0)),"CUIT NO CARGADO")</f>
        <v>-</v>
      </c>
      <c r="H1132" s="64">
        <f>ventas_b_mes1[[#This Row],[TOTAL]]/1.21</f>
        <v>0</v>
      </c>
      <c r="I1132" s="140">
        <f>ventas_b_mes1[[#This Row],[IMPORTE NETO]]*0.21</f>
        <v>0</v>
      </c>
      <c r="J1132" s="141"/>
      <c r="K1132" s="141"/>
      <c r="L1132" s="141"/>
      <c r="M1132" s="59"/>
    </row>
    <row r="1133" spans="2:13">
      <c r="B1133" s="135"/>
      <c r="C1133" s="136"/>
      <c r="D1133" s="137"/>
      <c r="E1133" s="138"/>
      <c r="F1133" s="139"/>
      <c r="G1133" s="1" t="str">
        <f>IFERROR(IF(ventas_b_mes1[[#This Row],[CUIT]]="","-",VLOOKUP(ventas_b_mes1[[#This Row],[CUIT]],Lista_CUIT[#All],2,0)),"CUIT NO CARGADO")</f>
        <v>-</v>
      </c>
      <c r="H1133" s="64">
        <f>ventas_b_mes1[[#This Row],[TOTAL]]/1.21</f>
        <v>0</v>
      </c>
      <c r="I1133" s="140">
        <f>ventas_b_mes1[[#This Row],[IMPORTE NETO]]*0.21</f>
        <v>0</v>
      </c>
      <c r="J1133" s="141"/>
      <c r="K1133" s="141"/>
      <c r="L1133" s="141"/>
      <c r="M1133" s="59"/>
    </row>
    <row r="1134" spans="2:13">
      <c r="B1134" s="135"/>
      <c r="C1134" s="136"/>
      <c r="D1134" s="137"/>
      <c r="E1134" s="138"/>
      <c r="F1134" s="139"/>
      <c r="G1134" s="1" t="str">
        <f>IFERROR(IF(ventas_b_mes1[[#This Row],[CUIT]]="","-",VLOOKUP(ventas_b_mes1[[#This Row],[CUIT]],Lista_CUIT[#All],2,0)),"CUIT NO CARGADO")</f>
        <v>-</v>
      </c>
      <c r="H1134" s="64">
        <f>ventas_b_mes1[[#This Row],[TOTAL]]/1.21</f>
        <v>0</v>
      </c>
      <c r="I1134" s="140">
        <f>ventas_b_mes1[[#This Row],[IMPORTE NETO]]*0.21</f>
        <v>0</v>
      </c>
      <c r="J1134" s="141"/>
      <c r="K1134" s="141"/>
      <c r="L1134" s="141"/>
      <c r="M1134" s="59"/>
    </row>
    <row r="1135" spans="2:13">
      <c r="B1135" s="135"/>
      <c r="C1135" s="136"/>
      <c r="D1135" s="137"/>
      <c r="E1135" s="138"/>
      <c r="F1135" s="139"/>
      <c r="G1135" s="1" t="str">
        <f>IFERROR(IF(ventas_b_mes1[[#This Row],[CUIT]]="","-",VLOOKUP(ventas_b_mes1[[#This Row],[CUIT]],Lista_CUIT[#All],2,0)),"CUIT NO CARGADO")</f>
        <v>-</v>
      </c>
      <c r="H1135" s="64">
        <f>ventas_b_mes1[[#This Row],[TOTAL]]/1.21</f>
        <v>0</v>
      </c>
      <c r="I1135" s="140">
        <f>ventas_b_mes1[[#This Row],[IMPORTE NETO]]*0.21</f>
        <v>0</v>
      </c>
      <c r="J1135" s="141"/>
      <c r="K1135" s="141"/>
      <c r="L1135" s="141"/>
      <c r="M1135" s="59"/>
    </row>
    <row r="1136" spans="2:13">
      <c r="B1136" s="135"/>
      <c r="C1136" s="136"/>
      <c r="D1136" s="137"/>
      <c r="E1136" s="138"/>
      <c r="F1136" s="139"/>
      <c r="G1136" s="1" t="str">
        <f>IFERROR(IF(ventas_b_mes1[[#This Row],[CUIT]]="","-",VLOOKUP(ventas_b_mes1[[#This Row],[CUIT]],Lista_CUIT[#All],2,0)),"CUIT NO CARGADO")</f>
        <v>-</v>
      </c>
      <c r="H1136" s="64">
        <f>ventas_b_mes1[[#This Row],[TOTAL]]/1.21</f>
        <v>0</v>
      </c>
      <c r="I1136" s="140">
        <f>ventas_b_mes1[[#This Row],[IMPORTE NETO]]*0.21</f>
        <v>0</v>
      </c>
      <c r="J1136" s="141"/>
      <c r="K1136" s="141"/>
      <c r="L1136" s="141"/>
      <c r="M1136" s="59"/>
    </row>
    <row r="1137" spans="2:13">
      <c r="B1137" s="135"/>
      <c r="C1137" s="136"/>
      <c r="D1137" s="137"/>
      <c r="E1137" s="138"/>
      <c r="F1137" s="139"/>
      <c r="G1137" s="1" t="str">
        <f>IFERROR(IF(ventas_b_mes1[[#This Row],[CUIT]]="","-",VLOOKUP(ventas_b_mes1[[#This Row],[CUIT]],Lista_CUIT[#All],2,0)),"CUIT NO CARGADO")</f>
        <v>-</v>
      </c>
      <c r="H1137" s="64">
        <f>ventas_b_mes1[[#This Row],[TOTAL]]/1.21</f>
        <v>0</v>
      </c>
      <c r="I1137" s="140">
        <f>ventas_b_mes1[[#This Row],[IMPORTE NETO]]*0.21</f>
        <v>0</v>
      </c>
      <c r="J1137" s="141"/>
      <c r="K1137" s="141"/>
      <c r="L1137" s="141"/>
      <c r="M1137" s="59"/>
    </row>
    <row r="1138" spans="2:13">
      <c r="B1138" s="135"/>
      <c r="C1138" s="136"/>
      <c r="D1138" s="137"/>
      <c r="E1138" s="138"/>
      <c r="F1138" s="139"/>
      <c r="G1138" s="1" t="str">
        <f>IFERROR(IF(ventas_b_mes1[[#This Row],[CUIT]]="","-",VLOOKUP(ventas_b_mes1[[#This Row],[CUIT]],Lista_CUIT[#All],2,0)),"CUIT NO CARGADO")</f>
        <v>-</v>
      </c>
      <c r="H1138" s="64">
        <f>ventas_b_mes1[[#This Row],[TOTAL]]/1.21</f>
        <v>0</v>
      </c>
      <c r="I1138" s="140">
        <f>ventas_b_mes1[[#This Row],[IMPORTE NETO]]*0.21</f>
        <v>0</v>
      </c>
      <c r="J1138" s="141"/>
      <c r="K1138" s="141"/>
      <c r="L1138" s="141"/>
      <c r="M1138" s="59"/>
    </row>
    <row r="1139" spans="2:13">
      <c r="B1139" s="135"/>
      <c r="C1139" s="136"/>
      <c r="D1139" s="137"/>
      <c r="E1139" s="138"/>
      <c r="F1139" s="139"/>
      <c r="G1139" s="1" t="str">
        <f>IFERROR(IF(ventas_b_mes1[[#This Row],[CUIT]]="","-",VLOOKUP(ventas_b_mes1[[#This Row],[CUIT]],Lista_CUIT[#All],2,0)),"CUIT NO CARGADO")</f>
        <v>-</v>
      </c>
      <c r="H1139" s="64">
        <f>ventas_b_mes1[[#This Row],[TOTAL]]/1.21</f>
        <v>0</v>
      </c>
      <c r="I1139" s="140">
        <f>ventas_b_mes1[[#This Row],[IMPORTE NETO]]*0.21</f>
        <v>0</v>
      </c>
      <c r="J1139" s="141"/>
      <c r="K1139" s="141"/>
      <c r="L1139" s="141"/>
      <c r="M1139" s="59"/>
    </row>
    <row r="1140" spans="2:13">
      <c r="B1140" s="135"/>
      <c r="C1140" s="136"/>
      <c r="D1140" s="137"/>
      <c r="E1140" s="138"/>
      <c r="F1140" s="139"/>
      <c r="G1140" s="1" t="str">
        <f>IFERROR(IF(ventas_b_mes1[[#This Row],[CUIT]]="","-",VLOOKUP(ventas_b_mes1[[#This Row],[CUIT]],Lista_CUIT[#All],2,0)),"CUIT NO CARGADO")</f>
        <v>-</v>
      </c>
      <c r="H1140" s="64">
        <f>ventas_b_mes1[[#This Row],[TOTAL]]/1.21</f>
        <v>0</v>
      </c>
      <c r="I1140" s="140">
        <f>ventas_b_mes1[[#This Row],[IMPORTE NETO]]*0.21</f>
        <v>0</v>
      </c>
      <c r="J1140" s="141"/>
      <c r="K1140" s="141"/>
      <c r="L1140" s="141"/>
      <c r="M1140" s="59"/>
    </row>
    <row r="1141" spans="2:13">
      <c r="B1141" s="135"/>
      <c r="C1141" s="136"/>
      <c r="D1141" s="137"/>
      <c r="E1141" s="138"/>
      <c r="F1141" s="139"/>
      <c r="G1141" s="1" t="str">
        <f>IFERROR(IF(ventas_b_mes1[[#This Row],[CUIT]]="","-",VLOOKUP(ventas_b_mes1[[#This Row],[CUIT]],Lista_CUIT[#All],2,0)),"CUIT NO CARGADO")</f>
        <v>-</v>
      </c>
      <c r="H1141" s="64">
        <f>ventas_b_mes1[[#This Row],[TOTAL]]/1.21</f>
        <v>0</v>
      </c>
      <c r="I1141" s="140">
        <f>ventas_b_mes1[[#This Row],[IMPORTE NETO]]*0.21</f>
        <v>0</v>
      </c>
      <c r="J1141" s="141"/>
      <c r="K1141" s="141"/>
      <c r="L1141" s="141"/>
      <c r="M1141" s="59"/>
    </row>
    <row r="1142" spans="2:13">
      <c r="B1142" s="135"/>
      <c r="C1142" s="136"/>
      <c r="D1142" s="137"/>
      <c r="E1142" s="138"/>
      <c r="F1142" s="139"/>
      <c r="G1142" s="1" t="str">
        <f>IFERROR(IF(ventas_b_mes1[[#This Row],[CUIT]]="","-",VLOOKUP(ventas_b_mes1[[#This Row],[CUIT]],Lista_CUIT[#All],2,0)),"CUIT NO CARGADO")</f>
        <v>-</v>
      </c>
      <c r="H1142" s="64">
        <f>ventas_b_mes1[[#This Row],[TOTAL]]/1.21</f>
        <v>0</v>
      </c>
      <c r="I1142" s="140">
        <f>ventas_b_mes1[[#This Row],[IMPORTE NETO]]*0.21</f>
        <v>0</v>
      </c>
      <c r="J1142" s="141"/>
      <c r="K1142" s="141"/>
      <c r="L1142" s="141"/>
      <c r="M1142" s="59"/>
    </row>
    <row r="1143" spans="2:13">
      <c r="B1143" s="135"/>
      <c r="C1143" s="136"/>
      <c r="D1143" s="137"/>
      <c r="E1143" s="138"/>
      <c r="F1143" s="139"/>
      <c r="G1143" s="1" t="str">
        <f>IFERROR(IF(ventas_b_mes1[[#This Row],[CUIT]]="","-",VLOOKUP(ventas_b_mes1[[#This Row],[CUIT]],Lista_CUIT[#All],2,0)),"CUIT NO CARGADO")</f>
        <v>-</v>
      </c>
      <c r="H1143" s="64">
        <f>ventas_b_mes1[[#This Row],[TOTAL]]/1.21</f>
        <v>0</v>
      </c>
      <c r="I1143" s="140">
        <f>ventas_b_mes1[[#This Row],[IMPORTE NETO]]*0.21</f>
        <v>0</v>
      </c>
      <c r="J1143" s="141"/>
      <c r="K1143" s="141"/>
      <c r="L1143" s="141"/>
      <c r="M1143" s="59"/>
    </row>
    <row r="1144" spans="2:13">
      <c r="B1144" s="135"/>
      <c r="C1144" s="136"/>
      <c r="D1144" s="137"/>
      <c r="E1144" s="138"/>
      <c r="F1144" s="139"/>
      <c r="G1144" s="1" t="str">
        <f>IFERROR(IF(ventas_b_mes1[[#This Row],[CUIT]]="","-",VLOOKUP(ventas_b_mes1[[#This Row],[CUIT]],Lista_CUIT[#All],2,0)),"CUIT NO CARGADO")</f>
        <v>-</v>
      </c>
      <c r="H1144" s="64">
        <f>ventas_b_mes1[[#This Row],[TOTAL]]/1.21</f>
        <v>0</v>
      </c>
      <c r="I1144" s="140">
        <f>ventas_b_mes1[[#This Row],[IMPORTE NETO]]*0.21</f>
        <v>0</v>
      </c>
      <c r="J1144" s="141"/>
      <c r="K1144" s="141"/>
      <c r="L1144" s="141"/>
      <c r="M1144" s="59"/>
    </row>
    <row r="1145" spans="2:13">
      <c r="B1145" s="135"/>
      <c r="C1145" s="136"/>
      <c r="D1145" s="137"/>
      <c r="E1145" s="138"/>
      <c r="F1145" s="139"/>
      <c r="G1145" s="1" t="str">
        <f>IFERROR(IF(ventas_b_mes1[[#This Row],[CUIT]]="","-",VLOOKUP(ventas_b_mes1[[#This Row],[CUIT]],Lista_CUIT[#All],2,0)),"CUIT NO CARGADO")</f>
        <v>-</v>
      </c>
      <c r="H1145" s="64">
        <f>ventas_b_mes1[[#This Row],[TOTAL]]/1.21</f>
        <v>0</v>
      </c>
      <c r="I1145" s="140">
        <f>ventas_b_mes1[[#This Row],[IMPORTE NETO]]*0.21</f>
        <v>0</v>
      </c>
      <c r="J1145" s="141"/>
      <c r="K1145" s="141"/>
      <c r="L1145" s="141"/>
      <c r="M1145" s="59"/>
    </row>
    <row r="1146" spans="2:13">
      <c r="B1146" s="135"/>
      <c r="C1146" s="136"/>
      <c r="D1146" s="137"/>
      <c r="E1146" s="138"/>
      <c r="F1146" s="139"/>
      <c r="G1146" s="1" t="str">
        <f>IFERROR(IF(ventas_b_mes1[[#This Row],[CUIT]]="","-",VLOOKUP(ventas_b_mes1[[#This Row],[CUIT]],Lista_CUIT[#All],2,0)),"CUIT NO CARGADO")</f>
        <v>-</v>
      </c>
      <c r="H1146" s="64">
        <f>ventas_b_mes1[[#This Row],[TOTAL]]/1.21</f>
        <v>0</v>
      </c>
      <c r="I1146" s="140">
        <f>ventas_b_mes1[[#This Row],[IMPORTE NETO]]*0.21</f>
        <v>0</v>
      </c>
      <c r="J1146" s="141"/>
      <c r="K1146" s="141"/>
      <c r="L1146" s="141"/>
      <c r="M1146" s="59"/>
    </row>
    <row r="1147" spans="2:13">
      <c r="B1147" s="135"/>
      <c r="C1147" s="136"/>
      <c r="D1147" s="137"/>
      <c r="E1147" s="138"/>
      <c r="F1147" s="139"/>
      <c r="G1147" s="1" t="str">
        <f>IFERROR(IF(ventas_b_mes1[[#This Row],[CUIT]]="","-",VLOOKUP(ventas_b_mes1[[#This Row],[CUIT]],Lista_CUIT[#All],2,0)),"CUIT NO CARGADO")</f>
        <v>-</v>
      </c>
      <c r="H1147" s="64">
        <f>ventas_b_mes1[[#This Row],[TOTAL]]/1.21</f>
        <v>0</v>
      </c>
      <c r="I1147" s="140">
        <f>ventas_b_mes1[[#This Row],[IMPORTE NETO]]*0.21</f>
        <v>0</v>
      </c>
      <c r="J1147" s="141"/>
      <c r="K1147" s="141"/>
      <c r="L1147" s="141"/>
      <c r="M1147" s="59"/>
    </row>
    <row r="1148" spans="2:13">
      <c r="B1148" s="135"/>
      <c r="C1148" s="136"/>
      <c r="D1148" s="137"/>
      <c r="E1148" s="138"/>
      <c r="F1148" s="139"/>
      <c r="G1148" s="1" t="str">
        <f>IFERROR(IF(ventas_b_mes1[[#This Row],[CUIT]]="","-",VLOOKUP(ventas_b_mes1[[#This Row],[CUIT]],Lista_CUIT[#All],2,0)),"CUIT NO CARGADO")</f>
        <v>-</v>
      </c>
      <c r="H1148" s="64">
        <f>ventas_b_mes1[[#This Row],[TOTAL]]/1.21</f>
        <v>0</v>
      </c>
      <c r="I1148" s="140">
        <f>ventas_b_mes1[[#This Row],[IMPORTE NETO]]*0.21</f>
        <v>0</v>
      </c>
      <c r="J1148" s="141"/>
      <c r="K1148" s="141"/>
      <c r="L1148" s="141"/>
      <c r="M1148" s="59"/>
    </row>
    <row r="1149" spans="2:13">
      <c r="B1149" s="135"/>
      <c r="C1149" s="136"/>
      <c r="D1149" s="137"/>
      <c r="E1149" s="138"/>
      <c r="F1149" s="139"/>
      <c r="G1149" s="1" t="str">
        <f>IFERROR(IF(ventas_b_mes1[[#This Row],[CUIT]]="","-",VLOOKUP(ventas_b_mes1[[#This Row],[CUIT]],Lista_CUIT[#All],2,0)),"CUIT NO CARGADO")</f>
        <v>-</v>
      </c>
      <c r="H1149" s="64">
        <f>ventas_b_mes1[[#This Row],[TOTAL]]/1.21</f>
        <v>0</v>
      </c>
      <c r="I1149" s="140">
        <f>ventas_b_mes1[[#This Row],[IMPORTE NETO]]*0.21</f>
        <v>0</v>
      </c>
      <c r="J1149" s="141"/>
      <c r="K1149" s="141"/>
      <c r="L1149" s="141"/>
      <c r="M1149" s="59"/>
    </row>
    <row r="1150" spans="2:13">
      <c r="B1150" s="135"/>
      <c r="C1150" s="136"/>
      <c r="D1150" s="137"/>
      <c r="E1150" s="138"/>
      <c r="F1150" s="139"/>
      <c r="G1150" s="1" t="str">
        <f>IFERROR(IF(ventas_b_mes1[[#This Row],[CUIT]]="","-",VLOOKUP(ventas_b_mes1[[#This Row],[CUIT]],Lista_CUIT[#All],2,0)),"CUIT NO CARGADO")</f>
        <v>-</v>
      </c>
      <c r="H1150" s="64">
        <f>ventas_b_mes1[[#This Row],[TOTAL]]/1.21</f>
        <v>0</v>
      </c>
      <c r="I1150" s="140">
        <f>ventas_b_mes1[[#This Row],[IMPORTE NETO]]*0.21</f>
        <v>0</v>
      </c>
      <c r="J1150" s="141"/>
      <c r="K1150" s="141"/>
      <c r="L1150" s="141"/>
      <c r="M1150" s="59"/>
    </row>
    <row r="1151" spans="2:13">
      <c r="B1151" s="135"/>
      <c r="C1151" s="136"/>
      <c r="D1151" s="137"/>
      <c r="E1151" s="138"/>
      <c r="F1151" s="139"/>
      <c r="G1151" s="1" t="str">
        <f>IFERROR(IF(ventas_b_mes1[[#This Row],[CUIT]]="","-",VLOOKUP(ventas_b_mes1[[#This Row],[CUIT]],Lista_CUIT[#All],2,0)),"CUIT NO CARGADO")</f>
        <v>-</v>
      </c>
      <c r="H1151" s="64">
        <f>ventas_b_mes1[[#This Row],[TOTAL]]/1.21</f>
        <v>0</v>
      </c>
      <c r="I1151" s="140">
        <f>ventas_b_mes1[[#This Row],[IMPORTE NETO]]*0.21</f>
        <v>0</v>
      </c>
      <c r="J1151" s="141"/>
      <c r="K1151" s="141"/>
      <c r="L1151" s="141"/>
      <c r="M1151" s="59"/>
    </row>
    <row r="1152" spans="2:13">
      <c r="B1152" s="135"/>
      <c r="C1152" s="136"/>
      <c r="D1152" s="137"/>
      <c r="E1152" s="138"/>
      <c r="F1152" s="139"/>
      <c r="G1152" s="1" t="str">
        <f>IFERROR(IF(ventas_b_mes1[[#This Row],[CUIT]]="","-",VLOOKUP(ventas_b_mes1[[#This Row],[CUIT]],Lista_CUIT[#All],2,0)),"CUIT NO CARGADO")</f>
        <v>-</v>
      </c>
      <c r="H1152" s="64">
        <f>ventas_b_mes1[[#This Row],[TOTAL]]/1.21</f>
        <v>0</v>
      </c>
      <c r="I1152" s="140">
        <f>ventas_b_mes1[[#This Row],[IMPORTE NETO]]*0.21</f>
        <v>0</v>
      </c>
      <c r="J1152" s="141"/>
      <c r="K1152" s="141"/>
      <c r="L1152" s="141"/>
      <c r="M1152" s="59"/>
    </row>
    <row r="1153" spans="2:13">
      <c r="B1153" s="135"/>
      <c r="C1153" s="136"/>
      <c r="D1153" s="137"/>
      <c r="E1153" s="138"/>
      <c r="F1153" s="139"/>
      <c r="G1153" s="1" t="str">
        <f>IFERROR(IF(ventas_b_mes1[[#This Row],[CUIT]]="","-",VLOOKUP(ventas_b_mes1[[#This Row],[CUIT]],Lista_CUIT[#All],2,0)),"CUIT NO CARGADO")</f>
        <v>-</v>
      </c>
      <c r="H1153" s="64">
        <f>ventas_b_mes1[[#This Row],[TOTAL]]/1.21</f>
        <v>0</v>
      </c>
      <c r="I1153" s="140">
        <f>ventas_b_mes1[[#This Row],[IMPORTE NETO]]*0.21</f>
        <v>0</v>
      </c>
      <c r="J1153" s="141"/>
      <c r="K1153" s="141"/>
      <c r="L1153" s="141"/>
      <c r="M1153" s="59"/>
    </row>
    <row r="1154" spans="2:13">
      <c r="B1154" s="135"/>
      <c r="C1154" s="136"/>
      <c r="D1154" s="137"/>
      <c r="E1154" s="138"/>
      <c r="F1154" s="139"/>
      <c r="G1154" s="1" t="str">
        <f>IFERROR(IF(ventas_b_mes1[[#This Row],[CUIT]]="","-",VLOOKUP(ventas_b_mes1[[#This Row],[CUIT]],Lista_CUIT[#All],2,0)),"CUIT NO CARGADO")</f>
        <v>-</v>
      </c>
      <c r="H1154" s="64">
        <f>ventas_b_mes1[[#This Row],[TOTAL]]/1.21</f>
        <v>0</v>
      </c>
      <c r="I1154" s="140">
        <f>ventas_b_mes1[[#This Row],[IMPORTE NETO]]*0.21</f>
        <v>0</v>
      </c>
      <c r="J1154" s="141"/>
      <c r="K1154" s="141"/>
      <c r="L1154" s="141"/>
      <c r="M1154" s="59"/>
    </row>
    <row r="1155" spans="2:13">
      <c r="B1155" s="135"/>
      <c r="C1155" s="136"/>
      <c r="D1155" s="137"/>
      <c r="E1155" s="138"/>
      <c r="F1155" s="139"/>
      <c r="G1155" s="1" t="str">
        <f>IFERROR(IF(ventas_b_mes1[[#This Row],[CUIT]]="","-",VLOOKUP(ventas_b_mes1[[#This Row],[CUIT]],Lista_CUIT[#All],2,0)),"CUIT NO CARGADO")</f>
        <v>-</v>
      </c>
      <c r="H1155" s="64">
        <f>ventas_b_mes1[[#This Row],[TOTAL]]/1.21</f>
        <v>0</v>
      </c>
      <c r="I1155" s="140">
        <f>ventas_b_mes1[[#This Row],[IMPORTE NETO]]*0.21</f>
        <v>0</v>
      </c>
      <c r="J1155" s="141"/>
      <c r="K1155" s="141"/>
      <c r="L1155" s="141"/>
      <c r="M1155" s="59"/>
    </row>
    <row r="1156" spans="2:13">
      <c r="B1156" s="135"/>
      <c r="C1156" s="136"/>
      <c r="D1156" s="137"/>
      <c r="E1156" s="138"/>
      <c r="F1156" s="139"/>
      <c r="G1156" s="1" t="str">
        <f>IFERROR(IF(ventas_b_mes1[[#This Row],[CUIT]]="","-",VLOOKUP(ventas_b_mes1[[#This Row],[CUIT]],Lista_CUIT[#All],2,0)),"CUIT NO CARGADO")</f>
        <v>-</v>
      </c>
      <c r="H1156" s="64">
        <f>ventas_b_mes1[[#This Row],[TOTAL]]/1.21</f>
        <v>0</v>
      </c>
      <c r="I1156" s="140">
        <f>ventas_b_mes1[[#This Row],[IMPORTE NETO]]*0.21</f>
        <v>0</v>
      </c>
      <c r="J1156" s="141"/>
      <c r="K1156" s="141"/>
      <c r="L1156" s="141"/>
      <c r="M1156" s="59"/>
    </row>
    <row r="1157" spans="2:13">
      <c r="B1157" s="135"/>
      <c r="C1157" s="136"/>
      <c r="D1157" s="137"/>
      <c r="E1157" s="138"/>
      <c r="F1157" s="139"/>
      <c r="G1157" s="1" t="str">
        <f>IFERROR(IF(ventas_b_mes1[[#This Row],[CUIT]]="","-",VLOOKUP(ventas_b_mes1[[#This Row],[CUIT]],Lista_CUIT[#All],2,0)),"CUIT NO CARGADO")</f>
        <v>-</v>
      </c>
      <c r="H1157" s="64">
        <f>ventas_b_mes1[[#This Row],[TOTAL]]/1.21</f>
        <v>0</v>
      </c>
      <c r="I1157" s="140">
        <f>ventas_b_mes1[[#This Row],[IMPORTE NETO]]*0.21</f>
        <v>0</v>
      </c>
      <c r="J1157" s="141"/>
      <c r="K1157" s="141"/>
      <c r="L1157" s="141"/>
      <c r="M1157" s="59"/>
    </row>
    <row r="1158" spans="2:13">
      <c r="B1158" s="135"/>
      <c r="C1158" s="136"/>
      <c r="D1158" s="137"/>
      <c r="E1158" s="138"/>
      <c r="F1158" s="139"/>
      <c r="G1158" s="1" t="str">
        <f>IFERROR(IF(ventas_b_mes1[[#This Row],[CUIT]]="","-",VLOOKUP(ventas_b_mes1[[#This Row],[CUIT]],Lista_CUIT[#All],2,0)),"CUIT NO CARGADO")</f>
        <v>-</v>
      </c>
      <c r="H1158" s="64">
        <f>ventas_b_mes1[[#This Row],[TOTAL]]/1.21</f>
        <v>0</v>
      </c>
      <c r="I1158" s="140">
        <f>ventas_b_mes1[[#This Row],[IMPORTE NETO]]*0.21</f>
        <v>0</v>
      </c>
      <c r="J1158" s="141"/>
      <c r="K1158" s="141"/>
      <c r="L1158" s="141"/>
      <c r="M1158" s="59"/>
    </row>
    <row r="1159" spans="2:13">
      <c r="B1159" s="135"/>
      <c r="C1159" s="136"/>
      <c r="D1159" s="137"/>
      <c r="E1159" s="138"/>
      <c r="F1159" s="139"/>
      <c r="G1159" s="1" t="str">
        <f>IFERROR(IF(ventas_b_mes1[[#This Row],[CUIT]]="","-",VLOOKUP(ventas_b_mes1[[#This Row],[CUIT]],Lista_CUIT[#All],2,0)),"CUIT NO CARGADO")</f>
        <v>-</v>
      </c>
      <c r="H1159" s="64">
        <f>ventas_b_mes1[[#This Row],[TOTAL]]/1.21</f>
        <v>0</v>
      </c>
      <c r="I1159" s="140">
        <f>ventas_b_mes1[[#This Row],[IMPORTE NETO]]*0.21</f>
        <v>0</v>
      </c>
      <c r="J1159" s="141"/>
      <c r="K1159" s="141"/>
      <c r="L1159" s="141"/>
      <c r="M1159" s="59"/>
    </row>
    <row r="1160" spans="2:13">
      <c r="B1160" s="135"/>
      <c r="C1160" s="136"/>
      <c r="D1160" s="137"/>
      <c r="E1160" s="138"/>
      <c r="F1160" s="139"/>
      <c r="G1160" s="1" t="str">
        <f>IFERROR(IF(ventas_b_mes1[[#This Row],[CUIT]]="","-",VLOOKUP(ventas_b_mes1[[#This Row],[CUIT]],Lista_CUIT[#All],2,0)),"CUIT NO CARGADO")</f>
        <v>-</v>
      </c>
      <c r="H1160" s="64">
        <f>ventas_b_mes1[[#This Row],[TOTAL]]/1.21</f>
        <v>0</v>
      </c>
      <c r="I1160" s="140">
        <f>ventas_b_mes1[[#This Row],[IMPORTE NETO]]*0.21</f>
        <v>0</v>
      </c>
      <c r="J1160" s="141"/>
      <c r="K1160" s="141"/>
      <c r="L1160" s="141"/>
      <c r="M1160" s="59"/>
    </row>
    <row r="1161" spans="2:13">
      <c r="B1161" s="135"/>
      <c r="C1161" s="136"/>
      <c r="D1161" s="137"/>
      <c r="E1161" s="138"/>
      <c r="F1161" s="139"/>
      <c r="G1161" s="1" t="str">
        <f>IFERROR(IF(ventas_b_mes1[[#This Row],[CUIT]]="","-",VLOOKUP(ventas_b_mes1[[#This Row],[CUIT]],Lista_CUIT[#All],2,0)),"CUIT NO CARGADO")</f>
        <v>-</v>
      </c>
      <c r="H1161" s="64">
        <f>ventas_b_mes1[[#This Row],[TOTAL]]/1.21</f>
        <v>0</v>
      </c>
      <c r="I1161" s="140">
        <f>ventas_b_mes1[[#This Row],[IMPORTE NETO]]*0.21</f>
        <v>0</v>
      </c>
      <c r="J1161" s="141"/>
      <c r="K1161" s="141"/>
      <c r="L1161" s="141"/>
      <c r="M1161" s="59"/>
    </row>
    <row r="1162" spans="2:13">
      <c r="B1162" s="135"/>
      <c r="C1162" s="136"/>
      <c r="D1162" s="137"/>
      <c r="E1162" s="138"/>
      <c r="F1162" s="139"/>
      <c r="G1162" s="1" t="str">
        <f>IFERROR(IF(ventas_b_mes1[[#This Row],[CUIT]]="","-",VLOOKUP(ventas_b_mes1[[#This Row],[CUIT]],Lista_CUIT[#All],2,0)),"CUIT NO CARGADO")</f>
        <v>-</v>
      </c>
      <c r="H1162" s="64">
        <f>ventas_b_mes1[[#This Row],[TOTAL]]/1.21</f>
        <v>0</v>
      </c>
      <c r="I1162" s="140">
        <f>ventas_b_mes1[[#This Row],[IMPORTE NETO]]*0.21</f>
        <v>0</v>
      </c>
      <c r="J1162" s="141"/>
      <c r="K1162" s="141"/>
      <c r="L1162" s="141"/>
      <c r="M1162" s="59"/>
    </row>
    <row r="1163" spans="2:13">
      <c r="B1163" s="135"/>
      <c r="C1163" s="136"/>
      <c r="D1163" s="137"/>
      <c r="E1163" s="138"/>
      <c r="F1163" s="139"/>
      <c r="G1163" s="1" t="str">
        <f>IFERROR(IF(ventas_b_mes1[[#This Row],[CUIT]]="","-",VLOOKUP(ventas_b_mes1[[#This Row],[CUIT]],Lista_CUIT[#All],2,0)),"CUIT NO CARGADO")</f>
        <v>-</v>
      </c>
      <c r="H1163" s="64">
        <f>ventas_b_mes1[[#This Row],[TOTAL]]/1.21</f>
        <v>0</v>
      </c>
      <c r="I1163" s="140">
        <f>ventas_b_mes1[[#This Row],[IMPORTE NETO]]*0.21</f>
        <v>0</v>
      </c>
      <c r="J1163" s="141"/>
      <c r="K1163" s="141"/>
      <c r="L1163" s="141"/>
      <c r="M1163" s="59"/>
    </row>
    <row r="1164" spans="2:13">
      <c r="B1164" s="135"/>
      <c r="C1164" s="136"/>
      <c r="D1164" s="137"/>
      <c r="E1164" s="138"/>
      <c r="F1164" s="139"/>
      <c r="G1164" s="1" t="str">
        <f>IFERROR(IF(ventas_b_mes1[[#This Row],[CUIT]]="","-",VLOOKUP(ventas_b_mes1[[#This Row],[CUIT]],Lista_CUIT[#All],2,0)),"CUIT NO CARGADO")</f>
        <v>-</v>
      </c>
      <c r="H1164" s="64">
        <f>ventas_b_mes1[[#This Row],[TOTAL]]/1.21</f>
        <v>0</v>
      </c>
      <c r="I1164" s="140">
        <f>ventas_b_mes1[[#This Row],[IMPORTE NETO]]*0.21</f>
        <v>0</v>
      </c>
      <c r="J1164" s="141"/>
      <c r="K1164" s="141"/>
      <c r="L1164" s="141"/>
      <c r="M1164" s="59"/>
    </row>
    <row r="1165" spans="2:13">
      <c r="B1165" s="135"/>
      <c r="C1165" s="136"/>
      <c r="D1165" s="137"/>
      <c r="E1165" s="138"/>
      <c r="F1165" s="139"/>
      <c r="G1165" s="1" t="str">
        <f>IFERROR(IF(ventas_b_mes1[[#This Row],[CUIT]]="","-",VLOOKUP(ventas_b_mes1[[#This Row],[CUIT]],Lista_CUIT[#All],2,0)),"CUIT NO CARGADO")</f>
        <v>-</v>
      </c>
      <c r="H1165" s="64">
        <f>ventas_b_mes1[[#This Row],[TOTAL]]/1.21</f>
        <v>0</v>
      </c>
      <c r="I1165" s="140">
        <f>ventas_b_mes1[[#This Row],[IMPORTE NETO]]*0.21</f>
        <v>0</v>
      </c>
      <c r="J1165" s="141"/>
      <c r="K1165" s="141"/>
      <c r="L1165" s="141"/>
      <c r="M1165" s="59"/>
    </row>
    <row r="1166" spans="2:13">
      <c r="B1166" s="135"/>
      <c r="C1166" s="136"/>
      <c r="D1166" s="137"/>
      <c r="E1166" s="138"/>
      <c r="F1166" s="139"/>
      <c r="G1166" s="1" t="str">
        <f>IFERROR(IF(ventas_b_mes1[[#This Row],[CUIT]]="","-",VLOOKUP(ventas_b_mes1[[#This Row],[CUIT]],Lista_CUIT[#All],2,0)),"CUIT NO CARGADO")</f>
        <v>-</v>
      </c>
      <c r="H1166" s="64">
        <f>ventas_b_mes1[[#This Row],[TOTAL]]/1.21</f>
        <v>0</v>
      </c>
      <c r="I1166" s="140">
        <f>ventas_b_mes1[[#This Row],[IMPORTE NETO]]*0.21</f>
        <v>0</v>
      </c>
      <c r="J1166" s="141"/>
      <c r="K1166" s="141"/>
      <c r="L1166" s="141"/>
      <c r="M1166" s="59"/>
    </row>
    <row r="1167" spans="2:13">
      <c r="B1167" s="135"/>
      <c r="C1167" s="136"/>
      <c r="D1167" s="137"/>
      <c r="E1167" s="138"/>
      <c r="F1167" s="139"/>
      <c r="G1167" s="1" t="str">
        <f>IFERROR(IF(ventas_b_mes1[[#This Row],[CUIT]]="","-",VLOOKUP(ventas_b_mes1[[#This Row],[CUIT]],Lista_CUIT[#All],2,0)),"CUIT NO CARGADO")</f>
        <v>-</v>
      </c>
      <c r="H1167" s="64">
        <f>ventas_b_mes1[[#This Row],[TOTAL]]/1.21</f>
        <v>0</v>
      </c>
      <c r="I1167" s="140">
        <f>ventas_b_mes1[[#This Row],[IMPORTE NETO]]*0.21</f>
        <v>0</v>
      </c>
      <c r="J1167" s="141"/>
      <c r="K1167" s="141"/>
      <c r="L1167" s="141"/>
      <c r="M1167" s="59"/>
    </row>
    <row r="1168" spans="2:13">
      <c r="B1168" s="135"/>
      <c r="C1168" s="136"/>
      <c r="D1168" s="137"/>
      <c r="E1168" s="138"/>
      <c r="F1168" s="139"/>
      <c r="G1168" s="1" t="str">
        <f>IFERROR(IF(ventas_b_mes1[[#This Row],[CUIT]]="","-",VLOOKUP(ventas_b_mes1[[#This Row],[CUIT]],Lista_CUIT[#All],2,0)),"CUIT NO CARGADO")</f>
        <v>-</v>
      </c>
      <c r="H1168" s="64">
        <f>ventas_b_mes1[[#This Row],[TOTAL]]/1.21</f>
        <v>0</v>
      </c>
      <c r="I1168" s="140">
        <f>ventas_b_mes1[[#This Row],[IMPORTE NETO]]*0.21</f>
        <v>0</v>
      </c>
      <c r="J1168" s="141"/>
      <c r="K1168" s="141"/>
      <c r="L1168" s="141"/>
      <c r="M1168" s="59"/>
    </row>
    <row r="1169" spans="2:13">
      <c r="B1169" s="135"/>
      <c r="C1169" s="136"/>
      <c r="D1169" s="137"/>
      <c r="E1169" s="138"/>
      <c r="F1169" s="139"/>
      <c r="G1169" s="1" t="str">
        <f>IFERROR(IF(ventas_b_mes1[[#This Row],[CUIT]]="","-",VLOOKUP(ventas_b_mes1[[#This Row],[CUIT]],Lista_CUIT[#All],2,0)),"CUIT NO CARGADO")</f>
        <v>-</v>
      </c>
      <c r="H1169" s="64">
        <f>ventas_b_mes1[[#This Row],[TOTAL]]/1.21</f>
        <v>0</v>
      </c>
      <c r="I1169" s="140">
        <f>ventas_b_mes1[[#This Row],[IMPORTE NETO]]*0.21</f>
        <v>0</v>
      </c>
      <c r="J1169" s="141"/>
      <c r="K1169" s="141"/>
      <c r="L1169" s="141"/>
      <c r="M1169" s="59"/>
    </row>
    <row r="1170" spans="2:13">
      <c r="B1170" s="135"/>
      <c r="C1170" s="136"/>
      <c r="D1170" s="137"/>
      <c r="E1170" s="138"/>
      <c r="F1170" s="139"/>
      <c r="G1170" s="1" t="str">
        <f>IFERROR(IF(ventas_b_mes1[[#This Row],[CUIT]]="","-",VLOOKUP(ventas_b_mes1[[#This Row],[CUIT]],Lista_CUIT[#All],2,0)),"CUIT NO CARGADO")</f>
        <v>-</v>
      </c>
      <c r="H1170" s="64">
        <f>ventas_b_mes1[[#This Row],[TOTAL]]/1.21</f>
        <v>0</v>
      </c>
      <c r="I1170" s="140">
        <f>ventas_b_mes1[[#This Row],[IMPORTE NETO]]*0.21</f>
        <v>0</v>
      </c>
      <c r="J1170" s="141"/>
      <c r="K1170" s="141"/>
      <c r="L1170" s="141"/>
      <c r="M1170" s="59"/>
    </row>
    <row r="1171" spans="2:13">
      <c r="B1171" s="135"/>
      <c r="C1171" s="136"/>
      <c r="D1171" s="137"/>
      <c r="E1171" s="138"/>
      <c r="F1171" s="139"/>
      <c r="G1171" s="1" t="str">
        <f>IFERROR(IF(ventas_b_mes1[[#This Row],[CUIT]]="","-",VLOOKUP(ventas_b_mes1[[#This Row],[CUIT]],Lista_CUIT[#All],2,0)),"CUIT NO CARGADO")</f>
        <v>-</v>
      </c>
      <c r="H1171" s="64">
        <f>ventas_b_mes1[[#This Row],[TOTAL]]/1.21</f>
        <v>0</v>
      </c>
      <c r="I1171" s="140">
        <f>ventas_b_mes1[[#This Row],[IMPORTE NETO]]*0.21</f>
        <v>0</v>
      </c>
      <c r="J1171" s="141"/>
      <c r="K1171" s="141"/>
      <c r="L1171" s="141"/>
      <c r="M1171" s="59"/>
    </row>
    <row r="1172" spans="2:13">
      <c r="B1172" s="135"/>
      <c r="C1172" s="136"/>
      <c r="D1172" s="137"/>
      <c r="E1172" s="138"/>
      <c r="F1172" s="139"/>
      <c r="G1172" s="1" t="str">
        <f>IFERROR(IF(ventas_b_mes1[[#This Row],[CUIT]]="","-",VLOOKUP(ventas_b_mes1[[#This Row],[CUIT]],Lista_CUIT[#All],2,0)),"CUIT NO CARGADO")</f>
        <v>-</v>
      </c>
      <c r="H1172" s="64">
        <f>ventas_b_mes1[[#This Row],[TOTAL]]/1.21</f>
        <v>0</v>
      </c>
      <c r="I1172" s="140">
        <f>ventas_b_mes1[[#This Row],[IMPORTE NETO]]*0.21</f>
        <v>0</v>
      </c>
      <c r="J1172" s="141"/>
      <c r="K1172" s="141"/>
      <c r="L1172" s="141"/>
      <c r="M1172" s="59"/>
    </row>
    <row r="1173" spans="2:13">
      <c r="B1173" s="135"/>
      <c r="C1173" s="136"/>
      <c r="D1173" s="137"/>
      <c r="E1173" s="138"/>
      <c r="F1173" s="139"/>
      <c r="G1173" s="1" t="str">
        <f>IFERROR(IF(ventas_b_mes1[[#This Row],[CUIT]]="","-",VLOOKUP(ventas_b_mes1[[#This Row],[CUIT]],Lista_CUIT[#All],2,0)),"CUIT NO CARGADO")</f>
        <v>-</v>
      </c>
      <c r="H1173" s="64">
        <f>ventas_b_mes1[[#This Row],[TOTAL]]/1.21</f>
        <v>0</v>
      </c>
      <c r="I1173" s="140">
        <f>ventas_b_mes1[[#This Row],[IMPORTE NETO]]*0.21</f>
        <v>0</v>
      </c>
      <c r="J1173" s="141"/>
      <c r="K1173" s="141"/>
      <c r="L1173" s="141"/>
      <c r="M1173" s="59"/>
    </row>
    <row r="1174" spans="2:13">
      <c r="B1174" s="135"/>
      <c r="C1174" s="136"/>
      <c r="D1174" s="137"/>
      <c r="E1174" s="138"/>
      <c r="F1174" s="139"/>
      <c r="G1174" s="1" t="str">
        <f>IFERROR(IF(ventas_b_mes1[[#This Row],[CUIT]]="","-",VLOOKUP(ventas_b_mes1[[#This Row],[CUIT]],Lista_CUIT[#All],2,0)),"CUIT NO CARGADO")</f>
        <v>-</v>
      </c>
      <c r="H1174" s="64">
        <f>ventas_b_mes1[[#This Row],[TOTAL]]/1.21</f>
        <v>0</v>
      </c>
      <c r="I1174" s="140">
        <f>ventas_b_mes1[[#This Row],[IMPORTE NETO]]*0.21</f>
        <v>0</v>
      </c>
      <c r="J1174" s="141"/>
      <c r="K1174" s="141"/>
      <c r="L1174" s="141"/>
      <c r="M1174" s="59"/>
    </row>
    <row r="1175" spans="2:13">
      <c r="B1175" s="135"/>
      <c r="C1175" s="136"/>
      <c r="D1175" s="137"/>
      <c r="E1175" s="138"/>
      <c r="F1175" s="139"/>
      <c r="G1175" s="1" t="str">
        <f>IFERROR(IF(ventas_b_mes1[[#This Row],[CUIT]]="","-",VLOOKUP(ventas_b_mes1[[#This Row],[CUIT]],Lista_CUIT[#All],2,0)),"CUIT NO CARGADO")</f>
        <v>-</v>
      </c>
      <c r="H1175" s="64">
        <f>ventas_b_mes1[[#This Row],[TOTAL]]/1.21</f>
        <v>0</v>
      </c>
      <c r="I1175" s="140">
        <f>ventas_b_mes1[[#This Row],[IMPORTE NETO]]*0.21</f>
        <v>0</v>
      </c>
      <c r="J1175" s="141"/>
      <c r="K1175" s="141"/>
      <c r="L1175" s="141"/>
      <c r="M1175" s="59"/>
    </row>
    <row r="1176" spans="2:13">
      <c r="B1176" s="135"/>
      <c r="C1176" s="136"/>
      <c r="D1176" s="137"/>
      <c r="E1176" s="138"/>
      <c r="F1176" s="139"/>
      <c r="G1176" s="1" t="str">
        <f>IFERROR(IF(ventas_b_mes1[[#This Row],[CUIT]]="","-",VLOOKUP(ventas_b_mes1[[#This Row],[CUIT]],Lista_CUIT[#All],2,0)),"CUIT NO CARGADO")</f>
        <v>-</v>
      </c>
      <c r="H1176" s="64">
        <f>ventas_b_mes1[[#This Row],[TOTAL]]/1.21</f>
        <v>0</v>
      </c>
      <c r="I1176" s="140">
        <f>ventas_b_mes1[[#This Row],[IMPORTE NETO]]*0.21</f>
        <v>0</v>
      </c>
      <c r="J1176" s="141"/>
      <c r="K1176" s="141"/>
      <c r="L1176" s="141"/>
      <c r="M1176" s="59"/>
    </row>
    <row r="1177" spans="2:13">
      <c r="B1177" s="135"/>
      <c r="C1177" s="136"/>
      <c r="D1177" s="137"/>
      <c r="E1177" s="138"/>
      <c r="F1177" s="139"/>
      <c r="G1177" s="1" t="str">
        <f>IFERROR(IF(ventas_b_mes1[[#This Row],[CUIT]]="","-",VLOOKUP(ventas_b_mes1[[#This Row],[CUIT]],Lista_CUIT[#All],2,0)),"CUIT NO CARGADO")</f>
        <v>-</v>
      </c>
      <c r="H1177" s="64">
        <f>ventas_b_mes1[[#This Row],[TOTAL]]/1.21</f>
        <v>0</v>
      </c>
      <c r="I1177" s="140">
        <f>ventas_b_mes1[[#This Row],[IMPORTE NETO]]*0.21</f>
        <v>0</v>
      </c>
      <c r="J1177" s="141"/>
      <c r="K1177" s="141"/>
      <c r="L1177" s="141"/>
      <c r="M1177" s="59"/>
    </row>
    <row r="1178" spans="2:13">
      <c r="B1178" s="135"/>
      <c r="C1178" s="136"/>
      <c r="D1178" s="137"/>
      <c r="E1178" s="138"/>
      <c r="F1178" s="139"/>
      <c r="G1178" s="1" t="str">
        <f>IFERROR(IF(ventas_b_mes1[[#This Row],[CUIT]]="","-",VLOOKUP(ventas_b_mes1[[#This Row],[CUIT]],Lista_CUIT[#All],2,0)),"CUIT NO CARGADO")</f>
        <v>-</v>
      </c>
      <c r="H1178" s="64">
        <f>ventas_b_mes1[[#This Row],[TOTAL]]/1.21</f>
        <v>0</v>
      </c>
      <c r="I1178" s="140">
        <f>ventas_b_mes1[[#This Row],[IMPORTE NETO]]*0.21</f>
        <v>0</v>
      </c>
      <c r="J1178" s="141"/>
      <c r="K1178" s="141"/>
      <c r="L1178" s="141"/>
      <c r="M1178" s="59"/>
    </row>
    <row r="1179" spans="2:13">
      <c r="B1179" s="135"/>
      <c r="C1179" s="136"/>
      <c r="D1179" s="137"/>
      <c r="E1179" s="138"/>
      <c r="F1179" s="139"/>
      <c r="G1179" s="1" t="str">
        <f>IFERROR(IF(ventas_b_mes1[[#This Row],[CUIT]]="","-",VLOOKUP(ventas_b_mes1[[#This Row],[CUIT]],Lista_CUIT[#All],2,0)),"CUIT NO CARGADO")</f>
        <v>-</v>
      </c>
      <c r="H1179" s="64">
        <f>ventas_b_mes1[[#This Row],[TOTAL]]/1.21</f>
        <v>0</v>
      </c>
      <c r="I1179" s="140">
        <f>ventas_b_mes1[[#This Row],[IMPORTE NETO]]*0.21</f>
        <v>0</v>
      </c>
      <c r="J1179" s="141"/>
      <c r="K1179" s="141"/>
      <c r="L1179" s="141"/>
      <c r="M1179" s="59"/>
    </row>
    <row r="1180" spans="2:13">
      <c r="B1180" s="135"/>
      <c r="C1180" s="136"/>
      <c r="D1180" s="137"/>
      <c r="E1180" s="138"/>
      <c r="F1180" s="139"/>
      <c r="G1180" s="1" t="str">
        <f>IFERROR(IF(ventas_b_mes1[[#This Row],[CUIT]]="","-",VLOOKUP(ventas_b_mes1[[#This Row],[CUIT]],Lista_CUIT[#All],2,0)),"CUIT NO CARGADO")</f>
        <v>-</v>
      </c>
      <c r="H1180" s="64">
        <f>ventas_b_mes1[[#This Row],[TOTAL]]/1.21</f>
        <v>0</v>
      </c>
      <c r="I1180" s="140">
        <f>ventas_b_mes1[[#This Row],[IMPORTE NETO]]*0.21</f>
        <v>0</v>
      </c>
      <c r="J1180" s="141"/>
      <c r="K1180" s="141"/>
      <c r="L1180" s="141"/>
      <c r="M1180" s="59"/>
    </row>
    <row r="1181" spans="2:13">
      <c r="B1181" s="135"/>
      <c r="C1181" s="136"/>
      <c r="D1181" s="137"/>
      <c r="E1181" s="138"/>
      <c r="F1181" s="139"/>
      <c r="G1181" s="1" t="str">
        <f>IFERROR(IF(ventas_b_mes1[[#This Row],[CUIT]]="","-",VLOOKUP(ventas_b_mes1[[#This Row],[CUIT]],Lista_CUIT[#All],2,0)),"CUIT NO CARGADO")</f>
        <v>-</v>
      </c>
      <c r="H1181" s="64">
        <f>ventas_b_mes1[[#This Row],[TOTAL]]/1.21</f>
        <v>0</v>
      </c>
      <c r="I1181" s="140">
        <f>ventas_b_mes1[[#This Row],[IMPORTE NETO]]*0.21</f>
        <v>0</v>
      </c>
      <c r="J1181" s="141"/>
      <c r="K1181" s="141"/>
      <c r="L1181" s="141"/>
      <c r="M1181" s="59"/>
    </row>
    <row r="1182" spans="2:13">
      <c r="B1182" s="135"/>
      <c r="C1182" s="136"/>
      <c r="D1182" s="137"/>
      <c r="E1182" s="138"/>
      <c r="F1182" s="139"/>
      <c r="G1182" s="1" t="str">
        <f>IFERROR(IF(ventas_b_mes1[[#This Row],[CUIT]]="","-",VLOOKUP(ventas_b_mes1[[#This Row],[CUIT]],Lista_CUIT[#All],2,0)),"CUIT NO CARGADO")</f>
        <v>-</v>
      </c>
      <c r="H1182" s="64">
        <f>ventas_b_mes1[[#This Row],[TOTAL]]/1.21</f>
        <v>0</v>
      </c>
      <c r="I1182" s="140">
        <f>ventas_b_mes1[[#This Row],[IMPORTE NETO]]*0.21</f>
        <v>0</v>
      </c>
      <c r="J1182" s="141"/>
      <c r="K1182" s="141"/>
      <c r="L1182" s="141"/>
      <c r="M1182" s="59"/>
    </row>
    <row r="1183" spans="2:13">
      <c r="B1183" s="135"/>
      <c r="C1183" s="136"/>
      <c r="D1183" s="137"/>
      <c r="E1183" s="138"/>
      <c r="F1183" s="139"/>
      <c r="G1183" s="1" t="str">
        <f>IFERROR(IF(ventas_b_mes1[[#This Row],[CUIT]]="","-",VLOOKUP(ventas_b_mes1[[#This Row],[CUIT]],Lista_CUIT[#All],2,0)),"CUIT NO CARGADO")</f>
        <v>-</v>
      </c>
      <c r="H1183" s="64">
        <f>ventas_b_mes1[[#This Row],[TOTAL]]/1.21</f>
        <v>0</v>
      </c>
      <c r="I1183" s="140">
        <f>ventas_b_mes1[[#This Row],[IMPORTE NETO]]*0.21</f>
        <v>0</v>
      </c>
      <c r="J1183" s="141"/>
      <c r="K1183" s="141"/>
      <c r="L1183" s="141"/>
      <c r="M1183" s="59"/>
    </row>
    <row r="1184" spans="2:13">
      <c r="B1184" s="135"/>
      <c r="C1184" s="136"/>
      <c r="D1184" s="137"/>
      <c r="E1184" s="138"/>
      <c r="F1184" s="139"/>
      <c r="G1184" s="1" t="str">
        <f>IFERROR(IF(ventas_b_mes1[[#This Row],[CUIT]]="","-",VLOOKUP(ventas_b_mes1[[#This Row],[CUIT]],Lista_CUIT[#All],2,0)),"CUIT NO CARGADO")</f>
        <v>-</v>
      </c>
      <c r="H1184" s="64">
        <f>ventas_b_mes1[[#This Row],[TOTAL]]/1.21</f>
        <v>0</v>
      </c>
      <c r="I1184" s="140">
        <f>ventas_b_mes1[[#This Row],[IMPORTE NETO]]*0.21</f>
        <v>0</v>
      </c>
      <c r="J1184" s="141"/>
      <c r="K1184" s="141"/>
      <c r="L1184" s="141"/>
      <c r="M1184" s="59"/>
    </row>
    <row r="1185" spans="2:13">
      <c r="B1185" s="135"/>
      <c r="C1185" s="136"/>
      <c r="D1185" s="137"/>
      <c r="E1185" s="138"/>
      <c r="F1185" s="139"/>
      <c r="G1185" s="1" t="str">
        <f>IFERROR(IF(ventas_b_mes1[[#This Row],[CUIT]]="","-",VLOOKUP(ventas_b_mes1[[#This Row],[CUIT]],Lista_CUIT[#All],2,0)),"CUIT NO CARGADO")</f>
        <v>-</v>
      </c>
      <c r="H1185" s="64">
        <f>ventas_b_mes1[[#This Row],[TOTAL]]/1.21</f>
        <v>0</v>
      </c>
      <c r="I1185" s="140">
        <f>ventas_b_mes1[[#This Row],[IMPORTE NETO]]*0.21</f>
        <v>0</v>
      </c>
      <c r="J1185" s="141"/>
      <c r="K1185" s="141"/>
      <c r="L1185" s="141"/>
      <c r="M1185" s="59"/>
    </row>
    <row r="1186" spans="2:13">
      <c r="B1186" s="135"/>
      <c r="C1186" s="136"/>
      <c r="D1186" s="137"/>
      <c r="E1186" s="138"/>
      <c r="F1186" s="139"/>
      <c r="G1186" s="1" t="str">
        <f>IFERROR(IF(ventas_b_mes1[[#This Row],[CUIT]]="","-",VLOOKUP(ventas_b_mes1[[#This Row],[CUIT]],Lista_CUIT[#All],2,0)),"CUIT NO CARGADO")</f>
        <v>-</v>
      </c>
      <c r="H1186" s="64">
        <f>ventas_b_mes1[[#This Row],[TOTAL]]/1.21</f>
        <v>0</v>
      </c>
      <c r="I1186" s="140">
        <f>ventas_b_mes1[[#This Row],[IMPORTE NETO]]*0.21</f>
        <v>0</v>
      </c>
      <c r="J1186" s="141"/>
      <c r="K1186" s="141"/>
      <c r="L1186" s="141"/>
      <c r="M1186" s="59"/>
    </row>
    <row r="1187" spans="2:13">
      <c r="B1187" s="135"/>
      <c r="C1187" s="136"/>
      <c r="D1187" s="137"/>
      <c r="E1187" s="138"/>
      <c r="F1187" s="139"/>
      <c r="G1187" s="1" t="str">
        <f>IFERROR(IF(ventas_b_mes1[[#This Row],[CUIT]]="","-",VLOOKUP(ventas_b_mes1[[#This Row],[CUIT]],Lista_CUIT[#All],2,0)),"CUIT NO CARGADO")</f>
        <v>-</v>
      </c>
      <c r="H1187" s="64">
        <f>ventas_b_mes1[[#This Row],[TOTAL]]/1.21</f>
        <v>0</v>
      </c>
      <c r="I1187" s="140">
        <f>ventas_b_mes1[[#This Row],[IMPORTE NETO]]*0.21</f>
        <v>0</v>
      </c>
      <c r="J1187" s="141"/>
      <c r="K1187" s="141"/>
      <c r="L1187" s="141"/>
      <c r="M1187" s="59"/>
    </row>
    <row r="1188" spans="2:13">
      <c r="B1188" s="135"/>
      <c r="C1188" s="136"/>
      <c r="D1188" s="137"/>
      <c r="E1188" s="138"/>
      <c r="F1188" s="139"/>
      <c r="G1188" s="1" t="str">
        <f>IFERROR(IF(ventas_b_mes1[[#This Row],[CUIT]]="","-",VLOOKUP(ventas_b_mes1[[#This Row],[CUIT]],Lista_CUIT[#All],2,0)),"CUIT NO CARGADO")</f>
        <v>-</v>
      </c>
      <c r="H1188" s="64">
        <f>ventas_b_mes1[[#This Row],[TOTAL]]/1.21</f>
        <v>0</v>
      </c>
      <c r="I1188" s="140">
        <f>ventas_b_mes1[[#This Row],[IMPORTE NETO]]*0.21</f>
        <v>0</v>
      </c>
      <c r="J1188" s="141"/>
      <c r="K1188" s="141"/>
      <c r="L1188" s="141"/>
      <c r="M1188" s="59"/>
    </row>
    <row r="1189" spans="2:13">
      <c r="B1189" s="135"/>
      <c r="C1189" s="136"/>
      <c r="D1189" s="137"/>
      <c r="E1189" s="138"/>
      <c r="F1189" s="139"/>
      <c r="G1189" s="1" t="str">
        <f>IFERROR(IF(ventas_b_mes1[[#This Row],[CUIT]]="","-",VLOOKUP(ventas_b_mes1[[#This Row],[CUIT]],Lista_CUIT[#All],2,0)),"CUIT NO CARGADO")</f>
        <v>-</v>
      </c>
      <c r="H1189" s="64">
        <f>ventas_b_mes1[[#This Row],[TOTAL]]/1.21</f>
        <v>0</v>
      </c>
      <c r="I1189" s="140">
        <f>ventas_b_mes1[[#This Row],[IMPORTE NETO]]*0.21</f>
        <v>0</v>
      </c>
      <c r="J1189" s="141"/>
      <c r="K1189" s="141"/>
      <c r="L1189" s="141"/>
      <c r="M1189" s="59"/>
    </row>
    <row r="1190" spans="2:13">
      <c r="B1190" s="135"/>
      <c r="C1190" s="136"/>
      <c r="D1190" s="137"/>
      <c r="E1190" s="138"/>
      <c r="F1190" s="139"/>
      <c r="G1190" s="1" t="str">
        <f>IFERROR(IF(ventas_b_mes1[[#This Row],[CUIT]]="","-",VLOOKUP(ventas_b_mes1[[#This Row],[CUIT]],Lista_CUIT[#All],2,0)),"CUIT NO CARGADO")</f>
        <v>-</v>
      </c>
      <c r="H1190" s="64">
        <f>ventas_b_mes1[[#This Row],[TOTAL]]/1.21</f>
        <v>0</v>
      </c>
      <c r="I1190" s="140">
        <f>ventas_b_mes1[[#This Row],[IMPORTE NETO]]*0.21</f>
        <v>0</v>
      </c>
      <c r="J1190" s="141"/>
      <c r="K1190" s="141"/>
      <c r="L1190" s="141"/>
      <c r="M1190" s="59"/>
    </row>
    <row r="1191" spans="2:13">
      <c r="B1191" s="135"/>
      <c r="C1191" s="136"/>
      <c r="D1191" s="137"/>
      <c r="E1191" s="138"/>
      <c r="F1191" s="139"/>
      <c r="G1191" s="1" t="str">
        <f>IFERROR(IF(ventas_b_mes1[[#This Row],[CUIT]]="","-",VLOOKUP(ventas_b_mes1[[#This Row],[CUIT]],Lista_CUIT[#All],2,0)),"CUIT NO CARGADO")</f>
        <v>-</v>
      </c>
      <c r="H1191" s="64">
        <f>ventas_b_mes1[[#This Row],[TOTAL]]/1.21</f>
        <v>0</v>
      </c>
      <c r="I1191" s="140">
        <f>ventas_b_mes1[[#This Row],[IMPORTE NETO]]*0.21</f>
        <v>0</v>
      </c>
      <c r="J1191" s="141"/>
      <c r="K1191" s="141"/>
      <c r="L1191" s="141"/>
      <c r="M1191" s="59"/>
    </row>
    <row r="1192" spans="2:13">
      <c r="B1192" s="135"/>
      <c r="C1192" s="136"/>
      <c r="D1192" s="137"/>
      <c r="E1192" s="138"/>
      <c r="F1192" s="139"/>
      <c r="G1192" s="1" t="str">
        <f>IFERROR(IF(ventas_b_mes1[[#This Row],[CUIT]]="","-",VLOOKUP(ventas_b_mes1[[#This Row],[CUIT]],Lista_CUIT[#All],2,0)),"CUIT NO CARGADO")</f>
        <v>-</v>
      </c>
      <c r="H1192" s="64">
        <f>ventas_b_mes1[[#This Row],[TOTAL]]/1.21</f>
        <v>0</v>
      </c>
      <c r="I1192" s="140">
        <f>ventas_b_mes1[[#This Row],[IMPORTE NETO]]*0.21</f>
        <v>0</v>
      </c>
      <c r="J1192" s="141"/>
      <c r="K1192" s="141"/>
      <c r="L1192" s="141"/>
      <c r="M1192" s="59"/>
    </row>
    <row r="1193" spans="2:13">
      <c r="B1193" s="135"/>
      <c r="C1193" s="136"/>
      <c r="D1193" s="137"/>
      <c r="E1193" s="138"/>
      <c r="F1193" s="139"/>
      <c r="G1193" s="1" t="str">
        <f>IFERROR(IF(ventas_b_mes1[[#This Row],[CUIT]]="","-",VLOOKUP(ventas_b_mes1[[#This Row],[CUIT]],Lista_CUIT[#All],2,0)),"CUIT NO CARGADO")</f>
        <v>-</v>
      </c>
      <c r="H1193" s="64">
        <f>ventas_b_mes1[[#This Row],[TOTAL]]/1.21</f>
        <v>0</v>
      </c>
      <c r="I1193" s="140">
        <f>ventas_b_mes1[[#This Row],[IMPORTE NETO]]*0.21</f>
        <v>0</v>
      </c>
      <c r="J1193" s="141"/>
      <c r="K1193" s="141"/>
      <c r="L1193" s="141"/>
      <c r="M1193" s="59"/>
    </row>
    <row r="1194" spans="2:13">
      <c r="B1194" s="135"/>
      <c r="C1194" s="136"/>
      <c r="D1194" s="137"/>
      <c r="E1194" s="138"/>
      <c r="F1194" s="139"/>
      <c r="G1194" s="1" t="str">
        <f>IFERROR(IF(ventas_b_mes1[[#This Row],[CUIT]]="","-",VLOOKUP(ventas_b_mes1[[#This Row],[CUIT]],Lista_CUIT[#All],2,0)),"CUIT NO CARGADO")</f>
        <v>-</v>
      </c>
      <c r="H1194" s="64">
        <f>ventas_b_mes1[[#This Row],[TOTAL]]/1.21</f>
        <v>0</v>
      </c>
      <c r="I1194" s="140">
        <f>ventas_b_mes1[[#This Row],[IMPORTE NETO]]*0.21</f>
        <v>0</v>
      </c>
      <c r="J1194" s="141"/>
      <c r="K1194" s="141"/>
      <c r="L1194" s="141"/>
      <c r="M1194" s="59"/>
    </row>
    <row r="1195" spans="2:13">
      <c r="B1195" s="135"/>
      <c r="C1195" s="136"/>
      <c r="D1195" s="137"/>
      <c r="E1195" s="138"/>
      <c r="F1195" s="139"/>
      <c r="G1195" s="1" t="str">
        <f>IFERROR(IF(ventas_b_mes1[[#This Row],[CUIT]]="","-",VLOOKUP(ventas_b_mes1[[#This Row],[CUIT]],Lista_CUIT[#All],2,0)),"CUIT NO CARGADO")</f>
        <v>-</v>
      </c>
      <c r="H1195" s="64">
        <f>ventas_b_mes1[[#This Row],[TOTAL]]/1.21</f>
        <v>0</v>
      </c>
      <c r="I1195" s="140">
        <f>ventas_b_mes1[[#This Row],[IMPORTE NETO]]*0.21</f>
        <v>0</v>
      </c>
      <c r="J1195" s="141"/>
      <c r="K1195" s="141"/>
      <c r="L1195" s="141"/>
      <c r="M1195" s="59"/>
    </row>
    <row r="1196" spans="2:13">
      <c r="B1196" s="135"/>
      <c r="C1196" s="136"/>
      <c r="D1196" s="137"/>
      <c r="E1196" s="138"/>
      <c r="F1196" s="139"/>
      <c r="G1196" s="1" t="str">
        <f>IFERROR(IF(ventas_b_mes1[[#This Row],[CUIT]]="","-",VLOOKUP(ventas_b_mes1[[#This Row],[CUIT]],Lista_CUIT[#All],2,0)),"CUIT NO CARGADO")</f>
        <v>-</v>
      </c>
      <c r="H1196" s="64">
        <f>ventas_b_mes1[[#This Row],[TOTAL]]/1.21</f>
        <v>0</v>
      </c>
      <c r="I1196" s="140">
        <f>ventas_b_mes1[[#This Row],[IMPORTE NETO]]*0.21</f>
        <v>0</v>
      </c>
      <c r="J1196" s="141"/>
      <c r="K1196" s="141"/>
      <c r="L1196" s="141"/>
      <c r="M1196" s="59"/>
    </row>
    <row r="1197" spans="2:13">
      <c r="B1197" s="135"/>
      <c r="C1197" s="136"/>
      <c r="D1197" s="137"/>
      <c r="E1197" s="138"/>
      <c r="F1197" s="139"/>
      <c r="G1197" s="1" t="str">
        <f>IFERROR(IF(ventas_b_mes1[[#This Row],[CUIT]]="","-",VLOOKUP(ventas_b_mes1[[#This Row],[CUIT]],Lista_CUIT[#All],2,0)),"CUIT NO CARGADO")</f>
        <v>-</v>
      </c>
      <c r="H1197" s="64">
        <f>ventas_b_mes1[[#This Row],[TOTAL]]/1.21</f>
        <v>0</v>
      </c>
      <c r="I1197" s="140">
        <f>ventas_b_mes1[[#This Row],[IMPORTE NETO]]*0.21</f>
        <v>0</v>
      </c>
      <c r="J1197" s="141"/>
      <c r="K1197" s="141"/>
      <c r="L1197" s="141"/>
      <c r="M1197" s="59"/>
    </row>
    <row r="1198" spans="2:13">
      <c r="B1198" s="135"/>
      <c r="C1198" s="136"/>
      <c r="D1198" s="137"/>
      <c r="E1198" s="138"/>
      <c r="F1198" s="139"/>
      <c r="G1198" s="1" t="str">
        <f>IFERROR(IF(ventas_b_mes1[[#This Row],[CUIT]]="","-",VLOOKUP(ventas_b_mes1[[#This Row],[CUIT]],Lista_CUIT[#All],2,0)),"CUIT NO CARGADO")</f>
        <v>-</v>
      </c>
      <c r="H1198" s="64">
        <f>ventas_b_mes1[[#This Row],[TOTAL]]/1.21</f>
        <v>0</v>
      </c>
      <c r="I1198" s="140">
        <f>ventas_b_mes1[[#This Row],[IMPORTE NETO]]*0.21</f>
        <v>0</v>
      </c>
      <c r="J1198" s="141"/>
      <c r="K1198" s="141"/>
      <c r="L1198" s="141"/>
      <c r="M1198" s="59"/>
    </row>
    <row r="1199" spans="2:13">
      <c r="B1199" s="135"/>
      <c r="C1199" s="136"/>
      <c r="D1199" s="137"/>
      <c r="E1199" s="138"/>
      <c r="F1199" s="139"/>
      <c r="G1199" s="1" t="str">
        <f>IFERROR(IF(ventas_b_mes1[[#This Row],[CUIT]]="","-",VLOOKUP(ventas_b_mes1[[#This Row],[CUIT]],Lista_CUIT[#All],2,0)),"CUIT NO CARGADO")</f>
        <v>-</v>
      </c>
      <c r="H1199" s="64">
        <f>ventas_b_mes1[[#This Row],[TOTAL]]/1.21</f>
        <v>0</v>
      </c>
      <c r="I1199" s="140">
        <f>ventas_b_mes1[[#This Row],[IMPORTE NETO]]*0.21</f>
        <v>0</v>
      </c>
      <c r="J1199" s="141"/>
      <c r="K1199" s="141"/>
      <c r="L1199" s="141"/>
      <c r="M1199" s="59"/>
    </row>
    <row r="1200" spans="2:13">
      <c r="B1200" s="135"/>
      <c r="C1200" s="136"/>
      <c r="D1200" s="137"/>
      <c r="E1200" s="138"/>
      <c r="F1200" s="139"/>
      <c r="G1200" s="1" t="str">
        <f>IFERROR(IF(ventas_b_mes1[[#This Row],[CUIT]]="","-",VLOOKUP(ventas_b_mes1[[#This Row],[CUIT]],Lista_CUIT[#All],2,0)),"CUIT NO CARGADO")</f>
        <v>-</v>
      </c>
      <c r="H1200" s="64">
        <f>ventas_b_mes1[[#This Row],[TOTAL]]/1.21</f>
        <v>0</v>
      </c>
      <c r="I1200" s="140">
        <f>ventas_b_mes1[[#This Row],[IMPORTE NETO]]*0.21</f>
        <v>0</v>
      </c>
      <c r="J1200" s="141"/>
      <c r="K1200" s="141"/>
      <c r="L1200" s="141"/>
      <c r="M1200" s="59"/>
    </row>
    <row r="1201" spans="2:13">
      <c r="B1201" s="135"/>
      <c r="C1201" s="136"/>
      <c r="D1201" s="137"/>
      <c r="E1201" s="138"/>
      <c r="F1201" s="139"/>
      <c r="G1201" s="1" t="str">
        <f>IFERROR(IF(ventas_b_mes1[[#This Row],[CUIT]]="","-",VLOOKUP(ventas_b_mes1[[#This Row],[CUIT]],Lista_CUIT[#All],2,0)),"CUIT NO CARGADO")</f>
        <v>-</v>
      </c>
      <c r="H1201" s="64">
        <f>ventas_b_mes1[[#This Row],[TOTAL]]/1.21</f>
        <v>0</v>
      </c>
      <c r="I1201" s="140">
        <f>ventas_b_mes1[[#This Row],[IMPORTE NETO]]*0.21</f>
        <v>0</v>
      </c>
      <c r="J1201" s="141"/>
      <c r="K1201" s="141"/>
      <c r="L1201" s="141"/>
      <c r="M1201" s="59"/>
    </row>
    <row r="1202" spans="2:13">
      <c r="B1202" s="135"/>
      <c r="C1202" s="136"/>
      <c r="D1202" s="137"/>
      <c r="E1202" s="138"/>
      <c r="F1202" s="139"/>
      <c r="G1202" s="1" t="str">
        <f>IFERROR(IF(ventas_b_mes1[[#This Row],[CUIT]]="","-",VLOOKUP(ventas_b_mes1[[#This Row],[CUIT]],Lista_CUIT[#All],2,0)),"CUIT NO CARGADO")</f>
        <v>-</v>
      </c>
      <c r="H1202" s="64">
        <f>ventas_b_mes1[[#This Row],[TOTAL]]/1.21</f>
        <v>0</v>
      </c>
      <c r="I1202" s="140">
        <f>ventas_b_mes1[[#This Row],[IMPORTE NETO]]*0.21</f>
        <v>0</v>
      </c>
      <c r="J1202" s="141"/>
      <c r="K1202" s="141"/>
      <c r="L1202" s="141"/>
      <c r="M1202" s="59"/>
    </row>
    <row r="1203" spans="2:13">
      <c r="B1203" s="135"/>
      <c r="C1203" s="136"/>
      <c r="D1203" s="137"/>
      <c r="E1203" s="138"/>
      <c r="F1203" s="139"/>
      <c r="G1203" s="1" t="str">
        <f>IFERROR(IF(ventas_b_mes1[[#This Row],[CUIT]]="","-",VLOOKUP(ventas_b_mes1[[#This Row],[CUIT]],Lista_CUIT[#All],2,0)),"CUIT NO CARGADO")</f>
        <v>-</v>
      </c>
      <c r="H1203" s="64">
        <f>ventas_b_mes1[[#This Row],[TOTAL]]/1.21</f>
        <v>0</v>
      </c>
      <c r="I1203" s="140">
        <f>ventas_b_mes1[[#This Row],[IMPORTE NETO]]*0.21</f>
        <v>0</v>
      </c>
      <c r="J1203" s="141"/>
      <c r="K1203" s="141"/>
      <c r="L1203" s="141"/>
      <c r="M1203" s="59"/>
    </row>
    <row r="1204" spans="2:13">
      <c r="B1204" s="135"/>
      <c r="C1204" s="136"/>
      <c r="D1204" s="137"/>
      <c r="E1204" s="138"/>
      <c r="F1204" s="139"/>
      <c r="G1204" s="1" t="str">
        <f>IFERROR(IF(ventas_b_mes1[[#This Row],[CUIT]]="","-",VLOOKUP(ventas_b_mes1[[#This Row],[CUIT]],Lista_CUIT[#All],2,0)),"CUIT NO CARGADO")</f>
        <v>-</v>
      </c>
      <c r="H1204" s="64">
        <f>ventas_b_mes1[[#This Row],[TOTAL]]/1.21</f>
        <v>0</v>
      </c>
      <c r="I1204" s="140">
        <f>ventas_b_mes1[[#This Row],[IMPORTE NETO]]*0.21</f>
        <v>0</v>
      </c>
      <c r="J1204" s="141"/>
      <c r="K1204" s="141"/>
      <c r="L1204" s="141"/>
      <c r="M1204" s="59"/>
    </row>
    <row r="1205" spans="2:13">
      <c r="B1205" s="135"/>
      <c r="C1205" s="136"/>
      <c r="D1205" s="137"/>
      <c r="E1205" s="138"/>
      <c r="F1205" s="139"/>
      <c r="G1205" s="1" t="str">
        <f>IFERROR(IF(ventas_b_mes1[[#This Row],[CUIT]]="","-",VLOOKUP(ventas_b_mes1[[#This Row],[CUIT]],Lista_CUIT[#All],2,0)),"CUIT NO CARGADO")</f>
        <v>-</v>
      </c>
      <c r="H1205" s="64">
        <f>ventas_b_mes1[[#This Row],[TOTAL]]/1.21</f>
        <v>0</v>
      </c>
      <c r="I1205" s="140">
        <f>ventas_b_mes1[[#This Row],[IMPORTE NETO]]*0.21</f>
        <v>0</v>
      </c>
      <c r="J1205" s="141"/>
      <c r="K1205" s="141"/>
      <c r="L1205" s="141"/>
      <c r="M1205" s="59"/>
    </row>
    <row r="1206" spans="2:13">
      <c r="B1206" s="135"/>
      <c r="C1206" s="136"/>
      <c r="D1206" s="137"/>
      <c r="E1206" s="138"/>
      <c r="F1206" s="139"/>
      <c r="G1206" s="1" t="str">
        <f>IFERROR(IF(ventas_b_mes1[[#This Row],[CUIT]]="","-",VLOOKUP(ventas_b_mes1[[#This Row],[CUIT]],Lista_CUIT[#All],2,0)),"CUIT NO CARGADO")</f>
        <v>-</v>
      </c>
      <c r="H1206" s="64">
        <f>ventas_b_mes1[[#This Row],[TOTAL]]/1.21</f>
        <v>0</v>
      </c>
      <c r="I1206" s="140">
        <f>ventas_b_mes1[[#This Row],[IMPORTE NETO]]*0.21</f>
        <v>0</v>
      </c>
      <c r="J1206" s="141"/>
      <c r="K1206" s="141"/>
      <c r="L1206" s="141"/>
      <c r="M1206" s="59"/>
    </row>
    <row r="1207" spans="2:13">
      <c r="B1207" s="135"/>
      <c r="C1207" s="136"/>
      <c r="D1207" s="137"/>
      <c r="E1207" s="138"/>
      <c r="F1207" s="139"/>
      <c r="G1207" s="1" t="str">
        <f>IFERROR(IF(ventas_b_mes1[[#This Row],[CUIT]]="","-",VLOOKUP(ventas_b_mes1[[#This Row],[CUIT]],Lista_CUIT[#All],2,0)),"CUIT NO CARGADO")</f>
        <v>-</v>
      </c>
      <c r="H1207" s="64">
        <f>ventas_b_mes1[[#This Row],[TOTAL]]/1.21</f>
        <v>0</v>
      </c>
      <c r="I1207" s="140">
        <f>ventas_b_mes1[[#This Row],[IMPORTE NETO]]*0.21</f>
        <v>0</v>
      </c>
      <c r="J1207" s="141"/>
      <c r="K1207" s="141"/>
      <c r="L1207" s="141"/>
      <c r="M1207" s="59"/>
    </row>
    <row r="1208" spans="2:13">
      <c r="B1208" s="135"/>
      <c r="C1208" s="136"/>
      <c r="D1208" s="137"/>
      <c r="E1208" s="138"/>
      <c r="F1208" s="139"/>
      <c r="G1208" s="1" t="str">
        <f>IFERROR(IF(ventas_b_mes1[[#This Row],[CUIT]]="","-",VLOOKUP(ventas_b_mes1[[#This Row],[CUIT]],Lista_CUIT[#All],2,0)),"CUIT NO CARGADO")</f>
        <v>-</v>
      </c>
      <c r="H1208" s="64">
        <f>ventas_b_mes1[[#This Row],[TOTAL]]/1.21</f>
        <v>0</v>
      </c>
      <c r="I1208" s="140">
        <f>ventas_b_mes1[[#This Row],[IMPORTE NETO]]*0.21</f>
        <v>0</v>
      </c>
      <c r="J1208" s="141"/>
      <c r="K1208" s="141"/>
      <c r="L1208" s="141"/>
      <c r="M1208" s="59"/>
    </row>
    <row r="1209" spans="2:13">
      <c r="B1209" s="135"/>
      <c r="C1209" s="136"/>
      <c r="D1209" s="137"/>
      <c r="E1209" s="138"/>
      <c r="F1209" s="139"/>
      <c r="G1209" s="1" t="str">
        <f>IFERROR(IF(ventas_b_mes1[[#This Row],[CUIT]]="","-",VLOOKUP(ventas_b_mes1[[#This Row],[CUIT]],Lista_CUIT[#All],2,0)),"CUIT NO CARGADO")</f>
        <v>-</v>
      </c>
      <c r="H1209" s="64">
        <f>ventas_b_mes1[[#This Row],[TOTAL]]/1.21</f>
        <v>0</v>
      </c>
      <c r="I1209" s="140">
        <f>ventas_b_mes1[[#This Row],[IMPORTE NETO]]*0.21</f>
        <v>0</v>
      </c>
      <c r="J1209" s="141"/>
      <c r="K1209" s="141"/>
      <c r="L1209" s="141"/>
      <c r="M1209" s="59"/>
    </row>
    <row r="1210" spans="2:13">
      <c r="B1210" s="135"/>
      <c r="C1210" s="136"/>
      <c r="D1210" s="137"/>
      <c r="E1210" s="138"/>
      <c r="F1210" s="139"/>
      <c r="G1210" s="1" t="str">
        <f>IFERROR(IF(ventas_b_mes1[[#This Row],[CUIT]]="","-",VLOOKUP(ventas_b_mes1[[#This Row],[CUIT]],Lista_CUIT[#All],2,0)),"CUIT NO CARGADO")</f>
        <v>-</v>
      </c>
      <c r="H1210" s="64">
        <f>ventas_b_mes1[[#This Row],[TOTAL]]/1.21</f>
        <v>0</v>
      </c>
      <c r="I1210" s="140">
        <f>ventas_b_mes1[[#This Row],[IMPORTE NETO]]*0.21</f>
        <v>0</v>
      </c>
      <c r="J1210" s="141"/>
      <c r="K1210" s="141"/>
      <c r="L1210" s="141"/>
      <c r="M1210" s="59"/>
    </row>
    <row r="1211" spans="2:13">
      <c r="B1211" s="135"/>
      <c r="C1211" s="136"/>
      <c r="D1211" s="137"/>
      <c r="E1211" s="138"/>
      <c r="F1211" s="139"/>
      <c r="G1211" s="1" t="str">
        <f>IFERROR(IF(ventas_b_mes1[[#This Row],[CUIT]]="","-",VLOOKUP(ventas_b_mes1[[#This Row],[CUIT]],Lista_CUIT[#All],2,0)),"CUIT NO CARGADO")</f>
        <v>-</v>
      </c>
      <c r="H1211" s="64">
        <f>ventas_b_mes1[[#This Row],[TOTAL]]/1.21</f>
        <v>0</v>
      </c>
      <c r="I1211" s="140">
        <f>ventas_b_mes1[[#This Row],[IMPORTE NETO]]*0.21</f>
        <v>0</v>
      </c>
      <c r="J1211" s="141"/>
      <c r="K1211" s="141"/>
      <c r="L1211" s="141"/>
      <c r="M1211" s="59"/>
    </row>
    <row r="1212" spans="2:13">
      <c r="B1212" s="135"/>
      <c r="C1212" s="136"/>
      <c r="D1212" s="137"/>
      <c r="E1212" s="138"/>
      <c r="F1212" s="139"/>
      <c r="G1212" s="1" t="str">
        <f>IFERROR(IF(ventas_b_mes1[[#This Row],[CUIT]]="","-",VLOOKUP(ventas_b_mes1[[#This Row],[CUIT]],Lista_CUIT[#All],2,0)),"CUIT NO CARGADO")</f>
        <v>-</v>
      </c>
      <c r="H1212" s="64">
        <f>ventas_b_mes1[[#This Row],[TOTAL]]/1.21</f>
        <v>0</v>
      </c>
      <c r="I1212" s="140">
        <f>ventas_b_mes1[[#This Row],[IMPORTE NETO]]*0.21</f>
        <v>0</v>
      </c>
      <c r="J1212" s="141"/>
      <c r="K1212" s="141"/>
      <c r="L1212" s="141"/>
      <c r="M1212" s="59"/>
    </row>
    <row r="1213" spans="2:13">
      <c r="B1213" s="135"/>
      <c r="C1213" s="136"/>
      <c r="D1213" s="137"/>
      <c r="E1213" s="138"/>
      <c r="F1213" s="139"/>
      <c r="G1213" s="1" t="str">
        <f>IFERROR(IF(ventas_b_mes1[[#This Row],[CUIT]]="","-",VLOOKUP(ventas_b_mes1[[#This Row],[CUIT]],Lista_CUIT[#All],2,0)),"CUIT NO CARGADO")</f>
        <v>-</v>
      </c>
      <c r="H1213" s="64">
        <f>ventas_b_mes1[[#This Row],[TOTAL]]/1.21</f>
        <v>0</v>
      </c>
      <c r="I1213" s="140">
        <f>ventas_b_mes1[[#This Row],[IMPORTE NETO]]*0.21</f>
        <v>0</v>
      </c>
      <c r="J1213" s="141"/>
      <c r="K1213" s="141"/>
      <c r="L1213" s="141"/>
      <c r="M1213" s="59"/>
    </row>
    <row r="1214" spans="2:13">
      <c r="B1214" s="135"/>
      <c r="C1214" s="136"/>
      <c r="D1214" s="137"/>
      <c r="E1214" s="138"/>
      <c r="F1214" s="139"/>
      <c r="G1214" s="1" t="str">
        <f>IFERROR(IF(ventas_b_mes1[[#This Row],[CUIT]]="","-",VLOOKUP(ventas_b_mes1[[#This Row],[CUIT]],Lista_CUIT[#All],2,0)),"CUIT NO CARGADO")</f>
        <v>-</v>
      </c>
      <c r="H1214" s="64">
        <f>ventas_b_mes1[[#This Row],[TOTAL]]/1.21</f>
        <v>0</v>
      </c>
      <c r="I1214" s="140">
        <f>ventas_b_mes1[[#This Row],[IMPORTE NETO]]*0.21</f>
        <v>0</v>
      </c>
      <c r="J1214" s="141"/>
      <c r="K1214" s="141"/>
      <c r="L1214" s="141"/>
      <c r="M1214" s="59"/>
    </row>
    <row r="1215" spans="2:13">
      <c r="B1215" s="135"/>
      <c r="C1215" s="136"/>
      <c r="D1215" s="137"/>
      <c r="E1215" s="138"/>
      <c r="F1215" s="139"/>
      <c r="G1215" s="1" t="str">
        <f>IFERROR(IF(ventas_b_mes1[[#This Row],[CUIT]]="","-",VLOOKUP(ventas_b_mes1[[#This Row],[CUIT]],Lista_CUIT[#All],2,0)),"CUIT NO CARGADO")</f>
        <v>-</v>
      </c>
      <c r="H1215" s="64">
        <f>ventas_b_mes1[[#This Row],[TOTAL]]/1.21</f>
        <v>0</v>
      </c>
      <c r="I1215" s="140">
        <f>ventas_b_mes1[[#This Row],[IMPORTE NETO]]*0.21</f>
        <v>0</v>
      </c>
      <c r="J1215" s="141"/>
      <c r="K1215" s="141"/>
      <c r="L1215" s="141"/>
      <c r="M1215" s="59"/>
    </row>
    <row r="1216" spans="2:13">
      <c r="B1216" s="135"/>
      <c r="C1216" s="136"/>
      <c r="D1216" s="137"/>
      <c r="E1216" s="138"/>
      <c r="F1216" s="139"/>
      <c r="G1216" s="1" t="str">
        <f>IFERROR(IF(ventas_b_mes1[[#This Row],[CUIT]]="","-",VLOOKUP(ventas_b_mes1[[#This Row],[CUIT]],Lista_CUIT[#All],2,0)),"CUIT NO CARGADO")</f>
        <v>-</v>
      </c>
      <c r="H1216" s="64">
        <f>ventas_b_mes1[[#This Row],[TOTAL]]/1.21</f>
        <v>0</v>
      </c>
      <c r="I1216" s="140">
        <f>ventas_b_mes1[[#This Row],[IMPORTE NETO]]*0.21</f>
        <v>0</v>
      </c>
      <c r="J1216" s="141"/>
      <c r="K1216" s="141"/>
      <c r="L1216" s="141"/>
      <c r="M1216" s="59"/>
    </row>
    <row r="1217" spans="2:13">
      <c r="B1217" s="135"/>
      <c r="C1217" s="136"/>
      <c r="D1217" s="137"/>
      <c r="E1217" s="138"/>
      <c r="F1217" s="139"/>
      <c r="G1217" s="1" t="str">
        <f>IFERROR(IF(ventas_b_mes1[[#This Row],[CUIT]]="","-",VLOOKUP(ventas_b_mes1[[#This Row],[CUIT]],Lista_CUIT[#All],2,0)),"CUIT NO CARGADO")</f>
        <v>-</v>
      </c>
      <c r="H1217" s="64">
        <f>ventas_b_mes1[[#This Row],[TOTAL]]/1.21</f>
        <v>0</v>
      </c>
      <c r="I1217" s="140">
        <f>ventas_b_mes1[[#This Row],[IMPORTE NETO]]*0.21</f>
        <v>0</v>
      </c>
      <c r="J1217" s="141"/>
      <c r="K1217" s="141"/>
      <c r="L1217" s="141"/>
      <c r="M1217" s="59"/>
    </row>
    <row r="1218" spans="2:13">
      <c r="B1218" s="135"/>
      <c r="C1218" s="136"/>
      <c r="D1218" s="137"/>
      <c r="E1218" s="138"/>
      <c r="F1218" s="139"/>
      <c r="G1218" s="1" t="str">
        <f>IFERROR(IF(ventas_b_mes1[[#This Row],[CUIT]]="","-",VLOOKUP(ventas_b_mes1[[#This Row],[CUIT]],Lista_CUIT[#All],2,0)),"CUIT NO CARGADO")</f>
        <v>-</v>
      </c>
      <c r="H1218" s="64">
        <f>ventas_b_mes1[[#This Row],[TOTAL]]/1.21</f>
        <v>0</v>
      </c>
      <c r="I1218" s="140">
        <f>ventas_b_mes1[[#This Row],[IMPORTE NETO]]*0.21</f>
        <v>0</v>
      </c>
      <c r="J1218" s="141"/>
      <c r="K1218" s="141"/>
      <c r="L1218" s="141"/>
      <c r="M1218" s="59"/>
    </row>
    <row r="1219" spans="2:13">
      <c r="B1219" s="135"/>
      <c r="C1219" s="136"/>
      <c r="D1219" s="137"/>
      <c r="E1219" s="138"/>
      <c r="F1219" s="139"/>
      <c r="G1219" s="1" t="str">
        <f>IFERROR(IF(ventas_b_mes1[[#This Row],[CUIT]]="","-",VLOOKUP(ventas_b_mes1[[#This Row],[CUIT]],Lista_CUIT[#All],2,0)),"CUIT NO CARGADO")</f>
        <v>-</v>
      </c>
      <c r="H1219" s="64">
        <f>ventas_b_mes1[[#This Row],[TOTAL]]/1.21</f>
        <v>0</v>
      </c>
      <c r="I1219" s="140">
        <f>ventas_b_mes1[[#This Row],[IMPORTE NETO]]*0.21</f>
        <v>0</v>
      </c>
      <c r="J1219" s="141"/>
      <c r="K1219" s="141"/>
      <c r="L1219" s="141"/>
      <c r="M1219" s="59"/>
    </row>
    <row r="1220" spans="2:13">
      <c r="B1220" s="135"/>
      <c r="C1220" s="136"/>
      <c r="D1220" s="137"/>
      <c r="E1220" s="138"/>
      <c r="F1220" s="139"/>
      <c r="G1220" s="1" t="str">
        <f>IFERROR(IF(ventas_b_mes1[[#This Row],[CUIT]]="","-",VLOOKUP(ventas_b_mes1[[#This Row],[CUIT]],Lista_CUIT[#All],2,0)),"CUIT NO CARGADO")</f>
        <v>-</v>
      </c>
      <c r="H1220" s="64">
        <f>ventas_b_mes1[[#This Row],[TOTAL]]/1.21</f>
        <v>0</v>
      </c>
      <c r="I1220" s="140">
        <f>ventas_b_mes1[[#This Row],[IMPORTE NETO]]*0.21</f>
        <v>0</v>
      </c>
      <c r="J1220" s="141"/>
      <c r="K1220" s="141"/>
      <c r="L1220" s="141"/>
      <c r="M1220" s="59"/>
    </row>
    <row r="1221" spans="2:13">
      <c r="B1221" s="135"/>
      <c r="C1221" s="136"/>
      <c r="D1221" s="137"/>
      <c r="E1221" s="138"/>
      <c r="F1221" s="139"/>
      <c r="G1221" s="1" t="str">
        <f>IFERROR(IF(ventas_b_mes1[[#This Row],[CUIT]]="","-",VLOOKUP(ventas_b_mes1[[#This Row],[CUIT]],Lista_CUIT[#All],2,0)),"CUIT NO CARGADO")</f>
        <v>-</v>
      </c>
      <c r="H1221" s="64">
        <f>ventas_b_mes1[[#This Row],[TOTAL]]/1.21</f>
        <v>0</v>
      </c>
      <c r="I1221" s="140">
        <f>ventas_b_mes1[[#This Row],[IMPORTE NETO]]*0.21</f>
        <v>0</v>
      </c>
      <c r="J1221" s="141"/>
      <c r="K1221" s="141"/>
      <c r="L1221" s="141"/>
      <c r="M1221" s="59"/>
    </row>
    <row r="1222" spans="2:13">
      <c r="B1222" s="135"/>
      <c r="C1222" s="136"/>
      <c r="D1222" s="137"/>
      <c r="E1222" s="138"/>
      <c r="F1222" s="139"/>
      <c r="G1222" s="1" t="str">
        <f>IFERROR(IF(ventas_b_mes1[[#This Row],[CUIT]]="","-",VLOOKUP(ventas_b_mes1[[#This Row],[CUIT]],Lista_CUIT[#All],2,0)),"CUIT NO CARGADO")</f>
        <v>-</v>
      </c>
      <c r="H1222" s="64">
        <f>ventas_b_mes1[[#This Row],[TOTAL]]/1.21</f>
        <v>0</v>
      </c>
      <c r="I1222" s="140">
        <f>ventas_b_mes1[[#This Row],[IMPORTE NETO]]*0.21</f>
        <v>0</v>
      </c>
      <c r="J1222" s="141"/>
      <c r="K1222" s="141"/>
      <c r="L1222" s="141"/>
      <c r="M1222" s="59"/>
    </row>
    <row r="1223" spans="2:13">
      <c r="B1223" s="135"/>
      <c r="C1223" s="136"/>
      <c r="D1223" s="137"/>
      <c r="E1223" s="138"/>
      <c r="F1223" s="139"/>
      <c r="G1223" s="1" t="str">
        <f>IFERROR(IF(ventas_b_mes1[[#This Row],[CUIT]]="","-",VLOOKUP(ventas_b_mes1[[#This Row],[CUIT]],Lista_CUIT[#All],2,0)),"CUIT NO CARGADO")</f>
        <v>-</v>
      </c>
      <c r="H1223" s="64">
        <f>ventas_b_mes1[[#This Row],[TOTAL]]/1.21</f>
        <v>0</v>
      </c>
      <c r="I1223" s="140">
        <f>ventas_b_mes1[[#This Row],[IMPORTE NETO]]*0.21</f>
        <v>0</v>
      </c>
      <c r="J1223" s="141"/>
      <c r="K1223" s="141"/>
      <c r="L1223" s="141"/>
      <c r="M1223" s="59"/>
    </row>
    <row r="1224" spans="2:13">
      <c r="B1224" s="135"/>
      <c r="C1224" s="136"/>
      <c r="D1224" s="137"/>
      <c r="E1224" s="138"/>
      <c r="F1224" s="139"/>
      <c r="G1224" s="1" t="str">
        <f>IFERROR(IF(ventas_b_mes1[[#This Row],[CUIT]]="","-",VLOOKUP(ventas_b_mes1[[#This Row],[CUIT]],Lista_CUIT[#All],2,0)),"CUIT NO CARGADO")</f>
        <v>-</v>
      </c>
      <c r="H1224" s="64">
        <f>ventas_b_mes1[[#This Row],[TOTAL]]/1.21</f>
        <v>0</v>
      </c>
      <c r="I1224" s="140">
        <f>ventas_b_mes1[[#This Row],[IMPORTE NETO]]*0.21</f>
        <v>0</v>
      </c>
      <c r="J1224" s="141"/>
      <c r="K1224" s="141"/>
      <c r="L1224" s="141"/>
      <c r="M1224" s="59"/>
    </row>
    <row r="1225" spans="2:13">
      <c r="B1225" s="135"/>
      <c r="C1225" s="136"/>
      <c r="D1225" s="137"/>
      <c r="E1225" s="138"/>
      <c r="F1225" s="139"/>
      <c r="G1225" s="1" t="str">
        <f>IFERROR(IF(ventas_b_mes1[[#This Row],[CUIT]]="","-",VLOOKUP(ventas_b_mes1[[#This Row],[CUIT]],Lista_CUIT[#All],2,0)),"CUIT NO CARGADO")</f>
        <v>-</v>
      </c>
      <c r="H1225" s="64">
        <f>ventas_b_mes1[[#This Row],[TOTAL]]/1.21</f>
        <v>0</v>
      </c>
      <c r="I1225" s="140">
        <f>ventas_b_mes1[[#This Row],[IMPORTE NETO]]*0.21</f>
        <v>0</v>
      </c>
      <c r="J1225" s="141"/>
      <c r="K1225" s="141"/>
      <c r="L1225" s="141"/>
      <c r="M1225" s="59"/>
    </row>
    <row r="1226" spans="2:13">
      <c r="B1226" s="135"/>
      <c r="C1226" s="136"/>
      <c r="D1226" s="137"/>
      <c r="E1226" s="138"/>
      <c r="F1226" s="139"/>
      <c r="G1226" s="1" t="str">
        <f>IFERROR(IF(ventas_b_mes1[[#This Row],[CUIT]]="","-",VLOOKUP(ventas_b_mes1[[#This Row],[CUIT]],Lista_CUIT[#All],2,0)),"CUIT NO CARGADO")</f>
        <v>-</v>
      </c>
      <c r="H1226" s="64">
        <f>ventas_b_mes1[[#This Row],[TOTAL]]/1.21</f>
        <v>0</v>
      </c>
      <c r="I1226" s="140">
        <f>ventas_b_mes1[[#This Row],[IMPORTE NETO]]*0.21</f>
        <v>0</v>
      </c>
      <c r="J1226" s="141"/>
      <c r="K1226" s="141"/>
      <c r="L1226" s="141"/>
      <c r="M1226" s="59"/>
    </row>
    <row r="1227" spans="2:13">
      <c r="B1227" s="135"/>
      <c r="C1227" s="136"/>
      <c r="D1227" s="137"/>
      <c r="E1227" s="138"/>
      <c r="F1227" s="139"/>
      <c r="G1227" s="1" t="str">
        <f>IFERROR(IF(ventas_b_mes1[[#This Row],[CUIT]]="","-",VLOOKUP(ventas_b_mes1[[#This Row],[CUIT]],Lista_CUIT[#All],2,0)),"CUIT NO CARGADO")</f>
        <v>-</v>
      </c>
      <c r="H1227" s="64">
        <f>ventas_b_mes1[[#This Row],[TOTAL]]/1.21</f>
        <v>0</v>
      </c>
      <c r="I1227" s="140">
        <f>ventas_b_mes1[[#This Row],[IMPORTE NETO]]*0.21</f>
        <v>0</v>
      </c>
      <c r="J1227" s="141"/>
      <c r="K1227" s="141"/>
      <c r="L1227" s="141"/>
      <c r="M1227" s="59"/>
    </row>
    <row r="1228" spans="2:13">
      <c r="B1228" s="135"/>
      <c r="C1228" s="136"/>
      <c r="D1228" s="137"/>
      <c r="E1228" s="138"/>
      <c r="F1228" s="139"/>
      <c r="G1228" s="1" t="str">
        <f>IFERROR(IF(ventas_b_mes1[[#This Row],[CUIT]]="","-",VLOOKUP(ventas_b_mes1[[#This Row],[CUIT]],Lista_CUIT[#All],2,0)),"CUIT NO CARGADO")</f>
        <v>-</v>
      </c>
      <c r="H1228" s="64">
        <f>ventas_b_mes1[[#This Row],[TOTAL]]/1.21</f>
        <v>0</v>
      </c>
      <c r="I1228" s="140">
        <f>ventas_b_mes1[[#This Row],[IMPORTE NETO]]*0.21</f>
        <v>0</v>
      </c>
      <c r="J1228" s="141"/>
      <c r="K1228" s="141"/>
      <c r="L1228" s="141"/>
      <c r="M1228" s="59"/>
    </row>
    <row r="1229" spans="2:13">
      <c r="B1229" s="135"/>
      <c r="C1229" s="136"/>
      <c r="D1229" s="137"/>
      <c r="E1229" s="138"/>
      <c r="F1229" s="139"/>
      <c r="G1229" s="1" t="str">
        <f>IFERROR(IF(ventas_b_mes1[[#This Row],[CUIT]]="","-",VLOOKUP(ventas_b_mes1[[#This Row],[CUIT]],Lista_CUIT[#All],2,0)),"CUIT NO CARGADO")</f>
        <v>-</v>
      </c>
      <c r="H1229" s="64">
        <f>ventas_b_mes1[[#This Row],[TOTAL]]/1.21</f>
        <v>0</v>
      </c>
      <c r="I1229" s="140">
        <f>ventas_b_mes1[[#This Row],[IMPORTE NETO]]*0.21</f>
        <v>0</v>
      </c>
      <c r="J1229" s="141"/>
      <c r="K1229" s="141"/>
      <c r="L1229" s="141"/>
      <c r="M1229" s="59"/>
    </row>
    <row r="1230" spans="2:13">
      <c r="B1230" s="135"/>
      <c r="C1230" s="136"/>
      <c r="D1230" s="137"/>
      <c r="E1230" s="138"/>
      <c r="F1230" s="139"/>
      <c r="G1230" s="1" t="str">
        <f>IFERROR(IF(ventas_b_mes1[[#This Row],[CUIT]]="","-",VLOOKUP(ventas_b_mes1[[#This Row],[CUIT]],Lista_CUIT[#All],2,0)),"CUIT NO CARGADO")</f>
        <v>-</v>
      </c>
      <c r="H1230" s="64">
        <f>ventas_b_mes1[[#This Row],[TOTAL]]/1.21</f>
        <v>0</v>
      </c>
      <c r="I1230" s="140">
        <f>ventas_b_mes1[[#This Row],[IMPORTE NETO]]*0.21</f>
        <v>0</v>
      </c>
      <c r="J1230" s="141"/>
      <c r="K1230" s="141"/>
      <c r="L1230" s="141"/>
      <c r="M1230" s="59"/>
    </row>
    <row r="1231" spans="2:13">
      <c r="B1231" s="135"/>
      <c r="C1231" s="136"/>
      <c r="D1231" s="137"/>
      <c r="E1231" s="138"/>
      <c r="F1231" s="139"/>
      <c r="G1231" s="1" t="str">
        <f>IFERROR(IF(ventas_b_mes1[[#This Row],[CUIT]]="","-",VLOOKUP(ventas_b_mes1[[#This Row],[CUIT]],Lista_CUIT[#All],2,0)),"CUIT NO CARGADO")</f>
        <v>-</v>
      </c>
      <c r="H1231" s="64">
        <f>ventas_b_mes1[[#This Row],[TOTAL]]/1.21</f>
        <v>0</v>
      </c>
      <c r="I1231" s="140">
        <f>ventas_b_mes1[[#This Row],[IMPORTE NETO]]*0.21</f>
        <v>0</v>
      </c>
      <c r="J1231" s="141"/>
      <c r="K1231" s="141"/>
      <c r="L1231" s="141"/>
      <c r="M1231" s="59"/>
    </row>
    <row r="1232" spans="2:13">
      <c r="B1232" s="135"/>
      <c r="C1232" s="136"/>
      <c r="D1232" s="137"/>
      <c r="E1232" s="138"/>
      <c r="F1232" s="139"/>
      <c r="G1232" s="1" t="str">
        <f>IFERROR(IF(ventas_b_mes1[[#This Row],[CUIT]]="","-",VLOOKUP(ventas_b_mes1[[#This Row],[CUIT]],Lista_CUIT[#All],2,0)),"CUIT NO CARGADO")</f>
        <v>-</v>
      </c>
      <c r="H1232" s="64">
        <f>ventas_b_mes1[[#This Row],[TOTAL]]/1.21</f>
        <v>0</v>
      </c>
      <c r="I1232" s="140">
        <f>ventas_b_mes1[[#This Row],[IMPORTE NETO]]*0.21</f>
        <v>0</v>
      </c>
      <c r="J1232" s="141"/>
      <c r="K1232" s="141"/>
      <c r="L1232" s="141"/>
      <c r="M1232" s="59"/>
    </row>
    <row r="1233" spans="2:13">
      <c r="B1233" s="135"/>
      <c r="C1233" s="136"/>
      <c r="D1233" s="137"/>
      <c r="E1233" s="138"/>
      <c r="F1233" s="139"/>
      <c r="G1233" s="1" t="str">
        <f>IFERROR(IF(ventas_b_mes1[[#This Row],[CUIT]]="","-",VLOOKUP(ventas_b_mes1[[#This Row],[CUIT]],Lista_CUIT[#All],2,0)),"CUIT NO CARGADO")</f>
        <v>-</v>
      </c>
      <c r="H1233" s="64">
        <f>ventas_b_mes1[[#This Row],[TOTAL]]/1.21</f>
        <v>0</v>
      </c>
      <c r="I1233" s="140">
        <f>ventas_b_mes1[[#This Row],[IMPORTE NETO]]*0.21</f>
        <v>0</v>
      </c>
      <c r="J1233" s="141"/>
      <c r="K1233" s="141"/>
      <c r="L1233" s="141"/>
      <c r="M1233" s="59"/>
    </row>
    <row r="1234" spans="2:13">
      <c r="B1234" s="135"/>
      <c r="C1234" s="136"/>
      <c r="D1234" s="137"/>
      <c r="E1234" s="138"/>
      <c r="F1234" s="139"/>
      <c r="G1234" s="1" t="str">
        <f>IFERROR(IF(ventas_b_mes1[[#This Row],[CUIT]]="","-",VLOOKUP(ventas_b_mes1[[#This Row],[CUIT]],Lista_CUIT[#All],2,0)),"CUIT NO CARGADO")</f>
        <v>-</v>
      </c>
      <c r="H1234" s="64">
        <f>ventas_b_mes1[[#This Row],[TOTAL]]/1.21</f>
        <v>0</v>
      </c>
      <c r="I1234" s="140">
        <f>ventas_b_mes1[[#This Row],[IMPORTE NETO]]*0.21</f>
        <v>0</v>
      </c>
      <c r="J1234" s="141"/>
      <c r="K1234" s="141"/>
      <c r="L1234" s="141"/>
      <c r="M1234" s="59"/>
    </row>
    <row r="1235" spans="2:13">
      <c r="B1235" s="135"/>
      <c r="C1235" s="136"/>
      <c r="D1235" s="137"/>
      <c r="E1235" s="138"/>
      <c r="F1235" s="139"/>
      <c r="G1235" s="1" t="str">
        <f>IFERROR(IF(ventas_b_mes1[[#This Row],[CUIT]]="","-",VLOOKUP(ventas_b_mes1[[#This Row],[CUIT]],Lista_CUIT[#All],2,0)),"CUIT NO CARGADO")</f>
        <v>-</v>
      </c>
      <c r="H1235" s="64">
        <f>ventas_b_mes1[[#This Row],[TOTAL]]/1.21</f>
        <v>0</v>
      </c>
      <c r="I1235" s="140">
        <f>ventas_b_mes1[[#This Row],[IMPORTE NETO]]*0.21</f>
        <v>0</v>
      </c>
      <c r="J1235" s="141"/>
      <c r="K1235" s="141"/>
      <c r="L1235" s="141"/>
      <c r="M1235" s="59"/>
    </row>
    <row r="1236" spans="2:13">
      <c r="B1236" s="135"/>
      <c r="C1236" s="136"/>
      <c r="D1236" s="137"/>
      <c r="E1236" s="138"/>
      <c r="F1236" s="139"/>
      <c r="G1236" s="1" t="str">
        <f>IFERROR(IF(ventas_b_mes1[[#This Row],[CUIT]]="","-",VLOOKUP(ventas_b_mes1[[#This Row],[CUIT]],Lista_CUIT[#All],2,0)),"CUIT NO CARGADO")</f>
        <v>-</v>
      </c>
      <c r="H1236" s="64">
        <f>ventas_b_mes1[[#This Row],[TOTAL]]/1.21</f>
        <v>0</v>
      </c>
      <c r="I1236" s="140">
        <f>ventas_b_mes1[[#This Row],[IMPORTE NETO]]*0.21</f>
        <v>0</v>
      </c>
      <c r="J1236" s="141"/>
      <c r="K1236" s="141"/>
      <c r="L1236" s="141"/>
      <c r="M1236" s="59"/>
    </row>
    <row r="1237" spans="2:13">
      <c r="B1237" s="135"/>
      <c r="C1237" s="136"/>
      <c r="D1237" s="137"/>
      <c r="E1237" s="138"/>
      <c r="F1237" s="139"/>
      <c r="G1237" s="1" t="str">
        <f>IFERROR(IF(ventas_b_mes1[[#This Row],[CUIT]]="","-",VLOOKUP(ventas_b_mes1[[#This Row],[CUIT]],Lista_CUIT[#All],2,0)),"CUIT NO CARGADO")</f>
        <v>-</v>
      </c>
      <c r="H1237" s="64">
        <f>ventas_b_mes1[[#This Row],[TOTAL]]/1.21</f>
        <v>0</v>
      </c>
      <c r="I1237" s="140">
        <f>ventas_b_mes1[[#This Row],[IMPORTE NETO]]*0.21</f>
        <v>0</v>
      </c>
      <c r="J1237" s="141"/>
      <c r="K1237" s="141"/>
      <c r="L1237" s="141"/>
      <c r="M1237" s="59"/>
    </row>
    <row r="1238" spans="2:13">
      <c r="B1238" s="135"/>
      <c r="C1238" s="136"/>
      <c r="D1238" s="137"/>
      <c r="E1238" s="138"/>
      <c r="F1238" s="139"/>
      <c r="G1238" s="1" t="str">
        <f>IFERROR(IF(ventas_b_mes1[[#This Row],[CUIT]]="","-",VLOOKUP(ventas_b_mes1[[#This Row],[CUIT]],Lista_CUIT[#All],2,0)),"CUIT NO CARGADO")</f>
        <v>-</v>
      </c>
      <c r="H1238" s="64">
        <f>ventas_b_mes1[[#This Row],[TOTAL]]/1.21</f>
        <v>0</v>
      </c>
      <c r="I1238" s="140">
        <f>ventas_b_mes1[[#This Row],[IMPORTE NETO]]*0.21</f>
        <v>0</v>
      </c>
      <c r="J1238" s="141"/>
      <c r="K1238" s="141"/>
      <c r="L1238" s="141"/>
      <c r="M1238" s="59"/>
    </row>
    <row r="1239" spans="2:13">
      <c r="B1239" s="135"/>
      <c r="C1239" s="136"/>
      <c r="D1239" s="137"/>
      <c r="E1239" s="138"/>
      <c r="F1239" s="139"/>
      <c r="G1239" s="1" t="str">
        <f>IFERROR(IF(ventas_b_mes1[[#This Row],[CUIT]]="","-",VLOOKUP(ventas_b_mes1[[#This Row],[CUIT]],Lista_CUIT[#All],2,0)),"CUIT NO CARGADO")</f>
        <v>-</v>
      </c>
      <c r="H1239" s="64">
        <f>ventas_b_mes1[[#This Row],[TOTAL]]/1.21</f>
        <v>0</v>
      </c>
      <c r="I1239" s="140">
        <f>ventas_b_mes1[[#This Row],[IMPORTE NETO]]*0.21</f>
        <v>0</v>
      </c>
      <c r="J1239" s="141"/>
      <c r="K1239" s="141"/>
      <c r="L1239" s="141"/>
      <c r="M1239" s="59"/>
    </row>
    <row r="1240" spans="2:13">
      <c r="B1240" s="135"/>
      <c r="C1240" s="136"/>
      <c r="D1240" s="137"/>
      <c r="E1240" s="138"/>
      <c r="F1240" s="139"/>
      <c r="G1240" s="1" t="str">
        <f>IFERROR(IF(ventas_b_mes1[[#This Row],[CUIT]]="","-",VLOOKUP(ventas_b_mes1[[#This Row],[CUIT]],Lista_CUIT[#All],2,0)),"CUIT NO CARGADO")</f>
        <v>-</v>
      </c>
      <c r="H1240" s="64">
        <f>ventas_b_mes1[[#This Row],[TOTAL]]/1.21</f>
        <v>0</v>
      </c>
      <c r="I1240" s="140">
        <f>ventas_b_mes1[[#This Row],[IMPORTE NETO]]*0.21</f>
        <v>0</v>
      </c>
      <c r="J1240" s="141"/>
      <c r="K1240" s="141"/>
      <c r="L1240" s="141"/>
      <c r="M1240" s="59"/>
    </row>
    <row r="1241" spans="2:13">
      <c r="B1241" s="135"/>
      <c r="C1241" s="136"/>
      <c r="D1241" s="137"/>
      <c r="E1241" s="138"/>
      <c r="F1241" s="139"/>
      <c r="G1241" s="1" t="str">
        <f>IFERROR(IF(ventas_b_mes1[[#This Row],[CUIT]]="","-",VLOOKUP(ventas_b_mes1[[#This Row],[CUIT]],Lista_CUIT[#All],2,0)),"CUIT NO CARGADO")</f>
        <v>-</v>
      </c>
      <c r="H1241" s="64">
        <f>ventas_b_mes1[[#This Row],[TOTAL]]/1.21</f>
        <v>0</v>
      </c>
      <c r="I1241" s="140">
        <f>ventas_b_mes1[[#This Row],[IMPORTE NETO]]*0.21</f>
        <v>0</v>
      </c>
      <c r="J1241" s="141"/>
      <c r="K1241" s="141"/>
      <c r="L1241" s="141"/>
      <c r="M1241" s="59"/>
    </row>
    <row r="1242" spans="2:13">
      <c r="B1242" s="135"/>
      <c r="C1242" s="136"/>
      <c r="D1242" s="137"/>
      <c r="E1242" s="138"/>
      <c r="F1242" s="139"/>
      <c r="G1242" s="1" t="str">
        <f>IFERROR(IF(ventas_b_mes1[[#This Row],[CUIT]]="","-",VLOOKUP(ventas_b_mes1[[#This Row],[CUIT]],Lista_CUIT[#All],2,0)),"CUIT NO CARGADO")</f>
        <v>-</v>
      </c>
      <c r="H1242" s="64">
        <f>ventas_b_mes1[[#This Row],[TOTAL]]/1.21</f>
        <v>0</v>
      </c>
      <c r="I1242" s="140">
        <f>ventas_b_mes1[[#This Row],[IMPORTE NETO]]*0.21</f>
        <v>0</v>
      </c>
      <c r="J1242" s="141"/>
      <c r="K1242" s="141"/>
      <c r="L1242" s="141"/>
      <c r="M1242" s="59"/>
    </row>
    <row r="1243" spans="2:13">
      <c r="B1243" s="135"/>
      <c r="C1243" s="136"/>
      <c r="D1243" s="137"/>
      <c r="E1243" s="138"/>
      <c r="F1243" s="139"/>
      <c r="G1243" s="1" t="str">
        <f>IFERROR(IF(ventas_b_mes1[[#This Row],[CUIT]]="","-",VLOOKUP(ventas_b_mes1[[#This Row],[CUIT]],Lista_CUIT[#All],2,0)),"CUIT NO CARGADO")</f>
        <v>-</v>
      </c>
      <c r="H1243" s="64">
        <f>ventas_b_mes1[[#This Row],[TOTAL]]/1.21</f>
        <v>0</v>
      </c>
      <c r="I1243" s="140">
        <f>ventas_b_mes1[[#This Row],[IMPORTE NETO]]*0.21</f>
        <v>0</v>
      </c>
      <c r="J1243" s="141"/>
      <c r="K1243" s="141"/>
      <c r="L1243" s="141"/>
      <c r="M1243" s="59"/>
    </row>
    <row r="1244" spans="2:13">
      <c r="B1244" s="135"/>
      <c r="C1244" s="136"/>
      <c r="D1244" s="137"/>
      <c r="E1244" s="138"/>
      <c r="F1244" s="139"/>
      <c r="G1244" s="1" t="str">
        <f>IFERROR(IF(ventas_b_mes1[[#This Row],[CUIT]]="","-",VLOOKUP(ventas_b_mes1[[#This Row],[CUIT]],Lista_CUIT[#All],2,0)),"CUIT NO CARGADO")</f>
        <v>-</v>
      </c>
      <c r="H1244" s="64">
        <f>ventas_b_mes1[[#This Row],[TOTAL]]/1.21</f>
        <v>0</v>
      </c>
      <c r="I1244" s="140">
        <f>ventas_b_mes1[[#This Row],[IMPORTE NETO]]*0.21</f>
        <v>0</v>
      </c>
      <c r="J1244" s="141"/>
      <c r="K1244" s="141"/>
      <c r="L1244" s="141"/>
      <c r="M1244" s="59"/>
    </row>
    <row r="1245" spans="2:13">
      <c r="B1245" s="135"/>
      <c r="C1245" s="136"/>
      <c r="D1245" s="137"/>
      <c r="E1245" s="138"/>
      <c r="F1245" s="139"/>
      <c r="G1245" s="1" t="str">
        <f>IFERROR(IF(ventas_b_mes1[[#This Row],[CUIT]]="","-",VLOOKUP(ventas_b_mes1[[#This Row],[CUIT]],Lista_CUIT[#All],2,0)),"CUIT NO CARGADO")</f>
        <v>-</v>
      </c>
      <c r="H1245" s="64">
        <f>ventas_b_mes1[[#This Row],[TOTAL]]/1.21</f>
        <v>0</v>
      </c>
      <c r="I1245" s="140">
        <f>ventas_b_mes1[[#This Row],[IMPORTE NETO]]*0.21</f>
        <v>0</v>
      </c>
      <c r="J1245" s="141"/>
      <c r="K1245" s="141"/>
      <c r="L1245" s="141"/>
      <c r="M1245" s="59"/>
    </row>
    <row r="1246" spans="2:13">
      <c r="B1246" s="135"/>
      <c r="C1246" s="136"/>
      <c r="D1246" s="137"/>
      <c r="E1246" s="138"/>
      <c r="F1246" s="139"/>
      <c r="G1246" s="1" t="str">
        <f>IFERROR(IF(ventas_b_mes1[[#This Row],[CUIT]]="","-",VLOOKUP(ventas_b_mes1[[#This Row],[CUIT]],Lista_CUIT[#All],2,0)),"CUIT NO CARGADO")</f>
        <v>-</v>
      </c>
      <c r="H1246" s="64">
        <f>ventas_b_mes1[[#This Row],[TOTAL]]/1.21</f>
        <v>0</v>
      </c>
      <c r="I1246" s="140">
        <f>ventas_b_mes1[[#This Row],[IMPORTE NETO]]*0.21</f>
        <v>0</v>
      </c>
      <c r="J1246" s="141"/>
      <c r="K1246" s="141"/>
      <c r="L1246" s="141"/>
      <c r="M1246" s="59"/>
    </row>
    <row r="1247" spans="2:13">
      <c r="B1247" s="135"/>
      <c r="C1247" s="136"/>
      <c r="D1247" s="137"/>
      <c r="E1247" s="138"/>
      <c r="F1247" s="139"/>
      <c r="G1247" s="1" t="str">
        <f>IFERROR(IF(ventas_b_mes1[[#This Row],[CUIT]]="","-",VLOOKUP(ventas_b_mes1[[#This Row],[CUIT]],Lista_CUIT[#All],2,0)),"CUIT NO CARGADO")</f>
        <v>-</v>
      </c>
      <c r="H1247" s="64">
        <f>ventas_b_mes1[[#This Row],[TOTAL]]/1.21</f>
        <v>0</v>
      </c>
      <c r="I1247" s="140">
        <f>ventas_b_mes1[[#This Row],[IMPORTE NETO]]*0.21</f>
        <v>0</v>
      </c>
      <c r="J1247" s="141"/>
      <c r="K1247" s="141"/>
      <c r="L1247" s="141"/>
      <c r="M1247" s="59"/>
    </row>
    <row r="1248" spans="2:13">
      <c r="B1248" s="135"/>
      <c r="C1248" s="136"/>
      <c r="D1248" s="137"/>
      <c r="E1248" s="138"/>
      <c r="F1248" s="139"/>
      <c r="G1248" s="1" t="str">
        <f>IFERROR(IF(ventas_b_mes1[[#This Row],[CUIT]]="","-",VLOOKUP(ventas_b_mes1[[#This Row],[CUIT]],Lista_CUIT[#All],2,0)),"CUIT NO CARGADO")</f>
        <v>-</v>
      </c>
      <c r="H1248" s="64">
        <f>ventas_b_mes1[[#This Row],[TOTAL]]/1.21</f>
        <v>0</v>
      </c>
      <c r="I1248" s="140">
        <f>ventas_b_mes1[[#This Row],[IMPORTE NETO]]*0.21</f>
        <v>0</v>
      </c>
      <c r="J1248" s="141"/>
      <c r="K1248" s="141"/>
      <c r="L1248" s="141"/>
      <c r="M1248" s="59"/>
    </row>
    <row r="1249" spans="2:13">
      <c r="B1249" s="135"/>
      <c r="C1249" s="136"/>
      <c r="D1249" s="137"/>
      <c r="E1249" s="138"/>
      <c r="F1249" s="139"/>
      <c r="G1249" s="1" t="str">
        <f>IFERROR(IF(ventas_b_mes1[[#This Row],[CUIT]]="","-",VLOOKUP(ventas_b_mes1[[#This Row],[CUIT]],Lista_CUIT[#All],2,0)),"CUIT NO CARGADO")</f>
        <v>-</v>
      </c>
      <c r="H1249" s="64">
        <f>ventas_b_mes1[[#This Row],[TOTAL]]/1.21</f>
        <v>0</v>
      </c>
      <c r="I1249" s="140">
        <f>ventas_b_mes1[[#This Row],[IMPORTE NETO]]*0.21</f>
        <v>0</v>
      </c>
      <c r="J1249" s="141"/>
      <c r="K1249" s="141"/>
      <c r="L1249" s="141"/>
      <c r="M1249" s="59"/>
    </row>
    <row r="1250" spans="2:13">
      <c r="B1250" s="135"/>
      <c r="C1250" s="136"/>
      <c r="D1250" s="137"/>
      <c r="E1250" s="138"/>
      <c r="F1250" s="139"/>
      <c r="G1250" s="1" t="str">
        <f>IFERROR(IF(ventas_b_mes1[[#This Row],[CUIT]]="","-",VLOOKUP(ventas_b_mes1[[#This Row],[CUIT]],Lista_CUIT[#All],2,0)),"CUIT NO CARGADO")</f>
        <v>-</v>
      </c>
      <c r="H1250" s="64">
        <f>ventas_b_mes1[[#This Row],[TOTAL]]/1.21</f>
        <v>0</v>
      </c>
      <c r="I1250" s="140">
        <f>ventas_b_mes1[[#This Row],[IMPORTE NETO]]*0.21</f>
        <v>0</v>
      </c>
      <c r="J1250" s="141"/>
      <c r="K1250" s="141"/>
      <c r="L1250" s="141"/>
      <c r="M1250" s="59"/>
    </row>
    <row r="1251" spans="2:13">
      <c r="B1251" s="135"/>
      <c r="C1251" s="136"/>
      <c r="D1251" s="137"/>
      <c r="E1251" s="138"/>
      <c r="F1251" s="139"/>
      <c r="G1251" s="1" t="str">
        <f>IFERROR(IF(ventas_b_mes1[[#This Row],[CUIT]]="","-",VLOOKUP(ventas_b_mes1[[#This Row],[CUIT]],Lista_CUIT[#All],2,0)),"CUIT NO CARGADO")</f>
        <v>-</v>
      </c>
      <c r="H1251" s="64">
        <f>ventas_b_mes1[[#This Row],[TOTAL]]/1.21</f>
        <v>0</v>
      </c>
      <c r="I1251" s="140">
        <f>ventas_b_mes1[[#This Row],[IMPORTE NETO]]*0.21</f>
        <v>0</v>
      </c>
      <c r="J1251" s="141"/>
      <c r="K1251" s="141"/>
      <c r="L1251" s="141"/>
      <c r="M1251" s="59"/>
    </row>
    <row r="1252" spans="2:13">
      <c r="B1252" s="135"/>
      <c r="C1252" s="136"/>
      <c r="D1252" s="137"/>
      <c r="E1252" s="138"/>
      <c r="F1252" s="139"/>
      <c r="G1252" s="1" t="str">
        <f>IFERROR(IF(ventas_b_mes1[[#This Row],[CUIT]]="","-",VLOOKUP(ventas_b_mes1[[#This Row],[CUIT]],Lista_CUIT[#All],2,0)),"CUIT NO CARGADO")</f>
        <v>-</v>
      </c>
      <c r="H1252" s="64">
        <f>ventas_b_mes1[[#This Row],[TOTAL]]/1.21</f>
        <v>0</v>
      </c>
      <c r="I1252" s="140">
        <f>ventas_b_mes1[[#This Row],[IMPORTE NETO]]*0.21</f>
        <v>0</v>
      </c>
      <c r="J1252" s="141"/>
      <c r="K1252" s="141"/>
      <c r="L1252" s="141"/>
      <c r="M1252" s="59"/>
    </row>
    <row r="1253" spans="2:13">
      <c r="B1253" s="135"/>
      <c r="C1253" s="136"/>
      <c r="D1253" s="137"/>
      <c r="E1253" s="138"/>
      <c r="F1253" s="139"/>
      <c r="G1253" s="1" t="str">
        <f>IFERROR(IF(ventas_b_mes1[[#This Row],[CUIT]]="","-",VLOOKUP(ventas_b_mes1[[#This Row],[CUIT]],Lista_CUIT[#All],2,0)),"CUIT NO CARGADO")</f>
        <v>-</v>
      </c>
      <c r="H1253" s="64">
        <f>ventas_b_mes1[[#This Row],[TOTAL]]/1.21</f>
        <v>0</v>
      </c>
      <c r="I1253" s="140">
        <f>ventas_b_mes1[[#This Row],[IMPORTE NETO]]*0.21</f>
        <v>0</v>
      </c>
      <c r="J1253" s="141"/>
      <c r="K1253" s="141"/>
      <c r="L1253" s="141"/>
      <c r="M1253" s="59"/>
    </row>
    <row r="1254" spans="2:13">
      <c r="B1254" s="135"/>
      <c r="C1254" s="136"/>
      <c r="D1254" s="137"/>
      <c r="E1254" s="138"/>
      <c r="F1254" s="139"/>
      <c r="G1254" s="1" t="str">
        <f>IFERROR(IF(ventas_b_mes1[[#This Row],[CUIT]]="","-",VLOOKUP(ventas_b_mes1[[#This Row],[CUIT]],Lista_CUIT[#All],2,0)),"CUIT NO CARGADO")</f>
        <v>-</v>
      </c>
      <c r="H1254" s="64">
        <f>ventas_b_mes1[[#This Row],[TOTAL]]/1.21</f>
        <v>0</v>
      </c>
      <c r="I1254" s="140">
        <f>ventas_b_mes1[[#This Row],[IMPORTE NETO]]*0.21</f>
        <v>0</v>
      </c>
      <c r="J1254" s="141"/>
      <c r="K1254" s="141"/>
      <c r="L1254" s="141"/>
      <c r="M1254" s="59"/>
    </row>
    <row r="1255" spans="2:13">
      <c r="B1255" s="135"/>
      <c r="C1255" s="136"/>
      <c r="D1255" s="137"/>
      <c r="E1255" s="138"/>
      <c r="F1255" s="139"/>
      <c r="G1255" s="1" t="str">
        <f>IFERROR(IF(ventas_b_mes1[[#This Row],[CUIT]]="","-",VLOOKUP(ventas_b_mes1[[#This Row],[CUIT]],Lista_CUIT[#All],2,0)),"CUIT NO CARGADO")</f>
        <v>-</v>
      </c>
      <c r="H1255" s="64">
        <f>ventas_b_mes1[[#This Row],[TOTAL]]/1.21</f>
        <v>0</v>
      </c>
      <c r="I1255" s="140">
        <f>ventas_b_mes1[[#This Row],[IMPORTE NETO]]*0.21</f>
        <v>0</v>
      </c>
      <c r="J1255" s="141"/>
      <c r="K1255" s="141"/>
      <c r="L1255" s="141"/>
      <c r="M1255" s="59"/>
    </row>
    <row r="1256" spans="2:13">
      <c r="B1256" s="135"/>
      <c r="C1256" s="136"/>
      <c r="D1256" s="137"/>
      <c r="E1256" s="138"/>
      <c r="F1256" s="139"/>
      <c r="G1256" s="1" t="str">
        <f>IFERROR(IF(ventas_b_mes1[[#This Row],[CUIT]]="","-",VLOOKUP(ventas_b_mes1[[#This Row],[CUIT]],Lista_CUIT[#All],2,0)),"CUIT NO CARGADO")</f>
        <v>-</v>
      </c>
      <c r="H1256" s="64">
        <f>ventas_b_mes1[[#This Row],[TOTAL]]/1.21</f>
        <v>0</v>
      </c>
      <c r="I1256" s="140">
        <f>ventas_b_mes1[[#This Row],[IMPORTE NETO]]*0.21</f>
        <v>0</v>
      </c>
      <c r="J1256" s="141"/>
      <c r="K1256" s="141"/>
      <c r="L1256" s="141"/>
      <c r="M1256" s="59"/>
    </row>
    <row r="1257" spans="2:13">
      <c r="B1257" s="135"/>
      <c r="C1257" s="136"/>
      <c r="D1257" s="137"/>
      <c r="E1257" s="138"/>
      <c r="F1257" s="139"/>
      <c r="G1257" s="1" t="str">
        <f>IFERROR(IF(ventas_b_mes1[[#This Row],[CUIT]]="","-",VLOOKUP(ventas_b_mes1[[#This Row],[CUIT]],Lista_CUIT[#All],2,0)),"CUIT NO CARGADO")</f>
        <v>-</v>
      </c>
      <c r="H1257" s="64">
        <f>ventas_b_mes1[[#This Row],[TOTAL]]/1.21</f>
        <v>0</v>
      </c>
      <c r="I1257" s="140">
        <f>ventas_b_mes1[[#This Row],[IMPORTE NETO]]*0.21</f>
        <v>0</v>
      </c>
      <c r="J1257" s="141"/>
      <c r="K1257" s="141"/>
      <c r="L1257" s="141"/>
      <c r="M1257" s="59"/>
    </row>
    <row r="1258" spans="2:13">
      <c r="B1258" s="135"/>
      <c r="C1258" s="136"/>
      <c r="D1258" s="137"/>
      <c r="E1258" s="138"/>
      <c r="F1258" s="139"/>
      <c r="G1258" s="1" t="str">
        <f>IFERROR(IF(ventas_b_mes1[[#This Row],[CUIT]]="","-",VLOOKUP(ventas_b_mes1[[#This Row],[CUIT]],Lista_CUIT[#All],2,0)),"CUIT NO CARGADO")</f>
        <v>-</v>
      </c>
      <c r="H1258" s="64">
        <f>ventas_b_mes1[[#This Row],[TOTAL]]/1.21</f>
        <v>0</v>
      </c>
      <c r="I1258" s="140">
        <f>ventas_b_mes1[[#This Row],[IMPORTE NETO]]*0.21</f>
        <v>0</v>
      </c>
      <c r="J1258" s="141"/>
      <c r="K1258" s="141"/>
      <c r="L1258" s="141"/>
      <c r="M1258" s="59"/>
    </row>
    <row r="1259" spans="2:13">
      <c r="B1259" s="135"/>
      <c r="C1259" s="136"/>
      <c r="D1259" s="137"/>
      <c r="E1259" s="138"/>
      <c r="F1259" s="139"/>
      <c r="G1259" s="1" t="str">
        <f>IFERROR(IF(ventas_b_mes1[[#This Row],[CUIT]]="","-",VLOOKUP(ventas_b_mes1[[#This Row],[CUIT]],Lista_CUIT[#All],2,0)),"CUIT NO CARGADO")</f>
        <v>-</v>
      </c>
      <c r="H1259" s="64">
        <f>ventas_b_mes1[[#This Row],[TOTAL]]/1.21</f>
        <v>0</v>
      </c>
      <c r="I1259" s="140">
        <f>ventas_b_mes1[[#This Row],[IMPORTE NETO]]*0.21</f>
        <v>0</v>
      </c>
      <c r="J1259" s="141"/>
      <c r="K1259" s="141"/>
      <c r="L1259" s="141"/>
      <c r="M1259" s="59"/>
    </row>
    <row r="1260" spans="2:13">
      <c r="B1260" s="135"/>
      <c r="C1260" s="136"/>
      <c r="D1260" s="137"/>
      <c r="E1260" s="138"/>
      <c r="F1260" s="139"/>
      <c r="G1260" s="1" t="str">
        <f>IFERROR(IF(ventas_b_mes1[[#This Row],[CUIT]]="","-",VLOOKUP(ventas_b_mes1[[#This Row],[CUIT]],Lista_CUIT[#All],2,0)),"CUIT NO CARGADO")</f>
        <v>-</v>
      </c>
      <c r="H1260" s="64">
        <f>ventas_b_mes1[[#This Row],[TOTAL]]/1.21</f>
        <v>0</v>
      </c>
      <c r="I1260" s="140">
        <f>ventas_b_mes1[[#This Row],[IMPORTE NETO]]*0.21</f>
        <v>0</v>
      </c>
      <c r="J1260" s="141"/>
      <c r="K1260" s="141"/>
      <c r="L1260" s="141"/>
      <c r="M1260" s="59"/>
    </row>
    <row r="1261" spans="2:13">
      <c r="B1261" s="135"/>
      <c r="C1261" s="136"/>
      <c r="D1261" s="137"/>
      <c r="E1261" s="138"/>
      <c r="F1261" s="139"/>
      <c r="G1261" s="1" t="str">
        <f>IFERROR(IF(ventas_b_mes1[[#This Row],[CUIT]]="","-",VLOOKUP(ventas_b_mes1[[#This Row],[CUIT]],Lista_CUIT[#All],2,0)),"CUIT NO CARGADO")</f>
        <v>-</v>
      </c>
      <c r="H1261" s="64">
        <f>ventas_b_mes1[[#This Row],[TOTAL]]/1.21</f>
        <v>0</v>
      </c>
      <c r="I1261" s="140">
        <f>ventas_b_mes1[[#This Row],[IMPORTE NETO]]*0.21</f>
        <v>0</v>
      </c>
      <c r="J1261" s="141"/>
      <c r="K1261" s="141"/>
      <c r="L1261" s="141"/>
      <c r="M1261" s="59"/>
    </row>
    <row r="1262" spans="2:13">
      <c r="B1262" s="135"/>
      <c r="C1262" s="136"/>
      <c r="D1262" s="137"/>
      <c r="E1262" s="138"/>
      <c r="F1262" s="139"/>
      <c r="G1262" s="1" t="str">
        <f>IFERROR(IF(ventas_b_mes1[[#This Row],[CUIT]]="","-",VLOOKUP(ventas_b_mes1[[#This Row],[CUIT]],Lista_CUIT[#All],2,0)),"CUIT NO CARGADO")</f>
        <v>-</v>
      </c>
      <c r="H1262" s="64">
        <f>ventas_b_mes1[[#This Row],[TOTAL]]/1.21</f>
        <v>0</v>
      </c>
      <c r="I1262" s="140">
        <f>ventas_b_mes1[[#This Row],[IMPORTE NETO]]*0.21</f>
        <v>0</v>
      </c>
      <c r="J1262" s="141"/>
      <c r="K1262" s="141"/>
      <c r="L1262" s="141"/>
      <c r="M1262" s="59"/>
    </row>
    <row r="1263" spans="2:13">
      <c r="B1263" s="135"/>
      <c r="C1263" s="136"/>
      <c r="D1263" s="137"/>
      <c r="E1263" s="138"/>
      <c r="F1263" s="139"/>
      <c r="G1263" s="1" t="str">
        <f>IFERROR(IF(ventas_b_mes1[[#This Row],[CUIT]]="","-",VLOOKUP(ventas_b_mes1[[#This Row],[CUIT]],Lista_CUIT[#All],2,0)),"CUIT NO CARGADO")</f>
        <v>-</v>
      </c>
      <c r="H1263" s="64">
        <f>ventas_b_mes1[[#This Row],[TOTAL]]/1.21</f>
        <v>0</v>
      </c>
      <c r="I1263" s="140">
        <f>ventas_b_mes1[[#This Row],[IMPORTE NETO]]*0.21</f>
        <v>0</v>
      </c>
      <c r="J1263" s="141"/>
      <c r="K1263" s="141"/>
      <c r="L1263" s="141"/>
      <c r="M1263" s="59"/>
    </row>
    <row r="1264" spans="2:13">
      <c r="B1264" s="135"/>
      <c r="C1264" s="136"/>
      <c r="D1264" s="137"/>
      <c r="E1264" s="138"/>
      <c r="F1264" s="139"/>
      <c r="G1264" s="1" t="str">
        <f>IFERROR(IF(ventas_b_mes1[[#This Row],[CUIT]]="","-",VLOOKUP(ventas_b_mes1[[#This Row],[CUIT]],Lista_CUIT[#All],2,0)),"CUIT NO CARGADO")</f>
        <v>-</v>
      </c>
      <c r="H1264" s="64">
        <f>ventas_b_mes1[[#This Row],[TOTAL]]/1.21</f>
        <v>0</v>
      </c>
      <c r="I1264" s="140">
        <f>ventas_b_mes1[[#This Row],[IMPORTE NETO]]*0.21</f>
        <v>0</v>
      </c>
      <c r="J1264" s="141"/>
      <c r="K1264" s="141"/>
      <c r="L1264" s="141"/>
      <c r="M1264" s="59"/>
    </row>
    <row r="1265" spans="2:13">
      <c r="B1265" s="135"/>
      <c r="C1265" s="136"/>
      <c r="D1265" s="137"/>
      <c r="E1265" s="138"/>
      <c r="F1265" s="139"/>
      <c r="G1265" s="1" t="str">
        <f>IFERROR(IF(ventas_b_mes1[[#This Row],[CUIT]]="","-",VLOOKUP(ventas_b_mes1[[#This Row],[CUIT]],Lista_CUIT[#All],2,0)),"CUIT NO CARGADO")</f>
        <v>-</v>
      </c>
      <c r="H1265" s="64">
        <f>ventas_b_mes1[[#This Row],[TOTAL]]/1.21</f>
        <v>0</v>
      </c>
      <c r="I1265" s="140">
        <f>ventas_b_mes1[[#This Row],[IMPORTE NETO]]*0.21</f>
        <v>0</v>
      </c>
      <c r="J1265" s="141"/>
      <c r="K1265" s="141"/>
      <c r="L1265" s="141"/>
      <c r="M1265" s="59"/>
    </row>
    <row r="1266" spans="2:13">
      <c r="B1266" s="135"/>
      <c r="C1266" s="136"/>
      <c r="D1266" s="137"/>
      <c r="E1266" s="138"/>
      <c r="F1266" s="139"/>
      <c r="G1266" s="1" t="str">
        <f>IFERROR(IF(ventas_b_mes1[[#This Row],[CUIT]]="","-",VLOOKUP(ventas_b_mes1[[#This Row],[CUIT]],Lista_CUIT[#All],2,0)),"CUIT NO CARGADO")</f>
        <v>-</v>
      </c>
      <c r="H1266" s="64">
        <f>ventas_b_mes1[[#This Row],[TOTAL]]/1.21</f>
        <v>0</v>
      </c>
      <c r="I1266" s="140">
        <f>ventas_b_mes1[[#This Row],[IMPORTE NETO]]*0.21</f>
        <v>0</v>
      </c>
      <c r="J1266" s="141"/>
      <c r="K1266" s="141"/>
      <c r="L1266" s="141"/>
      <c r="M1266" s="59"/>
    </row>
    <row r="1267" spans="2:13">
      <c r="B1267" s="135"/>
      <c r="C1267" s="136"/>
      <c r="D1267" s="137"/>
      <c r="E1267" s="138"/>
      <c r="F1267" s="139"/>
      <c r="G1267" s="1" t="str">
        <f>IFERROR(IF(ventas_b_mes1[[#This Row],[CUIT]]="","-",VLOOKUP(ventas_b_mes1[[#This Row],[CUIT]],Lista_CUIT[#All],2,0)),"CUIT NO CARGADO")</f>
        <v>-</v>
      </c>
      <c r="H1267" s="64">
        <f>ventas_b_mes1[[#This Row],[TOTAL]]/1.21</f>
        <v>0</v>
      </c>
      <c r="I1267" s="140">
        <f>ventas_b_mes1[[#This Row],[IMPORTE NETO]]*0.21</f>
        <v>0</v>
      </c>
      <c r="J1267" s="141"/>
      <c r="K1267" s="141"/>
      <c r="L1267" s="141"/>
      <c r="M1267" s="59"/>
    </row>
    <row r="1268" spans="2:13">
      <c r="B1268" s="135"/>
      <c r="C1268" s="136"/>
      <c r="D1268" s="137"/>
      <c r="E1268" s="138"/>
      <c r="F1268" s="139"/>
      <c r="G1268" s="1" t="str">
        <f>IFERROR(IF(ventas_b_mes1[[#This Row],[CUIT]]="","-",VLOOKUP(ventas_b_mes1[[#This Row],[CUIT]],Lista_CUIT[#All],2,0)),"CUIT NO CARGADO")</f>
        <v>-</v>
      </c>
      <c r="H1268" s="64">
        <f>ventas_b_mes1[[#This Row],[TOTAL]]/1.21</f>
        <v>0</v>
      </c>
      <c r="I1268" s="140">
        <f>ventas_b_mes1[[#This Row],[IMPORTE NETO]]*0.21</f>
        <v>0</v>
      </c>
      <c r="J1268" s="141"/>
      <c r="K1268" s="141"/>
      <c r="L1268" s="141"/>
      <c r="M1268" s="59"/>
    </row>
    <row r="1269" spans="2:13">
      <c r="B1269" s="135"/>
      <c r="C1269" s="136"/>
      <c r="D1269" s="137"/>
      <c r="E1269" s="138"/>
      <c r="F1269" s="139"/>
      <c r="G1269" s="1" t="str">
        <f>IFERROR(IF(ventas_b_mes1[[#This Row],[CUIT]]="","-",VLOOKUP(ventas_b_mes1[[#This Row],[CUIT]],Lista_CUIT[#All],2,0)),"CUIT NO CARGADO")</f>
        <v>-</v>
      </c>
      <c r="H1269" s="64">
        <f>ventas_b_mes1[[#This Row],[TOTAL]]/1.21</f>
        <v>0</v>
      </c>
      <c r="I1269" s="140">
        <f>ventas_b_mes1[[#This Row],[IMPORTE NETO]]*0.21</f>
        <v>0</v>
      </c>
      <c r="J1269" s="141"/>
      <c r="K1269" s="141"/>
      <c r="L1269" s="141"/>
      <c r="M1269" s="59"/>
    </row>
    <row r="1270" spans="2:13">
      <c r="B1270" s="135"/>
      <c r="C1270" s="136"/>
      <c r="D1270" s="137"/>
      <c r="E1270" s="138"/>
      <c r="F1270" s="139"/>
      <c r="G1270" s="1" t="str">
        <f>IFERROR(IF(ventas_b_mes1[[#This Row],[CUIT]]="","-",VLOOKUP(ventas_b_mes1[[#This Row],[CUIT]],Lista_CUIT[#All],2,0)),"CUIT NO CARGADO")</f>
        <v>-</v>
      </c>
      <c r="H1270" s="64">
        <f>ventas_b_mes1[[#This Row],[TOTAL]]/1.21</f>
        <v>0</v>
      </c>
      <c r="I1270" s="140">
        <f>ventas_b_mes1[[#This Row],[IMPORTE NETO]]*0.21</f>
        <v>0</v>
      </c>
      <c r="J1270" s="141"/>
      <c r="K1270" s="141"/>
      <c r="L1270" s="141"/>
      <c r="M1270" s="59"/>
    </row>
    <row r="1271" spans="2:13">
      <c r="B1271" s="135"/>
      <c r="C1271" s="136"/>
      <c r="D1271" s="137"/>
      <c r="E1271" s="138"/>
      <c r="F1271" s="139"/>
      <c r="G1271" s="1" t="str">
        <f>IFERROR(IF(ventas_b_mes1[[#This Row],[CUIT]]="","-",VLOOKUP(ventas_b_mes1[[#This Row],[CUIT]],Lista_CUIT[#All],2,0)),"CUIT NO CARGADO")</f>
        <v>-</v>
      </c>
      <c r="H1271" s="64">
        <f>ventas_b_mes1[[#This Row],[TOTAL]]/1.21</f>
        <v>0</v>
      </c>
      <c r="I1271" s="140">
        <f>ventas_b_mes1[[#This Row],[IMPORTE NETO]]*0.21</f>
        <v>0</v>
      </c>
      <c r="J1271" s="141"/>
      <c r="K1271" s="141"/>
      <c r="L1271" s="141"/>
      <c r="M1271" s="59"/>
    </row>
    <row r="1272" spans="2:13">
      <c r="B1272" s="135"/>
      <c r="C1272" s="136"/>
      <c r="D1272" s="137"/>
      <c r="E1272" s="138"/>
      <c r="F1272" s="139"/>
      <c r="G1272" s="1" t="str">
        <f>IFERROR(IF(ventas_b_mes1[[#This Row],[CUIT]]="","-",VLOOKUP(ventas_b_mes1[[#This Row],[CUIT]],Lista_CUIT[#All],2,0)),"CUIT NO CARGADO")</f>
        <v>-</v>
      </c>
      <c r="H1272" s="64">
        <f>ventas_b_mes1[[#This Row],[TOTAL]]/1.21</f>
        <v>0</v>
      </c>
      <c r="I1272" s="140">
        <f>ventas_b_mes1[[#This Row],[IMPORTE NETO]]*0.21</f>
        <v>0</v>
      </c>
      <c r="J1272" s="141"/>
      <c r="K1272" s="141"/>
      <c r="L1272" s="141"/>
      <c r="M1272" s="59"/>
    </row>
    <row r="1273" spans="2:13">
      <c r="B1273" s="135"/>
      <c r="C1273" s="136"/>
      <c r="D1273" s="137"/>
      <c r="E1273" s="138"/>
      <c r="F1273" s="139"/>
      <c r="G1273" s="1" t="str">
        <f>IFERROR(IF(ventas_b_mes1[[#This Row],[CUIT]]="","-",VLOOKUP(ventas_b_mes1[[#This Row],[CUIT]],Lista_CUIT[#All],2,0)),"CUIT NO CARGADO")</f>
        <v>-</v>
      </c>
      <c r="H1273" s="64">
        <f>ventas_b_mes1[[#This Row],[TOTAL]]/1.21</f>
        <v>0</v>
      </c>
      <c r="I1273" s="140">
        <f>ventas_b_mes1[[#This Row],[IMPORTE NETO]]*0.21</f>
        <v>0</v>
      </c>
      <c r="J1273" s="141"/>
      <c r="K1273" s="141"/>
      <c r="L1273" s="141"/>
      <c r="M1273" s="59"/>
    </row>
    <row r="1274" spans="2:13">
      <c r="B1274" s="135"/>
      <c r="C1274" s="136"/>
      <c r="D1274" s="137"/>
      <c r="E1274" s="138"/>
      <c r="F1274" s="139"/>
      <c r="G1274" s="1" t="str">
        <f>IFERROR(IF(ventas_b_mes1[[#This Row],[CUIT]]="","-",VLOOKUP(ventas_b_mes1[[#This Row],[CUIT]],Lista_CUIT[#All],2,0)),"CUIT NO CARGADO")</f>
        <v>-</v>
      </c>
      <c r="H1274" s="64">
        <f>ventas_b_mes1[[#This Row],[TOTAL]]/1.21</f>
        <v>0</v>
      </c>
      <c r="I1274" s="140">
        <f>ventas_b_mes1[[#This Row],[IMPORTE NETO]]*0.21</f>
        <v>0</v>
      </c>
      <c r="J1274" s="141"/>
      <c r="K1274" s="141"/>
      <c r="L1274" s="141"/>
      <c r="M1274" s="59"/>
    </row>
    <row r="1275" spans="2:13">
      <c r="B1275" s="135"/>
      <c r="C1275" s="136"/>
      <c r="D1275" s="137"/>
      <c r="E1275" s="138"/>
      <c r="F1275" s="139"/>
      <c r="G1275" s="1" t="str">
        <f>IFERROR(IF(ventas_b_mes1[[#This Row],[CUIT]]="","-",VLOOKUP(ventas_b_mes1[[#This Row],[CUIT]],Lista_CUIT[#All],2,0)),"CUIT NO CARGADO")</f>
        <v>-</v>
      </c>
      <c r="H1275" s="64">
        <f>ventas_b_mes1[[#This Row],[TOTAL]]/1.21</f>
        <v>0</v>
      </c>
      <c r="I1275" s="140">
        <f>ventas_b_mes1[[#This Row],[IMPORTE NETO]]*0.21</f>
        <v>0</v>
      </c>
      <c r="J1275" s="141"/>
      <c r="K1275" s="141"/>
      <c r="L1275" s="141"/>
      <c r="M1275" s="59"/>
    </row>
    <row r="1276" spans="2:13">
      <c r="B1276" s="135"/>
      <c r="C1276" s="136"/>
      <c r="D1276" s="137"/>
      <c r="E1276" s="138"/>
      <c r="F1276" s="139"/>
      <c r="G1276" s="1" t="str">
        <f>IFERROR(IF(ventas_b_mes1[[#This Row],[CUIT]]="","-",VLOOKUP(ventas_b_mes1[[#This Row],[CUIT]],Lista_CUIT[#All],2,0)),"CUIT NO CARGADO")</f>
        <v>-</v>
      </c>
      <c r="H1276" s="64">
        <f>ventas_b_mes1[[#This Row],[TOTAL]]/1.21</f>
        <v>0</v>
      </c>
      <c r="I1276" s="140">
        <f>ventas_b_mes1[[#This Row],[IMPORTE NETO]]*0.21</f>
        <v>0</v>
      </c>
      <c r="J1276" s="141"/>
      <c r="K1276" s="141"/>
      <c r="L1276" s="141"/>
      <c r="M1276" s="59"/>
    </row>
    <row r="1277" spans="2:13">
      <c r="B1277" s="135"/>
      <c r="C1277" s="136"/>
      <c r="D1277" s="137"/>
      <c r="E1277" s="138"/>
      <c r="F1277" s="139"/>
      <c r="G1277" s="1" t="str">
        <f>IFERROR(IF(ventas_b_mes1[[#This Row],[CUIT]]="","-",VLOOKUP(ventas_b_mes1[[#This Row],[CUIT]],Lista_CUIT[#All],2,0)),"CUIT NO CARGADO")</f>
        <v>-</v>
      </c>
      <c r="H1277" s="64">
        <f>ventas_b_mes1[[#This Row],[TOTAL]]/1.21</f>
        <v>0</v>
      </c>
      <c r="I1277" s="140">
        <f>ventas_b_mes1[[#This Row],[IMPORTE NETO]]*0.21</f>
        <v>0</v>
      </c>
      <c r="J1277" s="141"/>
      <c r="K1277" s="141"/>
      <c r="L1277" s="141"/>
      <c r="M1277" s="59"/>
    </row>
    <row r="1278" spans="2:13">
      <c r="B1278" s="135"/>
      <c r="C1278" s="136"/>
      <c r="D1278" s="137"/>
      <c r="E1278" s="138"/>
      <c r="F1278" s="139"/>
      <c r="G1278" s="1" t="str">
        <f>IFERROR(IF(ventas_b_mes1[[#This Row],[CUIT]]="","-",VLOOKUP(ventas_b_mes1[[#This Row],[CUIT]],Lista_CUIT[#All],2,0)),"CUIT NO CARGADO")</f>
        <v>-</v>
      </c>
      <c r="H1278" s="64">
        <f>ventas_b_mes1[[#This Row],[TOTAL]]/1.21</f>
        <v>0</v>
      </c>
      <c r="I1278" s="140">
        <f>ventas_b_mes1[[#This Row],[IMPORTE NETO]]*0.21</f>
        <v>0</v>
      </c>
      <c r="J1278" s="141"/>
      <c r="K1278" s="141"/>
      <c r="L1278" s="141"/>
      <c r="M1278" s="59"/>
    </row>
    <row r="1279" spans="2:13">
      <c r="B1279" s="135"/>
      <c r="C1279" s="136"/>
      <c r="D1279" s="137"/>
      <c r="E1279" s="138"/>
      <c r="F1279" s="139"/>
      <c r="G1279" s="1" t="str">
        <f>IFERROR(IF(ventas_b_mes1[[#This Row],[CUIT]]="","-",VLOOKUP(ventas_b_mes1[[#This Row],[CUIT]],Lista_CUIT[#All],2,0)),"CUIT NO CARGADO")</f>
        <v>-</v>
      </c>
      <c r="H1279" s="64">
        <f>ventas_b_mes1[[#This Row],[TOTAL]]/1.21</f>
        <v>0</v>
      </c>
      <c r="I1279" s="140">
        <f>ventas_b_mes1[[#This Row],[IMPORTE NETO]]*0.21</f>
        <v>0</v>
      </c>
      <c r="J1279" s="141"/>
      <c r="K1279" s="141"/>
      <c r="L1279" s="141"/>
      <c r="M1279" s="59"/>
    </row>
    <row r="1280" spans="2:13">
      <c r="B1280" s="135"/>
      <c r="C1280" s="136"/>
      <c r="D1280" s="137"/>
      <c r="E1280" s="138"/>
      <c r="F1280" s="139"/>
      <c r="G1280" s="1" t="str">
        <f>IFERROR(IF(ventas_b_mes1[[#This Row],[CUIT]]="","-",VLOOKUP(ventas_b_mes1[[#This Row],[CUIT]],Lista_CUIT[#All],2,0)),"CUIT NO CARGADO")</f>
        <v>-</v>
      </c>
      <c r="H1280" s="64">
        <f>ventas_b_mes1[[#This Row],[TOTAL]]/1.21</f>
        <v>0</v>
      </c>
      <c r="I1280" s="140">
        <f>ventas_b_mes1[[#This Row],[IMPORTE NETO]]*0.21</f>
        <v>0</v>
      </c>
      <c r="J1280" s="141"/>
      <c r="K1280" s="141"/>
      <c r="L1280" s="141"/>
      <c r="M1280" s="59"/>
    </row>
    <row r="1281" spans="2:13">
      <c r="B1281" s="135"/>
      <c r="C1281" s="136"/>
      <c r="D1281" s="137"/>
      <c r="E1281" s="138"/>
      <c r="F1281" s="139"/>
      <c r="G1281" s="1" t="str">
        <f>IFERROR(IF(ventas_b_mes1[[#This Row],[CUIT]]="","-",VLOOKUP(ventas_b_mes1[[#This Row],[CUIT]],Lista_CUIT[#All],2,0)),"CUIT NO CARGADO")</f>
        <v>-</v>
      </c>
      <c r="H1281" s="64">
        <f>ventas_b_mes1[[#This Row],[TOTAL]]/1.21</f>
        <v>0</v>
      </c>
      <c r="I1281" s="140">
        <f>ventas_b_mes1[[#This Row],[IMPORTE NETO]]*0.21</f>
        <v>0</v>
      </c>
      <c r="J1281" s="141"/>
      <c r="K1281" s="141"/>
      <c r="L1281" s="141"/>
      <c r="M1281" s="59"/>
    </row>
    <row r="1282" spans="2:13">
      <c r="B1282" s="135"/>
      <c r="C1282" s="136"/>
      <c r="D1282" s="137"/>
      <c r="E1282" s="138"/>
      <c r="F1282" s="139"/>
      <c r="G1282" s="1" t="str">
        <f>IFERROR(IF(ventas_b_mes1[[#This Row],[CUIT]]="","-",VLOOKUP(ventas_b_mes1[[#This Row],[CUIT]],Lista_CUIT[#All],2,0)),"CUIT NO CARGADO")</f>
        <v>-</v>
      </c>
      <c r="H1282" s="64">
        <f>ventas_b_mes1[[#This Row],[TOTAL]]/1.21</f>
        <v>0</v>
      </c>
      <c r="I1282" s="140">
        <f>ventas_b_mes1[[#This Row],[IMPORTE NETO]]*0.21</f>
        <v>0</v>
      </c>
      <c r="J1282" s="141"/>
      <c r="K1282" s="141"/>
      <c r="L1282" s="141"/>
      <c r="M1282" s="59"/>
    </row>
    <row r="1283" spans="2:13">
      <c r="B1283" s="135"/>
      <c r="C1283" s="136"/>
      <c r="D1283" s="137"/>
      <c r="E1283" s="138"/>
      <c r="F1283" s="139"/>
      <c r="G1283" s="1" t="str">
        <f>IFERROR(IF(ventas_b_mes1[[#This Row],[CUIT]]="","-",VLOOKUP(ventas_b_mes1[[#This Row],[CUIT]],Lista_CUIT[#All],2,0)),"CUIT NO CARGADO")</f>
        <v>-</v>
      </c>
      <c r="H1283" s="64">
        <f>ventas_b_mes1[[#This Row],[TOTAL]]/1.21</f>
        <v>0</v>
      </c>
      <c r="I1283" s="140">
        <f>ventas_b_mes1[[#This Row],[IMPORTE NETO]]*0.21</f>
        <v>0</v>
      </c>
      <c r="J1283" s="141"/>
      <c r="K1283" s="141"/>
      <c r="L1283" s="141"/>
      <c r="M1283" s="59"/>
    </row>
    <row r="1284" spans="2:13">
      <c r="B1284" s="135"/>
      <c r="C1284" s="136"/>
      <c r="D1284" s="137"/>
      <c r="E1284" s="138"/>
      <c r="F1284" s="139"/>
      <c r="G1284" s="1" t="str">
        <f>IFERROR(IF(ventas_b_mes1[[#This Row],[CUIT]]="","-",VLOOKUP(ventas_b_mes1[[#This Row],[CUIT]],Lista_CUIT[#All],2,0)),"CUIT NO CARGADO")</f>
        <v>-</v>
      </c>
      <c r="H1284" s="64">
        <f>ventas_b_mes1[[#This Row],[TOTAL]]/1.21</f>
        <v>0</v>
      </c>
      <c r="I1284" s="140">
        <f>ventas_b_mes1[[#This Row],[IMPORTE NETO]]*0.21</f>
        <v>0</v>
      </c>
      <c r="J1284" s="141"/>
      <c r="K1284" s="141"/>
      <c r="L1284" s="141"/>
      <c r="M1284" s="59"/>
    </row>
    <row r="1285" spans="2:13">
      <c r="B1285" s="135"/>
      <c r="C1285" s="136"/>
      <c r="D1285" s="137"/>
      <c r="E1285" s="138"/>
      <c r="F1285" s="139"/>
      <c r="G1285" s="1" t="str">
        <f>IFERROR(IF(ventas_b_mes1[[#This Row],[CUIT]]="","-",VLOOKUP(ventas_b_mes1[[#This Row],[CUIT]],Lista_CUIT[#All],2,0)),"CUIT NO CARGADO")</f>
        <v>-</v>
      </c>
      <c r="H1285" s="64">
        <f>ventas_b_mes1[[#This Row],[TOTAL]]/1.21</f>
        <v>0</v>
      </c>
      <c r="I1285" s="140">
        <f>ventas_b_mes1[[#This Row],[IMPORTE NETO]]*0.21</f>
        <v>0</v>
      </c>
      <c r="J1285" s="141"/>
      <c r="K1285" s="141"/>
      <c r="L1285" s="141"/>
      <c r="M1285" s="59"/>
    </row>
    <row r="1286" spans="2:13">
      <c r="B1286" s="135"/>
      <c r="C1286" s="136"/>
      <c r="D1286" s="137"/>
      <c r="E1286" s="138"/>
      <c r="F1286" s="139"/>
      <c r="G1286" s="1" t="str">
        <f>IFERROR(IF(ventas_b_mes1[[#This Row],[CUIT]]="","-",VLOOKUP(ventas_b_mes1[[#This Row],[CUIT]],Lista_CUIT[#All],2,0)),"CUIT NO CARGADO")</f>
        <v>-</v>
      </c>
      <c r="H1286" s="64">
        <f>ventas_b_mes1[[#This Row],[TOTAL]]/1.21</f>
        <v>0</v>
      </c>
      <c r="I1286" s="140">
        <f>ventas_b_mes1[[#This Row],[IMPORTE NETO]]*0.21</f>
        <v>0</v>
      </c>
      <c r="J1286" s="141"/>
      <c r="K1286" s="141"/>
      <c r="L1286" s="141"/>
      <c r="M1286" s="59"/>
    </row>
    <row r="1287" spans="2:13">
      <c r="B1287" s="135"/>
      <c r="C1287" s="136"/>
      <c r="D1287" s="137"/>
      <c r="E1287" s="138"/>
      <c r="F1287" s="139"/>
      <c r="G1287" s="1" t="str">
        <f>IFERROR(IF(ventas_b_mes1[[#This Row],[CUIT]]="","-",VLOOKUP(ventas_b_mes1[[#This Row],[CUIT]],Lista_CUIT[#All],2,0)),"CUIT NO CARGADO")</f>
        <v>-</v>
      </c>
      <c r="H1287" s="64">
        <f>ventas_b_mes1[[#This Row],[TOTAL]]/1.21</f>
        <v>0</v>
      </c>
      <c r="I1287" s="140">
        <f>ventas_b_mes1[[#This Row],[IMPORTE NETO]]*0.21</f>
        <v>0</v>
      </c>
      <c r="J1287" s="141"/>
      <c r="K1287" s="141"/>
      <c r="L1287" s="141"/>
      <c r="M1287" s="59"/>
    </row>
    <row r="1288" spans="2:13">
      <c r="B1288" s="135"/>
      <c r="C1288" s="136"/>
      <c r="D1288" s="137"/>
      <c r="E1288" s="138"/>
      <c r="F1288" s="139"/>
      <c r="G1288" s="1" t="str">
        <f>IFERROR(IF(ventas_b_mes1[[#This Row],[CUIT]]="","-",VLOOKUP(ventas_b_mes1[[#This Row],[CUIT]],Lista_CUIT[#All],2,0)),"CUIT NO CARGADO")</f>
        <v>-</v>
      </c>
      <c r="H1288" s="64">
        <f>ventas_b_mes1[[#This Row],[TOTAL]]/1.21</f>
        <v>0</v>
      </c>
      <c r="I1288" s="140">
        <f>ventas_b_mes1[[#This Row],[IMPORTE NETO]]*0.21</f>
        <v>0</v>
      </c>
      <c r="J1288" s="141"/>
      <c r="K1288" s="141"/>
      <c r="L1288" s="141"/>
      <c r="M1288" s="59"/>
    </row>
    <row r="1289" spans="2:13">
      <c r="B1289" s="135"/>
      <c r="C1289" s="136"/>
      <c r="D1289" s="137"/>
      <c r="E1289" s="138"/>
      <c r="F1289" s="139"/>
      <c r="G1289" s="1" t="str">
        <f>IFERROR(IF(ventas_b_mes1[[#This Row],[CUIT]]="","-",VLOOKUP(ventas_b_mes1[[#This Row],[CUIT]],Lista_CUIT[#All],2,0)),"CUIT NO CARGADO")</f>
        <v>-</v>
      </c>
      <c r="H1289" s="64">
        <f>ventas_b_mes1[[#This Row],[TOTAL]]/1.21</f>
        <v>0</v>
      </c>
      <c r="I1289" s="140">
        <f>ventas_b_mes1[[#This Row],[IMPORTE NETO]]*0.21</f>
        <v>0</v>
      </c>
      <c r="J1289" s="141"/>
      <c r="K1289" s="141"/>
      <c r="L1289" s="141"/>
      <c r="M1289" s="59"/>
    </row>
    <row r="1290" spans="2:13">
      <c r="B1290" s="135"/>
      <c r="C1290" s="136"/>
      <c r="D1290" s="137"/>
      <c r="E1290" s="138"/>
      <c r="F1290" s="139"/>
      <c r="G1290" s="1" t="str">
        <f>IFERROR(IF(ventas_b_mes1[[#This Row],[CUIT]]="","-",VLOOKUP(ventas_b_mes1[[#This Row],[CUIT]],Lista_CUIT[#All],2,0)),"CUIT NO CARGADO")</f>
        <v>-</v>
      </c>
      <c r="H1290" s="64">
        <f>ventas_b_mes1[[#This Row],[TOTAL]]/1.21</f>
        <v>0</v>
      </c>
      <c r="I1290" s="140">
        <f>ventas_b_mes1[[#This Row],[IMPORTE NETO]]*0.21</f>
        <v>0</v>
      </c>
      <c r="J1290" s="141"/>
      <c r="K1290" s="141"/>
      <c r="L1290" s="141"/>
      <c r="M1290" s="59"/>
    </row>
    <row r="1291" spans="2:13">
      <c r="B1291" s="135"/>
      <c r="C1291" s="136"/>
      <c r="D1291" s="137"/>
      <c r="E1291" s="138"/>
      <c r="F1291" s="139"/>
      <c r="G1291" s="1" t="str">
        <f>IFERROR(IF(ventas_b_mes1[[#This Row],[CUIT]]="","-",VLOOKUP(ventas_b_mes1[[#This Row],[CUIT]],Lista_CUIT[#All],2,0)),"CUIT NO CARGADO")</f>
        <v>-</v>
      </c>
      <c r="H1291" s="64">
        <f>ventas_b_mes1[[#This Row],[TOTAL]]/1.21</f>
        <v>0</v>
      </c>
      <c r="I1291" s="140">
        <f>ventas_b_mes1[[#This Row],[IMPORTE NETO]]*0.21</f>
        <v>0</v>
      </c>
      <c r="J1291" s="141"/>
      <c r="K1291" s="141"/>
      <c r="L1291" s="141"/>
      <c r="M1291" s="59"/>
    </row>
    <row r="1292" spans="2:13">
      <c r="B1292" s="135"/>
      <c r="C1292" s="136"/>
      <c r="D1292" s="137"/>
      <c r="E1292" s="138"/>
      <c r="F1292" s="139"/>
      <c r="G1292" s="1" t="str">
        <f>IFERROR(IF(ventas_b_mes1[[#This Row],[CUIT]]="","-",VLOOKUP(ventas_b_mes1[[#This Row],[CUIT]],Lista_CUIT[#All],2,0)),"CUIT NO CARGADO")</f>
        <v>-</v>
      </c>
      <c r="H1292" s="64">
        <f>ventas_b_mes1[[#This Row],[TOTAL]]/1.21</f>
        <v>0</v>
      </c>
      <c r="I1292" s="140">
        <f>ventas_b_mes1[[#This Row],[IMPORTE NETO]]*0.21</f>
        <v>0</v>
      </c>
      <c r="J1292" s="141"/>
      <c r="K1292" s="141"/>
      <c r="L1292" s="141"/>
      <c r="M1292" s="59"/>
    </row>
    <row r="1293" spans="2:13">
      <c r="B1293" s="135"/>
      <c r="C1293" s="136"/>
      <c r="D1293" s="137"/>
      <c r="E1293" s="138"/>
      <c r="F1293" s="139"/>
      <c r="G1293" s="1" t="str">
        <f>IFERROR(IF(ventas_b_mes1[[#This Row],[CUIT]]="","-",VLOOKUP(ventas_b_mes1[[#This Row],[CUIT]],Lista_CUIT[#All],2,0)),"CUIT NO CARGADO")</f>
        <v>-</v>
      </c>
      <c r="H1293" s="64">
        <f>ventas_b_mes1[[#This Row],[TOTAL]]/1.21</f>
        <v>0</v>
      </c>
      <c r="I1293" s="140">
        <f>ventas_b_mes1[[#This Row],[IMPORTE NETO]]*0.21</f>
        <v>0</v>
      </c>
      <c r="J1293" s="141"/>
      <c r="K1293" s="141"/>
      <c r="L1293" s="141"/>
      <c r="M1293" s="59"/>
    </row>
    <row r="1294" spans="2:13">
      <c r="B1294" s="135"/>
      <c r="C1294" s="136"/>
      <c r="D1294" s="137"/>
      <c r="E1294" s="138"/>
      <c r="F1294" s="139"/>
      <c r="G1294" s="1" t="str">
        <f>IFERROR(IF(ventas_b_mes1[[#This Row],[CUIT]]="","-",VLOOKUP(ventas_b_mes1[[#This Row],[CUIT]],Lista_CUIT[#All],2,0)),"CUIT NO CARGADO")</f>
        <v>-</v>
      </c>
      <c r="H1294" s="64">
        <f>ventas_b_mes1[[#This Row],[TOTAL]]/1.21</f>
        <v>0</v>
      </c>
      <c r="I1294" s="140">
        <f>ventas_b_mes1[[#This Row],[IMPORTE NETO]]*0.21</f>
        <v>0</v>
      </c>
      <c r="J1294" s="141"/>
      <c r="K1294" s="141"/>
      <c r="L1294" s="141"/>
      <c r="M1294" s="59"/>
    </row>
    <row r="1295" spans="2:13">
      <c r="B1295" s="135"/>
      <c r="C1295" s="136"/>
      <c r="D1295" s="137"/>
      <c r="E1295" s="138"/>
      <c r="F1295" s="139"/>
      <c r="G1295" s="1" t="str">
        <f>IFERROR(IF(ventas_b_mes1[[#This Row],[CUIT]]="","-",VLOOKUP(ventas_b_mes1[[#This Row],[CUIT]],Lista_CUIT[#All],2,0)),"CUIT NO CARGADO")</f>
        <v>-</v>
      </c>
      <c r="H1295" s="64">
        <f>ventas_b_mes1[[#This Row],[TOTAL]]/1.21</f>
        <v>0</v>
      </c>
      <c r="I1295" s="140">
        <f>ventas_b_mes1[[#This Row],[IMPORTE NETO]]*0.21</f>
        <v>0</v>
      </c>
      <c r="J1295" s="141"/>
      <c r="K1295" s="141"/>
      <c r="L1295" s="141"/>
      <c r="M1295" s="59"/>
    </row>
    <row r="1296" spans="2:13">
      <c r="B1296" s="135"/>
      <c r="C1296" s="136"/>
      <c r="D1296" s="137"/>
      <c r="E1296" s="138"/>
      <c r="F1296" s="139"/>
      <c r="G1296" s="1" t="str">
        <f>IFERROR(IF(ventas_b_mes1[[#This Row],[CUIT]]="","-",VLOOKUP(ventas_b_mes1[[#This Row],[CUIT]],Lista_CUIT[#All],2,0)),"CUIT NO CARGADO")</f>
        <v>-</v>
      </c>
      <c r="H1296" s="64">
        <f>ventas_b_mes1[[#This Row],[TOTAL]]/1.21</f>
        <v>0</v>
      </c>
      <c r="I1296" s="140">
        <f>ventas_b_mes1[[#This Row],[IMPORTE NETO]]*0.21</f>
        <v>0</v>
      </c>
      <c r="J1296" s="141"/>
      <c r="K1296" s="141"/>
      <c r="L1296" s="141"/>
      <c r="M1296" s="59"/>
    </row>
    <row r="1297" spans="2:13">
      <c r="B1297" s="135"/>
      <c r="C1297" s="136"/>
      <c r="D1297" s="137"/>
      <c r="E1297" s="138"/>
      <c r="F1297" s="139"/>
      <c r="G1297" s="1" t="str">
        <f>IFERROR(IF(ventas_b_mes1[[#This Row],[CUIT]]="","-",VLOOKUP(ventas_b_mes1[[#This Row],[CUIT]],Lista_CUIT[#All],2,0)),"CUIT NO CARGADO")</f>
        <v>-</v>
      </c>
      <c r="H1297" s="64">
        <f>ventas_b_mes1[[#This Row],[TOTAL]]/1.21</f>
        <v>0</v>
      </c>
      <c r="I1297" s="140">
        <f>ventas_b_mes1[[#This Row],[IMPORTE NETO]]*0.21</f>
        <v>0</v>
      </c>
      <c r="J1297" s="141"/>
      <c r="K1297" s="141"/>
      <c r="L1297" s="141"/>
      <c r="M1297" s="59"/>
    </row>
    <row r="1298" spans="2:13">
      <c r="B1298" s="135"/>
      <c r="C1298" s="136"/>
      <c r="D1298" s="137"/>
      <c r="E1298" s="138"/>
      <c r="F1298" s="139"/>
      <c r="G1298" s="1" t="str">
        <f>IFERROR(IF(ventas_b_mes1[[#This Row],[CUIT]]="","-",VLOOKUP(ventas_b_mes1[[#This Row],[CUIT]],Lista_CUIT[#All],2,0)),"CUIT NO CARGADO")</f>
        <v>-</v>
      </c>
      <c r="H1298" s="64">
        <f>ventas_b_mes1[[#This Row],[TOTAL]]/1.21</f>
        <v>0</v>
      </c>
      <c r="I1298" s="140">
        <f>ventas_b_mes1[[#This Row],[IMPORTE NETO]]*0.21</f>
        <v>0</v>
      </c>
      <c r="J1298" s="141"/>
      <c r="K1298" s="141"/>
      <c r="L1298" s="141"/>
      <c r="M1298" s="59"/>
    </row>
    <row r="1299" spans="2:13">
      <c r="B1299" s="135"/>
      <c r="C1299" s="136"/>
      <c r="D1299" s="137"/>
      <c r="E1299" s="138"/>
      <c r="F1299" s="139"/>
      <c r="G1299" s="1" t="str">
        <f>IFERROR(IF(ventas_b_mes1[[#This Row],[CUIT]]="","-",VLOOKUP(ventas_b_mes1[[#This Row],[CUIT]],Lista_CUIT[#All],2,0)),"CUIT NO CARGADO")</f>
        <v>-</v>
      </c>
      <c r="H1299" s="64">
        <f>ventas_b_mes1[[#This Row],[TOTAL]]/1.21</f>
        <v>0</v>
      </c>
      <c r="I1299" s="140">
        <f>ventas_b_mes1[[#This Row],[IMPORTE NETO]]*0.21</f>
        <v>0</v>
      </c>
      <c r="J1299" s="141"/>
      <c r="K1299" s="141"/>
      <c r="L1299" s="141"/>
      <c r="M1299" s="59"/>
    </row>
    <row r="1300" spans="2:13">
      <c r="B1300" s="135"/>
      <c r="C1300" s="136"/>
      <c r="D1300" s="137"/>
      <c r="E1300" s="138"/>
      <c r="F1300" s="139"/>
      <c r="G1300" s="1" t="str">
        <f>IFERROR(IF(ventas_b_mes1[[#This Row],[CUIT]]="","-",VLOOKUP(ventas_b_mes1[[#This Row],[CUIT]],Lista_CUIT[#All],2,0)),"CUIT NO CARGADO")</f>
        <v>-</v>
      </c>
      <c r="H1300" s="64">
        <f>ventas_b_mes1[[#This Row],[TOTAL]]/1.21</f>
        <v>0</v>
      </c>
      <c r="I1300" s="140">
        <f>ventas_b_mes1[[#This Row],[IMPORTE NETO]]*0.21</f>
        <v>0</v>
      </c>
      <c r="J1300" s="141"/>
      <c r="K1300" s="141"/>
      <c r="L1300" s="141"/>
      <c r="M1300" s="59"/>
    </row>
    <row r="1301" spans="2:13">
      <c r="B1301" s="135"/>
      <c r="C1301" s="136"/>
      <c r="D1301" s="137"/>
      <c r="E1301" s="138"/>
      <c r="F1301" s="139"/>
      <c r="G1301" s="1" t="str">
        <f>IFERROR(IF(ventas_b_mes1[[#This Row],[CUIT]]="","-",VLOOKUP(ventas_b_mes1[[#This Row],[CUIT]],Lista_CUIT[#All],2,0)),"CUIT NO CARGADO")</f>
        <v>-</v>
      </c>
      <c r="H1301" s="64">
        <f>ventas_b_mes1[[#This Row],[TOTAL]]/1.21</f>
        <v>0</v>
      </c>
      <c r="I1301" s="140">
        <f>ventas_b_mes1[[#This Row],[IMPORTE NETO]]*0.21</f>
        <v>0</v>
      </c>
      <c r="J1301" s="141"/>
      <c r="K1301" s="141"/>
      <c r="L1301" s="141"/>
      <c r="M1301" s="59"/>
    </row>
    <row r="1302" spans="2:13">
      <c r="B1302" s="135"/>
      <c r="C1302" s="136"/>
      <c r="D1302" s="137"/>
      <c r="E1302" s="138"/>
      <c r="F1302" s="139"/>
      <c r="G1302" s="1" t="str">
        <f>IFERROR(IF(ventas_b_mes1[[#This Row],[CUIT]]="","-",VLOOKUP(ventas_b_mes1[[#This Row],[CUIT]],Lista_CUIT[#All],2,0)),"CUIT NO CARGADO")</f>
        <v>-</v>
      </c>
      <c r="H1302" s="64">
        <f>ventas_b_mes1[[#This Row],[TOTAL]]/1.21</f>
        <v>0</v>
      </c>
      <c r="I1302" s="140">
        <f>ventas_b_mes1[[#This Row],[IMPORTE NETO]]*0.21</f>
        <v>0</v>
      </c>
      <c r="J1302" s="141"/>
      <c r="K1302" s="141"/>
      <c r="L1302" s="141"/>
      <c r="M1302" s="59"/>
    </row>
    <row r="1303" spans="2:13">
      <c r="B1303" s="135"/>
      <c r="C1303" s="136"/>
      <c r="D1303" s="137"/>
      <c r="E1303" s="138"/>
      <c r="F1303" s="139"/>
      <c r="G1303" s="1" t="str">
        <f>IFERROR(IF(ventas_b_mes1[[#This Row],[CUIT]]="","-",VLOOKUP(ventas_b_mes1[[#This Row],[CUIT]],Lista_CUIT[#All],2,0)),"CUIT NO CARGADO")</f>
        <v>-</v>
      </c>
      <c r="H1303" s="64">
        <f>ventas_b_mes1[[#This Row],[TOTAL]]/1.21</f>
        <v>0</v>
      </c>
      <c r="I1303" s="140">
        <f>ventas_b_mes1[[#This Row],[IMPORTE NETO]]*0.21</f>
        <v>0</v>
      </c>
      <c r="J1303" s="141"/>
      <c r="K1303" s="141"/>
      <c r="L1303" s="141"/>
      <c r="M1303" s="59"/>
    </row>
    <row r="1304" spans="2:13">
      <c r="B1304" s="135"/>
      <c r="C1304" s="136"/>
      <c r="D1304" s="137"/>
      <c r="E1304" s="138"/>
      <c r="F1304" s="139"/>
      <c r="G1304" s="1" t="str">
        <f>IFERROR(IF(ventas_b_mes1[[#This Row],[CUIT]]="","-",VLOOKUP(ventas_b_mes1[[#This Row],[CUIT]],Lista_CUIT[#All],2,0)),"CUIT NO CARGADO")</f>
        <v>-</v>
      </c>
      <c r="H1304" s="64">
        <f>ventas_b_mes1[[#This Row],[TOTAL]]/1.21</f>
        <v>0</v>
      </c>
      <c r="I1304" s="140">
        <f>ventas_b_mes1[[#This Row],[IMPORTE NETO]]*0.21</f>
        <v>0</v>
      </c>
      <c r="J1304" s="141"/>
      <c r="K1304" s="141"/>
      <c r="L1304" s="141"/>
      <c r="M1304" s="59"/>
    </row>
    <row r="1305" spans="2:13">
      <c r="B1305" s="135"/>
      <c r="C1305" s="136"/>
      <c r="D1305" s="137"/>
      <c r="E1305" s="138"/>
      <c r="F1305" s="139"/>
      <c r="G1305" s="1" t="str">
        <f>IFERROR(IF(ventas_b_mes1[[#This Row],[CUIT]]="","-",VLOOKUP(ventas_b_mes1[[#This Row],[CUIT]],Lista_CUIT[#All],2,0)),"CUIT NO CARGADO")</f>
        <v>-</v>
      </c>
      <c r="H1305" s="64">
        <f>ventas_b_mes1[[#This Row],[TOTAL]]/1.21</f>
        <v>0</v>
      </c>
      <c r="I1305" s="140">
        <f>ventas_b_mes1[[#This Row],[IMPORTE NETO]]*0.21</f>
        <v>0</v>
      </c>
      <c r="J1305" s="141"/>
      <c r="K1305" s="141"/>
      <c r="L1305" s="141"/>
      <c r="M1305" s="59"/>
    </row>
    <row r="1306" spans="2:13">
      <c r="B1306" s="135"/>
      <c r="C1306" s="136"/>
      <c r="D1306" s="137"/>
      <c r="E1306" s="138"/>
      <c r="F1306" s="139"/>
      <c r="G1306" s="1" t="str">
        <f>IFERROR(IF(ventas_b_mes1[[#This Row],[CUIT]]="","-",VLOOKUP(ventas_b_mes1[[#This Row],[CUIT]],Lista_CUIT[#All],2,0)),"CUIT NO CARGADO")</f>
        <v>-</v>
      </c>
      <c r="H1306" s="64">
        <f>ventas_b_mes1[[#This Row],[TOTAL]]/1.21</f>
        <v>0</v>
      </c>
      <c r="I1306" s="140">
        <f>ventas_b_mes1[[#This Row],[IMPORTE NETO]]*0.21</f>
        <v>0</v>
      </c>
      <c r="J1306" s="141"/>
      <c r="K1306" s="141"/>
      <c r="L1306" s="141"/>
      <c r="M1306" s="59"/>
    </row>
    <row r="1307" spans="2:13">
      <c r="B1307" s="135"/>
      <c r="C1307" s="136"/>
      <c r="D1307" s="137"/>
      <c r="E1307" s="138"/>
      <c r="F1307" s="139"/>
      <c r="G1307" s="1" t="str">
        <f>IFERROR(IF(ventas_b_mes1[[#This Row],[CUIT]]="","-",VLOOKUP(ventas_b_mes1[[#This Row],[CUIT]],Lista_CUIT[#All],2,0)),"CUIT NO CARGADO")</f>
        <v>-</v>
      </c>
      <c r="H1307" s="64">
        <f>ventas_b_mes1[[#This Row],[TOTAL]]/1.21</f>
        <v>0</v>
      </c>
      <c r="I1307" s="140">
        <f>ventas_b_mes1[[#This Row],[IMPORTE NETO]]*0.21</f>
        <v>0</v>
      </c>
      <c r="J1307" s="141"/>
      <c r="K1307" s="141"/>
      <c r="L1307" s="141"/>
      <c r="M1307" s="59"/>
    </row>
    <row r="1308" spans="2:13">
      <c r="B1308" s="135"/>
      <c r="C1308" s="136"/>
      <c r="D1308" s="137"/>
      <c r="E1308" s="138"/>
      <c r="F1308" s="139"/>
      <c r="G1308" s="1" t="str">
        <f>IFERROR(IF(ventas_b_mes1[[#This Row],[CUIT]]="","-",VLOOKUP(ventas_b_mes1[[#This Row],[CUIT]],Lista_CUIT[#All],2,0)),"CUIT NO CARGADO")</f>
        <v>-</v>
      </c>
      <c r="H1308" s="64">
        <f>ventas_b_mes1[[#This Row],[TOTAL]]/1.21</f>
        <v>0</v>
      </c>
      <c r="I1308" s="140">
        <f>ventas_b_mes1[[#This Row],[IMPORTE NETO]]*0.21</f>
        <v>0</v>
      </c>
      <c r="J1308" s="141"/>
      <c r="K1308" s="141"/>
      <c r="L1308" s="141"/>
      <c r="M1308" s="59"/>
    </row>
    <row r="1309" spans="2:13">
      <c r="B1309" s="135"/>
      <c r="C1309" s="136"/>
      <c r="D1309" s="137"/>
      <c r="E1309" s="138"/>
      <c r="F1309" s="139"/>
      <c r="G1309" s="1" t="str">
        <f>IFERROR(IF(ventas_b_mes1[[#This Row],[CUIT]]="","-",VLOOKUP(ventas_b_mes1[[#This Row],[CUIT]],Lista_CUIT[#All],2,0)),"CUIT NO CARGADO")</f>
        <v>-</v>
      </c>
      <c r="H1309" s="64">
        <f>ventas_b_mes1[[#This Row],[TOTAL]]/1.21</f>
        <v>0</v>
      </c>
      <c r="I1309" s="140">
        <f>ventas_b_mes1[[#This Row],[IMPORTE NETO]]*0.21</f>
        <v>0</v>
      </c>
      <c r="J1309" s="141"/>
      <c r="K1309" s="141"/>
      <c r="L1309" s="141"/>
      <c r="M1309" s="59"/>
    </row>
    <row r="1310" spans="2:13">
      <c r="B1310" s="135"/>
      <c r="C1310" s="136"/>
      <c r="D1310" s="137"/>
      <c r="E1310" s="138"/>
      <c r="F1310" s="139"/>
      <c r="G1310" s="1" t="str">
        <f>IFERROR(IF(ventas_b_mes1[[#This Row],[CUIT]]="","-",VLOOKUP(ventas_b_mes1[[#This Row],[CUIT]],Lista_CUIT[#All],2,0)),"CUIT NO CARGADO")</f>
        <v>-</v>
      </c>
      <c r="H1310" s="64">
        <f>ventas_b_mes1[[#This Row],[TOTAL]]/1.21</f>
        <v>0</v>
      </c>
      <c r="I1310" s="140">
        <f>ventas_b_mes1[[#This Row],[IMPORTE NETO]]*0.21</f>
        <v>0</v>
      </c>
      <c r="J1310" s="141"/>
      <c r="K1310" s="141"/>
      <c r="L1310" s="141"/>
      <c r="M1310" s="59"/>
    </row>
    <row r="1311" spans="2:13">
      <c r="B1311" s="135"/>
      <c r="C1311" s="136"/>
      <c r="D1311" s="137"/>
      <c r="E1311" s="138"/>
      <c r="F1311" s="139"/>
      <c r="G1311" s="1" t="str">
        <f>IFERROR(IF(ventas_b_mes1[[#This Row],[CUIT]]="","-",VLOOKUP(ventas_b_mes1[[#This Row],[CUIT]],Lista_CUIT[#All],2,0)),"CUIT NO CARGADO")</f>
        <v>-</v>
      </c>
      <c r="H1311" s="64">
        <f>ventas_b_mes1[[#This Row],[TOTAL]]/1.21</f>
        <v>0</v>
      </c>
      <c r="I1311" s="140">
        <f>ventas_b_mes1[[#This Row],[IMPORTE NETO]]*0.21</f>
        <v>0</v>
      </c>
      <c r="J1311" s="141"/>
      <c r="K1311" s="141"/>
      <c r="L1311" s="141"/>
      <c r="M1311" s="59"/>
    </row>
    <row r="1312" spans="2:13">
      <c r="B1312" s="135"/>
      <c r="C1312" s="136"/>
      <c r="D1312" s="137"/>
      <c r="E1312" s="138"/>
      <c r="F1312" s="139"/>
      <c r="G1312" s="1" t="str">
        <f>IFERROR(IF(ventas_b_mes1[[#This Row],[CUIT]]="","-",VLOOKUP(ventas_b_mes1[[#This Row],[CUIT]],Lista_CUIT[#All],2,0)),"CUIT NO CARGADO")</f>
        <v>-</v>
      </c>
      <c r="H1312" s="64">
        <f>ventas_b_mes1[[#This Row],[TOTAL]]/1.21</f>
        <v>0</v>
      </c>
      <c r="I1312" s="140">
        <f>ventas_b_mes1[[#This Row],[IMPORTE NETO]]*0.21</f>
        <v>0</v>
      </c>
      <c r="J1312" s="141"/>
      <c r="K1312" s="141"/>
      <c r="L1312" s="141"/>
      <c r="M1312" s="59"/>
    </row>
    <row r="1313" spans="2:13">
      <c r="B1313" s="135"/>
      <c r="C1313" s="136"/>
      <c r="D1313" s="137"/>
      <c r="E1313" s="138"/>
      <c r="F1313" s="139"/>
      <c r="G1313" s="1" t="str">
        <f>IFERROR(IF(ventas_b_mes1[[#This Row],[CUIT]]="","-",VLOOKUP(ventas_b_mes1[[#This Row],[CUIT]],Lista_CUIT[#All],2,0)),"CUIT NO CARGADO")</f>
        <v>-</v>
      </c>
      <c r="H1313" s="64">
        <f>ventas_b_mes1[[#This Row],[TOTAL]]/1.21</f>
        <v>0</v>
      </c>
      <c r="I1313" s="140">
        <f>ventas_b_mes1[[#This Row],[IMPORTE NETO]]*0.21</f>
        <v>0</v>
      </c>
      <c r="J1313" s="141"/>
      <c r="K1313" s="141"/>
      <c r="L1313" s="141"/>
      <c r="M1313" s="59"/>
    </row>
    <row r="1314" spans="2:13">
      <c r="B1314" s="135"/>
      <c r="C1314" s="136"/>
      <c r="D1314" s="137"/>
      <c r="E1314" s="138"/>
      <c r="F1314" s="139"/>
      <c r="G1314" s="1" t="str">
        <f>IFERROR(IF(ventas_b_mes1[[#This Row],[CUIT]]="","-",VLOOKUP(ventas_b_mes1[[#This Row],[CUIT]],Lista_CUIT[#All],2,0)),"CUIT NO CARGADO")</f>
        <v>-</v>
      </c>
      <c r="H1314" s="64">
        <f>ventas_b_mes1[[#This Row],[TOTAL]]/1.21</f>
        <v>0</v>
      </c>
      <c r="I1314" s="140">
        <f>ventas_b_mes1[[#This Row],[IMPORTE NETO]]*0.21</f>
        <v>0</v>
      </c>
      <c r="J1314" s="141"/>
      <c r="K1314" s="141"/>
      <c r="L1314" s="141"/>
      <c r="M1314" s="59"/>
    </row>
    <row r="1315" spans="2:13">
      <c r="B1315" s="135"/>
      <c r="C1315" s="136"/>
      <c r="D1315" s="137"/>
      <c r="E1315" s="138"/>
      <c r="F1315" s="139"/>
      <c r="G1315" s="1" t="str">
        <f>IFERROR(IF(ventas_b_mes1[[#This Row],[CUIT]]="","-",VLOOKUP(ventas_b_mes1[[#This Row],[CUIT]],Lista_CUIT[#All],2,0)),"CUIT NO CARGADO")</f>
        <v>-</v>
      </c>
      <c r="H1315" s="64">
        <f>ventas_b_mes1[[#This Row],[TOTAL]]/1.21</f>
        <v>0</v>
      </c>
      <c r="I1315" s="140">
        <f>ventas_b_mes1[[#This Row],[IMPORTE NETO]]*0.21</f>
        <v>0</v>
      </c>
      <c r="J1315" s="141"/>
      <c r="K1315" s="141"/>
      <c r="L1315" s="141"/>
      <c r="M1315" s="59"/>
    </row>
    <row r="1316" spans="2:13">
      <c r="B1316" s="135"/>
      <c r="C1316" s="136"/>
      <c r="D1316" s="137"/>
      <c r="E1316" s="138"/>
      <c r="F1316" s="139"/>
      <c r="G1316" s="1" t="str">
        <f>IFERROR(IF(ventas_b_mes1[[#This Row],[CUIT]]="","-",VLOOKUP(ventas_b_mes1[[#This Row],[CUIT]],Lista_CUIT[#All],2,0)),"CUIT NO CARGADO")</f>
        <v>-</v>
      </c>
      <c r="H1316" s="64">
        <f>ventas_b_mes1[[#This Row],[TOTAL]]/1.21</f>
        <v>0</v>
      </c>
      <c r="I1316" s="140">
        <f>ventas_b_mes1[[#This Row],[IMPORTE NETO]]*0.21</f>
        <v>0</v>
      </c>
      <c r="J1316" s="141"/>
      <c r="K1316" s="141"/>
      <c r="L1316" s="141"/>
      <c r="M1316" s="59"/>
    </row>
    <row r="1317" spans="2:13">
      <c r="B1317" s="135"/>
      <c r="C1317" s="136"/>
      <c r="D1317" s="137"/>
      <c r="E1317" s="138"/>
      <c r="F1317" s="139"/>
      <c r="G1317" s="1" t="str">
        <f>IFERROR(IF(ventas_b_mes1[[#This Row],[CUIT]]="","-",VLOOKUP(ventas_b_mes1[[#This Row],[CUIT]],Lista_CUIT[#All],2,0)),"CUIT NO CARGADO")</f>
        <v>-</v>
      </c>
      <c r="H1317" s="64">
        <f>ventas_b_mes1[[#This Row],[TOTAL]]/1.21</f>
        <v>0</v>
      </c>
      <c r="I1317" s="140">
        <f>ventas_b_mes1[[#This Row],[IMPORTE NETO]]*0.21</f>
        <v>0</v>
      </c>
      <c r="J1317" s="141"/>
      <c r="K1317" s="141"/>
      <c r="L1317" s="141"/>
      <c r="M1317" s="59"/>
    </row>
    <row r="1318" spans="2:13">
      <c r="B1318" s="135"/>
      <c r="C1318" s="136"/>
      <c r="D1318" s="137"/>
      <c r="E1318" s="138"/>
      <c r="F1318" s="139"/>
      <c r="G1318" s="1" t="str">
        <f>IFERROR(IF(ventas_b_mes1[[#This Row],[CUIT]]="","-",VLOOKUP(ventas_b_mes1[[#This Row],[CUIT]],Lista_CUIT[#All],2,0)),"CUIT NO CARGADO")</f>
        <v>-</v>
      </c>
      <c r="H1318" s="64">
        <f>ventas_b_mes1[[#This Row],[TOTAL]]/1.21</f>
        <v>0</v>
      </c>
      <c r="I1318" s="140">
        <f>ventas_b_mes1[[#This Row],[IMPORTE NETO]]*0.21</f>
        <v>0</v>
      </c>
      <c r="J1318" s="141"/>
      <c r="K1318" s="141"/>
      <c r="L1318" s="141"/>
      <c r="M1318" s="59"/>
    </row>
    <row r="1319" spans="2:13">
      <c r="B1319" s="135"/>
      <c r="C1319" s="136"/>
      <c r="D1319" s="137"/>
      <c r="E1319" s="138"/>
      <c r="F1319" s="139"/>
      <c r="G1319" s="1" t="str">
        <f>IFERROR(IF(ventas_b_mes1[[#This Row],[CUIT]]="","-",VLOOKUP(ventas_b_mes1[[#This Row],[CUIT]],Lista_CUIT[#All],2,0)),"CUIT NO CARGADO")</f>
        <v>-</v>
      </c>
      <c r="H1319" s="64">
        <f>ventas_b_mes1[[#This Row],[TOTAL]]/1.21</f>
        <v>0</v>
      </c>
      <c r="I1319" s="140">
        <f>ventas_b_mes1[[#This Row],[IMPORTE NETO]]*0.21</f>
        <v>0</v>
      </c>
      <c r="J1319" s="141"/>
      <c r="K1319" s="141"/>
      <c r="L1319" s="141"/>
      <c r="M1319" s="59"/>
    </row>
    <row r="1320" spans="2:13">
      <c r="B1320" s="135"/>
      <c r="C1320" s="136"/>
      <c r="D1320" s="137"/>
      <c r="E1320" s="138"/>
      <c r="F1320" s="139"/>
      <c r="G1320" s="1" t="str">
        <f>IFERROR(IF(ventas_b_mes1[[#This Row],[CUIT]]="","-",VLOOKUP(ventas_b_mes1[[#This Row],[CUIT]],Lista_CUIT[#All],2,0)),"CUIT NO CARGADO")</f>
        <v>-</v>
      </c>
      <c r="H1320" s="64">
        <f>ventas_b_mes1[[#This Row],[TOTAL]]/1.21</f>
        <v>0</v>
      </c>
      <c r="I1320" s="140">
        <f>ventas_b_mes1[[#This Row],[IMPORTE NETO]]*0.21</f>
        <v>0</v>
      </c>
      <c r="J1320" s="141"/>
      <c r="K1320" s="141"/>
      <c r="L1320" s="141"/>
      <c r="M1320" s="59"/>
    </row>
    <row r="1321" spans="2:13">
      <c r="B1321" s="135"/>
      <c r="C1321" s="136"/>
      <c r="D1321" s="137"/>
      <c r="E1321" s="138"/>
      <c r="F1321" s="139"/>
      <c r="G1321" s="1" t="str">
        <f>IFERROR(IF(ventas_b_mes1[[#This Row],[CUIT]]="","-",VLOOKUP(ventas_b_mes1[[#This Row],[CUIT]],Lista_CUIT[#All],2,0)),"CUIT NO CARGADO")</f>
        <v>-</v>
      </c>
      <c r="H1321" s="64">
        <f>ventas_b_mes1[[#This Row],[TOTAL]]/1.21</f>
        <v>0</v>
      </c>
      <c r="I1321" s="140">
        <f>ventas_b_mes1[[#This Row],[IMPORTE NETO]]*0.21</f>
        <v>0</v>
      </c>
      <c r="J1321" s="141"/>
      <c r="K1321" s="141"/>
      <c r="L1321" s="141"/>
      <c r="M1321" s="59"/>
    </row>
    <row r="1322" spans="2:13">
      <c r="B1322" s="135"/>
      <c r="C1322" s="136"/>
      <c r="D1322" s="137"/>
      <c r="E1322" s="138"/>
      <c r="F1322" s="139"/>
      <c r="G1322" s="1" t="str">
        <f>IFERROR(IF(ventas_b_mes1[[#This Row],[CUIT]]="","-",VLOOKUP(ventas_b_mes1[[#This Row],[CUIT]],Lista_CUIT[#All],2,0)),"CUIT NO CARGADO")</f>
        <v>-</v>
      </c>
      <c r="H1322" s="64">
        <f>ventas_b_mes1[[#This Row],[TOTAL]]/1.21</f>
        <v>0</v>
      </c>
      <c r="I1322" s="140">
        <f>ventas_b_mes1[[#This Row],[IMPORTE NETO]]*0.21</f>
        <v>0</v>
      </c>
      <c r="J1322" s="141"/>
      <c r="K1322" s="141"/>
      <c r="L1322" s="141"/>
      <c r="M1322" s="59"/>
    </row>
    <row r="1323" spans="2:13">
      <c r="B1323" s="135"/>
      <c r="C1323" s="136"/>
      <c r="D1323" s="137"/>
      <c r="E1323" s="138"/>
      <c r="F1323" s="139"/>
      <c r="G1323" s="1" t="str">
        <f>IFERROR(IF(ventas_b_mes1[[#This Row],[CUIT]]="","-",VLOOKUP(ventas_b_mes1[[#This Row],[CUIT]],Lista_CUIT[#All],2,0)),"CUIT NO CARGADO")</f>
        <v>-</v>
      </c>
      <c r="H1323" s="64">
        <f>ventas_b_mes1[[#This Row],[TOTAL]]/1.21</f>
        <v>0</v>
      </c>
      <c r="I1323" s="140">
        <f>ventas_b_mes1[[#This Row],[IMPORTE NETO]]*0.21</f>
        <v>0</v>
      </c>
      <c r="J1323" s="141"/>
      <c r="K1323" s="141"/>
      <c r="L1323" s="141"/>
      <c r="M1323" s="59"/>
    </row>
    <row r="1324" spans="2:13">
      <c r="B1324" s="135"/>
      <c r="C1324" s="136"/>
      <c r="D1324" s="137"/>
      <c r="E1324" s="138"/>
      <c r="F1324" s="139"/>
      <c r="G1324" s="1" t="str">
        <f>IFERROR(IF(ventas_b_mes1[[#This Row],[CUIT]]="","-",VLOOKUP(ventas_b_mes1[[#This Row],[CUIT]],Lista_CUIT[#All],2,0)),"CUIT NO CARGADO")</f>
        <v>-</v>
      </c>
      <c r="H1324" s="64">
        <f>ventas_b_mes1[[#This Row],[TOTAL]]/1.21</f>
        <v>0</v>
      </c>
      <c r="I1324" s="140">
        <f>ventas_b_mes1[[#This Row],[IMPORTE NETO]]*0.21</f>
        <v>0</v>
      </c>
      <c r="J1324" s="141"/>
      <c r="K1324" s="141"/>
      <c r="L1324" s="141"/>
      <c r="M1324" s="59"/>
    </row>
    <row r="1325" spans="2:13">
      <c r="B1325" s="135"/>
      <c r="C1325" s="136"/>
      <c r="D1325" s="137"/>
      <c r="E1325" s="138"/>
      <c r="F1325" s="139"/>
      <c r="G1325" s="1" t="str">
        <f>IFERROR(IF(ventas_b_mes1[[#This Row],[CUIT]]="","-",VLOOKUP(ventas_b_mes1[[#This Row],[CUIT]],Lista_CUIT[#All],2,0)),"CUIT NO CARGADO")</f>
        <v>-</v>
      </c>
      <c r="H1325" s="64">
        <f>ventas_b_mes1[[#This Row],[TOTAL]]/1.21</f>
        <v>0</v>
      </c>
      <c r="I1325" s="140">
        <f>ventas_b_mes1[[#This Row],[IMPORTE NETO]]*0.21</f>
        <v>0</v>
      </c>
      <c r="J1325" s="141"/>
      <c r="K1325" s="141"/>
      <c r="L1325" s="141"/>
      <c r="M1325" s="59"/>
    </row>
    <row r="1326" spans="2:13">
      <c r="B1326" s="135"/>
      <c r="C1326" s="136"/>
      <c r="D1326" s="137"/>
      <c r="E1326" s="138"/>
      <c r="F1326" s="139"/>
      <c r="G1326" s="1" t="str">
        <f>IFERROR(IF(ventas_b_mes1[[#This Row],[CUIT]]="","-",VLOOKUP(ventas_b_mes1[[#This Row],[CUIT]],Lista_CUIT[#All],2,0)),"CUIT NO CARGADO")</f>
        <v>-</v>
      </c>
      <c r="H1326" s="64">
        <f>ventas_b_mes1[[#This Row],[TOTAL]]/1.21</f>
        <v>0</v>
      </c>
      <c r="I1326" s="140">
        <f>ventas_b_mes1[[#This Row],[IMPORTE NETO]]*0.21</f>
        <v>0</v>
      </c>
      <c r="J1326" s="141"/>
      <c r="K1326" s="141"/>
      <c r="L1326" s="141"/>
      <c r="M1326" s="59"/>
    </row>
    <row r="1327" spans="2:13">
      <c r="B1327" s="135"/>
      <c r="C1327" s="136"/>
      <c r="D1327" s="137"/>
      <c r="E1327" s="138"/>
      <c r="F1327" s="139"/>
      <c r="G1327" s="1" t="str">
        <f>IFERROR(IF(ventas_b_mes1[[#This Row],[CUIT]]="","-",VLOOKUP(ventas_b_mes1[[#This Row],[CUIT]],Lista_CUIT[#All],2,0)),"CUIT NO CARGADO")</f>
        <v>-</v>
      </c>
      <c r="H1327" s="64">
        <f>ventas_b_mes1[[#This Row],[TOTAL]]/1.21</f>
        <v>0</v>
      </c>
      <c r="I1327" s="140">
        <f>ventas_b_mes1[[#This Row],[IMPORTE NETO]]*0.21</f>
        <v>0</v>
      </c>
      <c r="J1327" s="141"/>
      <c r="K1327" s="141"/>
      <c r="L1327" s="141"/>
      <c r="M1327" s="59"/>
    </row>
    <row r="1328" spans="2:13">
      <c r="B1328" s="135"/>
      <c r="C1328" s="136"/>
      <c r="D1328" s="137"/>
      <c r="E1328" s="138"/>
      <c r="F1328" s="139"/>
      <c r="G1328" s="1" t="str">
        <f>IFERROR(IF(ventas_b_mes1[[#This Row],[CUIT]]="","-",VLOOKUP(ventas_b_mes1[[#This Row],[CUIT]],Lista_CUIT[#All],2,0)),"CUIT NO CARGADO")</f>
        <v>-</v>
      </c>
      <c r="H1328" s="64">
        <f>ventas_b_mes1[[#This Row],[TOTAL]]/1.21</f>
        <v>0</v>
      </c>
      <c r="I1328" s="140">
        <f>ventas_b_mes1[[#This Row],[IMPORTE NETO]]*0.21</f>
        <v>0</v>
      </c>
      <c r="J1328" s="141"/>
      <c r="K1328" s="141"/>
      <c r="L1328" s="141"/>
      <c r="M1328" s="59"/>
    </row>
    <row r="1329" spans="2:13">
      <c r="B1329" s="135"/>
      <c r="C1329" s="136"/>
      <c r="D1329" s="137"/>
      <c r="E1329" s="138"/>
      <c r="F1329" s="139"/>
      <c r="G1329" s="1" t="str">
        <f>IFERROR(IF(ventas_b_mes1[[#This Row],[CUIT]]="","-",VLOOKUP(ventas_b_mes1[[#This Row],[CUIT]],Lista_CUIT[#All],2,0)),"CUIT NO CARGADO")</f>
        <v>-</v>
      </c>
      <c r="H1329" s="64">
        <f>ventas_b_mes1[[#This Row],[TOTAL]]/1.21</f>
        <v>0</v>
      </c>
      <c r="I1329" s="140">
        <f>ventas_b_mes1[[#This Row],[IMPORTE NETO]]*0.21</f>
        <v>0</v>
      </c>
      <c r="J1329" s="141"/>
      <c r="K1329" s="141"/>
      <c r="L1329" s="141"/>
      <c r="M1329" s="59"/>
    </row>
    <row r="1330" spans="2:13">
      <c r="B1330" s="135"/>
      <c r="C1330" s="136"/>
      <c r="D1330" s="137"/>
      <c r="E1330" s="138"/>
      <c r="F1330" s="139"/>
      <c r="G1330" s="1" t="str">
        <f>IFERROR(IF(ventas_b_mes1[[#This Row],[CUIT]]="","-",VLOOKUP(ventas_b_mes1[[#This Row],[CUIT]],Lista_CUIT[#All],2,0)),"CUIT NO CARGADO")</f>
        <v>-</v>
      </c>
      <c r="H1330" s="64">
        <f>ventas_b_mes1[[#This Row],[TOTAL]]/1.21</f>
        <v>0</v>
      </c>
      <c r="I1330" s="140">
        <f>ventas_b_mes1[[#This Row],[IMPORTE NETO]]*0.21</f>
        <v>0</v>
      </c>
      <c r="J1330" s="141"/>
      <c r="K1330" s="141"/>
      <c r="L1330" s="141"/>
      <c r="M1330" s="59"/>
    </row>
    <row r="1331" spans="2:13">
      <c r="B1331" s="135"/>
      <c r="C1331" s="136"/>
      <c r="D1331" s="137"/>
      <c r="E1331" s="138"/>
      <c r="F1331" s="139"/>
      <c r="G1331" s="1" t="str">
        <f>IFERROR(IF(ventas_b_mes1[[#This Row],[CUIT]]="","-",VLOOKUP(ventas_b_mes1[[#This Row],[CUIT]],Lista_CUIT[#All],2,0)),"CUIT NO CARGADO")</f>
        <v>-</v>
      </c>
      <c r="H1331" s="64">
        <f>ventas_b_mes1[[#This Row],[TOTAL]]/1.21</f>
        <v>0</v>
      </c>
      <c r="I1331" s="140">
        <f>ventas_b_mes1[[#This Row],[IMPORTE NETO]]*0.21</f>
        <v>0</v>
      </c>
      <c r="J1331" s="141"/>
      <c r="K1331" s="141"/>
      <c r="L1331" s="141"/>
      <c r="M1331" s="59"/>
    </row>
    <row r="1332" spans="2:13">
      <c r="B1332" s="135"/>
      <c r="C1332" s="136"/>
      <c r="D1332" s="137"/>
      <c r="E1332" s="138"/>
      <c r="F1332" s="139"/>
      <c r="G1332" s="1" t="str">
        <f>IFERROR(IF(ventas_b_mes1[[#This Row],[CUIT]]="","-",VLOOKUP(ventas_b_mes1[[#This Row],[CUIT]],Lista_CUIT[#All],2,0)),"CUIT NO CARGADO")</f>
        <v>-</v>
      </c>
      <c r="H1332" s="64">
        <f>ventas_b_mes1[[#This Row],[TOTAL]]/1.21</f>
        <v>0</v>
      </c>
      <c r="I1332" s="140">
        <f>ventas_b_mes1[[#This Row],[IMPORTE NETO]]*0.21</f>
        <v>0</v>
      </c>
      <c r="J1332" s="141"/>
      <c r="K1332" s="141"/>
      <c r="L1332" s="141"/>
      <c r="M1332" s="59"/>
    </row>
    <row r="1333" spans="2:13">
      <c r="B1333" s="135"/>
      <c r="C1333" s="136"/>
      <c r="D1333" s="137"/>
      <c r="E1333" s="138"/>
      <c r="F1333" s="139"/>
      <c r="G1333" s="1" t="str">
        <f>IFERROR(IF(ventas_b_mes1[[#This Row],[CUIT]]="","-",VLOOKUP(ventas_b_mes1[[#This Row],[CUIT]],Lista_CUIT[#All],2,0)),"CUIT NO CARGADO")</f>
        <v>-</v>
      </c>
      <c r="H1333" s="64">
        <f>ventas_b_mes1[[#This Row],[TOTAL]]/1.21</f>
        <v>0</v>
      </c>
      <c r="I1333" s="140">
        <f>ventas_b_mes1[[#This Row],[IMPORTE NETO]]*0.21</f>
        <v>0</v>
      </c>
      <c r="J1333" s="141"/>
      <c r="K1333" s="141"/>
      <c r="L1333" s="141"/>
      <c r="M1333" s="59"/>
    </row>
    <row r="1334" spans="2:13">
      <c r="B1334" s="135"/>
      <c r="C1334" s="136"/>
      <c r="D1334" s="137"/>
      <c r="E1334" s="138"/>
      <c r="F1334" s="139"/>
      <c r="G1334" s="1" t="str">
        <f>IFERROR(IF(ventas_b_mes1[[#This Row],[CUIT]]="","-",VLOOKUP(ventas_b_mes1[[#This Row],[CUIT]],Lista_CUIT[#All],2,0)),"CUIT NO CARGADO")</f>
        <v>-</v>
      </c>
      <c r="H1334" s="64">
        <f>ventas_b_mes1[[#This Row],[TOTAL]]/1.21</f>
        <v>0</v>
      </c>
      <c r="I1334" s="140">
        <f>ventas_b_mes1[[#This Row],[IMPORTE NETO]]*0.21</f>
        <v>0</v>
      </c>
      <c r="J1334" s="141"/>
      <c r="K1334" s="141"/>
      <c r="L1334" s="141"/>
      <c r="M1334" s="59"/>
    </row>
    <row r="1335" spans="2:13">
      <c r="B1335" s="135"/>
      <c r="C1335" s="136"/>
      <c r="D1335" s="137"/>
      <c r="E1335" s="138"/>
      <c r="F1335" s="139"/>
      <c r="G1335" s="1" t="str">
        <f>IFERROR(IF(ventas_b_mes1[[#This Row],[CUIT]]="","-",VLOOKUP(ventas_b_mes1[[#This Row],[CUIT]],Lista_CUIT[#All],2,0)),"CUIT NO CARGADO")</f>
        <v>-</v>
      </c>
      <c r="H1335" s="64">
        <f>ventas_b_mes1[[#This Row],[TOTAL]]/1.21</f>
        <v>0</v>
      </c>
      <c r="I1335" s="140">
        <f>ventas_b_mes1[[#This Row],[IMPORTE NETO]]*0.21</f>
        <v>0</v>
      </c>
      <c r="J1335" s="141"/>
      <c r="K1335" s="141"/>
      <c r="L1335" s="141"/>
      <c r="M1335" s="59"/>
    </row>
    <row r="1336" spans="2:13">
      <c r="B1336" s="135"/>
      <c r="C1336" s="136"/>
      <c r="D1336" s="137"/>
      <c r="E1336" s="138"/>
      <c r="F1336" s="139"/>
      <c r="G1336" s="1" t="str">
        <f>IFERROR(IF(ventas_b_mes1[[#This Row],[CUIT]]="","-",VLOOKUP(ventas_b_mes1[[#This Row],[CUIT]],Lista_CUIT[#All],2,0)),"CUIT NO CARGADO")</f>
        <v>-</v>
      </c>
      <c r="H1336" s="64">
        <f>ventas_b_mes1[[#This Row],[TOTAL]]/1.21</f>
        <v>0</v>
      </c>
      <c r="I1336" s="140">
        <f>ventas_b_mes1[[#This Row],[IMPORTE NETO]]*0.21</f>
        <v>0</v>
      </c>
      <c r="J1336" s="141"/>
      <c r="K1336" s="141"/>
      <c r="L1336" s="141"/>
      <c r="M1336" s="59"/>
    </row>
    <row r="1337" spans="2:13">
      <c r="B1337" s="135"/>
      <c r="C1337" s="136"/>
      <c r="D1337" s="137"/>
      <c r="E1337" s="138"/>
      <c r="F1337" s="139"/>
      <c r="G1337" s="1" t="str">
        <f>IFERROR(IF(ventas_b_mes1[[#This Row],[CUIT]]="","-",VLOOKUP(ventas_b_mes1[[#This Row],[CUIT]],Lista_CUIT[#All],2,0)),"CUIT NO CARGADO")</f>
        <v>-</v>
      </c>
      <c r="H1337" s="64">
        <f>ventas_b_mes1[[#This Row],[TOTAL]]/1.21</f>
        <v>0</v>
      </c>
      <c r="I1337" s="140">
        <f>ventas_b_mes1[[#This Row],[IMPORTE NETO]]*0.21</f>
        <v>0</v>
      </c>
      <c r="J1337" s="141"/>
      <c r="K1337" s="141"/>
      <c r="L1337" s="141"/>
      <c r="M1337" s="59"/>
    </row>
    <row r="1338" spans="2:13">
      <c r="B1338" s="135"/>
      <c r="C1338" s="136"/>
      <c r="D1338" s="137"/>
      <c r="E1338" s="138"/>
      <c r="F1338" s="139"/>
      <c r="G1338" s="1" t="str">
        <f>IFERROR(IF(ventas_b_mes1[[#This Row],[CUIT]]="","-",VLOOKUP(ventas_b_mes1[[#This Row],[CUIT]],Lista_CUIT[#All],2,0)),"CUIT NO CARGADO")</f>
        <v>-</v>
      </c>
      <c r="H1338" s="64">
        <f>ventas_b_mes1[[#This Row],[TOTAL]]/1.21</f>
        <v>0</v>
      </c>
      <c r="I1338" s="140">
        <f>ventas_b_mes1[[#This Row],[IMPORTE NETO]]*0.21</f>
        <v>0</v>
      </c>
      <c r="J1338" s="141"/>
      <c r="K1338" s="141"/>
      <c r="L1338" s="141"/>
      <c r="M1338" s="59"/>
    </row>
    <row r="1339" spans="2:13">
      <c r="B1339" s="135"/>
      <c r="C1339" s="136"/>
      <c r="D1339" s="137"/>
      <c r="E1339" s="138"/>
      <c r="F1339" s="139"/>
      <c r="G1339" s="1" t="str">
        <f>IFERROR(IF(ventas_b_mes1[[#This Row],[CUIT]]="","-",VLOOKUP(ventas_b_mes1[[#This Row],[CUIT]],Lista_CUIT[#All],2,0)),"CUIT NO CARGADO")</f>
        <v>-</v>
      </c>
      <c r="H1339" s="64">
        <f>ventas_b_mes1[[#This Row],[TOTAL]]/1.21</f>
        <v>0</v>
      </c>
      <c r="I1339" s="140">
        <f>ventas_b_mes1[[#This Row],[IMPORTE NETO]]*0.21</f>
        <v>0</v>
      </c>
      <c r="J1339" s="141"/>
      <c r="K1339" s="141"/>
      <c r="L1339" s="141"/>
      <c r="M1339" s="59"/>
    </row>
    <row r="1340" spans="2:13">
      <c r="B1340" s="135"/>
      <c r="C1340" s="136"/>
      <c r="D1340" s="137"/>
      <c r="E1340" s="138"/>
      <c r="F1340" s="139"/>
      <c r="G1340" s="1" t="str">
        <f>IFERROR(IF(ventas_b_mes1[[#This Row],[CUIT]]="","-",VLOOKUP(ventas_b_mes1[[#This Row],[CUIT]],Lista_CUIT[#All],2,0)),"CUIT NO CARGADO")</f>
        <v>-</v>
      </c>
      <c r="H1340" s="64">
        <f>ventas_b_mes1[[#This Row],[TOTAL]]/1.21</f>
        <v>0</v>
      </c>
      <c r="I1340" s="140">
        <f>ventas_b_mes1[[#This Row],[IMPORTE NETO]]*0.21</f>
        <v>0</v>
      </c>
      <c r="J1340" s="141"/>
      <c r="K1340" s="141"/>
      <c r="L1340" s="141"/>
      <c r="M1340" s="59"/>
    </row>
    <row r="1341" spans="2:13">
      <c r="B1341" s="135"/>
      <c r="C1341" s="136"/>
      <c r="D1341" s="137"/>
      <c r="E1341" s="138"/>
      <c r="F1341" s="139"/>
      <c r="G1341" s="1" t="str">
        <f>IFERROR(IF(ventas_b_mes1[[#This Row],[CUIT]]="","-",VLOOKUP(ventas_b_mes1[[#This Row],[CUIT]],Lista_CUIT[#All],2,0)),"CUIT NO CARGADO")</f>
        <v>-</v>
      </c>
      <c r="H1341" s="64">
        <f>ventas_b_mes1[[#This Row],[TOTAL]]/1.21</f>
        <v>0</v>
      </c>
      <c r="I1341" s="140">
        <f>ventas_b_mes1[[#This Row],[IMPORTE NETO]]*0.21</f>
        <v>0</v>
      </c>
      <c r="J1341" s="141"/>
      <c r="K1341" s="141"/>
      <c r="L1341" s="141"/>
      <c r="M1341" s="59"/>
    </row>
    <row r="1342" spans="2:13">
      <c r="B1342" s="135"/>
      <c r="C1342" s="136"/>
      <c r="D1342" s="137"/>
      <c r="E1342" s="138"/>
      <c r="F1342" s="139"/>
      <c r="G1342" s="1" t="str">
        <f>IFERROR(IF(ventas_b_mes1[[#This Row],[CUIT]]="","-",VLOOKUP(ventas_b_mes1[[#This Row],[CUIT]],Lista_CUIT[#All],2,0)),"CUIT NO CARGADO")</f>
        <v>-</v>
      </c>
      <c r="H1342" s="64">
        <f>ventas_b_mes1[[#This Row],[TOTAL]]/1.21</f>
        <v>0</v>
      </c>
      <c r="I1342" s="140">
        <f>ventas_b_mes1[[#This Row],[IMPORTE NETO]]*0.21</f>
        <v>0</v>
      </c>
      <c r="J1342" s="141"/>
      <c r="K1342" s="141"/>
      <c r="L1342" s="141"/>
      <c r="M1342" s="59"/>
    </row>
    <row r="1343" spans="2:13">
      <c r="B1343" s="135"/>
      <c r="C1343" s="136"/>
      <c r="D1343" s="137"/>
      <c r="E1343" s="138"/>
      <c r="F1343" s="139"/>
      <c r="G1343" s="1" t="str">
        <f>IFERROR(IF(ventas_b_mes1[[#This Row],[CUIT]]="","-",VLOOKUP(ventas_b_mes1[[#This Row],[CUIT]],Lista_CUIT[#All],2,0)),"CUIT NO CARGADO")</f>
        <v>-</v>
      </c>
      <c r="H1343" s="64">
        <f>ventas_b_mes1[[#This Row],[TOTAL]]/1.21</f>
        <v>0</v>
      </c>
      <c r="I1343" s="140">
        <f>ventas_b_mes1[[#This Row],[IMPORTE NETO]]*0.21</f>
        <v>0</v>
      </c>
      <c r="J1343" s="141"/>
      <c r="K1343" s="141"/>
      <c r="L1343" s="141"/>
      <c r="M1343" s="59"/>
    </row>
    <row r="1344" spans="2:13">
      <c r="B1344" s="135"/>
      <c r="C1344" s="136"/>
      <c r="D1344" s="137"/>
      <c r="E1344" s="138"/>
      <c r="F1344" s="139"/>
      <c r="G1344" s="1" t="str">
        <f>IFERROR(IF(ventas_b_mes1[[#This Row],[CUIT]]="","-",VLOOKUP(ventas_b_mes1[[#This Row],[CUIT]],Lista_CUIT[#All],2,0)),"CUIT NO CARGADO")</f>
        <v>-</v>
      </c>
      <c r="H1344" s="64">
        <f>ventas_b_mes1[[#This Row],[TOTAL]]/1.21</f>
        <v>0</v>
      </c>
      <c r="I1344" s="140">
        <f>ventas_b_mes1[[#This Row],[IMPORTE NETO]]*0.21</f>
        <v>0</v>
      </c>
      <c r="J1344" s="141"/>
      <c r="K1344" s="141"/>
      <c r="L1344" s="141"/>
      <c r="M1344" s="59"/>
    </row>
    <row r="1345" spans="2:13">
      <c r="B1345" s="135"/>
      <c r="C1345" s="136"/>
      <c r="D1345" s="137"/>
      <c r="E1345" s="138"/>
      <c r="F1345" s="139"/>
      <c r="G1345" s="1" t="str">
        <f>IFERROR(IF(ventas_b_mes1[[#This Row],[CUIT]]="","-",VLOOKUP(ventas_b_mes1[[#This Row],[CUIT]],Lista_CUIT[#All],2,0)),"CUIT NO CARGADO")</f>
        <v>-</v>
      </c>
      <c r="H1345" s="64">
        <f>ventas_b_mes1[[#This Row],[TOTAL]]/1.21</f>
        <v>0</v>
      </c>
      <c r="I1345" s="140">
        <f>ventas_b_mes1[[#This Row],[IMPORTE NETO]]*0.21</f>
        <v>0</v>
      </c>
      <c r="J1345" s="141"/>
      <c r="K1345" s="141"/>
      <c r="L1345" s="141"/>
      <c r="M1345" s="59"/>
    </row>
    <row r="1346" spans="2:13">
      <c r="B1346" s="135"/>
      <c r="C1346" s="136"/>
      <c r="D1346" s="137"/>
      <c r="E1346" s="138"/>
      <c r="F1346" s="139"/>
      <c r="G1346" s="1" t="str">
        <f>IFERROR(IF(ventas_b_mes1[[#This Row],[CUIT]]="","-",VLOOKUP(ventas_b_mes1[[#This Row],[CUIT]],Lista_CUIT[#All],2,0)),"CUIT NO CARGADO")</f>
        <v>-</v>
      </c>
      <c r="H1346" s="64">
        <f>ventas_b_mes1[[#This Row],[TOTAL]]/1.21</f>
        <v>0</v>
      </c>
      <c r="I1346" s="140">
        <f>ventas_b_mes1[[#This Row],[IMPORTE NETO]]*0.21</f>
        <v>0</v>
      </c>
      <c r="J1346" s="141"/>
      <c r="K1346" s="141"/>
      <c r="L1346" s="141"/>
      <c r="M1346" s="59"/>
    </row>
    <row r="1347" spans="2:13">
      <c r="B1347" s="135"/>
      <c r="C1347" s="136"/>
      <c r="D1347" s="137"/>
      <c r="E1347" s="138"/>
      <c r="F1347" s="139"/>
      <c r="G1347" s="1" t="str">
        <f>IFERROR(IF(ventas_b_mes1[[#This Row],[CUIT]]="","-",VLOOKUP(ventas_b_mes1[[#This Row],[CUIT]],Lista_CUIT[#All],2,0)),"CUIT NO CARGADO")</f>
        <v>-</v>
      </c>
      <c r="H1347" s="64">
        <f>ventas_b_mes1[[#This Row],[TOTAL]]/1.21</f>
        <v>0</v>
      </c>
      <c r="I1347" s="140">
        <f>ventas_b_mes1[[#This Row],[IMPORTE NETO]]*0.21</f>
        <v>0</v>
      </c>
      <c r="J1347" s="141"/>
      <c r="K1347" s="141"/>
      <c r="L1347" s="141"/>
      <c r="M1347" s="59"/>
    </row>
    <row r="1348" spans="2:13">
      <c r="B1348" s="135"/>
      <c r="C1348" s="136"/>
      <c r="D1348" s="137"/>
      <c r="E1348" s="138"/>
      <c r="F1348" s="139"/>
      <c r="G1348" s="1" t="str">
        <f>IFERROR(IF(ventas_b_mes1[[#This Row],[CUIT]]="","-",VLOOKUP(ventas_b_mes1[[#This Row],[CUIT]],Lista_CUIT[#All],2,0)),"CUIT NO CARGADO")</f>
        <v>-</v>
      </c>
      <c r="H1348" s="64">
        <f>ventas_b_mes1[[#This Row],[TOTAL]]/1.21</f>
        <v>0</v>
      </c>
      <c r="I1348" s="140">
        <f>ventas_b_mes1[[#This Row],[IMPORTE NETO]]*0.21</f>
        <v>0</v>
      </c>
      <c r="J1348" s="141"/>
      <c r="K1348" s="141"/>
      <c r="L1348" s="141"/>
      <c r="M1348" s="59"/>
    </row>
    <row r="1349" spans="2:13">
      <c r="B1349" s="135"/>
      <c r="C1349" s="136"/>
      <c r="D1349" s="137"/>
      <c r="E1349" s="138"/>
      <c r="F1349" s="139"/>
      <c r="G1349" s="1" t="str">
        <f>IFERROR(IF(ventas_b_mes1[[#This Row],[CUIT]]="","-",VLOOKUP(ventas_b_mes1[[#This Row],[CUIT]],Lista_CUIT[#All],2,0)),"CUIT NO CARGADO")</f>
        <v>-</v>
      </c>
      <c r="H1349" s="64">
        <f>ventas_b_mes1[[#This Row],[TOTAL]]/1.21</f>
        <v>0</v>
      </c>
      <c r="I1349" s="140">
        <f>ventas_b_mes1[[#This Row],[IMPORTE NETO]]*0.21</f>
        <v>0</v>
      </c>
      <c r="J1349" s="141"/>
      <c r="K1349" s="141"/>
      <c r="L1349" s="141"/>
      <c r="M1349" s="59"/>
    </row>
    <row r="1350" spans="2:13">
      <c r="B1350" s="135"/>
      <c r="C1350" s="136"/>
      <c r="D1350" s="137"/>
      <c r="E1350" s="138"/>
      <c r="F1350" s="139"/>
      <c r="G1350" s="1" t="str">
        <f>IFERROR(IF(ventas_b_mes1[[#This Row],[CUIT]]="","-",VLOOKUP(ventas_b_mes1[[#This Row],[CUIT]],Lista_CUIT[#All],2,0)),"CUIT NO CARGADO")</f>
        <v>-</v>
      </c>
      <c r="H1350" s="64">
        <f>ventas_b_mes1[[#This Row],[TOTAL]]/1.21</f>
        <v>0</v>
      </c>
      <c r="I1350" s="140">
        <f>ventas_b_mes1[[#This Row],[IMPORTE NETO]]*0.21</f>
        <v>0</v>
      </c>
      <c r="J1350" s="141"/>
      <c r="K1350" s="141"/>
      <c r="L1350" s="141"/>
      <c r="M1350" s="59"/>
    </row>
    <row r="1351" spans="2:13">
      <c r="B1351" s="135"/>
      <c r="C1351" s="136"/>
      <c r="D1351" s="137"/>
      <c r="E1351" s="138"/>
      <c r="F1351" s="139"/>
      <c r="G1351" s="1" t="str">
        <f>IFERROR(IF(ventas_b_mes1[[#This Row],[CUIT]]="","-",VLOOKUP(ventas_b_mes1[[#This Row],[CUIT]],Lista_CUIT[#All],2,0)),"CUIT NO CARGADO")</f>
        <v>-</v>
      </c>
      <c r="H1351" s="64">
        <f>ventas_b_mes1[[#This Row],[TOTAL]]/1.21</f>
        <v>0</v>
      </c>
      <c r="I1351" s="140">
        <f>ventas_b_mes1[[#This Row],[IMPORTE NETO]]*0.21</f>
        <v>0</v>
      </c>
      <c r="J1351" s="141"/>
      <c r="K1351" s="141"/>
      <c r="L1351" s="141"/>
      <c r="M1351" s="59"/>
    </row>
    <row r="1352" spans="2:13">
      <c r="B1352" s="135"/>
      <c r="C1352" s="136"/>
      <c r="D1352" s="137"/>
      <c r="E1352" s="138"/>
      <c r="F1352" s="139"/>
      <c r="G1352" s="1" t="str">
        <f>IFERROR(IF(ventas_b_mes1[[#This Row],[CUIT]]="","-",VLOOKUP(ventas_b_mes1[[#This Row],[CUIT]],Lista_CUIT[#All],2,0)),"CUIT NO CARGADO")</f>
        <v>-</v>
      </c>
      <c r="H1352" s="64">
        <f>ventas_b_mes1[[#This Row],[TOTAL]]/1.21</f>
        <v>0</v>
      </c>
      <c r="I1352" s="140">
        <f>ventas_b_mes1[[#This Row],[IMPORTE NETO]]*0.21</f>
        <v>0</v>
      </c>
      <c r="J1352" s="141"/>
      <c r="K1352" s="141"/>
      <c r="L1352" s="141"/>
      <c r="M1352" s="59"/>
    </row>
    <row r="1353" spans="2:13">
      <c r="B1353" s="135"/>
      <c r="C1353" s="136"/>
      <c r="D1353" s="137"/>
      <c r="E1353" s="138"/>
      <c r="F1353" s="139"/>
      <c r="G1353" s="1" t="str">
        <f>IFERROR(IF(ventas_b_mes1[[#This Row],[CUIT]]="","-",VLOOKUP(ventas_b_mes1[[#This Row],[CUIT]],Lista_CUIT[#All],2,0)),"CUIT NO CARGADO")</f>
        <v>-</v>
      </c>
      <c r="H1353" s="64">
        <f>ventas_b_mes1[[#This Row],[TOTAL]]/1.21</f>
        <v>0</v>
      </c>
      <c r="I1353" s="140">
        <f>ventas_b_mes1[[#This Row],[IMPORTE NETO]]*0.21</f>
        <v>0</v>
      </c>
      <c r="J1353" s="141"/>
      <c r="K1353" s="141"/>
      <c r="L1353" s="141"/>
      <c r="M1353" s="59"/>
    </row>
    <row r="1354" spans="2:13">
      <c r="B1354" s="135"/>
      <c r="C1354" s="136"/>
      <c r="D1354" s="137"/>
      <c r="E1354" s="138"/>
      <c r="F1354" s="139"/>
      <c r="G1354" s="1" t="str">
        <f>IFERROR(IF(ventas_b_mes1[[#This Row],[CUIT]]="","-",VLOOKUP(ventas_b_mes1[[#This Row],[CUIT]],Lista_CUIT[#All],2,0)),"CUIT NO CARGADO")</f>
        <v>-</v>
      </c>
      <c r="H1354" s="64">
        <f>ventas_b_mes1[[#This Row],[TOTAL]]/1.21</f>
        <v>0</v>
      </c>
      <c r="I1354" s="140">
        <f>ventas_b_mes1[[#This Row],[IMPORTE NETO]]*0.21</f>
        <v>0</v>
      </c>
      <c r="J1354" s="141"/>
      <c r="K1354" s="141"/>
      <c r="L1354" s="141"/>
      <c r="M1354" s="59"/>
    </row>
    <row r="1355" spans="2:13">
      <c r="B1355" s="135"/>
      <c r="C1355" s="136"/>
      <c r="D1355" s="137"/>
      <c r="E1355" s="138"/>
      <c r="F1355" s="139"/>
      <c r="G1355" s="1" t="str">
        <f>IFERROR(IF(ventas_b_mes1[[#This Row],[CUIT]]="","-",VLOOKUP(ventas_b_mes1[[#This Row],[CUIT]],Lista_CUIT[#All],2,0)),"CUIT NO CARGADO")</f>
        <v>-</v>
      </c>
      <c r="H1355" s="64">
        <f>ventas_b_mes1[[#This Row],[TOTAL]]/1.21</f>
        <v>0</v>
      </c>
      <c r="I1355" s="140">
        <f>ventas_b_mes1[[#This Row],[IMPORTE NETO]]*0.21</f>
        <v>0</v>
      </c>
      <c r="J1355" s="141"/>
      <c r="K1355" s="141"/>
      <c r="L1355" s="141"/>
      <c r="M1355" s="59"/>
    </row>
    <row r="1356" spans="2:13">
      <c r="B1356" s="135"/>
      <c r="C1356" s="136"/>
      <c r="D1356" s="137"/>
      <c r="E1356" s="138"/>
      <c r="F1356" s="139"/>
      <c r="G1356" s="1" t="str">
        <f>IFERROR(IF(ventas_b_mes1[[#This Row],[CUIT]]="","-",VLOOKUP(ventas_b_mes1[[#This Row],[CUIT]],Lista_CUIT[#All],2,0)),"CUIT NO CARGADO")</f>
        <v>-</v>
      </c>
      <c r="H1356" s="64">
        <f>ventas_b_mes1[[#This Row],[TOTAL]]/1.21</f>
        <v>0</v>
      </c>
      <c r="I1356" s="140">
        <f>ventas_b_mes1[[#This Row],[IMPORTE NETO]]*0.21</f>
        <v>0</v>
      </c>
      <c r="J1356" s="141"/>
      <c r="K1356" s="141"/>
      <c r="L1356" s="141"/>
      <c r="M1356" s="59"/>
    </row>
    <row r="1357" spans="2:13">
      <c r="B1357" s="135"/>
      <c r="C1357" s="136"/>
      <c r="D1357" s="137"/>
      <c r="E1357" s="138"/>
      <c r="F1357" s="139"/>
      <c r="G1357" s="1" t="str">
        <f>IFERROR(IF(ventas_b_mes1[[#This Row],[CUIT]]="","-",VLOOKUP(ventas_b_mes1[[#This Row],[CUIT]],Lista_CUIT[#All],2,0)),"CUIT NO CARGADO")</f>
        <v>-</v>
      </c>
      <c r="H1357" s="64">
        <f>ventas_b_mes1[[#This Row],[TOTAL]]/1.21</f>
        <v>0</v>
      </c>
      <c r="I1357" s="140">
        <f>ventas_b_mes1[[#This Row],[IMPORTE NETO]]*0.21</f>
        <v>0</v>
      </c>
      <c r="J1357" s="141"/>
      <c r="K1357" s="141"/>
      <c r="L1357" s="141"/>
      <c r="M1357" s="59"/>
    </row>
    <row r="1358" spans="2:13">
      <c r="B1358" s="135"/>
      <c r="C1358" s="136"/>
      <c r="D1358" s="137"/>
      <c r="E1358" s="138"/>
      <c r="F1358" s="139"/>
      <c r="G1358" s="1" t="str">
        <f>IFERROR(IF(ventas_b_mes1[[#This Row],[CUIT]]="","-",VLOOKUP(ventas_b_mes1[[#This Row],[CUIT]],Lista_CUIT[#All],2,0)),"CUIT NO CARGADO")</f>
        <v>-</v>
      </c>
      <c r="H1358" s="64">
        <f>ventas_b_mes1[[#This Row],[TOTAL]]/1.21</f>
        <v>0</v>
      </c>
      <c r="I1358" s="140">
        <f>ventas_b_mes1[[#This Row],[IMPORTE NETO]]*0.21</f>
        <v>0</v>
      </c>
      <c r="J1358" s="141"/>
      <c r="K1358" s="141"/>
      <c r="L1358" s="141"/>
      <c r="M1358" s="59"/>
    </row>
    <row r="1359" spans="2:13">
      <c r="B1359" s="135"/>
      <c r="C1359" s="136"/>
      <c r="D1359" s="137"/>
      <c r="E1359" s="138"/>
      <c r="F1359" s="139"/>
      <c r="G1359" s="1" t="str">
        <f>IFERROR(IF(ventas_b_mes1[[#This Row],[CUIT]]="","-",VLOOKUP(ventas_b_mes1[[#This Row],[CUIT]],Lista_CUIT[#All],2,0)),"CUIT NO CARGADO")</f>
        <v>-</v>
      </c>
      <c r="H1359" s="64">
        <f>ventas_b_mes1[[#This Row],[TOTAL]]/1.21</f>
        <v>0</v>
      </c>
      <c r="I1359" s="140">
        <f>ventas_b_mes1[[#This Row],[IMPORTE NETO]]*0.21</f>
        <v>0</v>
      </c>
      <c r="J1359" s="141"/>
      <c r="K1359" s="141"/>
      <c r="L1359" s="141"/>
      <c r="M1359" s="59"/>
    </row>
    <row r="1360" spans="2:13">
      <c r="B1360" s="135"/>
      <c r="C1360" s="136"/>
      <c r="D1360" s="137"/>
      <c r="E1360" s="138"/>
      <c r="F1360" s="139"/>
      <c r="G1360" s="1" t="str">
        <f>IFERROR(IF(ventas_b_mes1[[#This Row],[CUIT]]="","-",VLOOKUP(ventas_b_mes1[[#This Row],[CUIT]],Lista_CUIT[#All],2,0)),"CUIT NO CARGADO")</f>
        <v>-</v>
      </c>
      <c r="H1360" s="64">
        <f>ventas_b_mes1[[#This Row],[TOTAL]]/1.21</f>
        <v>0</v>
      </c>
      <c r="I1360" s="140">
        <f>ventas_b_mes1[[#This Row],[IMPORTE NETO]]*0.21</f>
        <v>0</v>
      </c>
      <c r="J1360" s="141"/>
      <c r="K1360" s="141"/>
      <c r="L1360" s="141"/>
      <c r="M1360" s="59"/>
    </row>
    <row r="1361" spans="2:13">
      <c r="B1361" s="135"/>
      <c r="C1361" s="136"/>
      <c r="D1361" s="137"/>
      <c r="E1361" s="138"/>
      <c r="F1361" s="139"/>
      <c r="G1361" s="1" t="str">
        <f>IFERROR(IF(ventas_b_mes1[[#This Row],[CUIT]]="","-",VLOOKUP(ventas_b_mes1[[#This Row],[CUIT]],Lista_CUIT[#All],2,0)),"CUIT NO CARGADO")</f>
        <v>-</v>
      </c>
      <c r="H1361" s="64">
        <f>ventas_b_mes1[[#This Row],[TOTAL]]/1.21</f>
        <v>0</v>
      </c>
      <c r="I1361" s="140">
        <f>ventas_b_mes1[[#This Row],[IMPORTE NETO]]*0.21</f>
        <v>0</v>
      </c>
      <c r="J1361" s="141"/>
      <c r="K1361" s="141"/>
      <c r="L1361" s="141"/>
      <c r="M1361" s="59"/>
    </row>
    <row r="1362" spans="2:13">
      <c r="B1362" s="135"/>
      <c r="C1362" s="136"/>
      <c r="D1362" s="137"/>
      <c r="E1362" s="138"/>
      <c r="F1362" s="139"/>
      <c r="G1362" s="1" t="str">
        <f>IFERROR(IF(ventas_b_mes1[[#This Row],[CUIT]]="","-",VLOOKUP(ventas_b_mes1[[#This Row],[CUIT]],Lista_CUIT[#All],2,0)),"CUIT NO CARGADO")</f>
        <v>-</v>
      </c>
      <c r="H1362" s="64">
        <f>ventas_b_mes1[[#This Row],[TOTAL]]/1.21</f>
        <v>0</v>
      </c>
      <c r="I1362" s="140">
        <f>ventas_b_mes1[[#This Row],[IMPORTE NETO]]*0.21</f>
        <v>0</v>
      </c>
      <c r="J1362" s="141"/>
      <c r="K1362" s="141"/>
      <c r="L1362" s="141"/>
      <c r="M1362" s="59"/>
    </row>
    <row r="1363" spans="2:13">
      <c r="B1363" s="135"/>
      <c r="C1363" s="136"/>
      <c r="D1363" s="137"/>
      <c r="E1363" s="138"/>
      <c r="F1363" s="139"/>
      <c r="G1363" s="1" t="str">
        <f>IFERROR(IF(ventas_b_mes1[[#This Row],[CUIT]]="","-",VLOOKUP(ventas_b_mes1[[#This Row],[CUIT]],Lista_CUIT[#All],2,0)),"CUIT NO CARGADO")</f>
        <v>-</v>
      </c>
      <c r="H1363" s="64">
        <f>ventas_b_mes1[[#This Row],[TOTAL]]/1.21</f>
        <v>0</v>
      </c>
      <c r="I1363" s="140">
        <f>ventas_b_mes1[[#This Row],[IMPORTE NETO]]*0.21</f>
        <v>0</v>
      </c>
      <c r="J1363" s="141"/>
      <c r="K1363" s="141"/>
      <c r="L1363" s="141"/>
      <c r="M1363" s="59"/>
    </row>
    <row r="1364" spans="2:13">
      <c r="B1364" s="135"/>
      <c r="C1364" s="136"/>
      <c r="D1364" s="137"/>
      <c r="E1364" s="138"/>
      <c r="F1364" s="139"/>
      <c r="G1364" s="1" t="str">
        <f>IFERROR(IF(ventas_b_mes1[[#This Row],[CUIT]]="","-",VLOOKUP(ventas_b_mes1[[#This Row],[CUIT]],Lista_CUIT[#All],2,0)),"CUIT NO CARGADO")</f>
        <v>-</v>
      </c>
      <c r="H1364" s="64">
        <f>ventas_b_mes1[[#This Row],[TOTAL]]/1.21</f>
        <v>0</v>
      </c>
      <c r="I1364" s="140">
        <f>ventas_b_mes1[[#This Row],[IMPORTE NETO]]*0.21</f>
        <v>0</v>
      </c>
      <c r="J1364" s="141"/>
      <c r="K1364" s="141"/>
      <c r="L1364" s="141"/>
      <c r="M1364" s="59"/>
    </row>
    <row r="1365" spans="2:13">
      <c r="B1365" s="135"/>
      <c r="C1365" s="136"/>
      <c r="D1365" s="137"/>
      <c r="E1365" s="138"/>
      <c r="F1365" s="139"/>
      <c r="G1365" s="1" t="str">
        <f>IFERROR(IF(ventas_b_mes1[[#This Row],[CUIT]]="","-",VLOOKUP(ventas_b_mes1[[#This Row],[CUIT]],Lista_CUIT[#All],2,0)),"CUIT NO CARGADO")</f>
        <v>-</v>
      </c>
      <c r="H1365" s="64">
        <f>ventas_b_mes1[[#This Row],[TOTAL]]/1.21</f>
        <v>0</v>
      </c>
      <c r="I1365" s="140">
        <f>ventas_b_mes1[[#This Row],[IMPORTE NETO]]*0.21</f>
        <v>0</v>
      </c>
      <c r="J1365" s="141"/>
      <c r="K1365" s="141"/>
      <c r="L1365" s="141"/>
      <c r="M1365" s="59"/>
    </row>
    <row r="1366" spans="2:13">
      <c r="B1366" s="135"/>
      <c r="C1366" s="136"/>
      <c r="D1366" s="137"/>
      <c r="E1366" s="138"/>
      <c r="F1366" s="139"/>
      <c r="G1366" s="1" t="str">
        <f>IFERROR(IF(ventas_b_mes1[[#This Row],[CUIT]]="","-",VLOOKUP(ventas_b_mes1[[#This Row],[CUIT]],Lista_CUIT[#All],2,0)),"CUIT NO CARGADO")</f>
        <v>-</v>
      </c>
      <c r="H1366" s="64">
        <f>ventas_b_mes1[[#This Row],[TOTAL]]/1.21</f>
        <v>0</v>
      </c>
      <c r="I1366" s="140">
        <f>ventas_b_mes1[[#This Row],[IMPORTE NETO]]*0.21</f>
        <v>0</v>
      </c>
      <c r="J1366" s="141"/>
      <c r="K1366" s="141"/>
      <c r="L1366" s="141"/>
      <c r="M1366" s="59"/>
    </row>
    <row r="1367" spans="2:13">
      <c r="B1367" s="135"/>
      <c r="C1367" s="136"/>
      <c r="D1367" s="137"/>
      <c r="E1367" s="138"/>
      <c r="F1367" s="139"/>
      <c r="G1367" s="1" t="str">
        <f>IFERROR(IF(ventas_b_mes1[[#This Row],[CUIT]]="","-",VLOOKUP(ventas_b_mes1[[#This Row],[CUIT]],Lista_CUIT[#All],2,0)),"CUIT NO CARGADO")</f>
        <v>-</v>
      </c>
      <c r="H1367" s="64">
        <f>ventas_b_mes1[[#This Row],[TOTAL]]/1.21</f>
        <v>0</v>
      </c>
      <c r="I1367" s="140">
        <f>ventas_b_mes1[[#This Row],[IMPORTE NETO]]*0.21</f>
        <v>0</v>
      </c>
      <c r="J1367" s="141"/>
      <c r="K1367" s="141"/>
      <c r="L1367" s="141"/>
      <c r="M1367" s="59"/>
    </row>
    <row r="1368" spans="2:13">
      <c r="B1368" s="135"/>
      <c r="C1368" s="136"/>
      <c r="D1368" s="137"/>
      <c r="E1368" s="138"/>
      <c r="F1368" s="139"/>
      <c r="G1368" s="1" t="str">
        <f>IFERROR(IF(ventas_b_mes1[[#This Row],[CUIT]]="","-",VLOOKUP(ventas_b_mes1[[#This Row],[CUIT]],Lista_CUIT[#All],2,0)),"CUIT NO CARGADO")</f>
        <v>-</v>
      </c>
      <c r="H1368" s="64">
        <f>ventas_b_mes1[[#This Row],[TOTAL]]/1.21</f>
        <v>0</v>
      </c>
      <c r="I1368" s="140">
        <f>ventas_b_mes1[[#This Row],[IMPORTE NETO]]*0.21</f>
        <v>0</v>
      </c>
      <c r="J1368" s="141"/>
      <c r="K1368" s="141"/>
      <c r="L1368" s="141"/>
      <c r="M1368" s="59"/>
    </row>
    <row r="1369" spans="2:13">
      <c r="B1369" s="135"/>
      <c r="C1369" s="136"/>
      <c r="D1369" s="137"/>
      <c r="E1369" s="138"/>
      <c r="F1369" s="139"/>
      <c r="G1369" s="1" t="str">
        <f>IFERROR(IF(ventas_b_mes1[[#This Row],[CUIT]]="","-",VLOOKUP(ventas_b_mes1[[#This Row],[CUIT]],Lista_CUIT[#All],2,0)),"CUIT NO CARGADO")</f>
        <v>-</v>
      </c>
      <c r="H1369" s="64">
        <f>ventas_b_mes1[[#This Row],[TOTAL]]/1.21</f>
        <v>0</v>
      </c>
      <c r="I1369" s="140">
        <f>ventas_b_mes1[[#This Row],[IMPORTE NETO]]*0.21</f>
        <v>0</v>
      </c>
      <c r="J1369" s="141"/>
      <c r="K1369" s="141"/>
      <c r="L1369" s="141"/>
      <c r="M1369" s="59"/>
    </row>
    <row r="1370" spans="2:13">
      <c r="B1370" s="135"/>
      <c r="C1370" s="136"/>
      <c r="D1370" s="137"/>
      <c r="E1370" s="138"/>
      <c r="F1370" s="139"/>
      <c r="G1370" s="1" t="str">
        <f>IFERROR(IF(ventas_b_mes1[[#This Row],[CUIT]]="","-",VLOOKUP(ventas_b_mes1[[#This Row],[CUIT]],Lista_CUIT[#All],2,0)),"CUIT NO CARGADO")</f>
        <v>-</v>
      </c>
      <c r="H1370" s="64">
        <f>ventas_b_mes1[[#This Row],[TOTAL]]/1.21</f>
        <v>0</v>
      </c>
      <c r="I1370" s="140">
        <f>ventas_b_mes1[[#This Row],[IMPORTE NETO]]*0.21</f>
        <v>0</v>
      </c>
      <c r="J1370" s="141"/>
      <c r="K1370" s="141"/>
      <c r="L1370" s="141"/>
      <c r="M1370" s="59"/>
    </row>
    <row r="1371" spans="2:13">
      <c r="B1371" s="135"/>
      <c r="C1371" s="136"/>
      <c r="D1371" s="137"/>
      <c r="E1371" s="138"/>
      <c r="F1371" s="139"/>
      <c r="G1371" s="1" t="str">
        <f>IFERROR(IF(ventas_b_mes1[[#This Row],[CUIT]]="","-",VLOOKUP(ventas_b_mes1[[#This Row],[CUIT]],Lista_CUIT[#All],2,0)),"CUIT NO CARGADO")</f>
        <v>-</v>
      </c>
      <c r="H1371" s="64">
        <f>ventas_b_mes1[[#This Row],[TOTAL]]/1.21</f>
        <v>0</v>
      </c>
      <c r="I1371" s="140">
        <f>ventas_b_mes1[[#This Row],[IMPORTE NETO]]*0.21</f>
        <v>0</v>
      </c>
      <c r="J1371" s="141"/>
      <c r="K1371" s="141"/>
      <c r="L1371" s="141"/>
      <c r="M1371" s="59"/>
    </row>
    <row r="1372" spans="2:13">
      <c r="B1372" s="135"/>
      <c r="C1372" s="136"/>
      <c r="D1372" s="137"/>
      <c r="E1372" s="138"/>
      <c r="F1372" s="139"/>
      <c r="G1372" s="1" t="str">
        <f>IFERROR(IF(ventas_b_mes1[[#This Row],[CUIT]]="","-",VLOOKUP(ventas_b_mes1[[#This Row],[CUIT]],Lista_CUIT[#All],2,0)),"CUIT NO CARGADO")</f>
        <v>-</v>
      </c>
      <c r="H1372" s="64">
        <f>ventas_b_mes1[[#This Row],[TOTAL]]/1.21</f>
        <v>0</v>
      </c>
      <c r="I1372" s="140">
        <f>ventas_b_mes1[[#This Row],[IMPORTE NETO]]*0.21</f>
        <v>0</v>
      </c>
      <c r="J1372" s="141"/>
      <c r="K1372" s="141"/>
      <c r="L1372" s="141"/>
      <c r="M1372" s="59"/>
    </row>
    <row r="1373" spans="2:13">
      <c r="B1373" s="135"/>
      <c r="C1373" s="136"/>
      <c r="D1373" s="137"/>
      <c r="E1373" s="138"/>
      <c r="F1373" s="139"/>
      <c r="G1373" s="1" t="str">
        <f>IFERROR(IF(ventas_b_mes1[[#This Row],[CUIT]]="","-",VLOOKUP(ventas_b_mes1[[#This Row],[CUIT]],Lista_CUIT[#All],2,0)),"CUIT NO CARGADO")</f>
        <v>-</v>
      </c>
      <c r="H1373" s="64">
        <f>ventas_b_mes1[[#This Row],[TOTAL]]/1.21</f>
        <v>0</v>
      </c>
      <c r="I1373" s="140">
        <f>ventas_b_mes1[[#This Row],[IMPORTE NETO]]*0.21</f>
        <v>0</v>
      </c>
      <c r="J1373" s="141"/>
      <c r="K1373" s="141"/>
      <c r="L1373" s="141"/>
      <c r="M1373" s="59"/>
    </row>
    <row r="1374" spans="2:13">
      <c r="B1374" s="135"/>
      <c r="C1374" s="136"/>
      <c r="D1374" s="137"/>
      <c r="E1374" s="138"/>
      <c r="F1374" s="139"/>
      <c r="G1374" s="1" t="str">
        <f>IFERROR(IF(ventas_b_mes1[[#This Row],[CUIT]]="","-",VLOOKUP(ventas_b_mes1[[#This Row],[CUIT]],Lista_CUIT[#All],2,0)),"CUIT NO CARGADO")</f>
        <v>-</v>
      </c>
      <c r="H1374" s="64">
        <f>ventas_b_mes1[[#This Row],[TOTAL]]/1.21</f>
        <v>0</v>
      </c>
      <c r="I1374" s="140">
        <f>ventas_b_mes1[[#This Row],[IMPORTE NETO]]*0.21</f>
        <v>0</v>
      </c>
      <c r="J1374" s="141"/>
      <c r="K1374" s="141"/>
      <c r="L1374" s="141"/>
      <c r="M1374" s="59"/>
    </row>
    <row r="1375" spans="2:13">
      <c r="B1375" s="135"/>
      <c r="C1375" s="136"/>
      <c r="D1375" s="137"/>
      <c r="E1375" s="138"/>
      <c r="F1375" s="139"/>
      <c r="G1375" s="1" t="str">
        <f>IFERROR(IF(ventas_b_mes1[[#This Row],[CUIT]]="","-",VLOOKUP(ventas_b_mes1[[#This Row],[CUIT]],Lista_CUIT[#All],2,0)),"CUIT NO CARGADO")</f>
        <v>-</v>
      </c>
      <c r="H1375" s="64">
        <f>ventas_b_mes1[[#This Row],[TOTAL]]/1.21</f>
        <v>0</v>
      </c>
      <c r="I1375" s="140">
        <f>ventas_b_mes1[[#This Row],[IMPORTE NETO]]*0.21</f>
        <v>0</v>
      </c>
      <c r="J1375" s="141"/>
      <c r="K1375" s="141"/>
      <c r="L1375" s="141"/>
      <c r="M1375" s="59"/>
    </row>
    <row r="1376" spans="2:13">
      <c r="B1376" s="135"/>
      <c r="C1376" s="136"/>
      <c r="D1376" s="137"/>
      <c r="E1376" s="138"/>
      <c r="F1376" s="139"/>
      <c r="G1376" s="1" t="str">
        <f>IFERROR(IF(ventas_b_mes1[[#This Row],[CUIT]]="","-",VLOOKUP(ventas_b_mes1[[#This Row],[CUIT]],Lista_CUIT[#All],2,0)),"CUIT NO CARGADO")</f>
        <v>-</v>
      </c>
      <c r="H1376" s="64">
        <f>ventas_b_mes1[[#This Row],[TOTAL]]/1.21</f>
        <v>0</v>
      </c>
      <c r="I1376" s="140">
        <f>ventas_b_mes1[[#This Row],[IMPORTE NETO]]*0.21</f>
        <v>0</v>
      </c>
      <c r="J1376" s="141"/>
      <c r="K1376" s="141"/>
      <c r="L1376" s="141"/>
      <c r="M1376" s="59"/>
    </row>
    <row r="1377" spans="2:13">
      <c r="B1377" s="135"/>
      <c r="C1377" s="136"/>
      <c r="D1377" s="137"/>
      <c r="E1377" s="138"/>
      <c r="F1377" s="139"/>
      <c r="G1377" s="1" t="str">
        <f>IFERROR(IF(ventas_b_mes1[[#This Row],[CUIT]]="","-",VLOOKUP(ventas_b_mes1[[#This Row],[CUIT]],Lista_CUIT[#All],2,0)),"CUIT NO CARGADO")</f>
        <v>-</v>
      </c>
      <c r="H1377" s="64">
        <f>ventas_b_mes1[[#This Row],[TOTAL]]/1.21</f>
        <v>0</v>
      </c>
      <c r="I1377" s="140">
        <f>ventas_b_mes1[[#This Row],[IMPORTE NETO]]*0.21</f>
        <v>0</v>
      </c>
      <c r="J1377" s="141"/>
      <c r="K1377" s="141"/>
      <c r="L1377" s="141"/>
      <c r="M1377" s="59"/>
    </row>
    <row r="1378" spans="2:13">
      <c r="B1378" s="135"/>
      <c r="C1378" s="136"/>
      <c r="D1378" s="137"/>
      <c r="E1378" s="138"/>
      <c r="F1378" s="139"/>
      <c r="G1378" s="1" t="str">
        <f>IFERROR(IF(ventas_b_mes1[[#This Row],[CUIT]]="","-",VLOOKUP(ventas_b_mes1[[#This Row],[CUIT]],Lista_CUIT[#All],2,0)),"CUIT NO CARGADO")</f>
        <v>-</v>
      </c>
      <c r="H1378" s="64">
        <f>ventas_b_mes1[[#This Row],[TOTAL]]/1.21</f>
        <v>0</v>
      </c>
      <c r="I1378" s="140">
        <f>ventas_b_mes1[[#This Row],[IMPORTE NETO]]*0.21</f>
        <v>0</v>
      </c>
      <c r="J1378" s="141"/>
      <c r="K1378" s="141"/>
      <c r="L1378" s="141"/>
      <c r="M1378" s="59"/>
    </row>
    <row r="1379" spans="2:13">
      <c r="B1379" s="135"/>
      <c r="C1379" s="136"/>
      <c r="D1379" s="137"/>
      <c r="E1379" s="138"/>
      <c r="F1379" s="139"/>
      <c r="G1379" s="1" t="str">
        <f>IFERROR(IF(ventas_b_mes1[[#This Row],[CUIT]]="","-",VLOOKUP(ventas_b_mes1[[#This Row],[CUIT]],Lista_CUIT[#All],2,0)),"CUIT NO CARGADO")</f>
        <v>-</v>
      </c>
      <c r="H1379" s="64">
        <f>ventas_b_mes1[[#This Row],[TOTAL]]/1.21</f>
        <v>0</v>
      </c>
      <c r="I1379" s="140">
        <f>ventas_b_mes1[[#This Row],[IMPORTE NETO]]*0.21</f>
        <v>0</v>
      </c>
      <c r="J1379" s="141"/>
      <c r="K1379" s="141"/>
      <c r="L1379" s="141"/>
      <c r="M1379" s="59"/>
    </row>
    <row r="1380" spans="2:13">
      <c r="B1380" s="135"/>
      <c r="C1380" s="136"/>
      <c r="D1380" s="137"/>
      <c r="E1380" s="138"/>
      <c r="F1380" s="139"/>
      <c r="G1380" s="1" t="str">
        <f>IFERROR(IF(ventas_b_mes1[[#This Row],[CUIT]]="","-",VLOOKUP(ventas_b_mes1[[#This Row],[CUIT]],Lista_CUIT[#All],2,0)),"CUIT NO CARGADO")</f>
        <v>-</v>
      </c>
      <c r="H1380" s="64">
        <f>ventas_b_mes1[[#This Row],[TOTAL]]/1.21</f>
        <v>0</v>
      </c>
      <c r="I1380" s="140">
        <f>ventas_b_mes1[[#This Row],[IMPORTE NETO]]*0.21</f>
        <v>0</v>
      </c>
      <c r="J1380" s="141"/>
      <c r="K1380" s="141"/>
      <c r="L1380" s="141"/>
      <c r="M1380" s="59"/>
    </row>
    <row r="1381" spans="2:13">
      <c r="B1381" s="135"/>
      <c r="C1381" s="136"/>
      <c r="D1381" s="137"/>
      <c r="E1381" s="138"/>
      <c r="F1381" s="139"/>
      <c r="G1381" s="1" t="str">
        <f>IFERROR(IF(ventas_b_mes1[[#This Row],[CUIT]]="","-",VLOOKUP(ventas_b_mes1[[#This Row],[CUIT]],Lista_CUIT[#All],2,0)),"CUIT NO CARGADO")</f>
        <v>-</v>
      </c>
      <c r="H1381" s="64">
        <f>ventas_b_mes1[[#This Row],[TOTAL]]/1.21</f>
        <v>0</v>
      </c>
      <c r="I1381" s="140">
        <f>ventas_b_mes1[[#This Row],[IMPORTE NETO]]*0.21</f>
        <v>0</v>
      </c>
      <c r="J1381" s="141"/>
      <c r="K1381" s="141"/>
      <c r="L1381" s="141"/>
      <c r="M1381" s="59"/>
    </row>
    <row r="1382" spans="2:13">
      <c r="B1382" s="135"/>
      <c r="C1382" s="136"/>
      <c r="D1382" s="137"/>
      <c r="E1382" s="138"/>
      <c r="F1382" s="139"/>
      <c r="G1382" s="1" t="str">
        <f>IFERROR(IF(ventas_b_mes1[[#This Row],[CUIT]]="","-",VLOOKUP(ventas_b_mes1[[#This Row],[CUIT]],Lista_CUIT[#All],2,0)),"CUIT NO CARGADO")</f>
        <v>-</v>
      </c>
      <c r="H1382" s="64">
        <f>ventas_b_mes1[[#This Row],[TOTAL]]/1.21</f>
        <v>0</v>
      </c>
      <c r="I1382" s="140">
        <f>ventas_b_mes1[[#This Row],[IMPORTE NETO]]*0.21</f>
        <v>0</v>
      </c>
      <c r="J1382" s="141"/>
      <c r="K1382" s="141"/>
      <c r="L1382" s="141"/>
      <c r="M1382" s="59"/>
    </row>
    <row r="1383" spans="2:13">
      <c r="B1383" s="135"/>
      <c r="C1383" s="136"/>
      <c r="D1383" s="137"/>
      <c r="E1383" s="138"/>
      <c r="F1383" s="139"/>
      <c r="G1383" s="1" t="str">
        <f>IFERROR(IF(ventas_b_mes1[[#This Row],[CUIT]]="","-",VLOOKUP(ventas_b_mes1[[#This Row],[CUIT]],Lista_CUIT[#All],2,0)),"CUIT NO CARGADO")</f>
        <v>-</v>
      </c>
      <c r="H1383" s="64">
        <f>ventas_b_mes1[[#This Row],[TOTAL]]/1.21</f>
        <v>0</v>
      </c>
      <c r="I1383" s="140">
        <f>ventas_b_mes1[[#This Row],[IMPORTE NETO]]*0.21</f>
        <v>0</v>
      </c>
      <c r="J1383" s="141"/>
      <c r="K1383" s="141"/>
      <c r="L1383" s="141"/>
      <c r="M1383" s="59"/>
    </row>
    <row r="1384" spans="2:13">
      <c r="B1384" s="135"/>
      <c r="C1384" s="136"/>
      <c r="D1384" s="137"/>
      <c r="E1384" s="138"/>
      <c r="F1384" s="139"/>
      <c r="G1384" s="1" t="str">
        <f>IFERROR(IF(ventas_b_mes1[[#This Row],[CUIT]]="","-",VLOOKUP(ventas_b_mes1[[#This Row],[CUIT]],Lista_CUIT[#All],2,0)),"CUIT NO CARGADO")</f>
        <v>-</v>
      </c>
      <c r="H1384" s="64">
        <f>ventas_b_mes1[[#This Row],[TOTAL]]/1.21</f>
        <v>0</v>
      </c>
      <c r="I1384" s="140">
        <f>ventas_b_mes1[[#This Row],[IMPORTE NETO]]*0.21</f>
        <v>0</v>
      </c>
      <c r="J1384" s="141"/>
      <c r="K1384" s="141"/>
      <c r="L1384" s="141"/>
      <c r="M1384" s="59"/>
    </row>
    <row r="1385" spans="2:13">
      <c r="B1385" s="135"/>
      <c r="C1385" s="136"/>
      <c r="D1385" s="137"/>
      <c r="E1385" s="138"/>
      <c r="F1385" s="139"/>
      <c r="G1385" s="1" t="str">
        <f>IFERROR(IF(ventas_b_mes1[[#This Row],[CUIT]]="","-",VLOOKUP(ventas_b_mes1[[#This Row],[CUIT]],Lista_CUIT[#All],2,0)),"CUIT NO CARGADO")</f>
        <v>-</v>
      </c>
      <c r="H1385" s="64">
        <f>ventas_b_mes1[[#This Row],[TOTAL]]/1.21</f>
        <v>0</v>
      </c>
      <c r="I1385" s="140">
        <f>ventas_b_mes1[[#This Row],[IMPORTE NETO]]*0.21</f>
        <v>0</v>
      </c>
      <c r="J1385" s="141"/>
      <c r="K1385" s="141"/>
      <c r="L1385" s="141"/>
      <c r="M1385" s="59"/>
    </row>
    <row r="1386" spans="2:13">
      <c r="B1386" s="135"/>
      <c r="C1386" s="136"/>
      <c r="D1386" s="137"/>
      <c r="E1386" s="138"/>
      <c r="F1386" s="139"/>
      <c r="G1386" s="1" t="str">
        <f>IFERROR(IF(ventas_b_mes1[[#This Row],[CUIT]]="","-",VLOOKUP(ventas_b_mes1[[#This Row],[CUIT]],Lista_CUIT[#All],2,0)),"CUIT NO CARGADO")</f>
        <v>-</v>
      </c>
      <c r="H1386" s="64">
        <f>ventas_b_mes1[[#This Row],[TOTAL]]/1.21</f>
        <v>0</v>
      </c>
      <c r="I1386" s="140">
        <f>ventas_b_mes1[[#This Row],[IMPORTE NETO]]*0.21</f>
        <v>0</v>
      </c>
      <c r="J1386" s="141"/>
      <c r="K1386" s="141"/>
      <c r="L1386" s="141"/>
      <c r="M1386" s="59"/>
    </row>
    <row r="1387" spans="2:13">
      <c r="B1387" s="135"/>
      <c r="C1387" s="136"/>
      <c r="D1387" s="137"/>
      <c r="E1387" s="138"/>
      <c r="F1387" s="139"/>
      <c r="G1387" s="1" t="str">
        <f>IFERROR(IF(ventas_b_mes1[[#This Row],[CUIT]]="","-",VLOOKUP(ventas_b_mes1[[#This Row],[CUIT]],Lista_CUIT[#All],2,0)),"CUIT NO CARGADO")</f>
        <v>-</v>
      </c>
      <c r="H1387" s="64">
        <f>ventas_b_mes1[[#This Row],[TOTAL]]/1.21</f>
        <v>0</v>
      </c>
      <c r="I1387" s="140">
        <f>ventas_b_mes1[[#This Row],[IMPORTE NETO]]*0.21</f>
        <v>0</v>
      </c>
      <c r="J1387" s="141"/>
      <c r="K1387" s="141"/>
      <c r="L1387" s="141"/>
      <c r="M1387" s="59"/>
    </row>
    <row r="1388" spans="2:13">
      <c r="B1388" s="135"/>
      <c r="C1388" s="136"/>
      <c r="D1388" s="137"/>
      <c r="E1388" s="138"/>
      <c r="F1388" s="139"/>
      <c r="G1388" s="1" t="str">
        <f>IFERROR(IF(ventas_b_mes1[[#This Row],[CUIT]]="","-",VLOOKUP(ventas_b_mes1[[#This Row],[CUIT]],Lista_CUIT[#All],2,0)),"CUIT NO CARGADO")</f>
        <v>-</v>
      </c>
      <c r="H1388" s="64">
        <f>ventas_b_mes1[[#This Row],[TOTAL]]/1.21</f>
        <v>0</v>
      </c>
      <c r="I1388" s="140">
        <f>ventas_b_mes1[[#This Row],[IMPORTE NETO]]*0.21</f>
        <v>0</v>
      </c>
      <c r="J1388" s="141"/>
      <c r="K1388" s="141"/>
      <c r="L1388" s="141"/>
      <c r="M1388" s="59"/>
    </row>
    <row r="1389" spans="2:13">
      <c r="B1389" s="135"/>
      <c r="C1389" s="136"/>
      <c r="D1389" s="137"/>
      <c r="E1389" s="138"/>
      <c r="F1389" s="139"/>
      <c r="G1389" s="1" t="str">
        <f>IFERROR(IF(ventas_b_mes1[[#This Row],[CUIT]]="","-",VLOOKUP(ventas_b_mes1[[#This Row],[CUIT]],Lista_CUIT[#All],2,0)),"CUIT NO CARGADO")</f>
        <v>-</v>
      </c>
      <c r="H1389" s="64">
        <f>ventas_b_mes1[[#This Row],[TOTAL]]/1.21</f>
        <v>0</v>
      </c>
      <c r="I1389" s="140">
        <f>ventas_b_mes1[[#This Row],[IMPORTE NETO]]*0.21</f>
        <v>0</v>
      </c>
      <c r="J1389" s="141"/>
      <c r="K1389" s="141"/>
      <c r="L1389" s="141"/>
      <c r="M1389" s="59"/>
    </row>
    <row r="1390" spans="2:13">
      <c r="B1390" s="135"/>
      <c r="C1390" s="136"/>
      <c r="D1390" s="137"/>
      <c r="E1390" s="138"/>
      <c r="F1390" s="139"/>
      <c r="G1390" s="1" t="str">
        <f>IFERROR(IF(ventas_b_mes1[[#This Row],[CUIT]]="","-",VLOOKUP(ventas_b_mes1[[#This Row],[CUIT]],Lista_CUIT[#All],2,0)),"CUIT NO CARGADO")</f>
        <v>-</v>
      </c>
      <c r="H1390" s="64">
        <f>ventas_b_mes1[[#This Row],[TOTAL]]/1.21</f>
        <v>0</v>
      </c>
      <c r="I1390" s="140">
        <f>ventas_b_mes1[[#This Row],[IMPORTE NETO]]*0.21</f>
        <v>0</v>
      </c>
      <c r="J1390" s="141"/>
      <c r="K1390" s="141"/>
      <c r="L1390" s="141"/>
      <c r="M1390" s="59"/>
    </row>
    <row r="1391" spans="2:13">
      <c r="B1391" s="135"/>
      <c r="C1391" s="136"/>
      <c r="D1391" s="137"/>
      <c r="E1391" s="138"/>
      <c r="F1391" s="139"/>
      <c r="G1391" s="1" t="str">
        <f>IFERROR(IF(ventas_b_mes1[[#This Row],[CUIT]]="","-",VLOOKUP(ventas_b_mes1[[#This Row],[CUIT]],Lista_CUIT[#All],2,0)),"CUIT NO CARGADO")</f>
        <v>-</v>
      </c>
      <c r="H1391" s="64">
        <f>ventas_b_mes1[[#This Row],[TOTAL]]/1.21</f>
        <v>0</v>
      </c>
      <c r="I1391" s="140">
        <f>ventas_b_mes1[[#This Row],[IMPORTE NETO]]*0.21</f>
        <v>0</v>
      </c>
      <c r="J1391" s="141"/>
      <c r="K1391" s="141"/>
      <c r="L1391" s="141"/>
      <c r="M1391" s="59"/>
    </row>
    <row r="1392" spans="2:13">
      <c r="B1392" s="135"/>
      <c r="C1392" s="136"/>
      <c r="D1392" s="137"/>
      <c r="E1392" s="138"/>
      <c r="F1392" s="139"/>
      <c r="G1392" s="1" t="str">
        <f>IFERROR(IF(ventas_b_mes1[[#This Row],[CUIT]]="","-",VLOOKUP(ventas_b_mes1[[#This Row],[CUIT]],Lista_CUIT[#All],2,0)),"CUIT NO CARGADO")</f>
        <v>-</v>
      </c>
      <c r="H1392" s="64">
        <f>ventas_b_mes1[[#This Row],[TOTAL]]/1.21</f>
        <v>0</v>
      </c>
      <c r="I1392" s="140">
        <f>ventas_b_mes1[[#This Row],[IMPORTE NETO]]*0.21</f>
        <v>0</v>
      </c>
      <c r="J1392" s="141"/>
      <c r="K1392" s="141"/>
      <c r="L1392" s="141"/>
      <c r="M1392" s="59"/>
    </row>
    <row r="1393" spans="2:13">
      <c r="B1393" s="135"/>
      <c r="C1393" s="136"/>
      <c r="D1393" s="137"/>
      <c r="E1393" s="138"/>
      <c r="F1393" s="139"/>
      <c r="G1393" s="1" t="str">
        <f>IFERROR(IF(ventas_b_mes1[[#This Row],[CUIT]]="","-",VLOOKUP(ventas_b_mes1[[#This Row],[CUIT]],Lista_CUIT[#All],2,0)),"CUIT NO CARGADO")</f>
        <v>-</v>
      </c>
      <c r="H1393" s="64">
        <f>ventas_b_mes1[[#This Row],[TOTAL]]/1.21</f>
        <v>0</v>
      </c>
      <c r="I1393" s="140">
        <f>ventas_b_mes1[[#This Row],[IMPORTE NETO]]*0.21</f>
        <v>0</v>
      </c>
      <c r="J1393" s="141"/>
      <c r="K1393" s="141"/>
      <c r="L1393" s="141"/>
      <c r="M1393" s="59"/>
    </row>
    <row r="1394" spans="2:13">
      <c r="B1394" s="135"/>
      <c r="C1394" s="136"/>
      <c r="D1394" s="137"/>
      <c r="E1394" s="138"/>
      <c r="F1394" s="139"/>
      <c r="G1394" s="1" t="str">
        <f>IFERROR(IF(ventas_b_mes1[[#This Row],[CUIT]]="","-",VLOOKUP(ventas_b_mes1[[#This Row],[CUIT]],Lista_CUIT[#All],2,0)),"CUIT NO CARGADO")</f>
        <v>-</v>
      </c>
      <c r="H1394" s="64">
        <f>ventas_b_mes1[[#This Row],[TOTAL]]/1.21</f>
        <v>0</v>
      </c>
      <c r="I1394" s="140">
        <f>ventas_b_mes1[[#This Row],[IMPORTE NETO]]*0.21</f>
        <v>0</v>
      </c>
      <c r="J1394" s="141"/>
      <c r="K1394" s="141"/>
      <c r="L1394" s="141"/>
      <c r="M1394" s="59"/>
    </row>
    <row r="1395" spans="2:13">
      <c r="B1395" s="135"/>
      <c r="C1395" s="136"/>
      <c r="D1395" s="137"/>
      <c r="E1395" s="138"/>
      <c r="F1395" s="139"/>
      <c r="G1395" s="1" t="str">
        <f>IFERROR(IF(ventas_b_mes1[[#This Row],[CUIT]]="","-",VLOOKUP(ventas_b_mes1[[#This Row],[CUIT]],Lista_CUIT[#All],2,0)),"CUIT NO CARGADO")</f>
        <v>-</v>
      </c>
      <c r="H1395" s="64">
        <f>ventas_b_mes1[[#This Row],[TOTAL]]/1.21</f>
        <v>0</v>
      </c>
      <c r="I1395" s="140">
        <f>ventas_b_mes1[[#This Row],[IMPORTE NETO]]*0.21</f>
        <v>0</v>
      </c>
      <c r="J1395" s="141"/>
      <c r="K1395" s="141"/>
      <c r="L1395" s="141"/>
      <c r="M1395" s="59"/>
    </row>
    <row r="1396" spans="2:13">
      <c r="B1396" s="135"/>
      <c r="C1396" s="136"/>
      <c r="D1396" s="137"/>
      <c r="E1396" s="138"/>
      <c r="F1396" s="139"/>
      <c r="G1396" s="1" t="str">
        <f>IFERROR(IF(ventas_b_mes1[[#This Row],[CUIT]]="","-",VLOOKUP(ventas_b_mes1[[#This Row],[CUIT]],Lista_CUIT[#All],2,0)),"CUIT NO CARGADO")</f>
        <v>-</v>
      </c>
      <c r="H1396" s="64">
        <f>ventas_b_mes1[[#This Row],[TOTAL]]/1.21</f>
        <v>0</v>
      </c>
      <c r="I1396" s="140">
        <f>ventas_b_mes1[[#This Row],[IMPORTE NETO]]*0.21</f>
        <v>0</v>
      </c>
      <c r="J1396" s="141"/>
      <c r="K1396" s="141"/>
      <c r="L1396" s="141"/>
      <c r="M1396" s="59"/>
    </row>
    <row r="1397" spans="2:13">
      <c r="B1397" s="135"/>
      <c r="C1397" s="136"/>
      <c r="D1397" s="137"/>
      <c r="E1397" s="138"/>
      <c r="F1397" s="139"/>
      <c r="G1397" s="1" t="str">
        <f>IFERROR(IF(ventas_b_mes1[[#This Row],[CUIT]]="","-",VLOOKUP(ventas_b_mes1[[#This Row],[CUIT]],Lista_CUIT[#All],2,0)),"CUIT NO CARGADO")</f>
        <v>-</v>
      </c>
      <c r="H1397" s="64">
        <f>ventas_b_mes1[[#This Row],[TOTAL]]/1.21</f>
        <v>0</v>
      </c>
      <c r="I1397" s="140">
        <f>ventas_b_mes1[[#This Row],[IMPORTE NETO]]*0.21</f>
        <v>0</v>
      </c>
      <c r="J1397" s="141"/>
      <c r="K1397" s="141"/>
      <c r="L1397" s="141"/>
      <c r="M1397" s="59"/>
    </row>
    <row r="1398" spans="2:13">
      <c r="B1398" s="135"/>
      <c r="C1398" s="136"/>
      <c r="D1398" s="137"/>
      <c r="E1398" s="138"/>
      <c r="F1398" s="139"/>
      <c r="G1398" s="1" t="str">
        <f>IFERROR(IF(ventas_b_mes1[[#This Row],[CUIT]]="","-",VLOOKUP(ventas_b_mes1[[#This Row],[CUIT]],Lista_CUIT[#All],2,0)),"CUIT NO CARGADO")</f>
        <v>-</v>
      </c>
      <c r="H1398" s="64">
        <f>ventas_b_mes1[[#This Row],[TOTAL]]/1.21</f>
        <v>0</v>
      </c>
      <c r="I1398" s="140">
        <f>ventas_b_mes1[[#This Row],[IMPORTE NETO]]*0.21</f>
        <v>0</v>
      </c>
      <c r="J1398" s="141"/>
      <c r="K1398" s="141"/>
      <c r="L1398" s="141"/>
      <c r="M1398" s="59"/>
    </row>
    <row r="1399" spans="2:13">
      <c r="B1399" s="135"/>
      <c r="C1399" s="136"/>
      <c r="D1399" s="137"/>
      <c r="E1399" s="138"/>
      <c r="F1399" s="139"/>
      <c r="G1399" s="1" t="str">
        <f>IFERROR(IF(ventas_b_mes1[[#This Row],[CUIT]]="","-",VLOOKUP(ventas_b_mes1[[#This Row],[CUIT]],Lista_CUIT[#All],2,0)),"CUIT NO CARGADO")</f>
        <v>-</v>
      </c>
      <c r="H1399" s="64">
        <f>ventas_b_mes1[[#This Row],[TOTAL]]/1.21</f>
        <v>0</v>
      </c>
      <c r="I1399" s="140">
        <f>ventas_b_mes1[[#This Row],[IMPORTE NETO]]*0.21</f>
        <v>0</v>
      </c>
      <c r="J1399" s="141"/>
      <c r="K1399" s="141"/>
      <c r="L1399" s="141"/>
      <c r="M1399" s="59"/>
    </row>
    <row r="1400" spans="2:13">
      <c r="B1400" s="135"/>
      <c r="C1400" s="136"/>
      <c r="D1400" s="137"/>
      <c r="E1400" s="138"/>
      <c r="F1400" s="139"/>
      <c r="G1400" s="1" t="str">
        <f>IFERROR(IF(ventas_b_mes1[[#This Row],[CUIT]]="","-",VLOOKUP(ventas_b_mes1[[#This Row],[CUIT]],Lista_CUIT[#All],2,0)),"CUIT NO CARGADO")</f>
        <v>-</v>
      </c>
      <c r="H1400" s="64">
        <f>ventas_b_mes1[[#This Row],[TOTAL]]/1.21</f>
        <v>0</v>
      </c>
      <c r="I1400" s="140">
        <f>ventas_b_mes1[[#This Row],[IMPORTE NETO]]*0.21</f>
        <v>0</v>
      </c>
      <c r="J1400" s="141"/>
      <c r="K1400" s="141"/>
      <c r="L1400" s="141"/>
      <c r="M1400" s="59"/>
    </row>
    <row r="1401" spans="2:13">
      <c r="B1401" s="135"/>
      <c r="C1401" s="136"/>
      <c r="D1401" s="137"/>
      <c r="E1401" s="138"/>
      <c r="F1401" s="139"/>
      <c r="G1401" s="1" t="str">
        <f>IFERROR(IF(ventas_b_mes1[[#This Row],[CUIT]]="","-",VLOOKUP(ventas_b_mes1[[#This Row],[CUIT]],Lista_CUIT[#All],2,0)),"CUIT NO CARGADO")</f>
        <v>-</v>
      </c>
      <c r="H1401" s="64">
        <f>ventas_b_mes1[[#This Row],[TOTAL]]/1.21</f>
        <v>0</v>
      </c>
      <c r="I1401" s="140">
        <f>ventas_b_mes1[[#This Row],[IMPORTE NETO]]*0.21</f>
        <v>0</v>
      </c>
      <c r="J1401" s="141"/>
      <c r="K1401" s="141"/>
      <c r="L1401" s="141"/>
      <c r="M1401" s="59"/>
    </row>
    <row r="1402" spans="2:13">
      <c r="B1402" s="135"/>
      <c r="C1402" s="136"/>
      <c r="D1402" s="137"/>
      <c r="E1402" s="138"/>
      <c r="F1402" s="139"/>
      <c r="G1402" s="1" t="str">
        <f>IFERROR(IF(ventas_b_mes1[[#This Row],[CUIT]]="","-",VLOOKUP(ventas_b_mes1[[#This Row],[CUIT]],Lista_CUIT[#All],2,0)),"CUIT NO CARGADO")</f>
        <v>-</v>
      </c>
      <c r="H1402" s="64">
        <f>ventas_b_mes1[[#This Row],[TOTAL]]/1.21</f>
        <v>0</v>
      </c>
      <c r="I1402" s="140">
        <f>ventas_b_mes1[[#This Row],[IMPORTE NETO]]*0.21</f>
        <v>0</v>
      </c>
      <c r="J1402" s="141"/>
      <c r="K1402" s="141"/>
      <c r="L1402" s="141"/>
      <c r="M1402" s="59"/>
    </row>
    <row r="1403" spans="2:13">
      <c r="B1403" s="135"/>
      <c r="C1403" s="136"/>
      <c r="D1403" s="137"/>
      <c r="E1403" s="138"/>
      <c r="F1403" s="139"/>
      <c r="G1403" s="1" t="str">
        <f>IFERROR(IF(ventas_b_mes1[[#This Row],[CUIT]]="","-",VLOOKUP(ventas_b_mes1[[#This Row],[CUIT]],Lista_CUIT[#All],2,0)),"CUIT NO CARGADO")</f>
        <v>-</v>
      </c>
      <c r="H1403" s="64">
        <f>ventas_b_mes1[[#This Row],[TOTAL]]/1.21</f>
        <v>0</v>
      </c>
      <c r="I1403" s="140">
        <f>ventas_b_mes1[[#This Row],[IMPORTE NETO]]*0.21</f>
        <v>0</v>
      </c>
      <c r="J1403" s="141"/>
      <c r="K1403" s="141"/>
      <c r="L1403" s="141"/>
      <c r="M1403" s="59"/>
    </row>
    <row r="1404" spans="2:13">
      <c r="B1404" s="135"/>
      <c r="C1404" s="136"/>
      <c r="D1404" s="137"/>
      <c r="E1404" s="138"/>
      <c r="F1404" s="139"/>
      <c r="G1404" s="1" t="str">
        <f>IFERROR(IF(ventas_b_mes1[[#This Row],[CUIT]]="","-",VLOOKUP(ventas_b_mes1[[#This Row],[CUIT]],Lista_CUIT[#All],2,0)),"CUIT NO CARGADO")</f>
        <v>-</v>
      </c>
      <c r="H1404" s="64">
        <f>ventas_b_mes1[[#This Row],[TOTAL]]/1.21</f>
        <v>0</v>
      </c>
      <c r="I1404" s="140">
        <f>ventas_b_mes1[[#This Row],[IMPORTE NETO]]*0.21</f>
        <v>0</v>
      </c>
      <c r="J1404" s="141"/>
      <c r="K1404" s="141"/>
      <c r="L1404" s="141"/>
      <c r="M1404" s="59"/>
    </row>
    <row r="1405" spans="2:13">
      <c r="B1405" s="135"/>
      <c r="C1405" s="136"/>
      <c r="D1405" s="137"/>
      <c r="E1405" s="138"/>
      <c r="F1405" s="139"/>
      <c r="G1405" s="1" t="str">
        <f>IFERROR(IF(ventas_b_mes1[[#This Row],[CUIT]]="","-",VLOOKUP(ventas_b_mes1[[#This Row],[CUIT]],Lista_CUIT[#All],2,0)),"CUIT NO CARGADO")</f>
        <v>-</v>
      </c>
      <c r="H1405" s="64">
        <f>ventas_b_mes1[[#This Row],[TOTAL]]/1.21</f>
        <v>0</v>
      </c>
      <c r="I1405" s="140">
        <f>ventas_b_mes1[[#This Row],[IMPORTE NETO]]*0.21</f>
        <v>0</v>
      </c>
      <c r="J1405" s="141"/>
      <c r="K1405" s="141"/>
      <c r="L1405" s="141"/>
      <c r="M1405" s="59"/>
    </row>
    <row r="1406" spans="2:13">
      <c r="B1406" s="135"/>
      <c r="C1406" s="136"/>
      <c r="D1406" s="137"/>
      <c r="E1406" s="138"/>
      <c r="F1406" s="139"/>
      <c r="G1406" s="1" t="str">
        <f>IFERROR(IF(ventas_b_mes1[[#This Row],[CUIT]]="","-",VLOOKUP(ventas_b_mes1[[#This Row],[CUIT]],Lista_CUIT[#All],2,0)),"CUIT NO CARGADO")</f>
        <v>-</v>
      </c>
      <c r="H1406" s="64">
        <f>ventas_b_mes1[[#This Row],[TOTAL]]/1.21</f>
        <v>0</v>
      </c>
      <c r="I1406" s="140">
        <f>ventas_b_mes1[[#This Row],[IMPORTE NETO]]*0.21</f>
        <v>0</v>
      </c>
      <c r="J1406" s="141"/>
      <c r="K1406" s="141"/>
      <c r="L1406" s="141"/>
      <c r="M1406" s="59"/>
    </row>
    <row r="1407" spans="2:13">
      <c r="B1407" s="135"/>
      <c r="C1407" s="136"/>
      <c r="D1407" s="137"/>
      <c r="E1407" s="138"/>
      <c r="F1407" s="139"/>
      <c r="G1407" s="1" t="str">
        <f>IFERROR(IF(ventas_b_mes1[[#This Row],[CUIT]]="","-",VLOOKUP(ventas_b_mes1[[#This Row],[CUIT]],Lista_CUIT[#All],2,0)),"CUIT NO CARGADO")</f>
        <v>-</v>
      </c>
      <c r="H1407" s="64">
        <f>ventas_b_mes1[[#This Row],[TOTAL]]/1.21</f>
        <v>0</v>
      </c>
      <c r="I1407" s="140">
        <f>ventas_b_mes1[[#This Row],[IMPORTE NETO]]*0.21</f>
        <v>0</v>
      </c>
      <c r="J1407" s="141"/>
      <c r="K1407" s="141"/>
      <c r="L1407" s="141"/>
      <c r="M1407" s="59"/>
    </row>
    <row r="1408" spans="2:13">
      <c r="B1408" s="135"/>
      <c r="C1408" s="136"/>
      <c r="D1408" s="137"/>
      <c r="E1408" s="138"/>
      <c r="F1408" s="139"/>
      <c r="G1408" s="1" t="str">
        <f>IFERROR(IF(ventas_b_mes1[[#This Row],[CUIT]]="","-",VLOOKUP(ventas_b_mes1[[#This Row],[CUIT]],Lista_CUIT[#All],2,0)),"CUIT NO CARGADO")</f>
        <v>-</v>
      </c>
      <c r="H1408" s="64">
        <f>ventas_b_mes1[[#This Row],[TOTAL]]/1.21</f>
        <v>0</v>
      </c>
      <c r="I1408" s="140">
        <f>ventas_b_mes1[[#This Row],[IMPORTE NETO]]*0.21</f>
        <v>0</v>
      </c>
      <c r="J1408" s="141"/>
      <c r="K1408" s="141"/>
      <c r="L1408" s="141"/>
      <c r="M1408" s="59"/>
    </row>
    <row r="1409" spans="2:13">
      <c r="B1409" s="135"/>
      <c r="C1409" s="136"/>
      <c r="D1409" s="137"/>
      <c r="E1409" s="138"/>
      <c r="F1409" s="139"/>
      <c r="G1409" s="1" t="str">
        <f>IFERROR(IF(ventas_b_mes1[[#This Row],[CUIT]]="","-",VLOOKUP(ventas_b_mes1[[#This Row],[CUIT]],Lista_CUIT[#All],2,0)),"CUIT NO CARGADO")</f>
        <v>-</v>
      </c>
      <c r="H1409" s="64">
        <f>ventas_b_mes1[[#This Row],[TOTAL]]/1.21</f>
        <v>0</v>
      </c>
      <c r="I1409" s="140">
        <f>ventas_b_mes1[[#This Row],[IMPORTE NETO]]*0.21</f>
        <v>0</v>
      </c>
      <c r="J1409" s="141"/>
      <c r="K1409" s="141"/>
      <c r="L1409" s="141"/>
      <c r="M1409" s="59"/>
    </row>
    <row r="1410" spans="2:13">
      <c r="B1410" s="135"/>
      <c r="C1410" s="136"/>
      <c r="D1410" s="137"/>
      <c r="E1410" s="138"/>
      <c r="F1410" s="139"/>
      <c r="G1410" s="1" t="str">
        <f>IFERROR(IF(ventas_b_mes1[[#This Row],[CUIT]]="","-",VLOOKUP(ventas_b_mes1[[#This Row],[CUIT]],Lista_CUIT[#All],2,0)),"CUIT NO CARGADO")</f>
        <v>-</v>
      </c>
      <c r="H1410" s="64">
        <f>ventas_b_mes1[[#This Row],[TOTAL]]/1.21</f>
        <v>0</v>
      </c>
      <c r="I1410" s="140">
        <f>ventas_b_mes1[[#This Row],[IMPORTE NETO]]*0.21</f>
        <v>0</v>
      </c>
      <c r="J1410" s="141"/>
      <c r="K1410" s="141"/>
      <c r="L1410" s="141"/>
      <c r="M1410" s="59"/>
    </row>
    <row r="1411" spans="2:13">
      <c r="B1411" s="135"/>
      <c r="C1411" s="136"/>
      <c r="D1411" s="137"/>
      <c r="E1411" s="138"/>
      <c r="F1411" s="139"/>
      <c r="G1411" s="1" t="str">
        <f>IFERROR(IF(ventas_b_mes1[[#This Row],[CUIT]]="","-",VLOOKUP(ventas_b_mes1[[#This Row],[CUIT]],Lista_CUIT[#All],2,0)),"CUIT NO CARGADO")</f>
        <v>-</v>
      </c>
      <c r="H1411" s="64">
        <f>ventas_b_mes1[[#This Row],[TOTAL]]/1.21</f>
        <v>0</v>
      </c>
      <c r="I1411" s="140">
        <f>ventas_b_mes1[[#This Row],[IMPORTE NETO]]*0.21</f>
        <v>0</v>
      </c>
      <c r="J1411" s="141"/>
      <c r="K1411" s="141"/>
      <c r="L1411" s="141"/>
      <c r="M1411" s="59"/>
    </row>
    <row r="1412" spans="2:13">
      <c r="B1412" s="135"/>
      <c r="C1412" s="136"/>
      <c r="D1412" s="137"/>
      <c r="E1412" s="138"/>
      <c r="F1412" s="139"/>
      <c r="G1412" s="1" t="str">
        <f>IFERROR(IF(ventas_b_mes1[[#This Row],[CUIT]]="","-",VLOOKUP(ventas_b_mes1[[#This Row],[CUIT]],Lista_CUIT[#All],2,0)),"CUIT NO CARGADO")</f>
        <v>-</v>
      </c>
      <c r="H1412" s="64">
        <f>ventas_b_mes1[[#This Row],[TOTAL]]/1.21</f>
        <v>0</v>
      </c>
      <c r="I1412" s="140">
        <f>ventas_b_mes1[[#This Row],[IMPORTE NETO]]*0.21</f>
        <v>0</v>
      </c>
      <c r="J1412" s="141"/>
      <c r="K1412" s="141"/>
      <c r="L1412" s="141"/>
      <c r="M1412" s="59"/>
    </row>
    <row r="1413" spans="2:13">
      <c r="B1413" s="135"/>
      <c r="C1413" s="136"/>
      <c r="D1413" s="137"/>
      <c r="E1413" s="138"/>
      <c r="F1413" s="139"/>
      <c r="G1413" s="1" t="str">
        <f>IFERROR(IF(ventas_b_mes1[[#This Row],[CUIT]]="","-",VLOOKUP(ventas_b_mes1[[#This Row],[CUIT]],Lista_CUIT[#All],2,0)),"CUIT NO CARGADO")</f>
        <v>-</v>
      </c>
      <c r="H1413" s="64">
        <f>ventas_b_mes1[[#This Row],[TOTAL]]/1.21</f>
        <v>0</v>
      </c>
      <c r="I1413" s="140">
        <f>ventas_b_mes1[[#This Row],[IMPORTE NETO]]*0.21</f>
        <v>0</v>
      </c>
      <c r="J1413" s="141"/>
      <c r="K1413" s="141"/>
      <c r="L1413" s="141"/>
      <c r="M1413" s="59"/>
    </row>
    <row r="1414" spans="2:13">
      <c r="B1414" s="135"/>
      <c r="C1414" s="136"/>
      <c r="D1414" s="137"/>
      <c r="E1414" s="138"/>
      <c r="F1414" s="139"/>
      <c r="G1414" s="1" t="str">
        <f>IFERROR(IF(ventas_b_mes1[[#This Row],[CUIT]]="","-",VLOOKUP(ventas_b_mes1[[#This Row],[CUIT]],Lista_CUIT[#All],2,0)),"CUIT NO CARGADO")</f>
        <v>-</v>
      </c>
      <c r="H1414" s="64">
        <f>ventas_b_mes1[[#This Row],[TOTAL]]/1.21</f>
        <v>0</v>
      </c>
      <c r="I1414" s="140">
        <f>ventas_b_mes1[[#This Row],[IMPORTE NETO]]*0.21</f>
        <v>0</v>
      </c>
      <c r="J1414" s="141"/>
      <c r="K1414" s="141"/>
      <c r="L1414" s="141"/>
      <c r="M1414" s="59"/>
    </row>
    <row r="1415" spans="2:13">
      <c r="B1415" s="135"/>
      <c r="C1415" s="136"/>
      <c r="D1415" s="137"/>
      <c r="E1415" s="138"/>
      <c r="F1415" s="139"/>
      <c r="G1415" s="1" t="str">
        <f>IFERROR(IF(ventas_b_mes1[[#This Row],[CUIT]]="","-",VLOOKUP(ventas_b_mes1[[#This Row],[CUIT]],Lista_CUIT[#All],2,0)),"CUIT NO CARGADO")</f>
        <v>-</v>
      </c>
      <c r="H1415" s="64">
        <f>ventas_b_mes1[[#This Row],[TOTAL]]/1.21</f>
        <v>0</v>
      </c>
      <c r="I1415" s="140">
        <f>ventas_b_mes1[[#This Row],[IMPORTE NETO]]*0.21</f>
        <v>0</v>
      </c>
      <c r="J1415" s="141"/>
      <c r="K1415" s="141"/>
      <c r="L1415" s="141"/>
      <c r="M1415" s="59"/>
    </row>
    <row r="1416" spans="2:13">
      <c r="B1416" s="135"/>
      <c r="C1416" s="136"/>
      <c r="D1416" s="137"/>
      <c r="E1416" s="138"/>
      <c r="F1416" s="139"/>
      <c r="G1416" s="1" t="str">
        <f>IFERROR(IF(ventas_b_mes1[[#This Row],[CUIT]]="","-",VLOOKUP(ventas_b_mes1[[#This Row],[CUIT]],Lista_CUIT[#All],2,0)),"CUIT NO CARGADO")</f>
        <v>-</v>
      </c>
      <c r="H1416" s="64">
        <f>ventas_b_mes1[[#This Row],[TOTAL]]/1.21</f>
        <v>0</v>
      </c>
      <c r="I1416" s="140">
        <f>ventas_b_mes1[[#This Row],[IMPORTE NETO]]*0.21</f>
        <v>0</v>
      </c>
      <c r="J1416" s="141"/>
      <c r="K1416" s="141"/>
      <c r="L1416" s="141"/>
      <c r="M1416" s="59"/>
    </row>
    <row r="1417" spans="2:13">
      <c r="B1417" s="135"/>
      <c r="C1417" s="136"/>
      <c r="D1417" s="137"/>
      <c r="E1417" s="138"/>
      <c r="F1417" s="139"/>
      <c r="G1417" s="1" t="str">
        <f>IFERROR(IF(ventas_b_mes1[[#This Row],[CUIT]]="","-",VLOOKUP(ventas_b_mes1[[#This Row],[CUIT]],Lista_CUIT[#All],2,0)),"CUIT NO CARGADO")</f>
        <v>-</v>
      </c>
      <c r="H1417" s="64">
        <f>ventas_b_mes1[[#This Row],[TOTAL]]/1.21</f>
        <v>0</v>
      </c>
      <c r="I1417" s="140">
        <f>ventas_b_mes1[[#This Row],[IMPORTE NETO]]*0.21</f>
        <v>0</v>
      </c>
      <c r="J1417" s="141"/>
      <c r="K1417" s="141"/>
      <c r="L1417" s="141"/>
      <c r="M1417" s="59"/>
    </row>
    <row r="1418" spans="2:13">
      <c r="B1418" s="135"/>
      <c r="C1418" s="136"/>
      <c r="D1418" s="137"/>
      <c r="E1418" s="138"/>
      <c r="F1418" s="139"/>
      <c r="G1418" s="1" t="str">
        <f>IFERROR(IF(ventas_b_mes1[[#This Row],[CUIT]]="","-",VLOOKUP(ventas_b_mes1[[#This Row],[CUIT]],Lista_CUIT[#All],2,0)),"CUIT NO CARGADO")</f>
        <v>-</v>
      </c>
      <c r="H1418" s="64">
        <f>ventas_b_mes1[[#This Row],[TOTAL]]/1.21</f>
        <v>0</v>
      </c>
      <c r="I1418" s="140">
        <f>ventas_b_mes1[[#This Row],[IMPORTE NETO]]*0.21</f>
        <v>0</v>
      </c>
      <c r="J1418" s="141"/>
      <c r="K1418" s="141"/>
      <c r="L1418" s="141"/>
      <c r="M1418" s="59"/>
    </row>
    <row r="1419" spans="2:13">
      <c r="B1419" s="135"/>
      <c r="C1419" s="136"/>
      <c r="D1419" s="137"/>
      <c r="E1419" s="138"/>
      <c r="F1419" s="139"/>
      <c r="G1419" s="1" t="str">
        <f>IFERROR(IF(ventas_b_mes1[[#This Row],[CUIT]]="","-",VLOOKUP(ventas_b_mes1[[#This Row],[CUIT]],Lista_CUIT[#All],2,0)),"CUIT NO CARGADO")</f>
        <v>-</v>
      </c>
      <c r="H1419" s="64">
        <f>ventas_b_mes1[[#This Row],[TOTAL]]/1.21</f>
        <v>0</v>
      </c>
      <c r="I1419" s="140">
        <f>ventas_b_mes1[[#This Row],[IMPORTE NETO]]*0.21</f>
        <v>0</v>
      </c>
      <c r="J1419" s="141"/>
      <c r="K1419" s="141"/>
      <c r="L1419" s="141"/>
      <c r="M1419" s="59"/>
    </row>
    <row r="1420" spans="2:13">
      <c r="B1420" s="135"/>
      <c r="C1420" s="136"/>
      <c r="D1420" s="137"/>
      <c r="E1420" s="138"/>
      <c r="F1420" s="139"/>
      <c r="G1420" s="1" t="str">
        <f>IFERROR(IF(ventas_b_mes1[[#This Row],[CUIT]]="","-",VLOOKUP(ventas_b_mes1[[#This Row],[CUIT]],Lista_CUIT[#All],2,0)),"CUIT NO CARGADO")</f>
        <v>-</v>
      </c>
      <c r="H1420" s="64">
        <f>ventas_b_mes1[[#This Row],[TOTAL]]/1.21</f>
        <v>0</v>
      </c>
      <c r="I1420" s="140">
        <f>ventas_b_mes1[[#This Row],[IMPORTE NETO]]*0.21</f>
        <v>0</v>
      </c>
      <c r="J1420" s="141"/>
      <c r="K1420" s="141"/>
      <c r="L1420" s="141"/>
      <c r="M1420" s="59"/>
    </row>
    <row r="1421" spans="2:13">
      <c r="B1421" s="135"/>
      <c r="C1421" s="136"/>
      <c r="D1421" s="137"/>
      <c r="E1421" s="138"/>
      <c r="F1421" s="139"/>
      <c r="G1421" s="1" t="str">
        <f>IFERROR(IF(ventas_b_mes1[[#This Row],[CUIT]]="","-",VLOOKUP(ventas_b_mes1[[#This Row],[CUIT]],Lista_CUIT[#All],2,0)),"CUIT NO CARGADO")</f>
        <v>-</v>
      </c>
      <c r="H1421" s="64">
        <f>ventas_b_mes1[[#This Row],[TOTAL]]/1.21</f>
        <v>0</v>
      </c>
      <c r="I1421" s="140">
        <f>ventas_b_mes1[[#This Row],[IMPORTE NETO]]*0.21</f>
        <v>0</v>
      </c>
      <c r="J1421" s="141"/>
      <c r="K1421" s="141"/>
      <c r="L1421" s="141"/>
      <c r="M1421" s="59"/>
    </row>
    <row r="1422" spans="2:13">
      <c r="B1422" s="135"/>
      <c r="C1422" s="136"/>
      <c r="D1422" s="137"/>
      <c r="E1422" s="138"/>
      <c r="F1422" s="139"/>
      <c r="G1422" s="1" t="str">
        <f>IFERROR(IF(ventas_b_mes1[[#This Row],[CUIT]]="","-",VLOOKUP(ventas_b_mes1[[#This Row],[CUIT]],Lista_CUIT[#All],2,0)),"CUIT NO CARGADO")</f>
        <v>-</v>
      </c>
      <c r="H1422" s="64">
        <f>ventas_b_mes1[[#This Row],[TOTAL]]/1.21</f>
        <v>0</v>
      </c>
      <c r="I1422" s="140">
        <f>ventas_b_mes1[[#This Row],[IMPORTE NETO]]*0.21</f>
        <v>0</v>
      </c>
      <c r="J1422" s="141"/>
      <c r="K1422" s="141"/>
      <c r="L1422" s="141"/>
      <c r="M1422" s="59"/>
    </row>
    <row r="1423" spans="2:13">
      <c r="B1423" s="135"/>
      <c r="C1423" s="136"/>
      <c r="D1423" s="137"/>
      <c r="E1423" s="138"/>
      <c r="F1423" s="139"/>
      <c r="G1423" s="1" t="str">
        <f>IFERROR(IF(ventas_b_mes1[[#This Row],[CUIT]]="","-",VLOOKUP(ventas_b_mes1[[#This Row],[CUIT]],Lista_CUIT[#All],2,0)),"CUIT NO CARGADO")</f>
        <v>-</v>
      </c>
      <c r="H1423" s="64">
        <f>ventas_b_mes1[[#This Row],[TOTAL]]/1.21</f>
        <v>0</v>
      </c>
      <c r="I1423" s="140">
        <f>ventas_b_mes1[[#This Row],[IMPORTE NETO]]*0.21</f>
        <v>0</v>
      </c>
      <c r="J1423" s="141"/>
      <c r="K1423" s="141"/>
      <c r="L1423" s="141"/>
      <c r="M1423" s="59"/>
    </row>
    <row r="1424" spans="2:13">
      <c r="B1424" s="135"/>
      <c r="C1424" s="136"/>
      <c r="D1424" s="137"/>
      <c r="E1424" s="138"/>
      <c r="F1424" s="139"/>
      <c r="G1424" s="1" t="str">
        <f>IFERROR(IF(ventas_b_mes1[[#This Row],[CUIT]]="","-",VLOOKUP(ventas_b_mes1[[#This Row],[CUIT]],Lista_CUIT[#All],2,0)),"CUIT NO CARGADO")</f>
        <v>-</v>
      </c>
      <c r="H1424" s="64">
        <f>ventas_b_mes1[[#This Row],[TOTAL]]/1.21</f>
        <v>0</v>
      </c>
      <c r="I1424" s="140">
        <f>ventas_b_mes1[[#This Row],[IMPORTE NETO]]*0.21</f>
        <v>0</v>
      </c>
      <c r="J1424" s="141"/>
      <c r="K1424" s="141"/>
      <c r="L1424" s="141"/>
      <c r="M1424" s="59"/>
    </row>
    <row r="1425" spans="2:13">
      <c r="B1425" s="135"/>
      <c r="C1425" s="136"/>
      <c r="D1425" s="137"/>
      <c r="E1425" s="138"/>
      <c r="F1425" s="139"/>
      <c r="G1425" s="1" t="str">
        <f>IFERROR(IF(ventas_b_mes1[[#This Row],[CUIT]]="","-",VLOOKUP(ventas_b_mes1[[#This Row],[CUIT]],Lista_CUIT[#All],2,0)),"CUIT NO CARGADO")</f>
        <v>-</v>
      </c>
      <c r="H1425" s="64">
        <f>ventas_b_mes1[[#This Row],[TOTAL]]/1.21</f>
        <v>0</v>
      </c>
      <c r="I1425" s="140">
        <f>ventas_b_mes1[[#This Row],[IMPORTE NETO]]*0.21</f>
        <v>0</v>
      </c>
      <c r="J1425" s="141"/>
      <c r="K1425" s="141"/>
      <c r="L1425" s="141"/>
      <c r="M1425" s="59"/>
    </row>
    <row r="1426" spans="2:13">
      <c r="B1426" s="135"/>
      <c r="C1426" s="136"/>
      <c r="D1426" s="137"/>
      <c r="E1426" s="138"/>
      <c r="F1426" s="139"/>
      <c r="G1426" s="1" t="str">
        <f>IFERROR(IF(ventas_b_mes1[[#This Row],[CUIT]]="","-",VLOOKUP(ventas_b_mes1[[#This Row],[CUIT]],Lista_CUIT[#All],2,0)),"CUIT NO CARGADO")</f>
        <v>-</v>
      </c>
      <c r="H1426" s="64">
        <f>ventas_b_mes1[[#This Row],[TOTAL]]/1.21</f>
        <v>0</v>
      </c>
      <c r="I1426" s="140">
        <f>ventas_b_mes1[[#This Row],[IMPORTE NETO]]*0.21</f>
        <v>0</v>
      </c>
      <c r="J1426" s="141"/>
      <c r="K1426" s="141"/>
      <c r="L1426" s="141"/>
      <c r="M1426" s="59"/>
    </row>
    <row r="1427" spans="2:13">
      <c r="B1427" s="135"/>
      <c r="C1427" s="136"/>
      <c r="D1427" s="137"/>
      <c r="E1427" s="138"/>
      <c r="F1427" s="139"/>
      <c r="G1427" s="1" t="str">
        <f>IFERROR(IF(ventas_b_mes1[[#This Row],[CUIT]]="","-",VLOOKUP(ventas_b_mes1[[#This Row],[CUIT]],Lista_CUIT[#All],2,0)),"CUIT NO CARGADO")</f>
        <v>-</v>
      </c>
      <c r="H1427" s="64">
        <f>ventas_b_mes1[[#This Row],[TOTAL]]/1.21</f>
        <v>0</v>
      </c>
      <c r="I1427" s="140">
        <f>ventas_b_mes1[[#This Row],[IMPORTE NETO]]*0.21</f>
        <v>0</v>
      </c>
      <c r="J1427" s="141"/>
      <c r="K1427" s="141"/>
      <c r="L1427" s="141"/>
      <c r="M1427" s="59"/>
    </row>
    <row r="1428" spans="2:13">
      <c r="B1428" s="135"/>
      <c r="C1428" s="136"/>
      <c r="D1428" s="137"/>
      <c r="E1428" s="138"/>
      <c r="F1428" s="139"/>
      <c r="G1428" s="1" t="str">
        <f>IFERROR(IF(ventas_b_mes1[[#This Row],[CUIT]]="","-",VLOOKUP(ventas_b_mes1[[#This Row],[CUIT]],Lista_CUIT[#All],2,0)),"CUIT NO CARGADO")</f>
        <v>-</v>
      </c>
      <c r="H1428" s="64">
        <f>ventas_b_mes1[[#This Row],[TOTAL]]/1.21</f>
        <v>0</v>
      </c>
      <c r="I1428" s="140">
        <f>ventas_b_mes1[[#This Row],[IMPORTE NETO]]*0.21</f>
        <v>0</v>
      </c>
      <c r="J1428" s="141"/>
      <c r="K1428" s="141"/>
      <c r="L1428" s="141"/>
      <c r="M1428" s="59"/>
    </row>
    <row r="1429" spans="2:13">
      <c r="B1429" s="135"/>
      <c r="C1429" s="136"/>
      <c r="D1429" s="137"/>
      <c r="E1429" s="138"/>
      <c r="F1429" s="139"/>
      <c r="G1429" s="1" t="str">
        <f>IFERROR(IF(ventas_b_mes1[[#This Row],[CUIT]]="","-",VLOOKUP(ventas_b_mes1[[#This Row],[CUIT]],Lista_CUIT[#All],2,0)),"CUIT NO CARGADO")</f>
        <v>-</v>
      </c>
      <c r="H1429" s="64">
        <f>ventas_b_mes1[[#This Row],[TOTAL]]/1.21</f>
        <v>0</v>
      </c>
      <c r="I1429" s="140">
        <f>ventas_b_mes1[[#This Row],[IMPORTE NETO]]*0.21</f>
        <v>0</v>
      </c>
      <c r="J1429" s="141"/>
      <c r="K1429" s="141"/>
      <c r="L1429" s="141"/>
      <c r="M1429" s="59"/>
    </row>
    <row r="1430" spans="2:13">
      <c r="B1430" s="135"/>
      <c r="C1430" s="136"/>
      <c r="D1430" s="137"/>
      <c r="E1430" s="138"/>
      <c r="F1430" s="139"/>
      <c r="G1430" s="1" t="str">
        <f>IFERROR(IF(ventas_b_mes1[[#This Row],[CUIT]]="","-",VLOOKUP(ventas_b_mes1[[#This Row],[CUIT]],Lista_CUIT[#All],2,0)),"CUIT NO CARGADO")</f>
        <v>-</v>
      </c>
      <c r="H1430" s="64">
        <f>ventas_b_mes1[[#This Row],[TOTAL]]/1.21</f>
        <v>0</v>
      </c>
      <c r="I1430" s="140">
        <f>ventas_b_mes1[[#This Row],[IMPORTE NETO]]*0.21</f>
        <v>0</v>
      </c>
      <c r="J1430" s="141"/>
      <c r="K1430" s="141"/>
      <c r="L1430" s="141"/>
      <c r="M1430" s="59"/>
    </row>
    <row r="1431" spans="2:13">
      <c r="B1431" s="135"/>
      <c r="C1431" s="136"/>
      <c r="D1431" s="137"/>
      <c r="E1431" s="138"/>
      <c r="F1431" s="139"/>
      <c r="G1431" s="1" t="str">
        <f>IFERROR(IF(ventas_b_mes1[[#This Row],[CUIT]]="","-",VLOOKUP(ventas_b_mes1[[#This Row],[CUIT]],Lista_CUIT[#All],2,0)),"CUIT NO CARGADO")</f>
        <v>-</v>
      </c>
      <c r="H1431" s="64">
        <f>ventas_b_mes1[[#This Row],[TOTAL]]/1.21</f>
        <v>0</v>
      </c>
      <c r="I1431" s="140">
        <f>ventas_b_mes1[[#This Row],[IMPORTE NETO]]*0.21</f>
        <v>0</v>
      </c>
      <c r="J1431" s="141"/>
      <c r="K1431" s="141"/>
      <c r="L1431" s="141"/>
      <c r="M1431" s="59"/>
    </row>
    <row r="1432" spans="2:13">
      <c r="B1432" s="135"/>
      <c r="C1432" s="136"/>
      <c r="D1432" s="137"/>
      <c r="E1432" s="138"/>
      <c r="F1432" s="139"/>
      <c r="G1432" s="1" t="str">
        <f>IFERROR(IF(ventas_b_mes1[[#This Row],[CUIT]]="","-",VLOOKUP(ventas_b_mes1[[#This Row],[CUIT]],Lista_CUIT[#All],2,0)),"CUIT NO CARGADO")</f>
        <v>-</v>
      </c>
      <c r="H1432" s="64">
        <f>ventas_b_mes1[[#This Row],[TOTAL]]/1.21</f>
        <v>0</v>
      </c>
      <c r="I1432" s="140">
        <f>ventas_b_mes1[[#This Row],[IMPORTE NETO]]*0.21</f>
        <v>0</v>
      </c>
      <c r="J1432" s="141"/>
      <c r="K1432" s="141"/>
      <c r="L1432" s="141"/>
      <c r="M1432" s="59"/>
    </row>
    <row r="1433" spans="2:13">
      <c r="B1433" s="135"/>
      <c r="C1433" s="136"/>
      <c r="D1433" s="137"/>
      <c r="E1433" s="138"/>
      <c r="F1433" s="139"/>
      <c r="G1433" s="1" t="str">
        <f>IFERROR(IF(ventas_b_mes1[[#This Row],[CUIT]]="","-",VLOOKUP(ventas_b_mes1[[#This Row],[CUIT]],Lista_CUIT[#All],2,0)),"CUIT NO CARGADO")</f>
        <v>-</v>
      </c>
      <c r="H1433" s="64">
        <f>ventas_b_mes1[[#This Row],[TOTAL]]/1.21</f>
        <v>0</v>
      </c>
      <c r="I1433" s="140">
        <f>ventas_b_mes1[[#This Row],[IMPORTE NETO]]*0.21</f>
        <v>0</v>
      </c>
      <c r="J1433" s="141"/>
      <c r="K1433" s="141"/>
      <c r="L1433" s="141"/>
      <c r="M1433" s="59"/>
    </row>
    <row r="1434" spans="2:13">
      <c r="B1434" s="135"/>
      <c r="C1434" s="136"/>
      <c r="D1434" s="137"/>
      <c r="E1434" s="138"/>
      <c r="F1434" s="139"/>
      <c r="G1434" s="1" t="str">
        <f>IFERROR(IF(ventas_b_mes1[[#This Row],[CUIT]]="","-",VLOOKUP(ventas_b_mes1[[#This Row],[CUIT]],Lista_CUIT[#All],2,0)),"CUIT NO CARGADO")</f>
        <v>-</v>
      </c>
      <c r="H1434" s="64">
        <f>ventas_b_mes1[[#This Row],[TOTAL]]/1.21</f>
        <v>0</v>
      </c>
      <c r="I1434" s="140">
        <f>ventas_b_mes1[[#This Row],[IMPORTE NETO]]*0.21</f>
        <v>0</v>
      </c>
      <c r="J1434" s="141"/>
      <c r="K1434" s="141"/>
      <c r="L1434" s="141"/>
      <c r="M1434" s="59"/>
    </row>
    <row r="1435" spans="2:13">
      <c r="B1435" s="135"/>
      <c r="C1435" s="136"/>
      <c r="D1435" s="137"/>
      <c r="E1435" s="138"/>
      <c r="F1435" s="139"/>
      <c r="G1435" s="1" t="str">
        <f>IFERROR(IF(ventas_b_mes1[[#This Row],[CUIT]]="","-",VLOOKUP(ventas_b_mes1[[#This Row],[CUIT]],Lista_CUIT[#All],2,0)),"CUIT NO CARGADO")</f>
        <v>-</v>
      </c>
      <c r="H1435" s="64">
        <f>ventas_b_mes1[[#This Row],[TOTAL]]/1.21</f>
        <v>0</v>
      </c>
      <c r="I1435" s="140">
        <f>ventas_b_mes1[[#This Row],[IMPORTE NETO]]*0.21</f>
        <v>0</v>
      </c>
      <c r="J1435" s="141"/>
      <c r="K1435" s="141"/>
      <c r="L1435" s="141"/>
      <c r="M1435" s="59"/>
    </row>
    <row r="1436" spans="2:13">
      <c r="B1436" s="135"/>
      <c r="C1436" s="136"/>
      <c r="D1436" s="137"/>
      <c r="E1436" s="138"/>
      <c r="F1436" s="139"/>
      <c r="G1436" s="1" t="str">
        <f>IFERROR(IF(ventas_b_mes1[[#This Row],[CUIT]]="","-",VLOOKUP(ventas_b_mes1[[#This Row],[CUIT]],Lista_CUIT[#All],2,0)),"CUIT NO CARGADO")</f>
        <v>-</v>
      </c>
      <c r="H1436" s="64">
        <f>ventas_b_mes1[[#This Row],[TOTAL]]/1.21</f>
        <v>0</v>
      </c>
      <c r="I1436" s="140">
        <f>ventas_b_mes1[[#This Row],[IMPORTE NETO]]*0.21</f>
        <v>0</v>
      </c>
      <c r="J1436" s="141"/>
      <c r="K1436" s="141"/>
      <c r="L1436" s="141"/>
      <c r="M1436" s="59"/>
    </row>
    <row r="1437" spans="2:13">
      <c r="B1437" s="135"/>
      <c r="C1437" s="136"/>
      <c r="D1437" s="137"/>
      <c r="E1437" s="138"/>
      <c r="F1437" s="139"/>
      <c r="G1437" s="1" t="str">
        <f>IFERROR(IF(ventas_b_mes1[[#This Row],[CUIT]]="","-",VLOOKUP(ventas_b_mes1[[#This Row],[CUIT]],Lista_CUIT[#All],2,0)),"CUIT NO CARGADO")</f>
        <v>-</v>
      </c>
      <c r="H1437" s="64">
        <f>ventas_b_mes1[[#This Row],[TOTAL]]/1.21</f>
        <v>0</v>
      </c>
      <c r="I1437" s="140">
        <f>ventas_b_mes1[[#This Row],[IMPORTE NETO]]*0.21</f>
        <v>0</v>
      </c>
      <c r="J1437" s="141"/>
      <c r="K1437" s="141"/>
      <c r="L1437" s="141"/>
      <c r="M1437" s="59"/>
    </row>
    <row r="1438" spans="2:13">
      <c r="B1438" s="135"/>
      <c r="C1438" s="136"/>
      <c r="D1438" s="137"/>
      <c r="E1438" s="138"/>
      <c r="F1438" s="139"/>
      <c r="G1438" s="1" t="str">
        <f>IFERROR(IF(ventas_b_mes1[[#This Row],[CUIT]]="","-",VLOOKUP(ventas_b_mes1[[#This Row],[CUIT]],Lista_CUIT[#All],2,0)),"CUIT NO CARGADO")</f>
        <v>-</v>
      </c>
      <c r="H1438" s="64">
        <f>ventas_b_mes1[[#This Row],[TOTAL]]/1.21</f>
        <v>0</v>
      </c>
      <c r="I1438" s="140">
        <f>ventas_b_mes1[[#This Row],[IMPORTE NETO]]*0.21</f>
        <v>0</v>
      </c>
      <c r="J1438" s="141"/>
      <c r="K1438" s="141"/>
      <c r="L1438" s="141"/>
      <c r="M1438" s="59"/>
    </row>
    <row r="1439" spans="2:13">
      <c r="B1439" s="135"/>
      <c r="C1439" s="136"/>
      <c r="D1439" s="137"/>
      <c r="E1439" s="138"/>
      <c r="F1439" s="139"/>
      <c r="G1439" s="1" t="str">
        <f>IFERROR(IF(ventas_b_mes1[[#This Row],[CUIT]]="","-",VLOOKUP(ventas_b_mes1[[#This Row],[CUIT]],Lista_CUIT[#All],2,0)),"CUIT NO CARGADO")</f>
        <v>-</v>
      </c>
      <c r="H1439" s="64">
        <f>ventas_b_mes1[[#This Row],[TOTAL]]/1.21</f>
        <v>0</v>
      </c>
      <c r="I1439" s="140">
        <f>ventas_b_mes1[[#This Row],[IMPORTE NETO]]*0.21</f>
        <v>0</v>
      </c>
      <c r="J1439" s="141"/>
      <c r="K1439" s="141"/>
      <c r="L1439" s="141"/>
      <c r="M1439" s="59"/>
    </row>
    <row r="1440" spans="2:13">
      <c r="B1440" s="135"/>
      <c r="C1440" s="136"/>
      <c r="D1440" s="137"/>
      <c r="E1440" s="138"/>
      <c r="F1440" s="139"/>
      <c r="G1440" s="1" t="str">
        <f>IFERROR(IF(ventas_b_mes1[[#This Row],[CUIT]]="","-",VLOOKUP(ventas_b_mes1[[#This Row],[CUIT]],Lista_CUIT[#All],2,0)),"CUIT NO CARGADO")</f>
        <v>-</v>
      </c>
      <c r="H1440" s="64">
        <f>ventas_b_mes1[[#This Row],[TOTAL]]/1.21</f>
        <v>0</v>
      </c>
      <c r="I1440" s="140">
        <f>ventas_b_mes1[[#This Row],[IMPORTE NETO]]*0.21</f>
        <v>0</v>
      </c>
      <c r="J1440" s="141"/>
      <c r="K1440" s="141"/>
      <c r="L1440" s="141"/>
      <c r="M1440" s="59"/>
    </row>
    <row r="1441" spans="2:13">
      <c r="B1441" s="135"/>
      <c r="C1441" s="136"/>
      <c r="D1441" s="137"/>
      <c r="E1441" s="138"/>
      <c r="F1441" s="139"/>
      <c r="G1441" s="1" t="str">
        <f>IFERROR(IF(ventas_b_mes1[[#This Row],[CUIT]]="","-",VLOOKUP(ventas_b_mes1[[#This Row],[CUIT]],Lista_CUIT[#All],2,0)),"CUIT NO CARGADO")</f>
        <v>-</v>
      </c>
      <c r="H1441" s="64">
        <f>ventas_b_mes1[[#This Row],[TOTAL]]/1.21</f>
        <v>0</v>
      </c>
      <c r="I1441" s="140">
        <f>ventas_b_mes1[[#This Row],[IMPORTE NETO]]*0.21</f>
        <v>0</v>
      </c>
      <c r="J1441" s="141"/>
      <c r="K1441" s="141"/>
      <c r="L1441" s="141"/>
      <c r="M1441" s="59"/>
    </row>
    <row r="1442" spans="2:13">
      <c r="B1442" s="135"/>
      <c r="C1442" s="136"/>
      <c r="D1442" s="137"/>
      <c r="E1442" s="138"/>
      <c r="F1442" s="139"/>
      <c r="G1442" s="1" t="str">
        <f>IFERROR(IF(ventas_b_mes1[[#This Row],[CUIT]]="","-",VLOOKUP(ventas_b_mes1[[#This Row],[CUIT]],Lista_CUIT[#All],2,0)),"CUIT NO CARGADO")</f>
        <v>-</v>
      </c>
      <c r="H1442" s="64">
        <f>ventas_b_mes1[[#This Row],[TOTAL]]/1.21</f>
        <v>0</v>
      </c>
      <c r="I1442" s="140">
        <f>ventas_b_mes1[[#This Row],[IMPORTE NETO]]*0.21</f>
        <v>0</v>
      </c>
      <c r="J1442" s="141"/>
      <c r="K1442" s="141"/>
      <c r="L1442" s="141"/>
      <c r="M1442" s="59"/>
    </row>
    <row r="1443" spans="2:13">
      <c r="B1443" s="135"/>
      <c r="C1443" s="136"/>
      <c r="D1443" s="137"/>
      <c r="E1443" s="138"/>
      <c r="F1443" s="139"/>
      <c r="G1443" s="1" t="str">
        <f>IFERROR(IF(ventas_b_mes1[[#This Row],[CUIT]]="","-",VLOOKUP(ventas_b_mes1[[#This Row],[CUIT]],Lista_CUIT[#All],2,0)),"CUIT NO CARGADO")</f>
        <v>-</v>
      </c>
      <c r="H1443" s="64">
        <f>ventas_b_mes1[[#This Row],[TOTAL]]/1.21</f>
        <v>0</v>
      </c>
      <c r="I1443" s="140">
        <f>ventas_b_mes1[[#This Row],[IMPORTE NETO]]*0.21</f>
        <v>0</v>
      </c>
      <c r="J1443" s="141"/>
      <c r="K1443" s="141"/>
      <c r="L1443" s="141"/>
      <c r="M1443" s="59"/>
    </row>
    <row r="1444" spans="2:13">
      <c r="B1444" s="135"/>
      <c r="C1444" s="136"/>
      <c r="D1444" s="137"/>
      <c r="E1444" s="138"/>
      <c r="F1444" s="139"/>
      <c r="G1444" s="1" t="str">
        <f>IFERROR(IF(ventas_b_mes1[[#This Row],[CUIT]]="","-",VLOOKUP(ventas_b_mes1[[#This Row],[CUIT]],Lista_CUIT[#All],2,0)),"CUIT NO CARGADO")</f>
        <v>-</v>
      </c>
      <c r="H1444" s="64">
        <f>ventas_b_mes1[[#This Row],[TOTAL]]/1.21</f>
        <v>0</v>
      </c>
      <c r="I1444" s="140">
        <f>ventas_b_mes1[[#This Row],[IMPORTE NETO]]*0.21</f>
        <v>0</v>
      </c>
      <c r="J1444" s="141"/>
      <c r="K1444" s="141"/>
      <c r="L1444" s="141"/>
      <c r="M1444" s="59"/>
    </row>
    <row r="1445" spans="2:13">
      <c r="B1445" s="135"/>
      <c r="C1445" s="136"/>
      <c r="D1445" s="137"/>
      <c r="E1445" s="138"/>
      <c r="F1445" s="139"/>
      <c r="G1445" s="1" t="str">
        <f>IFERROR(IF(ventas_b_mes1[[#This Row],[CUIT]]="","-",VLOOKUP(ventas_b_mes1[[#This Row],[CUIT]],Lista_CUIT[#All],2,0)),"CUIT NO CARGADO")</f>
        <v>-</v>
      </c>
      <c r="H1445" s="64">
        <f>ventas_b_mes1[[#This Row],[TOTAL]]/1.21</f>
        <v>0</v>
      </c>
      <c r="I1445" s="140">
        <f>ventas_b_mes1[[#This Row],[IMPORTE NETO]]*0.21</f>
        <v>0</v>
      </c>
      <c r="J1445" s="141"/>
      <c r="K1445" s="141"/>
      <c r="L1445" s="141"/>
      <c r="M1445" s="59"/>
    </row>
    <row r="1446" spans="2:13">
      <c r="B1446" s="135"/>
      <c r="C1446" s="136"/>
      <c r="D1446" s="137"/>
      <c r="E1446" s="138"/>
      <c r="F1446" s="139"/>
      <c r="G1446" s="1" t="str">
        <f>IFERROR(IF(ventas_b_mes1[[#This Row],[CUIT]]="","-",VLOOKUP(ventas_b_mes1[[#This Row],[CUIT]],Lista_CUIT[#All],2,0)),"CUIT NO CARGADO")</f>
        <v>-</v>
      </c>
      <c r="H1446" s="64">
        <f>ventas_b_mes1[[#This Row],[TOTAL]]/1.21</f>
        <v>0</v>
      </c>
      <c r="I1446" s="140">
        <f>ventas_b_mes1[[#This Row],[IMPORTE NETO]]*0.21</f>
        <v>0</v>
      </c>
      <c r="J1446" s="141"/>
      <c r="K1446" s="141"/>
      <c r="L1446" s="141"/>
      <c r="M1446" s="59"/>
    </row>
    <row r="1447" spans="2:13">
      <c r="B1447" s="135"/>
      <c r="C1447" s="136"/>
      <c r="D1447" s="137"/>
      <c r="E1447" s="138"/>
      <c r="F1447" s="139"/>
      <c r="G1447" s="1" t="str">
        <f>IFERROR(IF(ventas_b_mes1[[#This Row],[CUIT]]="","-",VLOOKUP(ventas_b_mes1[[#This Row],[CUIT]],Lista_CUIT[#All],2,0)),"CUIT NO CARGADO")</f>
        <v>-</v>
      </c>
      <c r="H1447" s="64">
        <f>ventas_b_mes1[[#This Row],[TOTAL]]/1.21</f>
        <v>0</v>
      </c>
      <c r="I1447" s="140">
        <f>ventas_b_mes1[[#This Row],[IMPORTE NETO]]*0.21</f>
        <v>0</v>
      </c>
      <c r="J1447" s="141"/>
      <c r="K1447" s="141"/>
      <c r="L1447" s="141"/>
      <c r="M1447" s="59"/>
    </row>
    <row r="1448" spans="2:13">
      <c r="B1448" s="135"/>
      <c r="C1448" s="136"/>
      <c r="D1448" s="137"/>
      <c r="E1448" s="138"/>
      <c r="F1448" s="139"/>
      <c r="G1448" s="1" t="str">
        <f>IFERROR(IF(ventas_b_mes1[[#This Row],[CUIT]]="","-",VLOOKUP(ventas_b_mes1[[#This Row],[CUIT]],Lista_CUIT[#All],2,0)),"CUIT NO CARGADO")</f>
        <v>-</v>
      </c>
      <c r="H1448" s="64">
        <f>ventas_b_mes1[[#This Row],[TOTAL]]/1.21</f>
        <v>0</v>
      </c>
      <c r="I1448" s="140">
        <f>ventas_b_mes1[[#This Row],[IMPORTE NETO]]*0.21</f>
        <v>0</v>
      </c>
      <c r="J1448" s="141"/>
      <c r="K1448" s="141"/>
      <c r="L1448" s="141"/>
      <c r="M1448" s="59"/>
    </row>
    <row r="1449" spans="2:13">
      <c r="B1449" s="135"/>
      <c r="C1449" s="136"/>
      <c r="D1449" s="137"/>
      <c r="E1449" s="138"/>
      <c r="F1449" s="139"/>
      <c r="G1449" s="1" t="str">
        <f>IFERROR(IF(ventas_b_mes1[[#This Row],[CUIT]]="","-",VLOOKUP(ventas_b_mes1[[#This Row],[CUIT]],Lista_CUIT[#All],2,0)),"CUIT NO CARGADO")</f>
        <v>-</v>
      </c>
      <c r="H1449" s="64">
        <f>ventas_b_mes1[[#This Row],[TOTAL]]/1.21</f>
        <v>0</v>
      </c>
      <c r="I1449" s="140">
        <f>ventas_b_mes1[[#This Row],[IMPORTE NETO]]*0.21</f>
        <v>0</v>
      </c>
      <c r="J1449" s="141"/>
      <c r="K1449" s="141"/>
      <c r="L1449" s="141"/>
      <c r="M1449" s="59"/>
    </row>
    <row r="1450" spans="2:13">
      <c r="B1450" s="135"/>
      <c r="C1450" s="136"/>
      <c r="D1450" s="137"/>
      <c r="E1450" s="138"/>
      <c r="F1450" s="139"/>
      <c r="G1450" s="1" t="str">
        <f>IFERROR(IF(ventas_b_mes1[[#This Row],[CUIT]]="","-",VLOOKUP(ventas_b_mes1[[#This Row],[CUIT]],Lista_CUIT[#All],2,0)),"CUIT NO CARGADO")</f>
        <v>-</v>
      </c>
      <c r="H1450" s="64">
        <f>ventas_b_mes1[[#This Row],[TOTAL]]/1.21</f>
        <v>0</v>
      </c>
      <c r="I1450" s="140">
        <f>ventas_b_mes1[[#This Row],[IMPORTE NETO]]*0.21</f>
        <v>0</v>
      </c>
      <c r="J1450" s="141"/>
      <c r="K1450" s="141"/>
      <c r="L1450" s="141"/>
      <c r="M1450" s="59"/>
    </row>
    <row r="1451" spans="2:13">
      <c r="B1451" s="135"/>
      <c r="C1451" s="136"/>
      <c r="D1451" s="137"/>
      <c r="E1451" s="138"/>
      <c r="F1451" s="139"/>
      <c r="G1451" s="1" t="str">
        <f>IFERROR(IF(ventas_b_mes1[[#This Row],[CUIT]]="","-",VLOOKUP(ventas_b_mes1[[#This Row],[CUIT]],Lista_CUIT[#All],2,0)),"CUIT NO CARGADO")</f>
        <v>-</v>
      </c>
      <c r="H1451" s="64">
        <f>ventas_b_mes1[[#This Row],[TOTAL]]/1.21</f>
        <v>0</v>
      </c>
      <c r="I1451" s="140">
        <f>ventas_b_mes1[[#This Row],[IMPORTE NETO]]*0.21</f>
        <v>0</v>
      </c>
      <c r="J1451" s="141"/>
      <c r="K1451" s="141"/>
      <c r="L1451" s="141"/>
      <c r="M1451" s="59"/>
    </row>
    <row r="1452" spans="2:13">
      <c r="B1452" s="135"/>
      <c r="C1452" s="136"/>
      <c r="D1452" s="137"/>
      <c r="E1452" s="138"/>
      <c r="F1452" s="139"/>
      <c r="G1452" s="1" t="str">
        <f>IFERROR(IF(ventas_b_mes1[[#This Row],[CUIT]]="","-",VLOOKUP(ventas_b_mes1[[#This Row],[CUIT]],Lista_CUIT[#All],2,0)),"CUIT NO CARGADO")</f>
        <v>-</v>
      </c>
      <c r="H1452" s="64">
        <f>ventas_b_mes1[[#This Row],[TOTAL]]/1.21</f>
        <v>0</v>
      </c>
      <c r="I1452" s="140">
        <f>ventas_b_mes1[[#This Row],[IMPORTE NETO]]*0.21</f>
        <v>0</v>
      </c>
      <c r="J1452" s="141"/>
      <c r="K1452" s="141"/>
      <c r="L1452" s="141"/>
      <c r="M1452" s="59"/>
    </row>
    <row r="1453" spans="2:13">
      <c r="B1453" s="135"/>
      <c r="C1453" s="136"/>
      <c r="D1453" s="137"/>
      <c r="E1453" s="138"/>
      <c r="F1453" s="139"/>
      <c r="G1453" s="1" t="str">
        <f>IFERROR(IF(ventas_b_mes1[[#This Row],[CUIT]]="","-",VLOOKUP(ventas_b_mes1[[#This Row],[CUIT]],Lista_CUIT[#All],2,0)),"CUIT NO CARGADO")</f>
        <v>-</v>
      </c>
      <c r="H1453" s="64">
        <f>ventas_b_mes1[[#This Row],[TOTAL]]/1.21</f>
        <v>0</v>
      </c>
      <c r="I1453" s="140">
        <f>ventas_b_mes1[[#This Row],[IMPORTE NETO]]*0.21</f>
        <v>0</v>
      </c>
      <c r="J1453" s="141"/>
      <c r="K1453" s="141"/>
      <c r="L1453" s="141"/>
      <c r="M1453" s="59"/>
    </row>
    <row r="1454" spans="2:13">
      <c r="B1454" s="135"/>
      <c r="C1454" s="136"/>
      <c r="D1454" s="137"/>
      <c r="E1454" s="138"/>
      <c r="F1454" s="139"/>
      <c r="G1454" s="1" t="str">
        <f>IFERROR(IF(ventas_b_mes1[[#This Row],[CUIT]]="","-",VLOOKUP(ventas_b_mes1[[#This Row],[CUIT]],Lista_CUIT[#All],2,0)),"CUIT NO CARGADO")</f>
        <v>-</v>
      </c>
      <c r="H1454" s="64">
        <f>ventas_b_mes1[[#This Row],[TOTAL]]/1.21</f>
        <v>0</v>
      </c>
      <c r="I1454" s="140">
        <f>ventas_b_mes1[[#This Row],[IMPORTE NETO]]*0.21</f>
        <v>0</v>
      </c>
      <c r="J1454" s="141"/>
      <c r="K1454" s="141"/>
      <c r="L1454" s="141"/>
      <c r="M1454" s="59"/>
    </row>
    <row r="1455" spans="2:13">
      <c r="B1455" s="135"/>
      <c r="C1455" s="136"/>
      <c r="D1455" s="137"/>
      <c r="E1455" s="138"/>
      <c r="F1455" s="139"/>
      <c r="G1455" s="1" t="str">
        <f>IFERROR(IF(ventas_b_mes1[[#This Row],[CUIT]]="","-",VLOOKUP(ventas_b_mes1[[#This Row],[CUIT]],Lista_CUIT[#All],2,0)),"CUIT NO CARGADO")</f>
        <v>-</v>
      </c>
      <c r="H1455" s="64">
        <f>ventas_b_mes1[[#This Row],[TOTAL]]/1.21</f>
        <v>0</v>
      </c>
      <c r="I1455" s="140">
        <f>ventas_b_mes1[[#This Row],[IMPORTE NETO]]*0.21</f>
        <v>0</v>
      </c>
      <c r="J1455" s="141"/>
      <c r="K1455" s="141"/>
      <c r="L1455" s="141"/>
      <c r="M1455" s="59"/>
    </row>
    <row r="1456" spans="2:13">
      <c r="B1456" s="135"/>
      <c r="C1456" s="136"/>
      <c r="D1456" s="137"/>
      <c r="E1456" s="138"/>
      <c r="F1456" s="139"/>
      <c r="G1456" s="1" t="str">
        <f>IFERROR(IF(ventas_b_mes1[[#This Row],[CUIT]]="","-",VLOOKUP(ventas_b_mes1[[#This Row],[CUIT]],Lista_CUIT[#All],2,0)),"CUIT NO CARGADO")</f>
        <v>-</v>
      </c>
      <c r="H1456" s="64">
        <f>ventas_b_mes1[[#This Row],[TOTAL]]/1.21</f>
        <v>0</v>
      </c>
      <c r="I1456" s="140">
        <f>ventas_b_mes1[[#This Row],[IMPORTE NETO]]*0.21</f>
        <v>0</v>
      </c>
      <c r="J1456" s="141"/>
      <c r="K1456" s="141"/>
      <c r="L1456" s="141"/>
      <c r="M1456" s="59"/>
    </row>
    <row r="1457" spans="2:13">
      <c r="B1457" s="135"/>
      <c r="C1457" s="136"/>
      <c r="D1457" s="137"/>
      <c r="E1457" s="138"/>
      <c r="F1457" s="139"/>
      <c r="G1457" s="1" t="str">
        <f>IFERROR(IF(ventas_b_mes1[[#This Row],[CUIT]]="","-",VLOOKUP(ventas_b_mes1[[#This Row],[CUIT]],Lista_CUIT[#All],2,0)),"CUIT NO CARGADO")</f>
        <v>-</v>
      </c>
      <c r="H1457" s="64">
        <f>ventas_b_mes1[[#This Row],[TOTAL]]/1.21</f>
        <v>0</v>
      </c>
      <c r="I1457" s="140">
        <f>ventas_b_mes1[[#This Row],[IMPORTE NETO]]*0.21</f>
        <v>0</v>
      </c>
      <c r="J1457" s="141"/>
      <c r="K1457" s="141"/>
      <c r="L1457" s="141"/>
      <c r="M1457" s="59"/>
    </row>
    <row r="1458" spans="2:13">
      <c r="B1458" s="135"/>
      <c r="C1458" s="136"/>
      <c r="D1458" s="137"/>
      <c r="E1458" s="138"/>
      <c r="F1458" s="139"/>
      <c r="G1458" s="1" t="str">
        <f>IFERROR(IF(ventas_b_mes1[[#This Row],[CUIT]]="","-",VLOOKUP(ventas_b_mes1[[#This Row],[CUIT]],Lista_CUIT[#All],2,0)),"CUIT NO CARGADO")</f>
        <v>-</v>
      </c>
      <c r="H1458" s="64">
        <f>ventas_b_mes1[[#This Row],[TOTAL]]/1.21</f>
        <v>0</v>
      </c>
      <c r="I1458" s="140">
        <f>ventas_b_mes1[[#This Row],[IMPORTE NETO]]*0.21</f>
        <v>0</v>
      </c>
      <c r="J1458" s="141"/>
      <c r="K1458" s="141"/>
      <c r="L1458" s="141"/>
      <c r="M1458" s="59"/>
    </row>
    <row r="1459" spans="2:13">
      <c r="B1459" s="135"/>
      <c r="C1459" s="136"/>
      <c r="D1459" s="137"/>
      <c r="E1459" s="138"/>
      <c r="F1459" s="139"/>
      <c r="G1459" s="1" t="str">
        <f>IFERROR(IF(ventas_b_mes1[[#This Row],[CUIT]]="","-",VLOOKUP(ventas_b_mes1[[#This Row],[CUIT]],Lista_CUIT[#All],2,0)),"CUIT NO CARGADO")</f>
        <v>-</v>
      </c>
      <c r="H1459" s="64">
        <f>ventas_b_mes1[[#This Row],[TOTAL]]/1.21</f>
        <v>0</v>
      </c>
      <c r="I1459" s="140">
        <f>ventas_b_mes1[[#This Row],[IMPORTE NETO]]*0.21</f>
        <v>0</v>
      </c>
      <c r="J1459" s="141"/>
      <c r="K1459" s="141"/>
      <c r="L1459" s="141"/>
      <c r="M1459" s="59"/>
    </row>
    <row r="1460" spans="2:13">
      <c r="B1460" s="135"/>
      <c r="C1460" s="136"/>
      <c r="D1460" s="137"/>
      <c r="E1460" s="138"/>
      <c r="F1460" s="139"/>
      <c r="G1460" s="1" t="str">
        <f>IFERROR(IF(ventas_b_mes1[[#This Row],[CUIT]]="","-",VLOOKUP(ventas_b_mes1[[#This Row],[CUIT]],Lista_CUIT[#All],2,0)),"CUIT NO CARGADO")</f>
        <v>-</v>
      </c>
      <c r="H1460" s="64">
        <f>ventas_b_mes1[[#This Row],[TOTAL]]/1.21</f>
        <v>0</v>
      </c>
      <c r="I1460" s="140">
        <f>ventas_b_mes1[[#This Row],[IMPORTE NETO]]*0.21</f>
        <v>0</v>
      </c>
      <c r="J1460" s="141"/>
      <c r="K1460" s="141"/>
      <c r="L1460" s="141"/>
      <c r="M1460" s="59"/>
    </row>
    <row r="1461" spans="2:13">
      <c r="B1461" s="135"/>
      <c r="C1461" s="136"/>
      <c r="D1461" s="137"/>
      <c r="E1461" s="138"/>
      <c r="F1461" s="139"/>
      <c r="G1461" s="1" t="str">
        <f>IFERROR(IF(ventas_b_mes1[[#This Row],[CUIT]]="","-",VLOOKUP(ventas_b_mes1[[#This Row],[CUIT]],Lista_CUIT[#All],2,0)),"CUIT NO CARGADO")</f>
        <v>-</v>
      </c>
      <c r="H1461" s="64">
        <f>ventas_b_mes1[[#This Row],[TOTAL]]/1.21</f>
        <v>0</v>
      </c>
      <c r="I1461" s="140">
        <f>ventas_b_mes1[[#This Row],[IMPORTE NETO]]*0.21</f>
        <v>0</v>
      </c>
      <c r="J1461" s="141"/>
      <c r="K1461" s="141"/>
      <c r="L1461" s="141"/>
      <c r="M1461" s="59"/>
    </row>
    <row r="1462" spans="2:13">
      <c r="B1462" s="135"/>
      <c r="C1462" s="136"/>
      <c r="D1462" s="137"/>
      <c r="E1462" s="138"/>
      <c r="F1462" s="139"/>
      <c r="G1462" s="1" t="str">
        <f>IFERROR(IF(ventas_b_mes1[[#This Row],[CUIT]]="","-",VLOOKUP(ventas_b_mes1[[#This Row],[CUIT]],Lista_CUIT[#All],2,0)),"CUIT NO CARGADO")</f>
        <v>-</v>
      </c>
      <c r="H1462" s="64">
        <f>ventas_b_mes1[[#This Row],[TOTAL]]/1.21</f>
        <v>0</v>
      </c>
      <c r="I1462" s="140">
        <f>ventas_b_mes1[[#This Row],[IMPORTE NETO]]*0.21</f>
        <v>0</v>
      </c>
      <c r="J1462" s="141"/>
      <c r="K1462" s="141"/>
      <c r="L1462" s="141"/>
      <c r="M1462" s="59"/>
    </row>
    <row r="1463" spans="2:13">
      <c r="B1463" s="135"/>
      <c r="C1463" s="136"/>
      <c r="D1463" s="137"/>
      <c r="E1463" s="138"/>
      <c r="F1463" s="139"/>
      <c r="G1463" s="1" t="str">
        <f>IFERROR(IF(ventas_b_mes1[[#This Row],[CUIT]]="","-",VLOOKUP(ventas_b_mes1[[#This Row],[CUIT]],Lista_CUIT[#All],2,0)),"CUIT NO CARGADO")</f>
        <v>-</v>
      </c>
      <c r="H1463" s="64">
        <f>ventas_b_mes1[[#This Row],[TOTAL]]/1.21</f>
        <v>0</v>
      </c>
      <c r="I1463" s="140">
        <f>ventas_b_mes1[[#This Row],[IMPORTE NETO]]*0.21</f>
        <v>0</v>
      </c>
      <c r="J1463" s="141"/>
      <c r="K1463" s="141"/>
      <c r="L1463" s="141"/>
      <c r="M1463" s="59"/>
    </row>
    <row r="1464" spans="2:13">
      <c r="B1464" s="135"/>
      <c r="C1464" s="136"/>
      <c r="D1464" s="137"/>
      <c r="E1464" s="138"/>
      <c r="F1464" s="139"/>
      <c r="G1464" s="1" t="str">
        <f>IFERROR(IF(ventas_b_mes1[[#This Row],[CUIT]]="","-",VLOOKUP(ventas_b_mes1[[#This Row],[CUIT]],Lista_CUIT[#All],2,0)),"CUIT NO CARGADO")</f>
        <v>-</v>
      </c>
      <c r="H1464" s="64">
        <f>ventas_b_mes1[[#This Row],[TOTAL]]/1.21</f>
        <v>0</v>
      </c>
      <c r="I1464" s="140">
        <f>ventas_b_mes1[[#This Row],[IMPORTE NETO]]*0.21</f>
        <v>0</v>
      </c>
      <c r="J1464" s="141"/>
      <c r="K1464" s="141"/>
      <c r="L1464" s="141"/>
      <c r="M1464" s="59"/>
    </row>
    <row r="1465" spans="2:13">
      <c r="B1465" s="135"/>
      <c r="C1465" s="136"/>
      <c r="D1465" s="137"/>
      <c r="E1465" s="138"/>
      <c r="F1465" s="139"/>
      <c r="G1465" s="1" t="str">
        <f>IFERROR(IF(ventas_b_mes1[[#This Row],[CUIT]]="","-",VLOOKUP(ventas_b_mes1[[#This Row],[CUIT]],Lista_CUIT[#All],2,0)),"CUIT NO CARGADO")</f>
        <v>-</v>
      </c>
      <c r="H1465" s="64">
        <f>ventas_b_mes1[[#This Row],[TOTAL]]/1.21</f>
        <v>0</v>
      </c>
      <c r="I1465" s="140">
        <f>ventas_b_mes1[[#This Row],[IMPORTE NETO]]*0.21</f>
        <v>0</v>
      </c>
      <c r="J1465" s="141"/>
      <c r="K1465" s="141"/>
      <c r="L1465" s="141"/>
      <c r="M1465" s="59"/>
    </row>
    <row r="1466" spans="2:13">
      <c r="B1466" s="135"/>
      <c r="C1466" s="136"/>
      <c r="D1466" s="137"/>
      <c r="E1466" s="138"/>
      <c r="F1466" s="139"/>
      <c r="G1466" s="1" t="str">
        <f>IFERROR(IF(ventas_b_mes1[[#This Row],[CUIT]]="","-",VLOOKUP(ventas_b_mes1[[#This Row],[CUIT]],Lista_CUIT[#All],2,0)),"CUIT NO CARGADO")</f>
        <v>-</v>
      </c>
      <c r="H1466" s="64">
        <f>ventas_b_mes1[[#This Row],[TOTAL]]/1.21</f>
        <v>0</v>
      </c>
      <c r="I1466" s="140">
        <f>ventas_b_mes1[[#This Row],[IMPORTE NETO]]*0.21</f>
        <v>0</v>
      </c>
      <c r="J1466" s="141"/>
      <c r="K1466" s="141"/>
      <c r="L1466" s="141"/>
      <c r="M1466" s="59"/>
    </row>
    <row r="1467" spans="2:13">
      <c r="B1467" s="135"/>
      <c r="C1467" s="136"/>
      <c r="D1467" s="137"/>
      <c r="E1467" s="138"/>
      <c r="F1467" s="139"/>
      <c r="G1467" s="1" t="str">
        <f>IFERROR(IF(ventas_b_mes1[[#This Row],[CUIT]]="","-",VLOOKUP(ventas_b_mes1[[#This Row],[CUIT]],Lista_CUIT[#All],2,0)),"CUIT NO CARGADO")</f>
        <v>-</v>
      </c>
      <c r="H1467" s="64">
        <f>ventas_b_mes1[[#This Row],[TOTAL]]/1.21</f>
        <v>0</v>
      </c>
      <c r="I1467" s="140">
        <f>ventas_b_mes1[[#This Row],[IMPORTE NETO]]*0.21</f>
        <v>0</v>
      </c>
      <c r="J1467" s="141"/>
      <c r="K1467" s="141"/>
      <c r="L1467" s="141"/>
      <c r="M1467" s="59"/>
    </row>
    <row r="1468" spans="2:13">
      <c r="B1468" s="135"/>
      <c r="C1468" s="136"/>
      <c r="D1468" s="137"/>
      <c r="E1468" s="138"/>
      <c r="F1468" s="139"/>
      <c r="G1468" s="1" t="str">
        <f>IFERROR(IF(ventas_b_mes1[[#This Row],[CUIT]]="","-",VLOOKUP(ventas_b_mes1[[#This Row],[CUIT]],Lista_CUIT[#All],2,0)),"CUIT NO CARGADO")</f>
        <v>-</v>
      </c>
      <c r="H1468" s="64">
        <f>ventas_b_mes1[[#This Row],[TOTAL]]/1.21</f>
        <v>0</v>
      </c>
      <c r="I1468" s="140">
        <f>ventas_b_mes1[[#This Row],[IMPORTE NETO]]*0.21</f>
        <v>0</v>
      </c>
      <c r="J1468" s="141"/>
      <c r="K1468" s="141"/>
      <c r="L1468" s="141"/>
      <c r="M1468" s="59"/>
    </row>
    <row r="1469" spans="2:13">
      <c r="B1469" s="135"/>
      <c r="C1469" s="136"/>
      <c r="D1469" s="137"/>
      <c r="E1469" s="138"/>
      <c r="F1469" s="139"/>
      <c r="G1469" s="1" t="str">
        <f>IFERROR(IF(ventas_b_mes1[[#This Row],[CUIT]]="","-",VLOOKUP(ventas_b_mes1[[#This Row],[CUIT]],Lista_CUIT[#All],2,0)),"CUIT NO CARGADO")</f>
        <v>-</v>
      </c>
      <c r="H1469" s="64">
        <f>ventas_b_mes1[[#This Row],[TOTAL]]/1.21</f>
        <v>0</v>
      </c>
      <c r="I1469" s="140">
        <f>ventas_b_mes1[[#This Row],[IMPORTE NETO]]*0.21</f>
        <v>0</v>
      </c>
      <c r="J1469" s="141"/>
      <c r="K1469" s="141"/>
      <c r="L1469" s="141"/>
      <c r="M1469" s="59"/>
    </row>
    <row r="1470" spans="2:13">
      <c r="B1470" s="135"/>
      <c r="C1470" s="136"/>
      <c r="D1470" s="137"/>
      <c r="E1470" s="138"/>
      <c r="F1470" s="139"/>
      <c r="G1470" s="1" t="str">
        <f>IFERROR(IF(ventas_b_mes1[[#This Row],[CUIT]]="","-",VLOOKUP(ventas_b_mes1[[#This Row],[CUIT]],Lista_CUIT[#All],2,0)),"CUIT NO CARGADO")</f>
        <v>-</v>
      </c>
      <c r="H1470" s="64">
        <f>ventas_b_mes1[[#This Row],[TOTAL]]/1.21</f>
        <v>0</v>
      </c>
      <c r="I1470" s="140">
        <f>ventas_b_mes1[[#This Row],[IMPORTE NETO]]*0.21</f>
        <v>0</v>
      </c>
      <c r="J1470" s="141"/>
      <c r="K1470" s="141"/>
      <c r="L1470" s="141"/>
      <c r="M1470" s="59"/>
    </row>
    <row r="1471" spans="2:13">
      <c r="B1471" s="135"/>
      <c r="C1471" s="136"/>
      <c r="D1471" s="137"/>
      <c r="E1471" s="138"/>
      <c r="F1471" s="139"/>
      <c r="G1471" s="1" t="str">
        <f>IFERROR(IF(ventas_b_mes1[[#This Row],[CUIT]]="","-",VLOOKUP(ventas_b_mes1[[#This Row],[CUIT]],Lista_CUIT[#All],2,0)),"CUIT NO CARGADO")</f>
        <v>-</v>
      </c>
      <c r="H1471" s="64">
        <f>ventas_b_mes1[[#This Row],[TOTAL]]/1.21</f>
        <v>0</v>
      </c>
      <c r="I1471" s="140">
        <f>ventas_b_mes1[[#This Row],[IMPORTE NETO]]*0.21</f>
        <v>0</v>
      </c>
      <c r="J1471" s="141"/>
      <c r="K1471" s="141"/>
      <c r="L1471" s="141"/>
      <c r="M1471" s="59"/>
    </row>
    <row r="1472" spans="2:13">
      <c r="B1472" s="135"/>
      <c r="C1472" s="136"/>
      <c r="D1472" s="137"/>
      <c r="E1472" s="138"/>
      <c r="F1472" s="139"/>
      <c r="G1472" s="1" t="str">
        <f>IFERROR(IF(ventas_b_mes1[[#This Row],[CUIT]]="","-",VLOOKUP(ventas_b_mes1[[#This Row],[CUIT]],Lista_CUIT[#All],2,0)),"CUIT NO CARGADO")</f>
        <v>-</v>
      </c>
      <c r="H1472" s="64">
        <f>ventas_b_mes1[[#This Row],[TOTAL]]/1.21</f>
        <v>0</v>
      </c>
      <c r="I1472" s="140">
        <f>ventas_b_mes1[[#This Row],[IMPORTE NETO]]*0.21</f>
        <v>0</v>
      </c>
      <c r="J1472" s="141"/>
      <c r="K1472" s="141"/>
      <c r="L1472" s="141"/>
      <c r="M1472" s="59"/>
    </row>
    <row r="1473" spans="2:13">
      <c r="B1473" s="135"/>
      <c r="C1473" s="136"/>
      <c r="D1473" s="137"/>
      <c r="E1473" s="138"/>
      <c r="F1473" s="139"/>
      <c r="G1473" s="1" t="str">
        <f>IFERROR(IF(ventas_b_mes1[[#This Row],[CUIT]]="","-",VLOOKUP(ventas_b_mes1[[#This Row],[CUIT]],Lista_CUIT[#All],2,0)),"CUIT NO CARGADO")</f>
        <v>-</v>
      </c>
      <c r="H1473" s="64">
        <f>ventas_b_mes1[[#This Row],[TOTAL]]/1.21</f>
        <v>0</v>
      </c>
      <c r="I1473" s="140">
        <f>ventas_b_mes1[[#This Row],[IMPORTE NETO]]*0.21</f>
        <v>0</v>
      </c>
      <c r="J1473" s="141"/>
      <c r="K1473" s="141"/>
      <c r="L1473" s="141"/>
      <c r="M1473" s="59"/>
    </row>
    <row r="1474" spans="2:13">
      <c r="B1474" s="135"/>
      <c r="C1474" s="136"/>
      <c r="D1474" s="137"/>
      <c r="E1474" s="138"/>
      <c r="F1474" s="139"/>
      <c r="G1474" s="1" t="str">
        <f>IFERROR(IF(ventas_b_mes1[[#This Row],[CUIT]]="","-",VLOOKUP(ventas_b_mes1[[#This Row],[CUIT]],Lista_CUIT[#All],2,0)),"CUIT NO CARGADO")</f>
        <v>-</v>
      </c>
      <c r="H1474" s="64">
        <f>ventas_b_mes1[[#This Row],[TOTAL]]/1.21</f>
        <v>0</v>
      </c>
      <c r="I1474" s="140">
        <f>ventas_b_mes1[[#This Row],[IMPORTE NETO]]*0.21</f>
        <v>0</v>
      </c>
      <c r="J1474" s="141"/>
      <c r="K1474" s="141"/>
      <c r="L1474" s="141"/>
      <c r="M1474" s="59"/>
    </row>
    <row r="1475" spans="2:13">
      <c r="B1475" s="135"/>
      <c r="C1475" s="136"/>
      <c r="D1475" s="137"/>
      <c r="E1475" s="138"/>
      <c r="F1475" s="139"/>
      <c r="G1475" s="1" t="str">
        <f>IFERROR(IF(ventas_b_mes1[[#This Row],[CUIT]]="","-",VLOOKUP(ventas_b_mes1[[#This Row],[CUIT]],Lista_CUIT[#All],2,0)),"CUIT NO CARGADO")</f>
        <v>-</v>
      </c>
      <c r="H1475" s="64">
        <f>ventas_b_mes1[[#This Row],[TOTAL]]/1.21</f>
        <v>0</v>
      </c>
      <c r="I1475" s="140">
        <f>ventas_b_mes1[[#This Row],[IMPORTE NETO]]*0.21</f>
        <v>0</v>
      </c>
      <c r="J1475" s="141"/>
      <c r="K1475" s="141"/>
      <c r="L1475" s="141"/>
      <c r="M1475" s="59"/>
    </row>
    <row r="1476" spans="2:13">
      <c r="B1476" s="135"/>
      <c r="C1476" s="136"/>
      <c r="D1476" s="137"/>
      <c r="E1476" s="138"/>
      <c r="F1476" s="139"/>
      <c r="G1476" s="1" t="str">
        <f>IFERROR(IF(ventas_b_mes1[[#This Row],[CUIT]]="","-",VLOOKUP(ventas_b_mes1[[#This Row],[CUIT]],Lista_CUIT[#All],2,0)),"CUIT NO CARGADO")</f>
        <v>-</v>
      </c>
      <c r="H1476" s="64">
        <f>ventas_b_mes1[[#This Row],[TOTAL]]/1.21</f>
        <v>0</v>
      </c>
      <c r="I1476" s="140">
        <f>ventas_b_mes1[[#This Row],[IMPORTE NETO]]*0.21</f>
        <v>0</v>
      </c>
      <c r="J1476" s="141"/>
      <c r="K1476" s="141"/>
      <c r="L1476" s="141"/>
      <c r="M1476" s="59"/>
    </row>
    <row r="1477" spans="2:13">
      <c r="B1477" s="135"/>
      <c r="C1477" s="136"/>
      <c r="D1477" s="137"/>
      <c r="E1477" s="138"/>
      <c r="F1477" s="139"/>
      <c r="G1477" s="1" t="str">
        <f>IFERROR(IF(ventas_b_mes1[[#This Row],[CUIT]]="","-",VLOOKUP(ventas_b_mes1[[#This Row],[CUIT]],Lista_CUIT[#All],2,0)),"CUIT NO CARGADO")</f>
        <v>-</v>
      </c>
      <c r="H1477" s="64">
        <f>ventas_b_mes1[[#This Row],[TOTAL]]/1.21</f>
        <v>0</v>
      </c>
      <c r="I1477" s="140">
        <f>ventas_b_mes1[[#This Row],[IMPORTE NETO]]*0.21</f>
        <v>0</v>
      </c>
      <c r="J1477" s="141"/>
      <c r="K1477" s="141"/>
      <c r="L1477" s="141"/>
      <c r="M1477" s="59"/>
    </row>
    <row r="1478" spans="2:13">
      <c r="B1478" s="135"/>
      <c r="C1478" s="136"/>
      <c r="D1478" s="137"/>
      <c r="E1478" s="138"/>
      <c r="F1478" s="139"/>
      <c r="G1478" s="1" t="str">
        <f>IFERROR(IF(ventas_b_mes1[[#This Row],[CUIT]]="","-",VLOOKUP(ventas_b_mes1[[#This Row],[CUIT]],Lista_CUIT[#All],2,0)),"CUIT NO CARGADO")</f>
        <v>-</v>
      </c>
      <c r="H1478" s="64">
        <f>ventas_b_mes1[[#This Row],[TOTAL]]/1.21</f>
        <v>0</v>
      </c>
      <c r="I1478" s="140">
        <f>ventas_b_mes1[[#This Row],[IMPORTE NETO]]*0.21</f>
        <v>0</v>
      </c>
      <c r="J1478" s="141"/>
      <c r="K1478" s="141"/>
      <c r="L1478" s="141"/>
      <c r="M1478" s="59"/>
    </row>
    <row r="1479" spans="2:13">
      <c r="B1479" s="135"/>
      <c r="C1479" s="136"/>
      <c r="D1479" s="137"/>
      <c r="E1479" s="138"/>
      <c r="F1479" s="139"/>
      <c r="G1479" s="1" t="str">
        <f>IFERROR(IF(ventas_b_mes1[[#This Row],[CUIT]]="","-",VLOOKUP(ventas_b_mes1[[#This Row],[CUIT]],Lista_CUIT[#All],2,0)),"CUIT NO CARGADO")</f>
        <v>-</v>
      </c>
      <c r="H1479" s="64">
        <f>ventas_b_mes1[[#This Row],[TOTAL]]/1.21</f>
        <v>0</v>
      </c>
      <c r="I1479" s="140">
        <f>ventas_b_mes1[[#This Row],[IMPORTE NETO]]*0.21</f>
        <v>0</v>
      </c>
      <c r="J1479" s="141"/>
      <c r="K1479" s="141"/>
      <c r="L1479" s="141"/>
      <c r="M1479" s="59"/>
    </row>
    <row r="1480" spans="2:13">
      <c r="B1480" s="135"/>
      <c r="C1480" s="136"/>
      <c r="D1480" s="137"/>
      <c r="E1480" s="138"/>
      <c r="F1480" s="139"/>
      <c r="G1480" s="1" t="str">
        <f>IFERROR(IF(ventas_b_mes1[[#This Row],[CUIT]]="","-",VLOOKUP(ventas_b_mes1[[#This Row],[CUIT]],Lista_CUIT[#All],2,0)),"CUIT NO CARGADO")</f>
        <v>-</v>
      </c>
      <c r="H1480" s="64">
        <f>ventas_b_mes1[[#This Row],[TOTAL]]/1.21</f>
        <v>0</v>
      </c>
      <c r="I1480" s="140">
        <f>ventas_b_mes1[[#This Row],[IMPORTE NETO]]*0.21</f>
        <v>0</v>
      </c>
      <c r="J1480" s="141"/>
      <c r="K1480" s="141"/>
      <c r="L1480" s="141"/>
      <c r="M1480" s="59"/>
    </row>
    <row r="1481" spans="2:13">
      <c r="B1481" s="135"/>
      <c r="C1481" s="136"/>
      <c r="D1481" s="137"/>
      <c r="E1481" s="138"/>
      <c r="F1481" s="139"/>
      <c r="G1481" s="1" t="str">
        <f>IFERROR(IF(ventas_b_mes1[[#This Row],[CUIT]]="","-",VLOOKUP(ventas_b_mes1[[#This Row],[CUIT]],Lista_CUIT[#All],2,0)),"CUIT NO CARGADO")</f>
        <v>-</v>
      </c>
      <c r="H1481" s="64">
        <f>ventas_b_mes1[[#This Row],[TOTAL]]/1.21</f>
        <v>0</v>
      </c>
      <c r="I1481" s="140">
        <f>ventas_b_mes1[[#This Row],[IMPORTE NETO]]*0.21</f>
        <v>0</v>
      </c>
      <c r="J1481" s="141"/>
      <c r="K1481" s="141"/>
      <c r="L1481" s="141"/>
      <c r="M1481" s="59"/>
    </row>
    <row r="1482" spans="2:13">
      <c r="B1482" s="135"/>
      <c r="C1482" s="136"/>
      <c r="D1482" s="137"/>
      <c r="E1482" s="138"/>
      <c r="F1482" s="139"/>
      <c r="G1482" s="1" t="str">
        <f>IFERROR(IF(ventas_b_mes1[[#This Row],[CUIT]]="","-",VLOOKUP(ventas_b_mes1[[#This Row],[CUIT]],Lista_CUIT[#All],2,0)),"CUIT NO CARGADO")</f>
        <v>-</v>
      </c>
      <c r="H1482" s="64">
        <f>ventas_b_mes1[[#This Row],[TOTAL]]/1.21</f>
        <v>0</v>
      </c>
      <c r="I1482" s="140">
        <f>ventas_b_mes1[[#This Row],[IMPORTE NETO]]*0.21</f>
        <v>0</v>
      </c>
      <c r="J1482" s="141"/>
      <c r="K1482" s="141"/>
      <c r="L1482" s="141"/>
      <c r="M1482" s="59"/>
    </row>
    <row r="1483" spans="2:13">
      <c r="B1483" s="135"/>
      <c r="C1483" s="136"/>
      <c r="D1483" s="137"/>
      <c r="E1483" s="138"/>
      <c r="F1483" s="139"/>
      <c r="G1483" s="1" t="str">
        <f>IFERROR(IF(ventas_b_mes1[[#This Row],[CUIT]]="","-",VLOOKUP(ventas_b_mes1[[#This Row],[CUIT]],Lista_CUIT[#All],2,0)),"CUIT NO CARGADO")</f>
        <v>-</v>
      </c>
      <c r="H1483" s="64">
        <f>ventas_b_mes1[[#This Row],[TOTAL]]/1.21</f>
        <v>0</v>
      </c>
      <c r="I1483" s="140">
        <f>ventas_b_mes1[[#This Row],[IMPORTE NETO]]*0.21</f>
        <v>0</v>
      </c>
      <c r="J1483" s="141"/>
      <c r="K1483" s="141"/>
      <c r="L1483" s="141"/>
      <c r="M1483" s="59"/>
    </row>
    <row r="1484" spans="2:13">
      <c r="B1484" s="135"/>
      <c r="C1484" s="136"/>
      <c r="D1484" s="137"/>
      <c r="E1484" s="138"/>
      <c r="F1484" s="139"/>
      <c r="G1484" s="1" t="str">
        <f>IFERROR(IF(ventas_b_mes1[[#This Row],[CUIT]]="","-",VLOOKUP(ventas_b_mes1[[#This Row],[CUIT]],Lista_CUIT[#All],2,0)),"CUIT NO CARGADO")</f>
        <v>-</v>
      </c>
      <c r="H1484" s="64">
        <f>ventas_b_mes1[[#This Row],[TOTAL]]/1.21</f>
        <v>0</v>
      </c>
      <c r="I1484" s="140">
        <f>ventas_b_mes1[[#This Row],[IMPORTE NETO]]*0.21</f>
        <v>0</v>
      </c>
      <c r="J1484" s="141"/>
      <c r="K1484" s="141"/>
      <c r="L1484" s="141"/>
      <c r="M1484" s="59"/>
    </row>
    <row r="1485" spans="2:13">
      <c r="B1485" s="135"/>
      <c r="C1485" s="136"/>
      <c r="D1485" s="137"/>
      <c r="E1485" s="138"/>
      <c r="F1485" s="139"/>
      <c r="G1485" s="1" t="str">
        <f>IFERROR(IF(ventas_b_mes1[[#This Row],[CUIT]]="","-",VLOOKUP(ventas_b_mes1[[#This Row],[CUIT]],Lista_CUIT[#All],2,0)),"CUIT NO CARGADO")</f>
        <v>-</v>
      </c>
      <c r="H1485" s="64">
        <f>ventas_b_mes1[[#This Row],[TOTAL]]/1.21</f>
        <v>0</v>
      </c>
      <c r="I1485" s="140">
        <f>ventas_b_mes1[[#This Row],[IMPORTE NETO]]*0.21</f>
        <v>0</v>
      </c>
      <c r="J1485" s="141"/>
      <c r="K1485" s="141"/>
      <c r="L1485" s="141"/>
      <c r="M1485" s="59"/>
    </row>
    <row r="1486" spans="2:13">
      <c r="B1486" s="135"/>
      <c r="C1486" s="136"/>
      <c r="D1486" s="137"/>
      <c r="E1486" s="138"/>
      <c r="F1486" s="139"/>
      <c r="G1486" s="1" t="str">
        <f>IFERROR(IF(ventas_b_mes1[[#This Row],[CUIT]]="","-",VLOOKUP(ventas_b_mes1[[#This Row],[CUIT]],Lista_CUIT[#All],2,0)),"CUIT NO CARGADO")</f>
        <v>-</v>
      </c>
      <c r="H1486" s="64">
        <f>ventas_b_mes1[[#This Row],[TOTAL]]/1.21</f>
        <v>0</v>
      </c>
      <c r="I1486" s="140">
        <f>ventas_b_mes1[[#This Row],[IMPORTE NETO]]*0.21</f>
        <v>0</v>
      </c>
      <c r="J1486" s="141"/>
      <c r="K1486" s="141"/>
      <c r="L1486" s="141"/>
      <c r="M1486" s="59"/>
    </row>
    <row r="1487" spans="2:13">
      <c r="B1487" s="135"/>
      <c r="C1487" s="136"/>
      <c r="D1487" s="137"/>
      <c r="E1487" s="138"/>
      <c r="F1487" s="139"/>
      <c r="G1487" s="1" t="str">
        <f>IFERROR(IF(ventas_b_mes1[[#This Row],[CUIT]]="","-",VLOOKUP(ventas_b_mes1[[#This Row],[CUIT]],Lista_CUIT[#All],2,0)),"CUIT NO CARGADO")</f>
        <v>-</v>
      </c>
      <c r="H1487" s="64">
        <f>ventas_b_mes1[[#This Row],[TOTAL]]/1.21</f>
        <v>0</v>
      </c>
      <c r="I1487" s="140">
        <f>ventas_b_mes1[[#This Row],[IMPORTE NETO]]*0.21</f>
        <v>0</v>
      </c>
      <c r="J1487" s="141"/>
      <c r="K1487" s="141"/>
      <c r="L1487" s="141"/>
      <c r="M1487" s="59"/>
    </row>
    <row r="1488" spans="2:13">
      <c r="B1488" s="135"/>
      <c r="C1488" s="136"/>
      <c r="D1488" s="137"/>
      <c r="E1488" s="138"/>
      <c r="F1488" s="139"/>
      <c r="G1488" s="1" t="str">
        <f>IFERROR(IF(ventas_b_mes1[[#This Row],[CUIT]]="","-",VLOOKUP(ventas_b_mes1[[#This Row],[CUIT]],Lista_CUIT[#All],2,0)),"CUIT NO CARGADO")</f>
        <v>-</v>
      </c>
      <c r="H1488" s="64">
        <f>ventas_b_mes1[[#This Row],[TOTAL]]/1.21</f>
        <v>0</v>
      </c>
      <c r="I1488" s="140">
        <f>ventas_b_mes1[[#This Row],[IMPORTE NETO]]*0.21</f>
        <v>0</v>
      </c>
      <c r="J1488" s="141"/>
      <c r="K1488" s="141"/>
      <c r="L1488" s="141"/>
      <c r="M1488" s="59"/>
    </row>
    <row r="1489" spans="2:13">
      <c r="B1489" s="135"/>
      <c r="C1489" s="136"/>
      <c r="D1489" s="137"/>
      <c r="E1489" s="138"/>
      <c r="F1489" s="139"/>
      <c r="G1489" s="1" t="str">
        <f>IFERROR(IF(ventas_b_mes1[[#This Row],[CUIT]]="","-",VLOOKUP(ventas_b_mes1[[#This Row],[CUIT]],Lista_CUIT[#All],2,0)),"CUIT NO CARGADO")</f>
        <v>-</v>
      </c>
      <c r="H1489" s="64">
        <f>ventas_b_mes1[[#This Row],[TOTAL]]/1.21</f>
        <v>0</v>
      </c>
      <c r="I1489" s="140">
        <f>ventas_b_mes1[[#This Row],[IMPORTE NETO]]*0.21</f>
        <v>0</v>
      </c>
      <c r="J1489" s="141"/>
      <c r="K1489" s="141"/>
      <c r="L1489" s="141"/>
      <c r="M1489" s="59"/>
    </row>
    <row r="1490" spans="2:13">
      <c r="B1490" s="135"/>
      <c r="C1490" s="136"/>
      <c r="D1490" s="137"/>
      <c r="E1490" s="138"/>
      <c r="F1490" s="139"/>
      <c r="G1490" s="1" t="str">
        <f>IFERROR(IF(ventas_b_mes1[[#This Row],[CUIT]]="","-",VLOOKUP(ventas_b_mes1[[#This Row],[CUIT]],Lista_CUIT[#All],2,0)),"CUIT NO CARGADO")</f>
        <v>-</v>
      </c>
      <c r="H1490" s="64">
        <f>ventas_b_mes1[[#This Row],[TOTAL]]/1.21</f>
        <v>0</v>
      </c>
      <c r="I1490" s="140">
        <f>ventas_b_mes1[[#This Row],[IMPORTE NETO]]*0.21</f>
        <v>0</v>
      </c>
      <c r="J1490" s="141"/>
      <c r="K1490" s="141"/>
      <c r="L1490" s="141"/>
      <c r="M1490" s="59"/>
    </row>
    <row r="1491" spans="2:13">
      <c r="B1491" s="135"/>
      <c r="C1491" s="136"/>
      <c r="D1491" s="137"/>
      <c r="E1491" s="138"/>
      <c r="F1491" s="139"/>
      <c r="G1491" s="1" t="str">
        <f>IFERROR(IF(ventas_b_mes1[[#This Row],[CUIT]]="","-",VLOOKUP(ventas_b_mes1[[#This Row],[CUIT]],Lista_CUIT[#All],2,0)),"CUIT NO CARGADO")</f>
        <v>-</v>
      </c>
      <c r="H1491" s="64">
        <f>ventas_b_mes1[[#This Row],[TOTAL]]/1.21</f>
        <v>0</v>
      </c>
      <c r="I1491" s="140">
        <f>ventas_b_mes1[[#This Row],[IMPORTE NETO]]*0.21</f>
        <v>0</v>
      </c>
      <c r="J1491" s="141"/>
      <c r="K1491" s="141"/>
      <c r="L1491" s="141"/>
      <c r="M1491" s="59"/>
    </row>
    <row r="1492" spans="2:13">
      <c r="B1492" s="135"/>
      <c r="C1492" s="136"/>
      <c r="D1492" s="137"/>
      <c r="E1492" s="138"/>
      <c r="F1492" s="139"/>
      <c r="G1492" s="1" t="str">
        <f>IFERROR(IF(ventas_b_mes1[[#This Row],[CUIT]]="","-",VLOOKUP(ventas_b_mes1[[#This Row],[CUIT]],Lista_CUIT[#All],2,0)),"CUIT NO CARGADO")</f>
        <v>-</v>
      </c>
      <c r="H1492" s="64">
        <f>ventas_b_mes1[[#This Row],[TOTAL]]/1.21</f>
        <v>0</v>
      </c>
      <c r="I1492" s="140">
        <f>ventas_b_mes1[[#This Row],[IMPORTE NETO]]*0.21</f>
        <v>0</v>
      </c>
      <c r="J1492" s="141"/>
      <c r="K1492" s="141"/>
      <c r="L1492" s="141"/>
      <c r="M1492" s="59"/>
    </row>
    <row r="1493" spans="2:13">
      <c r="B1493" s="135"/>
      <c r="C1493" s="136"/>
      <c r="D1493" s="137"/>
      <c r="E1493" s="138"/>
      <c r="F1493" s="139"/>
      <c r="G1493" s="1" t="str">
        <f>IFERROR(IF(ventas_b_mes1[[#This Row],[CUIT]]="","-",VLOOKUP(ventas_b_mes1[[#This Row],[CUIT]],Lista_CUIT[#All],2,0)),"CUIT NO CARGADO")</f>
        <v>-</v>
      </c>
      <c r="H1493" s="64">
        <f>ventas_b_mes1[[#This Row],[TOTAL]]/1.21</f>
        <v>0</v>
      </c>
      <c r="I1493" s="140">
        <f>ventas_b_mes1[[#This Row],[IMPORTE NETO]]*0.21</f>
        <v>0</v>
      </c>
      <c r="J1493" s="141"/>
      <c r="K1493" s="141"/>
      <c r="L1493" s="141"/>
      <c r="M1493" s="59"/>
    </row>
    <row r="1494" spans="2:13">
      <c r="B1494" s="135"/>
      <c r="C1494" s="136"/>
      <c r="D1494" s="137"/>
      <c r="E1494" s="138"/>
      <c r="F1494" s="139"/>
      <c r="G1494" s="1" t="str">
        <f>IFERROR(IF(ventas_b_mes1[[#This Row],[CUIT]]="","-",VLOOKUP(ventas_b_mes1[[#This Row],[CUIT]],Lista_CUIT[#All],2,0)),"CUIT NO CARGADO")</f>
        <v>-</v>
      </c>
      <c r="H1494" s="64">
        <f>ventas_b_mes1[[#This Row],[TOTAL]]/1.21</f>
        <v>0</v>
      </c>
      <c r="I1494" s="140">
        <f>ventas_b_mes1[[#This Row],[IMPORTE NETO]]*0.21</f>
        <v>0</v>
      </c>
      <c r="J1494" s="141"/>
      <c r="K1494" s="141"/>
      <c r="L1494" s="141"/>
      <c r="M1494" s="59"/>
    </row>
    <row r="1495" spans="2:13">
      <c r="B1495" s="135"/>
      <c r="C1495" s="136"/>
      <c r="D1495" s="137"/>
      <c r="E1495" s="138"/>
      <c r="F1495" s="139"/>
      <c r="G1495" s="1" t="str">
        <f>IFERROR(IF(ventas_b_mes1[[#This Row],[CUIT]]="","-",VLOOKUP(ventas_b_mes1[[#This Row],[CUIT]],Lista_CUIT[#All],2,0)),"CUIT NO CARGADO")</f>
        <v>-</v>
      </c>
      <c r="H1495" s="64">
        <f>ventas_b_mes1[[#This Row],[TOTAL]]/1.21</f>
        <v>0</v>
      </c>
      <c r="I1495" s="140">
        <f>ventas_b_mes1[[#This Row],[IMPORTE NETO]]*0.21</f>
        <v>0</v>
      </c>
      <c r="J1495" s="141"/>
      <c r="K1495" s="141"/>
      <c r="L1495" s="141"/>
      <c r="M1495" s="59"/>
    </row>
    <row r="1496" spans="2:13">
      <c r="B1496" s="135"/>
      <c r="C1496" s="136"/>
      <c r="D1496" s="137"/>
      <c r="E1496" s="138"/>
      <c r="F1496" s="139"/>
      <c r="G1496" s="1" t="str">
        <f>IFERROR(IF(ventas_b_mes1[[#This Row],[CUIT]]="","-",VLOOKUP(ventas_b_mes1[[#This Row],[CUIT]],Lista_CUIT[#All],2,0)),"CUIT NO CARGADO")</f>
        <v>-</v>
      </c>
      <c r="H1496" s="64">
        <f>ventas_b_mes1[[#This Row],[TOTAL]]/1.21</f>
        <v>0</v>
      </c>
      <c r="I1496" s="140">
        <f>ventas_b_mes1[[#This Row],[IMPORTE NETO]]*0.21</f>
        <v>0</v>
      </c>
      <c r="J1496" s="141"/>
      <c r="K1496" s="141"/>
      <c r="L1496" s="141"/>
      <c r="M1496" s="59"/>
    </row>
    <row r="1497" spans="2:13">
      <c r="B1497" s="135"/>
      <c r="C1497" s="136"/>
      <c r="D1497" s="137"/>
      <c r="E1497" s="138"/>
      <c r="F1497" s="139"/>
      <c r="G1497" s="1" t="str">
        <f>IFERROR(IF(ventas_b_mes1[[#This Row],[CUIT]]="","-",VLOOKUP(ventas_b_mes1[[#This Row],[CUIT]],Lista_CUIT[#All],2,0)),"CUIT NO CARGADO")</f>
        <v>-</v>
      </c>
      <c r="H1497" s="64">
        <f>ventas_b_mes1[[#This Row],[TOTAL]]/1.21</f>
        <v>0</v>
      </c>
      <c r="I1497" s="140">
        <f>ventas_b_mes1[[#This Row],[IMPORTE NETO]]*0.21</f>
        <v>0</v>
      </c>
      <c r="J1497" s="141"/>
      <c r="K1497" s="141"/>
      <c r="L1497" s="141"/>
      <c r="M1497" s="59"/>
    </row>
    <row r="1498" spans="2:13">
      <c r="B1498" s="135"/>
      <c r="C1498" s="136"/>
      <c r="D1498" s="137"/>
      <c r="E1498" s="138"/>
      <c r="F1498" s="139"/>
      <c r="G1498" s="1" t="str">
        <f>IFERROR(IF(ventas_b_mes1[[#This Row],[CUIT]]="","-",VLOOKUP(ventas_b_mes1[[#This Row],[CUIT]],Lista_CUIT[#All],2,0)),"CUIT NO CARGADO")</f>
        <v>-</v>
      </c>
      <c r="H1498" s="64">
        <f>ventas_b_mes1[[#This Row],[TOTAL]]/1.21</f>
        <v>0</v>
      </c>
      <c r="I1498" s="140">
        <f>ventas_b_mes1[[#This Row],[IMPORTE NETO]]*0.21</f>
        <v>0</v>
      </c>
      <c r="J1498" s="141"/>
      <c r="K1498" s="141"/>
      <c r="L1498" s="141"/>
      <c r="M1498" s="59"/>
    </row>
    <row r="1499" spans="2:13">
      <c r="B1499" s="135"/>
      <c r="C1499" s="136"/>
      <c r="D1499" s="137"/>
      <c r="E1499" s="138"/>
      <c r="F1499" s="139"/>
      <c r="G1499" s="1" t="str">
        <f>IFERROR(IF(ventas_b_mes1[[#This Row],[CUIT]]="","-",VLOOKUP(ventas_b_mes1[[#This Row],[CUIT]],Lista_CUIT[#All],2,0)),"CUIT NO CARGADO")</f>
        <v>-</v>
      </c>
      <c r="H1499" s="64">
        <f>ventas_b_mes1[[#This Row],[TOTAL]]/1.21</f>
        <v>0</v>
      </c>
      <c r="I1499" s="140">
        <f>ventas_b_mes1[[#This Row],[IMPORTE NETO]]*0.21</f>
        <v>0</v>
      </c>
      <c r="J1499" s="141"/>
      <c r="K1499" s="141"/>
      <c r="L1499" s="141"/>
      <c r="M1499" s="59"/>
    </row>
    <row r="1500" spans="2:13">
      <c r="B1500" s="135"/>
      <c r="C1500" s="136"/>
      <c r="D1500" s="137"/>
      <c r="E1500" s="138"/>
      <c r="F1500" s="139"/>
      <c r="G1500" s="1" t="str">
        <f>IFERROR(IF(ventas_b_mes1[[#This Row],[CUIT]]="","-",VLOOKUP(ventas_b_mes1[[#This Row],[CUIT]],Lista_CUIT[#All],2,0)),"CUIT NO CARGADO")</f>
        <v>-</v>
      </c>
      <c r="H1500" s="64">
        <f>ventas_b_mes1[[#This Row],[TOTAL]]/1.21</f>
        <v>0</v>
      </c>
      <c r="I1500" s="140">
        <f>ventas_b_mes1[[#This Row],[IMPORTE NETO]]*0.21</f>
        <v>0</v>
      </c>
      <c r="J1500" s="141"/>
      <c r="K1500" s="141"/>
      <c r="L1500" s="141"/>
      <c r="M1500" s="59"/>
    </row>
    <row r="1501" spans="2:13">
      <c r="B1501" s="135"/>
      <c r="C1501" s="136"/>
      <c r="D1501" s="137"/>
      <c r="E1501" s="138"/>
      <c r="F1501" s="139"/>
      <c r="G1501" s="1" t="str">
        <f>IFERROR(IF(ventas_b_mes1[[#This Row],[CUIT]]="","-",VLOOKUP(ventas_b_mes1[[#This Row],[CUIT]],Lista_CUIT[#All],2,0)),"CUIT NO CARGADO")</f>
        <v>-</v>
      </c>
      <c r="H1501" s="64">
        <f>ventas_b_mes1[[#This Row],[TOTAL]]/1.21</f>
        <v>0</v>
      </c>
      <c r="I1501" s="140">
        <f>ventas_b_mes1[[#This Row],[IMPORTE NETO]]*0.21</f>
        <v>0</v>
      </c>
      <c r="J1501" s="141"/>
      <c r="K1501" s="141"/>
      <c r="L1501" s="141"/>
      <c r="M1501" s="59"/>
    </row>
    <row r="1502" spans="2:13">
      <c r="B1502" s="135"/>
      <c r="C1502" s="136"/>
      <c r="D1502" s="137"/>
      <c r="E1502" s="138"/>
      <c r="F1502" s="139"/>
      <c r="G1502" s="1" t="str">
        <f>IFERROR(IF(ventas_b_mes1[[#This Row],[CUIT]]="","-",VLOOKUP(ventas_b_mes1[[#This Row],[CUIT]],Lista_CUIT[#All],2,0)),"CUIT NO CARGADO")</f>
        <v>-</v>
      </c>
      <c r="H1502" s="64">
        <f>ventas_b_mes1[[#This Row],[TOTAL]]/1.21</f>
        <v>0</v>
      </c>
      <c r="I1502" s="140">
        <f>ventas_b_mes1[[#This Row],[IMPORTE NETO]]*0.21</f>
        <v>0</v>
      </c>
      <c r="J1502" s="141"/>
      <c r="K1502" s="141"/>
      <c r="L1502" s="141"/>
      <c r="M1502" s="59"/>
    </row>
    <row r="1503" spans="2:13">
      <c r="B1503" s="135"/>
      <c r="C1503" s="136"/>
      <c r="D1503" s="137"/>
      <c r="E1503" s="138"/>
      <c r="F1503" s="139"/>
      <c r="G1503" s="1" t="str">
        <f>IFERROR(IF(ventas_b_mes1[[#This Row],[CUIT]]="","-",VLOOKUP(ventas_b_mes1[[#This Row],[CUIT]],Lista_CUIT[#All],2,0)),"CUIT NO CARGADO")</f>
        <v>-</v>
      </c>
      <c r="H1503" s="64">
        <f>ventas_b_mes1[[#This Row],[TOTAL]]/1.21</f>
        <v>0</v>
      </c>
      <c r="I1503" s="140">
        <f>ventas_b_mes1[[#This Row],[IMPORTE NETO]]*0.21</f>
        <v>0</v>
      </c>
      <c r="J1503" s="141"/>
      <c r="K1503" s="141"/>
      <c r="L1503" s="141"/>
      <c r="M1503" s="59"/>
    </row>
    <row r="1504" spans="2:13">
      <c r="B1504" s="135"/>
      <c r="C1504" s="136"/>
      <c r="D1504" s="137"/>
      <c r="E1504" s="138"/>
      <c r="F1504" s="139"/>
      <c r="G1504" s="1" t="str">
        <f>IFERROR(IF(ventas_b_mes1[[#This Row],[CUIT]]="","-",VLOOKUP(ventas_b_mes1[[#This Row],[CUIT]],Lista_CUIT[#All],2,0)),"CUIT NO CARGADO")</f>
        <v>-</v>
      </c>
      <c r="H1504" s="64">
        <f>ventas_b_mes1[[#This Row],[TOTAL]]/1.21</f>
        <v>0</v>
      </c>
      <c r="I1504" s="140">
        <f>ventas_b_mes1[[#This Row],[IMPORTE NETO]]*0.21</f>
        <v>0</v>
      </c>
      <c r="J1504" s="141"/>
      <c r="K1504" s="141"/>
      <c r="L1504" s="141"/>
      <c r="M1504" s="59"/>
    </row>
    <row r="1505" spans="2:13">
      <c r="B1505" s="135"/>
      <c r="C1505" s="136"/>
      <c r="D1505" s="137"/>
      <c r="E1505" s="138"/>
      <c r="F1505" s="139"/>
      <c r="G1505" s="1" t="str">
        <f>IFERROR(IF(ventas_b_mes1[[#This Row],[CUIT]]="","-",VLOOKUP(ventas_b_mes1[[#This Row],[CUIT]],Lista_CUIT[#All],2,0)),"CUIT NO CARGADO")</f>
        <v>-</v>
      </c>
      <c r="H1505" s="64">
        <f>ventas_b_mes1[[#This Row],[TOTAL]]/1.21</f>
        <v>0</v>
      </c>
      <c r="I1505" s="140">
        <f>ventas_b_mes1[[#This Row],[IMPORTE NETO]]*0.21</f>
        <v>0</v>
      </c>
      <c r="J1505" s="141"/>
      <c r="K1505" s="141"/>
      <c r="L1505" s="141"/>
      <c r="M1505" s="59"/>
    </row>
    <row r="1506" spans="2:13">
      <c r="B1506" s="135"/>
      <c r="C1506" s="136"/>
      <c r="D1506" s="137"/>
      <c r="E1506" s="138"/>
      <c r="F1506" s="139"/>
      <c r="G1506" s="1" t="str">
        <f>IFERROR(IF(ventas_b_mes1[[#This Row],[CUIT]]="","-",VLOOKUP(ventas_b_mes1[[#This Row],[CUIT]],Lista_CUIT[#All],2,0)),"CUIT NO CARGADO")</f>
        <v>-</v>
      </c>
      <c r="H1506" s="64">
        <f>ventas_b_mes1[[#This Row],[TOTAL]]/1.21</f>
        <v>0</v>
      </c>
      <c r="I1506" s="140">
        <f>ventas_b_mes1[[#This Row],[IMPORTE NETO]]*0.21</f>
        <v>0</v>
      </c>
      <c r="J1506" s="141"/>
      <c r="K1506" s="141"/>
      <c r="L1506" s="141"/>
      <c r="M1506" s="59"/>
    </row>
    <row r="1507" spans="2:13">
      <c r="B1507" s="135"/>
      <c r="C1507" s="136"/>
      <c r="D1507" s="137"/>
      <c r="E1507" s="138"/>
      <c r="F1507" s="139"/>
      <c r="G1507" s="1" t="str">
        <f>IFERROR(IF(ventas_b_mes1[[#This Row],[CUIT]]="","-",VLOOKUP(ventas_b_mes1[[#This Row],[CUIT]],Lista_CUIT[#All],2,0)),"CUIT NO CARGADO")</f>
        <v>-</v>
      </c>
      <c r="H1507" s="64">
        <f>ventas_b_mes1[[#This Row],[TOTAL]]/1.21</f>
        <v>0</v>
      </c>
      <c r="I1507" s="140">
        <f>ventas_b_mes1[[#This Row],[IMPORTE NETO]]*0.21</f>
        <v>0</v>
      </c>
      <c r="J1507" s="141"/>
      <c r="K1507" s="141"/>
      <c r="L1507" s="141"/>
      <c r="M1507" s="59"/>
    </row>
    <row r="1508" spans="2:13">
      <c r="B1508" s="135"/>
      <c r="C1508" s="136"/>
      <c r="D1508" s="137"/>
      <c r="E1508" s="138"/>
      <c r="F1508" s="139"/>
      <c r="G1508" s="1" t="str">
        <f>IFERROR(IF(ventas_b_mes1[[#This Row],[CUIT]]="","-",VLOOKUP(ventas_b_mes1[[#This Row],[CUIT]],Lista_CUIT[#All],2,0)),"CUIT NO CARGADO")</f>
        <v>-</v>
      </c>
      <c r="H1508" s="64">
        <f>ventas_b_mes1[[#This Row],[TOTAL]]/1.21</f>
        <v>0</v>
      </c>
      <c r="I1508" s="140">
        <f>ventas_b_mes1[[#This Row],[IMPORTE NETO]]*0.21</f>
        <v>0</v>
      </c>
      <c r="J1508" s="141"/>
      <c r="K1508" s="141"/>
      <c r="L1508" s="141"/>
      <c r="M1508" s="59"/>
    </row>
    <row r="1509" spans="2:13">
      <c r="B1509" s="135"/>
      <c r="C1509" s="136"/>
      <c r="D1509" s="137"/>
      <c r="E1509" s="138"/>
      <c r="F1509" s="139"/>
      <c r="G1509" s="1" t="str">
        <f>IFERROR(IF(ventas_b_mes1[[#This Row],[CUIT]]="","-",VLOOKUP(ventas_b_mes1[[#This Row],[CUIT]],Lista_CUIT[#All],2,0)),"CUIT NO CARGADO")</f>
        <v>-</v>
      </c>
      <c r="H1509" s="64">
        <f>ventas_b_mes1[[#This Row],[TOTAL]]/1.21</f>
        <v>0</v>
      </c>
      <c r="I1509" s="140">
        <f>ventas_b_mes1[[#This Row],[IMPORTE NETO]]*0.21</f>
        <v>0</v>
      </c>
      <c r="J1509" s="141"/>
      <c r="K1509" s="141"/>
      <c r="L1509" s="141"/>
      <c r="M1509" s="59"/>
    </row>
    <row r="1510" spans="2:13">
      <c r="B1510" s="135"/>
      <c r="C1510" s="136"/>
      <c r="D1510" s="137"/>
      <c r="E1510" s="138"/>
      <c r="F1510" s="139"/>
      <c r="G1510" s="1" t="str">
        <f>IFERROR(IF(ventas_b_mes1[[#This Row],[CUIT]]="","-",VLOOKUP(ventas_b_mes1[[#This Row],[CUIT]],Lista_CUIT[#All],2,0)),"CUIT NO CARGADO")</f>
        <v>-</v>
      </c>
      <c r="H1510" s="64">
        <f>ventas_b_mes1[[#This Row],[TOTAL]]/1.21</f>
        <v>0</v>
      </c>
      <c r="I1510" s="140">
        <f>ventas_b_mes1[[#This Row],[IMPORTE NETO]]*0.21</f>
        <v>0</v>
      </c>
      <c r="J1510" s="141"/>
      <c r="K1510" s="141"/>
      <c r="L1510" s="141"/>
      <c r="M1510" s="59"/>
    </row>
    <row r="1511" spans="2:13">
      <c r="B1511" s="135"/>
      <c r="C1511" s="136"/>
      <c r="D1511" s="137"/>
      <c r="E1511" s="138"/>
      <c r="F1511" s="139"/>
      <c r="G1511" s="1" t="str">
        <f>IFERROR(IF(ventas_b_mes1[[#This Row],[CUIT]]="","-",VLOOKUP(ventas_b_mes1[[#This Row],[CUIT]],Lista_CUIT[#All],2,0)),"CUIT NO CARGADO")</f>
        <v>-</v>
      </c>
      <c r="H1511" s="64">
        <f>ventas_b_mes1[[#This Row],[TOTAL]]/1.21</f>
        <v>0</v>
      </c>
      <c r="I1511" s="140">
        <f>ventas_b_mes1[[#This Row],[IMPORTE NETO]]*0.21</f>
        <v>0</v>
      </c>
      <c r="J1511" s="141"/>
      <c r="K1511" s="141"/>
      <c r="L1511" s="141"/>
      <c r="M1511" s="59"/>
    </row>
    <row r="1512" spans="2:13">
      <c r="B1512" s="135"/>
      <c r="C1512" s="136"/>
      <c r="D1512" s="137"/>
      <c r="E1512" s="138"/>
      <c r="F1512" s="139"/>
      <c r="G1512" s="1" t="str">
        <f>IFERROR(IF(ventas_b_mes1[[#This Row],[CUIT]]="","-",VLOOKUP(ventas_b_mes1[[#This Row],[CUIT]],Lista_CUIT[#All],2,0)),"CUIT NO CARGADO")</f>
        <v>-</v>
      </c>
      <c r="H1512" s="64">
        <f>ventas_b_mes1[[#This Row],[TOTAL]]/1.21</f>
        <v>0</v>
      </c>
      <c r="I1512" s="140">
        <f>ventas_b_mes1[[#This Row],[IMPORTE NETO]]*0.21</f>
        <v>0</v>
      </c>
      <c r="J1512" s="141"/>
      <c r="K1512" s="141"/>
      <c r="L1512" s="141"/>
      <c r="M1512" s="59"/>
    </row>
    <row r="1513" spans="2:13">
      <c r="B1513" s="135"/>
      <c r="C1513" s="136"/>
      <c r="D1513" s="137"/>
      <c r="E1513" s="138"/>
      <c r="F1513" s="139"/>
      <c r="G1513" s="1" t="str">
        <f>IFERROR(IF(ventas_b_mes1[[#This Row],[CUIT]]="","-",VLOOKUP(ventas_b_mes1[[#This Row],[CUIT]],Lista_CUIT[#All],2,0)),"CUIT NO CARGADO")</f>
        <v>-</v>
      </c>
      <c r="H1513" s="64">
        <f>ventas_b_mes1[[#This Row],[TOTAL]]/1.21</f>
        <v>0</v>
      </c>
      <c r="I1513" s="140">
        <f>ventas_b_mes1[[#This Row],[IMPORTE NETO]]*0.21</f>
        <v>0</v>
      </c>
      <c r="J1513" s="141"/>
      <c r="K1513" s="141"/>
      <c r="L1513" s="141"/>
      <c r="M1513" s="59"/>
    </row>
    <row r="1514" spans="2:13">
      <c r="B1514" s="135"/>
      <c r="C1514" s="136"/>
      <c r="D1514" s="137"/>
      <c r="E1514" s="138"/>
      <c r="F1514" s="139"/>
      <c r="G1514" s="1" t="str">
        <f>IFERROR(IF(ventas_b_mes1[[#This Row],[CUIT]]="","-",VLOOKUP(ventas_b_mes1[[#This Row],[CUIT]],Lista_CUIT[#All],2,0)),"CUIT NO CARGADO")</f>
        <v>-</v>
      </c>
      <c r="H1514" s="64">
        <f>ventas_b_mes1[[#This Row],[TOTAL]]/1.21</f>
        <v>0</v>
      </c>
      <c r="I1514" s="140">
        <f>ventas_b_mes1[[#This Row],[IMPORTE NETO]]*0.21</f>
        <v>0</v>
      </c>
      <c r="J1514" s="141"/>
      <c r="K1514" s="141"/>
      <c r="L1514" s="141"/>
      <c r="M1514" s="59"/>
    </row>
    <row r="1515" spans="2:13">
      <c r="B1515" s="135"/>
      <c r="C1515" s="136"/>
      <c r="D1515" s="137"/>
      <c r="E1515" s="138"/>
      <c r="F1515" s="139"/>
      <c r="G1515" s="1" t="str">
        <f>IFERROR(IF(ventas_b_mes1[[#This Row],[CUIT]]="","-",VLOOKUP(ventas_b_mes1[[#This Row],[CUIT]],Lista_CUIT[#All],2,0)),"CUIT NO CARGADO")</f>
        <v>-</v>
      </c>
      <c r="H1515" s="64">
        <f>ventas_b_mes1[[#This Row],[TOTAL]]/1.21</f>
        <v>0</v>
      </c>
      <c r="I1515" s="140">
        <f>ventas_b_mes1[[#This Row],[IMPORTE NETO]]*0.21</f>
        <v>0</v>
      </c>
      <c r="J1515" s="141"/>
      <c r="K1515" s="141"/>
      <c r="L1515" s="141"/>
      <c r="M1515" s="59"/>
    </row>
    <row r="1516" spans="2:13">
      <c r="B1516" s="135"/>
      <c r="C1516" s="136"/>
      <c r="D1516" s="137"/>
      <c r="E1516" s="138"/>
      <c r="F1516" s="139"/>
      <c r="G1516" s="1" t="str">
        <f>IFERROR(IF(ventas_b_mes1[[#This Row],[CUIT]]="","-",VLOOKUP(ventas_b_mes1[[#This Row],[CUIT]],Lista_CUIT[#All],2,0)),"CUIT NO CARGADO")</f>
        <v>-</v>
      </c>
      <c r="H1516" s="64">
        <f>ventas_b_mes1[[#This Row],[TOTAL]]/1.21</f>
        <v>0</v>
      </c>
      <c r="I1516" s="140">
        <f>ventas_b_mes1[[#This Row],[IMPORTE NETO]]*0.21</f>
        <v>0</v>
      </c>
      <c r="J1516" s="141"/>
      <c r="K1516" s="141"/>
      <c r="L1516" s="141"/>
      <c r="M1516" s="59"/>
    </row>
    <row r="1517" spans="2:13">
      <c r="B1517" s="135"/>
      <c r="C1517" s="136"/>
      <c r="D1517" s="137"/>
      <c r="E1517" s="138"/>
      <c r="F1517" s="139"/>
      <c r="G1517" s="1" t="str">
        <f>IFERROR(IF(ventas_b_mes1[[#This Row],[CUIT]]="","-",VLOOKUP(ventas_b_mes1[[#This Row],[CUIT]],Lista_CUIT[#All],2,0)),"CUIT NO CARGADO")</f>
        <v>-</v>
      </c>
      <c r="H1517" s="64">
        <f>ventas_b_mes1[[#This Row],[TOTAL]]/1.21</f>
        <v>0</v>
      </c>
      <c r="I1517" s="140">
        <f>ventas_b_mes1[[#This Row],[IMPORTE NETO]]*0.21</f>
        <v>0</v>
      </c>
      <c r="J1517" s="141"/>
      <c r="K1517" s="141"/>
      <c r="L1517" s="141"/>
      <c r="M1517" s="59"/>
    </row>
    <row r="1518" spans="2:13">
      <c r="B1518" s="135"/>
      <c r="C1518" s="136"/>
      <c r="D1518" s="137"/>
      <c r="E1518" s="138"/>
      <c r="F1518" s="139"/>
      <c r="G1518" s="1" t="str">
        <f>IFERROR(IF(ventas_b_mes1[[#This Row],[CUIT]]="","-",VLOOKUP(ventas_b_mes1[[#This Row],[CUIT]],Lista_CUIT[#All],2,0)),"CUIT NO CARGADO")</f>
        <v>-</v>
      </c>
      <c r="H1518" s="64">
        <f>ventas_b_mes1[[#This Row],[TOTAL]]/1.21</f>
        <v>0</v>
      </c>
      <c r="I1518" s="140">
        <f>ventas_b_mes1[[#This Row],[IMPORTE NETO]]*0.21</f>
        <v>0</v>
      </c>
      <c r="J1518" s="141"/>
      <c r="K1518" s="141"/>
      <c r="L1518" s="141"/>
      <c r="M1518" s="59"/>
    </row>
    <row r="1519" spans="2:13">
      <c r="B1519" s="135"/>
      <c r="C1519" s="136"/>
      <c r="D1519" s="137"/>
      <c r="E1519" s="138"/>
      <c r="F1519" s="139"/>
      <c r="G1519" s="1" t="str">
        <f>IFERROR(IF(ventas_b_mes1[[#This Row],[CUIT]]="","-",VLOOKUP(ventas_b_mes1[[#This Row],[CUIT]],Lista_CUIT[#All],2,0)),"CUIT NO CARGADO")</f>
        <v>-</v>
      </c>
      <c r="H1519" s="64">
        <f>ventas_b_mes1[[#This Row],[TOTAL]]/1.21</f>
        <v>0</v>
      </c>
      <c r="I1519" s="140">
        <f>ventas_b_mes1[[#This Row],[IMPORTE NETO]]*0.21</f>
        <v>0</v>
      </c>
      <c r="J1519" s="141"/>
      <c r="K1519" s="141"/>
      <c r="L1519" s="141"/>
      <c r="M1519" s="59"/>
    </row>
    <row r="1520" spans="2:13">
      <c r="B1520" s="135"/>
      <c r="C1520" s="136"/>
      <c r="D1520" s="137"/>
      <c r="E1520" s="138"/>
      <c r="F1520" s="139"/>
      <c r="G1520" s="1" t="str">
        <f>IFERROR(IF(ventas_b_mes1[[#This Row],[CUIT]]="","-",VLOOKUP(ventas_b_mes1[[#This Row],[CUIT]],Lista_CUIT[#All],2,0)),"CUIT NO CARGADO")</f>
        <v>-</v>
      </c>
      <c r="H1520" s="64">
        <f>ventas_b_mes1[[#This Row],[TOTAL]]/1.21</f>
        <v>0</v>
      </c>
      <c r="I1520" s="140">
        <f>ventas_b_mes1[[#This Row],[IMPORTE NETO]]*0.21</f>
        <v>0</v>
      </c>
      <c r="J1520" s="141"/>
      <c r="K1520" s="141"/>
      <c r="L1520" s="141"/>
      <c r="M1520" s="59"/>
    </row>
    <row r="1521" spans="2:13">
      <c r="B1521" s="135"/>
      <c r="C1521" s="136"/>
      <c r="D1521" s="137"/>
      <c r="E1521" s="138"/>
      <c r="F1521" s="139"/>
      <c r="G1521" s="1" t="str">
        <f>IFERROR(IF(ventas_b_mes1[[#This Row],[CUIT]]="","-",VLOOKUP(ventas_b_mes1[[#This Row],[CUIT]],Lista_CUIT[#All],2,0)),"CUIT NO CARGADO")</f>
        <v>-</v>
      </c>
      <c r="H1521" s="64">
        <f>ventas_b_mes1[[#This Row],[TOTAL]]/1.21</f>
        <v>0</v>
      </c>
      <c r="I1521" s="140">
        <f>ventas_b_mes1[[#This Row],[IMPORTE NETO]]*0.21</f>
        <v>0</v>
      </c>
      <c r="J1521" s="141"/>
      <c r="K1521" s="141"/>
      <c r="L1521" s="141"/>
      <c r="M1521" s="59"/>
    </row>
    <row r="1522" spans="2:13">
      <c r="B1522" s="135"/>
      <c r="C1522" s="136"/>
      <c r="D1522" s="137"/>
      <c r="E1522" s="138"/>
      <c r="F1522" s="139"/>
      <c r="G1522" s="1" t="str">
        <f>IFERROR(IF(ventas_b_mes1[[#This Row],[CUIT]]="","-",VLOOKUP(ventas_b_mes1[[#This Row],[CUIT]],Lista_CUIT[#All],2,0)),"CUIT NO CARGADO")</f>
        <v>-</v>
      </c>
      <c r="H1522" s="64">
        <f>ventas_b_mes1[[#This Row],[TOTAL]]/1.21</f>
        <v>0</v>
      </c>
      <c r="I1522" s="140">
        <f>ventas_b_mes1[[#This Row],[IMPORTE NETO]]*0.21</f>
        <v>0</v>
      </c>
      <c r="J1522" s="141"/>
      <c r="K1522" s="141"/>
      <c r="L1522" s="141"/>
      <c r="M1522" s="59"/>
    </row>
    <row r="1523" spans="2:13">
      <c r="B1523" s="135"/>
      <c r="C1523" s="136"/>
      <c r="D1523" s="137"/>
      <c r="E1523" s="138"/>
      <c r="F1523" s="139"/>
      <c r="G1523" s="1" t="str">
        <f>IFERROR(IF(ventas_b_mes1[[#This Row],[CUIT]]="","-",VLOOKUP(ventas_b_mes1[[#This Row],[CUIT]],Lista_CUIT[#All],2,0)),"CUIT NO CARGADO")</f>
        <v>-</v>
      </c>
      <c r="H1523" s="64">
        <f>ventas_b_mes1[[#This Row],[TOTAL]]/1.21</f>
        <v>0</v>
      </c>
      <c r="I1523" s="140">
        <f>ventas_b_mes1[[#This Row],[IMPORTE NETO]]*0.21</f>
        <v>0</v>
      </c>
      <c r="J1523" s="141"/>
      <c r="K1523" s="141"/>
      <c r="L1523" s="141"/>
      <c r="M1523" s="59"/>
    </row>
    <row r="1524" spans="2:13">
      <c r="B1524" s="135"/>
      <c r="C1524" s="136"/>
      <c r="D1524" s="137"/>
      <c r="E1524" s="138"/>
      <c r="F1524" s="139"/>
      <c r="G1524" s="1" t="str">
        <f>IFERROR(IF(ventas_b_mes1[[#This Row],[CUIT]]="","-",VLOOKUP(ventas_b_mes1[[#This Row],[CUIT]],Lista_CUIT[#All],2,0)),"CUIT NO CARGADO")</f>
        <v>-</v>
      </c>
      <c r="H1524" s="64">
        <f>ventas_b_mes1[[#This Row],[TOTAL]]/1.21</f>
        <v>0</v>
      </c>
      <c r="I1524" s="140">
        <f>ventas_b_mes1[[#This Row],[IMPORTE NETO]]*0.21</f>
        <v>0</v>
      </c>
      <c r="J1524" s="141"/>
      <c r="K1524" s="141"/>
      <c r="L1524" s="141"/>
      <c r="M1524" s="59"/>
    </row>
    <row r="1525" spans="2:13">
      <c r="B1525" s="135"/>
      <c r="C1525" s="136"/>
      <c r="D1525" s="137"/>
      <c r="E1525" s="138"/>
      <c r="F1525" s="139"/>
      <c r="G1525" s="1" t="str">
        <f>IFERROR(IF(ventas_b_mes1[[#This Row],[CUIT]]="","-",VLOOKUP(ventas_b_mes1[[#This Row],[CUIT]],Lista_CUIT[#All],2,0)),"CUIT NO CARGADO")</f>
        <v>-</v>
      </c>
      <c r="H1525" s="64">
        <f>ventas_b_mes1[[#This Row],[TOTAL]]/1.21</f>
        <v>0</v>
      </c>
      <c r="I1525" s="140">
        <f>ventas_b_mes1[[#This Row],[IMPORTE NETO]]*0.21</f>
        <v>0</v>
      </c>
      <c r="J1525" s="141"/>
      <c r="K1525" s="141"/>
      <c r="L1525" s="141"/>
      <c r="M1525" s="59"/>
    </row>
    <row r="1526" spans="2:13">
      <c r="B1526" s="135"/>
      <c r="C1526" s="136"/>
      <c r="D1526" s="137"/>
      <c r="E1526" s="138"/>
      <c r="F1526" s="139"/>
      <c r="G1526" s="1" t="str">
        <f>IFERROR(IF(ventas_b_mes1[[#This Row],[CUIT]]="","-",VLOOKUP(ventas_b_mes1[[#This Row],[CUIT]],Lista_CUIT[#All],2,0)),"CUIT NO CARGADO")</f>
        <v>-</v>
      </c>
      <c r="H1526" s="64">
        <f>ventas_b_mes1[[#This Row],[TOTAL]]/1.21</f>
        <v>0</v>
      </c>
      <c r="I1526" s="140">
        <f>ventas_b_mes1[[#This Row],[IMPORTE NETO]]*0.21</f>
        <v>0</v>
      </c>
      <c r="J1526" s="141"/>
      <c r="K1526" s="141"/>
      <c r="L1526" s="141"/>
      <c r="M1526" s="59"/>
    </row>
    <row r="1527" spans="2:13">
      <c r="B1527" s="135"/>
      <c r="C1527" s="136"/>
      <c r="D1527" s="137"/>
      <c r="E1527" s="138"/>
      <c r="F1527" s="139"/>
      <c r="G1527" s="1" t="str">
        <f>IFERROR(IF(ventas_b_mes1[[#This Row],[CUIT]]="","-",VLOOKUP(ventas_b_mes1[[#This Row],[CUIT]],Lista_CUIT[#All],2,0)),"CUIT NO CARGADO")</f>
        <v>-</v>
      </c>
      <c r="H1527" s="64">
        <f>ventas_b_mes1[[#This Row],[TOTAL]]/1.21</f>
        <v>0</v>
      </c>
      <c r="I1527" s="140">
        <f>ventas_b_mes1[[#This Row],[IMPORTE NETO]]*0.21</f>
        <v>0</v>
      </c>
      <c r="J1527" s="141"/>
      <c r="K1527" s="141"/>
      <c r="L1527" s="141"/>
      <c r="M1527" s="59"/>
    </row>
    <row r="1528" spans="2:13">
      <c r="B1528" s="135"/>
      <c r="C1528" s="136"/>
      <c r="D1528" s="137"/>
      <c r="E1528" s="138"/>
      <c r="F1528" s="139"/>
      <c r="G1528" s="1" t="str">
        <f>IFERROR(IF(ventas_b_mes1[[#This Row],[CUIT]]="","-",VLOOKUP(ventas_b_mes1[[#This Row],[CUIT]],Lista_CUIT[#All],2,0)),"CUIT NO CARGADO")</f>
        <v>-</v>
      </c>
      <c r="H1528" s="64">
        <f>ventas_b_mes1[[#This Row],[TOTAL]]/1.21</f>
        <v>0</v>
      </c>
      <c r="I1528" s="140">
        <f>ventas_b_mes1[[#This Row],[IMPORTE NETO]]*0.21</f>
        <v>0</v>
      </c>
      <c r="J1528" s="141"/>
      <c r="K1528" s="141"/>
      <c r="L1528" s="141"/>
      <c r="M1528" s="59"/>
    </row>
    <row r="1529" spans="2:13">
      <c r="B1529" s="135"/>
      <c r="C1529" s="136"/>
      <c r="D1529" s="137"/>
      <c r="E1529" s="138"/>
      <c r="F1529" s="139"/>
      <c r="G1529" s="1" t="str">
        <f>IFERROR(IF(ventas_b_mes1[[#This Row],[CUIT]]="","-",VLOOKUP(ventas_b_mes1[[#This Row],[CUIT]],Lista_CUIT[#All],2,0)),"CUIT NO CARGADO")</f>
        <v>-</v>
      </c>
      <c r="H1529" s="64">
        <f>ventas_b_mes1[[#This Row],[TOTAL]]/1.21</f>
        <v>0</v>
      </c>
      <c r="I1529" s="140">
        <f>ventas_b_mes1[[#This Row],[IMPORTE NETO]]*0.21</f>
        <v>0</v>
      </c>
      <c r="J1529" s="141"/>
      <c r="K1529" s="141"/>
      <c r="L1529" s="141"/>
      <c r="M1529" s="59"/>
    </row>
    <row r="1530" spans="2:13">
      <c r="B1530" s="135"/>
      <c r="C1530" s="136"/>
      <c r="D1530" s="137"/>
      <c r="E1530" s="138"/>
      <c r="F1530" s="139"/>
      <c r="G1530" s="1" t="str">
        <f>IFERROR(IF(ventas_b_mes1[[#This Row],[CUIT]]="","-",VLOOKUP(ventas_b_mes1[[#This Row],[CUIT]],Lista_CUIT[#All],2,0)),"CUIT NO CARGADO")</f>
        <v>-</v>
      </c>
      <c r="H1530" s="64">
        <f>ventas_b_mes1[[#This Row],[TOTAL]]/1.21</f>
        <v>0</v>
      </c>
      <c r="I1530" s="140">
        <f>ventas_b_mes1[[#This Row],[IMPORTE NETO]]*0.21</f>
        <v>0</v>
      </c>
      <c r="J1530" s="141"/>
      <c r="K1530" s="141"/>
      <c r="L1530" s="141"/>
      <c r="M1530" s="59"/>
    </row>
    <row r="1531" spans="2:13">
      <c r="B1531" s="135"/>
      <c r="C1531" s="136"/>
      <c r="D1531" s="137"/>
      <c r="E1531" s="138"/>
      <c r="F1531" s="139"/>
      <c r="G1531" s="1" t="str">
        <f>IFERROR(IF(ventas_b_mes1[[#This Row],[CUIT]]="","-",VLOOKUP(ventas_b_mes1[[#This Row],[CUIT]],Lista_CUIT[#All],2,0)),"CUIT NO CARGADO")</f>
        <v>-</v>
      </c>
      <c r="H1531" s="64">
        <f>ventas_b_mes1[[#This Row],[TOTAL]]/1.21</f>
        <v>0</v>
      </c>
      <c r="I1531" s="140">
        <f>ventas_b_mes1[[#This Row],[IMPORTE NETO]]*0.21</f>
        <v>0</v>
      </c>
      <c r="J1531" s="141"/>
      <c r="K1531" s="141"/>
      <c r="L1531" s="141"/>
      <c r="M1531" s="59"/>
    </row>
    <row r="1532" spans="2:13">
      <c r="B1532" s="135"/>
      <c r="C1532" s="136"/>
      <c r="D1532" s="137"/>
      <c r="E1532" s="138"/>
      <c r="F1532" s="139"/>
      <c r="G1532" s="1" t="str">
        <f>IFERROR(IF(ventas_b_mes1[[#This Row],[CUIT]]="","-",VLOOKUP(ventas_b_mes1[[#This Row],[CUIT]],Lista_CUIT[#All],2,0)),"CUIT NO CARGADO")</f>
        <v>-</v>
      </c>
      <c r="H1532" s="64">
        <f>ventas_b_mes1[[#This Row],[TOTAL]]/1.21</f>
        <v>0</v>
      </c>
      <c r="I1532" s="140">
        <f>ventas_b_mes1[[#This Row],[IMPORTE NETO]]*0.21</f>
        <v>0</v>
      </c>
      <c r="J1532" s="141"/>
      <c r="K1532" s="141"/>
      <c r="L1532" s="141"/>
      <c r="M1532" s="59"/>
    </row>
    <row r="1533" spans="2:13">
      <c r="B1533" s="135"/>
      <c r="C1533" s="136"/>
      <c r="D1533" s="137"/>
      <c r="E1533" s="138"/>
      <c r="F1533" s="139"/>
      <c r="G1533" s="1" t="str">
        <f>IFERROR(IF(ventas_b_mes1[[#This Row],[CUIT]]="","-",VLOOKUP(ventas_b_mes1[[#This Row],[CUIT]],Lista_CUIT[#All],2,0)),"CUIT NO CARGADO")</f>
        <v>-</v>
      </c>
      <c r="H1533" s="64">
        <f>ventas_b_mes1[[#This Row],[TOTAL]]/1.21</f>
        <v>0</v>
      </c>
      <c r="I1533" s="140">
        <f>ventas_b_mes1[[#This Row],[IMPORTE NETO]]*0.21</f>
        <v>0</v>
      </c>
      <c r="J1533" s="141"/>
      <c r="K1533" s="141"/>
      <c r="L1533" s="141"/>
      <c r="M1533" s="59"/>
    </row>
    <row r="1534" spans="2:13">
      <c r="B1534" s="135"/>
      <c r="C1534" s="136"/>
      <c r="D1534" s="137"/>
      <c r="E1534" s="138"/>
      <c r="F1534" s="139"/>
      <c r="G1534" s="1" t="str">
        <f>IFERROR(IF(ventas_b_mes1[[#This Row],[CUIT]]="","-",VLOOKUP(ventas_b_mes1[[#This Row],[CUIT]],Lista_CUIT[#All],2,0)),"CUIT NO CARGADO")</f>
        <v>-</v>
      </c>
      <c r="H1534" s="64">
        <f>ventas_b_mes1[[#This Row],[TOTAL]]/1.21</f>
        <v>0</v>
      </c>
      <c r="I1534" s="140">
        <f>ventas_b_mes1[[#This Row],[IMPORTE NETO]]*0.21</f>
        <v>0</v>
      </c>
      <c r="J1534" s="141"/>
      <c r="K1534" s="141"/>
      <c r="L1534" s="141"/>
      <c r="M1534" s="59"/>
    </row>
    <row r="1535" spans="2:13">
      <c r="B1535" s="135"/>
      <c r="C1535" s="136"/>
      <c r="D1535" s="137"/>
      <c r="E1535" s="138"/>
      <c r="F1535" s="139"/>
      <c r="G1535" s="1" t="str">
        <f>IFERROR(IF(ventas_b_mes1[[#This Row],[CUIT]]="","-",VLOOKUP(ventas_b_mes1[[#This Row],[CUIT]],Lista_CUIT[#All],2,0)),"CUIT NO CARGADO")</f>
        <v>-</v>
      </c>
      <c r="H1535" s="64">
        <f>ventas_b_mes1[[#This Row],[TOTAL]]/1.21</f>
        <v>0</v>
      </c>
      <c r="I1535" s="140">
        <f>ventas_b_mes1[[#This Row],[IMPORTE NETO]]*0.21</f>
        <v>0</v>
      </c>
      <c r="J1535" s="141"/>
      <c r="K1535" s="141"/>
      <c r="L1535" s="141"/>
      <c r="M1535" s="59"/>
    </row>
    <row r="1536" spans="2:13">
      <c r="B1536" s="135"/>
      <c r="C1536" s="136"/>
      <c r="D1536" s="137"/>
      <c r="E1536" s="138"/>
      <c r="F1536" s="139"/>
      <c r="G1536" s="1" t="str">
        <f>IFERROR(IF(ventas_b_mes1[[#This Row],[CUIT]]="","-",VLOOKUP(ventas_b_mes1[[#This Row],[CUIT]],Lista_CUIT[#All],2,0)),"CUIT NO CARGADO")</f>
        <v>-</v>
      </c>
      <c r="H1536" s="64">
        <f>ventas_b_mes1[[#This Row],[TOTAL]]/1.21</f>
        <v>0</v>
      </c>
      <c r="I1536" s="140">
        <f>ventas_b_mes1[[#This Row],[IMPORTE NETO]]*0.21</f>
        <v>0</v>
      </c>
      <c r="J1536" s="141"/>
      <c r="K1536" s="141"/>
      <c r="L1536" s="141"/>
      <c r="M1536" s="59"/>
    </row>
    <row r="1537" spans="2:13">
      <c r="B1537" s="135"/>
      <c r="C1537" s="136"/>
      <c r="D1537" s="137"/>
      <c r="E1537" s="138"/>
      <c r="F1537" s="139"/>
      <c r="G1537" s="1" t="str">
        <f>IFERROR(IF(ventas_b_mes1[[#This Row],[CUIT]]="","-",VLOOKUP(ventas_b_mes1[[#This Row],[CUIT]],Lista_CUIT[#All],2,0)),"CUIT NO CARGADO")</f>
        <v>-</v>
      </c>
      <c r="H1537" s="64">
        <f>ventas_b_mes1[[#This Row],[TOTAL]]/1.21</f>
        <v>0</v>
      </c>
      <c r="I1537" s="140">
        <f>ventas_b_mes1[[#This Row],[IMPORTE NETO]]*0.21</f>
        <v>0</v>
      </c>
      <c r="J1537" s="141"/>
      <c r="K1537" s="141"/>
      <c r="L1537" s="141"/>
      <c r="M1537" s="59"/>
    </row>
    <row r="1538" spans="2:13">
      <c r="B1538" s="135"/>
      <c r="C1538" s="136"/>
      <c r="D1538" s="137"/>
      <c r="E1538" s="138"/>
      <c r="F1538" s="139"/>
      <c r="G1538" s="1" t="str">
        <f>IFERROR(IF(ventas_b_mes1[[#This Row],[CUIT]]="","-",VLOOKUP(ventas_b_mes1[[#This Row],[CUIT]],Lista_CUIT[#All],2,0)),"CUIT NO CARGADO")</f>
        <v>-</v>
      </c>
      <c r="H1538" s="64">
        <f>ventas_b_mes1[[#This Row],[TOTAL]]/1.21</f>
        <v>0</v>
      </c>
      <c r="I1538" s="140">
        <f>ventas_b_mes1[[#This Row],[IMPORTE NETO]]*0.21</f>
        <v>0</v>
      </c>
      <c r="J1538" s="141"/>
      <c r="K1538" s="141"/>
      <c r="L1538" s="141"/>
      <c r="M1538" s="59"/>
    </row>
    <row r="1539" spans="2:13">
      <c r="B1539" s="135"/>
      <c r="C1539" s="136"/>
      <c r="D1539" s="137"/>
      <c r="E1539" s="138"/>
      <c r="F1539" s="139"/>
      <c r="G1539" s="1" t="str">
        <f>IFERROR(IF(ventas_b_mes1[[#This Row],[CUIT]]="","-",VLOOKUP(ventas_b_mes1[[#This Row],[CUIT]],Lista_CUIT[#All],2,0)),"CUIT NO CARGADO")</f>
        <v>-</v>
      </c>
      <c r="H1539" s="64">
        <f>ventas_b_mes1[[#This Row],[TOTAL]]/1.21</f>
        <v>0</v>
      </c>
      <c r="I1539" s="140">
        <f>ventas_b_mes1[[#This Row],[IMPORTE NETO]]*0.21</f>
        <v>0</v>
      </c>
      <c r="J1539" s="141"/>
      <c r="K1539" s="141"/>
      <c r="L1539" s="141"/>
      <c r="M1539" s="59"/>
    </row>
    <row r="1540" spans="2:13">
      <c r="B1540" s="135"/>
      <c r="C1540" s="136"/>
      <c r="D1540" s="137"/>
      <c r="E1540" s="138"/>
      <c r="F1540" s="139"/>
      <c r="G1540" s="1" t="str">
        <f>IFERROR(IF(ventas_b_mes1[[#This Row],[CUIT]]="","-",VLOOKUP(ventas_b_mes1[[#This Row],[CUIT]],Lista_CUIT[#All],2,0)),"CUIT NO CARGADO")</f>
        <v>-</v>
      </c>
      <c r="H1540" s="64">
        <f>ventas_b_mes1[[#This Row],[TOTAL]]/1.21</f>
        <v>0</v>
      </c>
      <c r="I1540" s="140">
        <f>ventas_b_mes1[[#This Row],[IMPORTE NETO]]*0.21</f>
        <v>0</v>
      </c>
      <c r="J1540" s="141"/>
      <c r="K1540" s="141"/>
      <c r="L1540" s="141"/>
      <c r="M1540" s="59"/>
    </row>
    <row r="1541" spans="2:13">
      <c r="B1541" s="135"/>
      <c r="C1541" s="136"/>
      <c r="D1541" s="137"/>
      <c r="E1541" s="138"/>
      <c r="F1541" s="139"/>
      <c r="G1541" s="1" t="str">
        <f>IFERROR(IF(ventas_b_mes1[[#This Row],[CUIT]]="","-",VLOOKUP(ventas_b_mes1[[#This Row],[CUIT]],Lista_CUIT[#All],2,0)),"CUIT NO CARGADO")</f>
        <v>-</v>
      </c>
      <c r="H1541" s="64">
        <f>ventas_b_mes1[[#This Row],[TOTAL]]/1.21</f>
        <v>0</v>
      </c>
      <c r="I1541" s="140">
        <f>ventas_b_mes1[[#This Row],[IMPORTE NETO]]*0.21</f>
        <v>0</v>
      </c>
      <c r="J1541" s="141"/>
      <c r="K1541" s="141"/>
      <c r="L1541" s="141"/>
      <c r="M1541" s="59"/>
    </row>
    <row r="1542" spans="2:13">
      <c r="B1542" s="135"/>
      <c r="C1542" s="136"/>
      <c r="D1542" s="137"/>
      <c r="E1542" s="138"/>
      <c r="F1542" s="139"/>
      <c r="G1542" s="1" t="str">
        <f>IFERROR(IF(ventas_b_mes1[[#This Row],[CUIT]]="","-",VLOOKUP(ventas_b_mes1[[#This Row],[CUIT]],Lista_CUIT[#All],2,0)),"CUIT NO CARGADO")</f>
        <v>-</v>
      </c>
      <c r="H1542" s="64">
        <f>ventas_b_mes1[[#This Row],[TOTAL]]/1.21</f>
        <v>0</v>
      </c>
      <c r="I1542" s="140">
        <f>ventas_b_mes1[[#This Row],[IMPORTE NETO]]*0.21</f>
        <v>0</v>
      </c>
      <c r="J1542" s="141"/>
      <c r="K1542" s="141"/>
      <c r="L1542" s="141"/>
      <c r="M1542" s="59"/>
    </row>
    <row r="1543" spans="2:13">
      <c r="B1543" s="135"/>
      <c r="C1543" s="136"/>
      <c r="D1543" s="137"/>
      <c r="E1543" s="138"/>
      <c r="F1543" s="139"/>
      <c r="G1543" s="1" t="str">
        <f>IFERROR(IF(ventas_b_mes1[[#This Row],[CUIT]]="","-",VLOOKUP(ventas_b_mes1[[#This Row],[CUIT]],Lista_CUIT[#All],2,0)),"CUIT NO CARGADO")</f>
        <v>-</v>
      </c>
      <c r="H1543" s="64">
        <f>ventas_b_mes1[[#This Row],[TOTAL]]/1.21</f>
        <v>0</v>
      </c>
      <c r="I1543" s="140">
        <f>ventas_b_mes1[[#This Row],[IMPORTE NETO]]*0.21</f>
        <v>0</v>
      </c>
      <c r="J1543" s="141"/>
      <c r="K1543" s="141"/>
      <c r="L1543" s="141"/>
      <c r="M1543" s="59"/>
    </row>
    <row r="1544" spans="2:13">
      <c r="B1544" s="135"/>
      <c r="C1544" s="136"/>
      <c r="D1544" s="137"/>
      <c r="E1544" s="138"/>
      <c r="F1544" s="139"/>
      <c r="G1544" s="1" t="str">
        <f>IFERROR(IF(ventas_b_mes1[[#This Row],[CUIT]]="","-",VLOOKUP(ventas_b_mes1[[#This Row],[CUIT]],Lista_CUIT[#All],2,0)),"CUIT NO CARGADO")</f>
        <v>-</v>
      </c>
      <c r="H1544" s="64">
        <f>ventas_b_mes1[[#This Row],[TOTAL]]/1.21</f>
        <v>0</v>
      </c>
      <c r="I1544" s="140">
        <f>ventas_b_mes1[[#This Row],[IMPORTE NETO]]*0.21</f>
        <v>0</v>
      </c>
      <c r="J1544" s="141"/>
      <c r="K1544" s="141"/>
      <c r="L1544" s="141"/>
      <c r="M1544" s="59"/>
    </row>
    <row r="1545" spans="2:13">
      <c r="B1545" s="135"/>
      <c r="C1545" s="136"/>
      <c r="D1545" s="137"/>
      <c r="E1545" s="138"/>
      <c r="F1545" s="139"/>
      <c r="G1545" s="1" t="str">
        <f>IFERROR(IF(ventas_b_mes1[[#This Row],[CUIT]]="","-",VLOOKUP(ventas_b_mes1[[#This Row],[CUIT]],Lista_CUIT[#All],2,0)),"CUIT NO CARGADO")</f>
        <v>-</v>
      </c>
      <c r="H1545" s="64">
        <f>ventas_b_mes1[[#This Row],[TOTAL]]/1.21</f>
        <v>0</v>
      </c>
      <c r="I1545" s="140">
        <f>ventas_b_mes1[[#This Row],[IMPORTE NETO]]*0.21</f>
        <v>0</v>
      </c>
      <c r="J1545" s="141"/>
      <c r="K1545" s="141"/>
      <c r="L1545" s="141"/>
      <c r="M1545" s="59"/>
    </row>
    <row r="1546" spans="2:13">
      <c r="B1546" s="135"/>
      <c r="C1546" s="136"/>
      <c r="D1546" s="137"/>
      <c r="E1546" s="138"/>
      <c r="F1546" s="139"/>
      <c r="G1546" s="1" t="str">
        <f>IFERROR(IF(ventas_b_mes1[[#This Row],[CUIT]]="","-",VLOOKUP(ventas_b_mes1[[#This Row],[CUIT]],Lista_CUIT[#All],2,0)),"CUIT NO CARGADO")</f>
        <v>-</v>
      </c>
      <c r="H1546" s="64">
        <f>ventas_b_mes1[[#This Row],[TOTAL]]/1.21</f>
        <v>0</v>
      </c>
      <c r="I1546" s="140">
        <f>ventas_b_mes1[[#This Row],[IMPORTE NETO]]*0.21</f>
        <v>0</v>
      </c>
      <c r="J1546" s="141"/>
      <c r="K1546" s="141"/>
      <c r="L1546" s="141"/>
      <c r="M1546" s="59"/>
    </row>
    <row r="1547" spans="2:13">
      <c r="B1547" s="135"/>
      <c r="C1547" s="136"/>
      <c r="D1547" s="137"/>
      <c r="E1547" s="138"/>
      <c r="F1547" s="139"/>
      <c r="G1547" s="1" t="str">
        <f>IFERROR(IF(ventas_b_mes1[[#This Row],[CUIT]]="","-",VLOOKUP(ventas_b_mes1[[#This Row],[CUIT]],Lista_CUIT[#All],2,0)),"CUIT NO CARGADO")</f>
        <v>-</v>
      </c>
      <c r="H1547" s="64">
        <f>ventas_b_mes1[[#This Row],[TOTAL]]/1.21</f>
        <v>0</v>
      </c>
      <c r="I1547" s="140">
        <f>ventas_b_mes1[[#This Row],[IMPORTE NETO]]*0.21</f>
        <v>0</v>
      </c>
      <c r="J1547" s="141"/>
      <c r="K1547" s="141"/>
      <c r="L1547" s="141"/>
      <c r="M1547" s="59"/>
    </row>
    <row r="1548" spans="2:13">
      <c r="B1548" s="135"/>
      <c r="C1548" s="136"/>
      <c r="D1548" s="137"/>
      <c r="E1548" s="138"/>
      <c r="F1548" s="139"/>
      <c r="G1548" s="1" t="str">
        <f>IFERROR(IF(ventas_b_mes1[[#This Row],[CUIT]]="","-",VLOOKUP(ventas_b_mes1[[#This Row],[CUIT]],Lista_CUIT[#All],2,0)),"CUIT NO CARGADO")</f>
        <v>-</v>
      </c>
      <c r="H1548" s="64">
        <f>ventas_b_mes1[[#This Row],[TOTAL]]/1.21</f>
        <v>0</v>
      </c>
      <c r="I1548" s="140">
        <f>ventas_b_mes1[[#This Row],[IMPORTE NETO]]*0.21</f>
        <v>0</v>
      </c>
      <c r="J1548" s="141"/>
      <c r="K1548" s="141"/>
      <c r="L1548" s="141"/>
      <c r="M1548" s="59"/>
    </row>
    <row r="1549" spans="2:13">
      <c r="B1549" s="135"/>
      <c r="C1549" s="136"/>
      <c r="D1549" s="137"/>
      <c r="E1549" s="138"/>
      <c r="F1549" s="139"/>
      <c r="G1549" s="1" t="str">
        <f>IFERROR(IF(ventas_b_mes1[[#This Row],[CUIT]]="","-",VLOOKUP(ventas_b_mes1[[#This Row],[CUIT]],Lista_CUIT[#All],2,0)),"CUIT NO CARGADO")</f>
        <v>-</v>
      </c>
      <c r="H1549" s="64">
        <f>ventas_b_mes1[[#This Row],[TOTAL]]/1.21</f>
        <v>0</v>
      </c>
      <c r="I1549" s="140">
        <f>ventas_b_mes1[[#This Row],[IMPORTE NETO]]*0.21</f>
        <v>0</v>
      </c>
      <c r="J1549" s="141"/>
      <c r="K1549" s="141"/>
      <c r="L1549" s="141"/>
      <c r="M1549" s="59"/>
    </row>
    <row r="1550" spans="2:13">
      <c r="B1550" s="135"/>
      <c r="C1550" s="136"/>
      <c r="D1550" s="137"/>
      <c r="E1550" s="138"/>
      <c r="F1550" s="139"/>
      <c r="G1550" s="1" t="str">
        <f>IFERROR(IF(ventas_b_mes1[[#This Row],[CUIT]]="","-",VLOOKUP(ventas_b_mes1[[#This Row],[CUIT]],Lista_CUIT[#All],2,0)),"CUIT NO CARGADO")</f>
        <v>-</v>
      </c>
      <c r="H1550" s="64">
        <f>ventas_b_mes1[[#This Row],[TOTAL]]/1.21</f>
        <v>0</v>
      </c>
      <c r="I1550" s="140">
        <f>ventas_b_mes1[[#This Row],[IMPORTE NETO]]*0.21</f>
        <v>0</v>
      </c>
      <c r="J1550" s="141"/>
      <c r="K1550" s="141"/>
      <c r="L1550" s="141"/>
      <c r="M1550" s="59"/>
    </row>
    <row r="1551" spans="2:13">
      <c r="B1551" s="135"/>
      <c r="C1551" s="136"/>
      <c r="D1551" s="137"/>
      <c r="E1551" s="138"/>
      <c r="F1551" s="139"/>
      <c r="G1551" s="1" t="str">
        <f>IFERROR(IF(ventas_b_mes1[[#This Row],[CUIT]]="","-",VLOOKUP(ventas_b_mes1[[#This Row],[CUIT]],Lista_CUIT[#All],2,0)),"CUIT NO CARGADO")</f>
        <v>-</v>
      </c>
      <c r="H1551" s="64">
        <f>ventas_b_mes1[[#This Row],[TOTAL]]/1.21</f>
        <v>0</v>
      </c>
      <c r="I1551" s="140">
        <f>ventas_b_mes1[[#This Row],[IMPORTE NETO]]*0.21</f>
        <v>0</v>
      </c>
      <c r="J1551" s="141"/>
      <c r="K1551" s="141"/>
      <c r="L1551" s="141"/>
      <c r="M1551" s="59"/>
    </row>
    <row r="1552" spans="2:13">
      <c r="B1552" s="135"/>
      <c r="C1552" s="136"/>
      <c r="D1552" s="137"/>
      <c r="E1552" s="138"/>
      <c r="F1552" s="139"/>
      <c r="G1552" s="1" t="str">
        <f>IFERROR(IF(ventas_b_mes1[[#This Row],[CUIT]]="","-",VLOOKUP(ventas_b_mes1[[#This Row],[CUIT]],Lista_CUIT[#All],2,0)),"CUIT NO CARGADO")</f>
        <v>-</v>
      </c>
      <c r="H1552" s="64">
        <f>ventas_b_mes1[[#This Row],[TOTAL]]/1.21</f>
        <v>0</v>
      </c>
      <c r="I1552" s="140">
        <f>ventas_b_mes1[[#This Row],[IMPORTE NETO]]*0.21</f>
        <v>0</v>
      </c>
      <c r="J1552" s="141"/>
      <c r="K1552" s="141"/>
      <c r="L1552" s="141"/>
      <c r="M1552" s="59"/>
    </row>
    <row r="1553" spans="2:13">
      <c r="B1553" s="135"/>
      <c r="C1553" s="136"/>
      <c r="D1553" s="137"/>
      <c r="E1553" s="138"/>
      <c r="F1553" s="139"/>
      <c r="G1553" s="1" t="str">
        <f>IFERROR(IF(ventas_b_mes1[[#This Row],[CUIT]]="","-",VLOOKUP(ventas_b_mes1[[#This Row],[CUIT]],Lista_CUIT[#All],2,0)),"CUIT NO CARGADO")</f>
        <v>-</v>
      </c>
      <c r="H1553" s="64">
        <f>ventas_b_mes1[[#This Row],[TOTAL]]/1.21</f>
        <v>0</v>
      </c>
      <c r="I1553" s="140">
        <f>ventas_b_mes1[[#This Row],[IMPORTE NETO]]*0.21</f>
        <v>0</v>
      </c>
      <c r="J1553" s="141"/>
      <c r="K1553" s="141"/>
      <c r="L1553" s="141"/>
      <c r="M1553" s="59"/>
    </row>
    <row r="1554" spans="2:13">
      <c r="B1554" s="135"/>
      <c r="C1554" s="136"/>
      <c r="D1554" s="137"/>
      <c r="E1554" s="138"/>
      <c r="F1554" s="139"/>
      <c r="G1554" s="1" t="str">
        <f>IFERROR(IF(ventas_b_mes1[[#This Row],[CUIT]]="","-",VLOOKUP(ventas_b_mes1[[#This Row],[CUIT]],Lista_CUIT[#All],2,0)),"CUIT NO CARGADO")</f>
        <v>-</v>
      </c>
      <c r="H1554" s="64">
        <f>ventas_b_mes1[[#This Row],[TOTAL]]/1.21</f>
        <v>0</v>
      </c>
      <c r="I1554" s="140">
        <f>ventas_b_mes1[[#This Row],[IMPORTE NETO]]*0.21</f>
        <v>0</v>
      </c>
      <c r="J1554" s="141"/>
      <c r="K1554" s="141"/>
      <c r="L1554" s="141"/>
      <c r="M1554" s="59"/>
    </row>
    <row r="1555" spans="2:13">
      <c r="B1555" s="135"/>
      <c r="C1555" s="136"/>
      <c r="D1555" s="137"/>
      <c r="E1555" s="138"/>
      <c r="F1555" s="139"/>
      <c r="G1555" s="1" t="str">
        <f>IFERROR(IF(ventas_b_mes1[[#This Row],[CUIT]]="","-",VLOOKUP(ventas_b_mes1[[#This Row],[CUIT]],Lista_CUIT[#All],2,0)),"CUIT NO CARGADO")</f>
        <v>-</v>
      </c>
      <c r="H1555" s="64">
        <f>ventas_b_mes1[[#This Row],[TOTAL]]/1.21</f>
        <v>0</v>
      </c>
      <c r="I1555" s="140">
        <f>ventas_b_mes1[[#This Row],[IMPORTE NETO]]*0.21</f>
        <v>0</v>
      </c>
      <c r="J1555" s="141"/>
      <c r="K1555" s="141"/>
      <c r="L1555" s="141"/>
      <c r="M1555" s="59"/>
    </row>
    <row r="1556" spans="2:13">
      <c r="B1556" s="135"/>
      <c r="C1556" s="136"/>
      <c r="D1556" s="137"/>
      <c r="E1556" s="138"/>
      <c r="F1556" s="139"/>
      <c r="G1556" s="1" t="str">
        <f>IFERROR(IF(ventas_b_mes1[[#This Row],[CUIT]]="","-",VLOOKUP(ventas_b_mes1[[#This Row],[CUIT]],Lista_CUIT[#All],2,0)),"CUIT NO CARGADO")</f>
        <v>-</v>
      </c>
      <c r="H1556" s="64">
        <f>ventas_b_mes1[[#This Row],[TOTAL]]/1.21</f>
        <v>0</v>
      </c>
      <c r="I1556" s="140">
        <f>ventas_b_mes1[[#This Row],[IMPORTE NETO]]*0.21</f>
        <v>0</v>
      </c>
      <c r="J1556" s="141"/>
      <c r="K1556" s="141"/>
      <c r="L1556" s="141"/>
      <c r="M1556" s="59"/>
    </row>
    <row r="1557" spans="2:13">
      <c r="B1557" s="135"/>
      <c r="C1557" s="136"/>
      <c r="D1557" s="137"/>
      <c r="E1557" s="138"/>
      <c r="F1557" s="139"/>
      <c r="G1557" s="1" t="str">
        <f>IFERROR(IF(ventas_b_mes1[[#This Row],[CUIT]]="","-",VLOOKUP(ventas_b_mes1[[#This Row],[CUIT]],Lista_CUIT[#All],2,0)),"CUIT NO CARGADO")</f>
        <v>-</v>
      </c>
      <c r="H1557" s="64">
        <f>ventas_b_mes1[[#This Row],[TOTAL]]/1.21</f>
        <v>0</v>
      </c>
      <c r="I1557" s="140">
        <f>ventas_b_mes1[[#This Row],[IMPORTE NETO]]*0.21</f>
        <v>0</v>
      </c>
      <c r="J1557" s="141"/>
      <c r="K1557" s="141"/>
      <c r="L1557" s="141"/>
      <c r="M1557" s="59"/>
    </row>
    <row r="1558" spans="2:13">
      <c r="B1558" s="135"/>
      <c r="C1558" s="136"/>
      <c r="D1558" s="137"/>
      <c r="E1558" s="138"/>
      <c r="F1558" s="139"/>
      <c r="G1558" s="1" t="str">
        <f>IFERROR(IF(ventas_b_mes1[[#This Row],[CUIT]]="","-",VLOOKUP(ventas_b_mes1[[#This Row],[CUIT]],Lista_CUIT[#All],2,0)),"CUIT NO CARGADO")</f>
        <v>-</v>
      </c>
      <c r="H1558" s="64">
        <f>ventas_b_mes1[[#This Row],[TOTAL]]/1.21</f>
        <v>0</v>
      </c>
      <c r="I1558" s="140">
        <f>ventas_b_mes1[[#This Row],[IMPORTE NETO]]*0.21</f>
        <v>0</v>
      </c>
      <c r="J1558" s="141"/>
      <c r="K1558" s="141"/>
      <c r="L1558" s="141"/>
      <c r="M1558" s="59"/>
    </row>
    <row r="1559" spans="2:13">
      <c r="B1559" s="135"/>
      <c r="C1559" s="136"/>
      <c r="D1559" s="137"/>
      <c r="E1559" s="138"/>
      <c r="F1559" s="139"/>
      <c r="G1559" s="1" t="str">
        <f>IFERROR(IF(ventas_b_mes1[[#This Row],[CUIT]]="","-",VLOOKUP(ventas_b_mes1[[#This Row],[CUIT]],Lista_CUIT[#All],2,0)),"CUIT NO CARGADO")</f>
        <v>-</v>
      </c>
      <c r="H1559" s="64">
        <f>ventas_b_mes1[[#This Row],[TOTAL]]/1.21</f>
        <v>0</v>
      </c>
      <c r="I1559" s="140">
        <f>ventas_b_mes1[[#This Row],[IMPORTE NETO]]*0.21</f>
        <v>0</v>
      </c>
      <c r="J1559" s="141"/>
      <c r="K1559" s="141"/>
      <c r="L1559" s="141"/>
      <c r="M1559" s="59"/>
    </row>
    <row r="1560" spans="2:13">
      <c r="B1560" s="135"/>
      <c r="C1560" s="136"/>
      <c r="D1560" s="137"/>
      <c r="E1560" s="138"/>
      <c r="F1560" s="139"/>
      <c r="G1560" s="1" t="str">
        <f>IFERROR(IF(ventas_b_mes1[[#This Row],[CUIT]]="","-",VLOOKUP(ventas_b_mes1[[#This Row],[CUIT]],Lista_CUIT[#All],2,0)),"CUIT NO CARGADO")</f>
        <v>-</v>
      </c>
      <c r="H1560" s="64">
        <f>ventas_b_mes1[[#This Row],[TOTAL]]/1.21</f>
        <v>0</v>
      </c>
      <c r="I1560" s="140">
        <f>ventas_b_mes1[[#This Row],[IMPORTE NETO]]*0.21</f>
        <v>0</v>
      </c>
      <c r="J1560" s="141"/>
      <c r="K1560" s="141"/>
      <c r="L1560" s="141"/>
      <c r="M1560" s="59"/>
    </row>
    <row r="1561" spans="2:13">
      <c r="B1561" s="135"/>
      <c r="C1561" s="136"/>
      <c r="D1561" s="137"/>
      <c r="E1561" s="138"/>
      <c r="F1561" s="139"/>
      <c r="G1561" s="1" t="str">
        <f>IFERROR(IF(ventas_b_mes1[[#This Row],[CUIT]]="","-",VLOOKUP(ventas_b_mes1[[#This Row],[CUIT]],Lista_CUIT[#All],2,0)),"CUIT NO CARGADO")</f>
        <v>-</v>
      </c>
      <c r="H1561" s="64">
        <f>ventas_b_mes1[[#This Row],[TOTAL]]/1.21</f>
        <v>0</v>
      </c>
      <c r="I1561" s="140">
        <f>ventas_b_mes1[[#This Row],[IMPORTE NETO]]*0.21</f>
        <v>0</v>
      </c>
      <c r="J1561" s="141"/>
      <c r="K1561" s="141"/>
      <c r="L1561" s="141"/>
      <c r="M1561" s="59"/>
    </row>
    <row r="1562" spans="2:13">
      <c r="B1562" s="135"/>
      <c r="C1562" s="136"/>
      <c r="D1562" s="137"/>
      <c r="E1562" s="138"/>
      <c r="F1562" s="139"/>
      <c r="G1562" s="1" t="str">
        <f>IFERROR(IF(ventas_b_mes1[[#This Row],[CUIT]]="","-",VLOOKUP(ventas_b_mes1[[#This Row],[CUIT]],Lista_CUIT[#All],2,0)),"CUIT NO CARGADO")</f>
        <v>-</v>
      </c>
      <c r="H1562" s="64">
        <f>ventas_b_mes1[[#This Row],[TOTAL]]/1.21</f>
        <v>0</v>
      </c>
      <c r="I1562" s="140">
        <f>ventas_b_mes1[[#This Row],[IMPORTE NETO]]*0.21</f>
        <v>0</v>
      </c>
      <c r="J1562" s="141"/>
      <c r="K1562" s="141"/>
      <c r="L1562" s="141"/>
      <c r="M1562" s="59"/>
    </row>
    <row r="1563" spans="2:13">
      <c r="B1563" s="135"/>
      <c r="C1563" s="136"/>
      <c r="D1563" s="137"/>
      <c r="E1563" s="138"/>
      <c r="F1563" s="139"/>
      <c r="G1563" s="1" t="str">
        <f>IFERROR(IF(ventas_b_mes1[[#This Row],[CUIT]]="","-",VLOOKUP(ventas_b_mes1[[#This Row],[CUIT]],Lista_CUIT[#All],2,0)),"CUIT NO CARGADO")</f>
        <v>-</v>
      </c>
      <c r="H1563" s="64">
        <f>ventas_b_mes1[[#This Row],[TOTAL]]/1.21</f>
        <v>0</v>
      </c>
      <c r="I1563" s="140">
        <f>ventas_b_mes1[[#This Row],[IMPORTE NETO]]*0.21</f>
        <v>0</v>
      </c>
      <c r="J1563" s="141"/>
      <c r="K1563" s="141"/>
      <c r="L1563" s="141"/>
      <c r="M1563" s="59"/>
    </row>
    <row r="1564" spans="2:13">
      <c r="B1564" s="135"/>
      <c r="C1564" s="136"/>
      <c r="D1564" s="137"/>
      <c r="E1564" s="138"/>
      <c r="F1564" s="139"/>
      <c r="G1564" s="1" t="str">
        <f>IFERROR(IF(ventas_b_mes1[[#This Row],[CUIT]]="","-",VLOOKUP(ventas_b_mes1[[#This Row],[CUIT]],Lista_CUIT[#All],2,0)),"CUIT NO CARGADO")</f>
        <v>-</v>
      </c>
      <c r="H1564" s="64">
        <f>ventas_b_mes1[[#This Row],[TOTAL]]/1.21</f>
        <v>0</v>
      </c>
      <c r="I1564" s="140">
        <f>ventas_b_mes1[[#This Row],[IMPORTE NETO]]*0.21</f>
        <v>0</v>
      </c>
      <c r="J1564" s="141"/>
      <c r="K1564" s="141"/>
      <c r="L1564" s="141"/>
      <c r="M1564" s="59"/>
    </row>
    <row r="1565" spans="2:13">
      <c r="B1565" s="135"/>
      <c r="C1565" s="136"/>
      <c r="D1565" s="137"/>
      <c r="E1565" s="138"/>
      <c r="F1565" s="139"/>
      <c r="G1565" s="1" t="str">
        <f>IFERROR(IF(ventas_b_mes1[[#This Row],[CUIT]]="","-",VLOOKUP(ventas_b_mes1[[#This Row],[CUIT]],Lista_CUIT[#All],2,0)),"CUIT NO CARGADO")</f>
        <v>-</v>
      </c>
      <c r="H1565" s="64">
        <f>ventas_b_mes1[[#This Row],[TOTAL]]/1.21</f>
        <v>0</v>
      </c>
      <c r="I1565" s="140">
        <f>ventas_b_mes1[[#This Row],[IMPORTE NETO]]*0.21</f>
        <v>0</v>
      </c>
      <c r="J1565" s="141"/>
      <c r="K1565" s="141"/>
      <c r="L1565" s="141"/>
      <c r="M1565" s="59"/>
    </row>
    <row r="1566" spans="2:13">
      <c r="B1566" s="135"/>
      <c r="C1566" s="136"/>
      <c r="D1566" s="137"/>
      <c r="E1566" s="138"/>
      <c r="F1566" s="139"/>
      <c r="G1566" s="1" t="str">
        <f>IFERROR(IF(ventas_b_mes1[[#This Row],[CUIT]]="","-",VLOOKUP(ventas_b_mes1[[#This Row],[CUIT]],Lista_CUIT[#All],2,0)),"CUIT NO CARGADO")</f>
        <v>-</v>
      </c>
      <c r="H1566" s="64">
        <f>ventas_b_mes1[[#This Row],[TOTAL]]/1.21</f>
        <v>0</v>
      </c>
      <c r="I1566" s="140">
        <f>ventas_b_mes1[[#This Row],[IMPORTE NETO]]*0.21</f>
        <v>0</v>
      </c>
      <c r="J1566" s="141"/>
      <c r="K1566" s="141"/>
      <c r="L1566" s="141"/>
      <c r="M1566" s="59"/>
    </row>
    <row r="1567" spans="2:13">
      <c r="B1567" s="135"/>
      <c r="C1567" s="136"/>
      <c r="D1567" s="137"/>
      <c r="E1567" s="138"/>
      <c r="F1567" s="139"/>
      <c r="G1567" s="1" t="str">
        <f>IFERROR(IF(ventas_b_mes1[[#This Row],[CUIT]]="","-",VLOOKUP(ventas_b_mes1[[#This Row],[CUIT]],Lista_CUIT[#All],2,0)),"CUIT NO CARGADO")</f>
        <v>-</v>
      </c>
      <c r="H1567" s="64">
        <f>ventas_b_mes1[[#This Row],[TOTAL]]/1.21</f>
        <v>0</v>
      </c>
      <c r="I1567" s="140">
        <f>ventas_b_mes1[[#This Row],[IMPORTE NETO]]*0.21</f>
        <v>0</v>
      </c>
      <c r="J1567" s="141"/>
      <c r="K1567" s="141"/>
      <c r="L1567" s="141"/>
      <c r="M1567" s="59"/>
    </row>
    <row r="1568" spans="2:13">
      <c r="B1568" s="135"/>
      <c r="C1568" s="136"/>
      <c r="D1568" s="137"/>
      <c r="E1568" s="138"/>
      <c r="F1568" s="139"/>
      <c r="G1568" s="1" t="str">
        <f>IFERROR(IF(ventas_b_mes1[[#This Row],[CUIT]]="","-",VLOOKUP(ventas_b_mes1[[#This Row],[CUIT]],Lista_CUIT[#All],2,0)),"CUIT NO CARGADO")</f>
        <v>-</v>
      </c>
      <c r="H1568" s="64">
        <f>ventas_b_mes1[[#This Row],[TOTAL]]/1.21</f>
        <v>0</v>
      </c>
      <c r="I1568" s="140">
        <f>ventas_b_mes1[[#This Row],[IMPORTE NETO]]*0.21</f>
        <v>0</v>
      </c>
      <c r="J1568" s="141"/>
      <c r="K1568" s="141"/>
      <c r="L1568" s="141"/>
      <c r="M1568" s="59"/>
    </row>
    <row r="1569" spans="2:13">
      <c r="B1569" s="135"/>
      <c r="C1569" s="136"/>
      <c r="D1569" s="137"/>
      <c r="E1569" s="138"/>
      <c r="F1569" s="139"/>
      <c r="G1569" s="1" t="str">
        <f>IFERROR(IF(ventas_b_mes1[[#This Row],[CUIT]]="","-",VLOOKUP(ventas_b_mes1[[#This Row],[CUIT]],Lista_CUIT[#All],2,0)),"CUIT NO CARGADO")</f>
        <v>-</v>
      </c>
      <c r="H1569" s="64">
        <f>ventas_b_mes1[[#This Row],[TOTAL]]/1.21</f>
        <v>0</v>
      </c>
      <c r="I1569" s="140">
        <f>ventas_b_mes1[[#This Row],[IMPORTE NETO]]*0.21</f>
        <v>0</v>
      </c>
      <c r="J1569" s="141"/>
      <c r="K1569" s="141"/>
      <c r="L1569" s="141"/>
      <c r="M1569" s="59"/>
    </row>
    <row r="1570" spans="2:13">
      <c r="B1570" s="135"/>
      <c r="C1570" s="136"/>
      <c r="D1570" s="137"/>
      <c r="E1570" s="138"/>
      <c r="F1570" s="139"/>
      <c r="G1570" s="1" t="str">
        <f>IFERROR(IF(ventas_b_mes1[[#This Row],[CUIT]]="","-",VLOOKUP(ventas_b_mes1[[#This Row],[CUIT]],Lista_CUIT[#All],2,0)),"CUIT NO CARGADO")</f>
        <v>-</v>
      </c>
      <c r="H1570" s="64">
        <f>ventas_b_mes1[[#This Row],[TOTAL]]/1.21</f>
        <v>0</v>
      </c>
      <c r="I1570" s="140">
        <f>ventas_b_mes1[[#This Row],[IMPORTE NETO]]*0.21</f>
        <v>0</v>
      </c>
      <c r="J1570" s="141"/>
      <c r="K1570" s="141"/>
      <c r="L1570" s="141"/>
      <c r="M1570" s="59"/>
    </row>
    <row r="1571" spans="2:13">
      <c r="B1571" s="135"/>
      <c r="C1571" s="136"/>
      <c r="D1571" s="137"/>
      <c r="E1571" s="138"/>
      <c r="F1571" s="139"/>
      <c r="G1571" s="1" t="str">
        <f>IFERROR(IF(ventas_b_mes1[[#This Row],[CUIT]]="","-",VLOOKUP(ventas_b_mes1[[#This Row],[CUIT]],Lista_CUIT[#All],2,0)),"CUIT NO CARGADO")</f>
        <v>-</v>
      </c>
      <c r="H1571" s="64">
        <f>ventas_b_mes1[[#This Row],[TOTAL]]/1.21</f>
        <v>0</v>
      </c>
      <c r="I1571" s="140">
        <f>ventas_b_mes1[[#This Row],[IMPORTE NETO]]*0.21</f>
        <v>0</v>
      </c>
      <c r="J1571" s="141"/>
      <c r="K1571" s="141"/>
      <c r="L1571" s="141"/>
      <c r="M1571" s="59"/>
    </row>
    <row r="1572" spans="2:13">
      <c r="B1572" s="135"/>
      <c r="C1572" s="136"/>
      <c r="D1572" s="137"/>
      <c r="E1572" s="138"/>
      <c r="F1572" s="139"/>
      <c r="G1572" s="1" t="str">
        <f>IFERROR(IF(ventas_b_mes1[[#This Row],[CUIT]]="","-",VLOOKUP(ventas_b_mes1[[#This Row],[CUIT]],Lista_CUIT[#All],2,0)),"CUIT NO CARGADO")</f>
        <v>-</v>
      </c>
      <c r="H1572" s="64">
        <f>ventas_b_mes1[[#This Row],[TOTAL]]/1.21</f>
        <v>0</v>
      </c>
      <c r="I1572" s="140">
        <f>ventas_b_mes1[[#This Row],[IMPORTE NETO]]*0.21</f>
        <v>0</v>
      </c>
      <c r="J1572" s="141"/>
      <c r="K1572" s="141"/>
      <c r="L1572" s="141"/>
      <c r="M1572" s="59"/>
    </row>
    <row r="1573" spans="2:13">
      <c r="B1573" s="135"/>
      <c r="C1573" s="136"/>
      <c r="D1573" s="137"/>
      <c r="E1573" s="138"/>
      <c r="F1573" s="139"/>
      <c r="G1573" s="1" t="str">
        <f>IFERROR(IF(ventas_b_mes1[[#This Row],[CUIT]]="","-",VLOOKUP(ventas_b_mes1[[#This Row],[CUIT]],Lista_CUIT[#All],2,0)),"CUIT NO CARGADO")</f>
        <v>-</v>
      </c>
      <c r="H1573" s="64">
        <f>ventas_b_mes1[[#This Row],[TOTAL]]/1.21</f>
        <v>0</v>
      </c>
      <c r="I1573" s="140">
        <f>ventas_b_mes1[[#This Row],[IMPORTE NETO]]*0.21</f>
        <v>0</v>
      </c>
      <c r="J1573" s="141"/>
      <c r="K1573" s="141"/>
      <c r="L1573" s="141"/>
      <c r="M1573" s="59"/>
    </row>
    <row r="1574" spans="2:13">
      <c r="B1574" s="135"/>
      <c r="C1574" s="136"/>
      <c r="D1574" s="137"/>
      <c r="E1574" s="138"/>
      <c r="F1574" s="139"/>
      <c r="G1574" s="1" t="str">
        <f>IFERROR(IF(ventas_b_mes1[[#This Row],[CUIT]]="","-",VLOOKUP(ventas_b_mes1[[#This Row],[CUIT]],Lista_CUIT[#All],2,0)),"CUIT NO CARGADO")</f>
        <v>-</v>
      </c>
      <c r="H1574" s="64">
        <f>ventas_b_mes1[[#This Row],[TOTAL]]/1.21</f>
        <v>0</v>
      </c>
      <c r="I1574" s="140">
        <f>ventas_b_mes1[[#This Row],[IMPORTE NETO]]*0.21</f>
        <v>0</v>
      </c>
      <c r="J1574" s="141"/>
      <c r="K1574" s="141"/>
      <c r="L1574" s="141"/>
      <c r="M1574" s="59"/>
    </row>
    <row r="1575" spans="2:13">
      <c r="B1575" s="135"/>
      <c r="C1575" s="136"/>
      <c r="D1575" s="137"/>
      <c r="E1575" s="138"/>
      <c r="F1575" s="139"/>
      <c r="G1575" s="1" t="str">
        <f>IFERROR(IF(ventas_b_mes1[[#This Row],[CUIT]]="","-",VLOOKUP(ventas_b_mes1[[#This Row],[CUIT]],Lista_CUIT[#All],2,0)),"CUIT NO CARGADO")</f>
        <v>-</v>
      </c>
      <c r="H1575" s="64">
        <f>ventas_b_mes1[[#This Row],[TOTAL]]/1.21</f>
        <v>0</v>
      </c>
      <c r="I1575" s="140">
        <f>ventas_b_mes1[[#This Row],[IMPORTE NETO]]*0.21</f>
        <v>0</v>
      </c>
      <c r="J1575" s="141"/>
      <c r="K1575" s="141"/>
      <c r="L1575" s="141"/>
      <c r="M1575" s="59"/>
    </row>
    <row r="1576" spans="2:13">
      <c r="B1576" s="40"/>
      <c r="C1576" s="41"/>
      <c r="D1576" s="42"/>
      <c r="E1576" s="43"/>
      <c r="F1576" s="44"/>
      <c r="G1576" s="1" t="str">
        <f>IFERROR(IF(ventas_b_mes1[[#This Row],[CUIT]]="","-",VLOOKUP(ventas_b_mes1[[#This Row],[CUIT]],Lista_CUIT[#All],2,0)),"CUIT NO CARGADO")</f>
        <v>-</v>
      </c>
      <c r="H1576" s="64">
        <f>ventas_b_mes1[[#This Row],[TOTAL]]/1.21</f>
        <v>0</v>
      </c>
      <c r="I1576" s="64">
        <f>ventas_b_mes1[[#This Row],[IMPORTE NETO]]*0.21</f>
        <v>0</v>
      </c>
      <c r="J1576" s="64"/>
      <c r="K1576" s="64"/>
      <c r="L1576" s="64"/>
      <c r="M1576" s="59"/>
    </row>
    <row r="1577" spans="2:13">
      <c r="B1577" s="40"/>
      <c r="C1577" s="41"/>
      <c r="D1577" s="42"/>
      <c r="E1577" s="43"/>
      <c r="F1577" s="44"/>
      <c r="G1577" s="1" t="str">
        <f>IFERROR(IF(ventas_b_mes1[[#This Row],[CUIT]]="","-",VLOOKUP(ventas_b_mes1[[#This Row],[CUIT]],Lista_CUIT[#All],2,0)),"CUIT NO CARGADO")</f>
        <v>-</v>
      </c>
      <c r="H1577" s="64">
        <f>ventas_b_mes1[[#This Row],[TOTAL]]/1.21</f>
        <v>0</v>
      </c>
      <c r="I1577" s="64">
        <f>ventas_b_mes1[[#This Row],[IMPORTE NETO]]*0.21</f>
        <v>0</v>
      </c>
      <c r="J1577" s="64"/>
      <c r="K1577" s="64"/>
      <c r="L1577" s="64"/>
      <c r="M1577" s="59"/>
    </row>
    <row r="1578" spans="2:13">
      <c r="B1578" s="40"/>
      <c r="C1578" s="41"/>
      <c r="D1578" s="42"/>
      <c r="E1578" s="43"/>
      <c r="F1578" s="44"/>
      <c r="G1578" s="1" t="str">
        <f>IFERROR(IF(ventas_b_mes1[[#This Row],[CUIT]]="","-",VLOOKUP(ventas_b_mes1[[#This Row],[CUIT]],Lista_CUIT[#All],2,0)),"CUIT NO CARGADO")</f>
        <v>-</v>
      </c>
      <c r="H1578" s="64">
        <f>ventas_b_mes1[[#This Row],[TOTAL]]/1.21</f>
        <v>0</v>
      </c>
      <c r="I1578" s="64">
        <f>ventas_b_mes1[[#This Row],[IMPORTE NETO]]*0.21</f>
        <v>0</v>
      </c>
      <c r="J1578" s="64"/>
      <c r="K1578" s="64"/>
      <c r="L1578" s="64"/>
      <c r="M1578" s="59"/>
    </row>
    <row r="1579" spans="2:13">
      <c r="B1579" s="40"/>
      <c r="C1579" s="41"/>
      <c r="D1579" s="42"/>
      <c r="E1579" s="43"/>
      <c r="F1579" s="44"/>
      <c r="G1579" s="1" t="str">
        <f>IFERROR(IF(ventas_b_mes1[[#This Row],[CUIT]]="","-",VLOOKUP(ventas_b_mes1[[#This Row],[CUIT]],Lista_CUIT[#All],2,0)),"CUIT NO CARGADO")</f>
        <v>-</v>
      </c>
      <c r="H1579" s="64">
        <f>ventas_b_mes1[[#This Row],[TOTAL]]/1.21</f>
        <v>0</v>
      </c>
      <c r="I1579" s="64">
        <f>ventas_b_mes1[[#This Row],[IMPORTE NETO]]*0.21</f>
        <v>0</v>
      </c>
      <c r="J1579" s="64"/>
      <c r="K1579" s="64"/>
      <c r="L1579" s="64"/>
      <c r="M1579" s="59"/>
    </row>
    <row r="1580" spans="2:13">
      <c r="B1580" s="40"/>
      <c r="C1580" s="41"/>
      <c r="D1580" s="42"/>
      <c r="E1580" s="43"/>
      <c r="F1580" s="44"/>
      <c r="G1580" s="1" t="str">
        <f>IFERROR(IF(ventas_b_mes1[[#This Row],[CUIT]]="","-",VLOOKUP(ventas_b_mes1[[#This Row],[CUIT]],Lista_CUIT[#All],2,0)),"CUIT NO CARGADO")</f>
        <v>-</v>
      </c>
      <c r="H1580" s="64">
        <f>ventas_b_mes1[[#This Row],[TOTAL]]/1.21</f>
        <v>0</v>
      </c>
      <c r="I1580" s="64">
        <f>ventas_b_mes1[[#This Row],[IMPORTE NETO]]*0.21</f>
        <v>0</v>
      </c>
      <c r="J1580" s="64"/>
      <c r="K1580" s="64"/>
      <c r="L1580" s="64"/>
      <c r="M1580" s="59"/>
    </row>
    <row r="1581" spans="2:13">
      <c r="B1581" s="66" t="s">
        <v>103</v>
      </c>
      <c r="C1581" s="67"/>
      <c r="D1581" s="67"/>
      <c r="E1581" s="67"/>
      <c r="F1581" s="67"/>
      <c r="G1581" s="67"/>
      <c r="H1581" s="77">
        <f>SUBTOTAL(109,ventas_b_mes1[IMPORTE NETO])</f>
        <v>0</v>
      </c>
      <c r="I1581" s="77">
        <f>SUBTOTAL(109,ventas_b_mes1[IVA 21%])</f>
        <v>0</v>
      </c>
      <c r="J1581" s="78">
        <f>SUBTOTAL(109,ventas_b_mes1[IVA 10,5%])</f>
        <v>0</v>
      </c>
      <c r="K1581" s="78">
        <f>SUBTOTAL(109,ventas_b_mes1[EXENTO])</f>
        <v>0</v>
      </c>
      <c r="L1581" s="78">
        <f>SUBTOTAL(109,ventas_b_mes1[TOTAL])</f>
        <v>0</v>
      </c>
      <c r="M1581" s="68">
        <f>SUBTOTAL(103,ventas_b_mes1[Provincia])</f>
        <v>0</v>
      </c>
    </row>
    <row r="1588" spans="3:12" ht="15.75" thickBot="1"/>
    <row r="1589" spans="3:12" ht="15.75" thickTop="1">
      <c r="C1589" s="726" t="s">
        <v>66</v>
      </c>
      <c r="D1589" s="726"/>
      <c r="E1589" s="726"/>
      <c r="F1589" s="726"/>
      <c r="G1589" s="726"/>
      <c r="H1589" s="32"/>
      <c r="I1589" s="32"/>
      <c r="J1589" s="32"/>
    </row>
    <row r="1590" spans="3:12" ht="15.75">
      <c r="C1590" s="114" t="s">
        <v>67</v>
      </c>
      <c r="D1590" s="115" t="s">
        <v>68</v>
      </c>
      <c r="E1590" s="115" t="s">
        <v>105</v>
      </c>
      <c r="F1590" s="115" t="s">
        <v>3</v>
      </c>
      <c r="G1590" s="115" t="s">
        <v>4</v>
      </c>
      <c r="H1590" s="116" t="s">
        <v>69</v>
      </c>
      <c r="I1590" s="116" t="s">
        <v>70</v>
      </c>
      <c r="J1590" s="116" t="s">
        <v>71</v>
      </c>
      <c r="K1590" s="116" t="s">
        <v>72</v>
      </c>
      <c r="L1590" s="116" t="s">
        <v>73</v>
      </c>
    </row>
    <row r="1591" spans="3:12">
      <c r="C1591" s="117"/>
      <c r="D1591" s="118"/>
      <c r="E1591" s="118"/>
      <c r="F1591" s="119"/>
      <c r="G1591" s="53" t="str">
        <f>IFERROR(IF(retenciones_mes1[[#This Row],[CUIT]]="","-",VLOOKUP(retenciones_mes1[[#This Row],[CUIT]],Lista_CUIT[#All],2,0)),"CUIT NO CARGADO")</f>
        <v>-</v>
      </c>
      <c r="H1591" s="120"/>
      <c r="I1591" s="120"/>
      <c r="J1591" s="120"/>
      <c r="K1591" s="120"/>
      <c r="L1591" s="120"/>
    </row>
    <row r="1592" spans="3:12">
      <c r="C1592" s="117"/>
      <c r="D1592" s="118"/>
      <c r="E1592" s="118"/>
      <c r="F1592" s="119"/>
      <c r="G1592" s="53" t="str">
        <f>IFERROR(IF(retenciones_mes1[[#This Row],[CUIT]]="","-",VLOOKUP(retenciones_mes1[[#This Row],[CUIT]],Lista_CUIT[#All],2,0)),"CUIT NO CARGADO")</f>
        <v>-</v>
      </c>
      <c r="H1592" s="120"/>
      <c r="I1592" s="120"/>
      <c r="J1592" s="120"/>
      <c r="K1592" s="120"/>
      <c r="L1592" s="120"/>
    </row>
    <row r="1593" spans="3:12">
      <c r="C1593" s="117"/>
      <c r="D1593" s="118"/>
      <c r="E1593" s="118"/>
      <c r="F1593" s="119"/>
      <c r="G1593" s="53" t="str">
        <f>IFERROR(IF(retenciones_mes1[[#This Row],[CUIT]]="","-",VLOOKUP(retenciones_mes1[[#This Row],[CUIT]],Lista_CUIT[#All],2,0)),"CUIT NO CARGADO")</f>
        <v>-</v>
      </c>
      <c r="H1593" s="120"/>
      <c r="I1593" s="120"/>
      <c r="J1593" s="120"/>
      <c r="K1593" s="120"/>
      <c r="L1593" s="120"/>
    </row>
    <row r="1594" spans="3:12">
      <c r="C1594" s="117"/>
      <c r="D1594" s="118"/>
      <c r="E1594" s="118"/>
      <c r="F1594" s="119"/>
      <c r="G1594" s="53" t="str">
        <f>IFERROR(IF(retenciones_mes1[[#This Row],[CUIT]]="","-",VLOOKUP(retenciones_mes1[[#This Row],[CUIT]],Lista_CUIT[#All],2,0)),"CUIT NO CARGADO")</f>
        <v>-</v>
      </c>
      <c r="H1594" s="120"/>
      <c r="I1594" s="120"/>
      <c r="J1594" s="120"/>
      <c r="K1594" s="120"/>
      <c r="L1594" s="120"/>
    </row>
    <row r="1595" spans="3:12">
      <c r="D1595" s="118"/>
      <c r="E1595" s="118"/>
      <c r="G1595" s="53" t="str">
        <f>IFERROR(IF(retenciones_mes1[[#This Row],[CUIT]]="","-",VLOOKUP(retenciones_mes1[[#This Row],[CUIT]],Lista_CUIT[#All],2,0)),"CUIT NO CARGADO")</f>
        <v>-</v>
      </c>
    </row>
    <row r="1596" spans="3:12">
      <c r="C1596" s="33"/>
    </row>
  </sheetData>
  <mergeCells count="20">
    <mergeCell ref="J4:K4"/>
    <mergeCell ref="M4:N4"/>
    <mergeCell ref="M3:N3"/>
    <mergeCell ref="C1589:G1589"/>
    <mergeCell ref="N1:R1"/>
    <mergeCell ref="D152:L152"/>
    <mergeCell ref="B199:C199"/>
    <mergeCell ref="B256:C256"/>
    <mergeCell ref="B1:F1"/>
    <mergeCell ref="G1:M1"/>
    <mergeCell ref="K197:M197"/>
    <mergeCell ref="B3:E3"/>
    <mergeCell ref="B4:E4"/>
    <mergeCell ref="G4:H4"/>
    <mergeCell ref="G3:H3"/>
    <mergeCell ref="B197:J197"/>
    <mergeCell ref="D165:K165"/>
    <mergeCell ref="P4:R4"/>
    <mergeCell ref="P3:R3"/>
    <mergeCell ref="J3:K3"/>
  </mergeCells>
  <phoneticPr fontId="38" type="noConversion"/>
  <dataValidations count="16">
    <dataValidation type="whole" allowBlank="1" showInputMessage="1" showErrorMessage="1" sqref="E167:E191 D201:D252 D258:D1580 D9:D146">
      <formula1>1</formula1>
      <formula2>9999</formula2>
    </dataValidation>
    <dataValidation type="whole" allowBlank="1" showInputMessage="1" showErrorMessage="1" sqref="F167:F191 E201:E252 E258:E1580 E9:E146">
      <formula1>1</formula1>
      <formula2>99999999</formula2>
    </dataValidation>
    <dataValidation type="whole" allowBlank="1" showInputMessage="1" showErrorMessage="1" sqref="G167:G191 F258:F1580 F201:F252 F9:F146">
      <formula1>20000000000</formula1>
      <formula2>33999999999</formula2>
    </dataValidation>
    <dataValidation type="date" allowBlank="1" showInputMessage="1" showErrorMessage="1" sqref="D154:D161 D167:D191 B148:B151 B201:B252 B258:B1580 B9:B146">
      <formula1>40179</formula1>
      <formula2>TODAY()</formula2>
    </dataValidation>
    <dataValidation type="whole" allowBlank="1" showInputMessage="1" showErrorMessage="1" sqref="C148:C151 C201:C252 C9:C146">
      <formula1>1</formula1>
      <formula2>3</formula2>
    </dataValidation>
    <dataValidation type="custom" allowBlank="1" showInputMessage="1" showErrorMessage="1" sqref="H201:K201">
      <formula1>IF($C201=3,H201&lt;0,H201&gt;=0)</formula1>
    </dataValidation>
    <dataValidation type="custom" allowBlank="1" showInputMessage="1" showErrorMessage="1" sqref="L251:L252">
      <formula1>IF($C11=3,L11&lt;0,L11&gt;=0)</formula1>
    </dataValidation>
    <dataValidation type="custom" allowBlank="1" showInputMessage="1" showErrorMessage="1" sqref="L217:L223">
      <formula1>IF($C11=3,L11&lt;0,L11&gt;=0)</formula1>
    </dataValidation>
    <dataValidation type="custom" allowBlank="1" showInputMessage="1" showErrorMessage="1" sqref="L201:L209">
      <formula1>IF($C9=3,L9&lt;0,L9&gt;=0)</formula1>
    </dataValidation>
    <dataValidation type="custom" allowBlank="1" showInputMessage="1" showErrorMessage="1" sqref="L210:L216">
      <formula1>IF($C11=3,L11&lt;0,L11&gt;=0)</formula1>
    </dataValidation>
    <dataValidation type="custom" allowBlank="1" showInputMessage="1" showErrorMessage="1" sqref="L224:L234">
      <formula1>IF($C11=3,L11&lt;0,L11&gt;=0)</formula1>
    </dataValidation>
    <dataValidation type="custom" allowBlank="1" showInputMessage="1" showErrorMessage="1" sqref="L246:L250">
      <formula1>IF($C13=3,L13&lt;0,L13&gt;=0)</formula1>
    </dataValidation>
    <dataValidation type="custom" allowBlank="1" showInputMessage="1" showErrorMessage="1" sqref="L235:L245">
      <formula1>IF($C18=3,L18&lt;0,L18&gt;=0)</formula1>
    </dataValidation>
    <dataValidation type="whole" allowBlank="1" showInputMessage="1" showErrorMessage="1" sqref="C258:C1580">
      <formula1>6</formula1>
      <formula2>8</formula2>
    </dataValidation>
    <dataValidation type="custom" allowBlank="1" showInputMessage="1" showErrorMessage="1" sqref="H258:L1580">
      <formula1>IF($C258=8,H258&lt;0,H258&gt;=0)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6">
      <formula1>IF($C9=3,H9&lt;0,H9&gt;=0)</formula1>
    </dataValidation>
  </dataValidations>
  <pageMargins left="0.25" right="0.25" top="0.75" bottom="0.75" header="0.3" footer="0.3"/>
  <pageSetup paperSize="9" scale="49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9" tint="0.79998168889431442"/>
    <pageSetUpPr fitToPage="1"/>
  </sheetPr>
  <dimension ref="A1:Z216"/>
  <sheetViews>
    <sheetView showGridLines="0" topLeftCell="A126" zoomScale="85" zoomScaleNormal="85" workbookViewId="0">
      <selection activeCell="P135" activeCellId="1" sqref="I180 P135"/>
    </sheetView>
  </sheetViews>
  <sheetFormatPr baseColWidth="10" defaultColWidth="0" defaultRowHeight="15"/>
  <cols>
    <col min="1" max="1" width="1.7109375" customWidth="1"/>
    <col min="2" max="2" width="13.5703125" customWidth="1"/>
    <col min="3" max="3" width="9.5703125" customWidth="1"/>
    <col min="4" max="4" width="13.28515625" customWidth="1"/>
    <col min="5" max="5" width="15.85546875" customWidth="1"/>
    <col min="6" max="6" width="18" customWidth="1"/>
    <col min="7" max="7" width="33.140625" customWidth="1"/>
    <col min="8" max="8" width="29" customWidth="1"/>
    <col min="9" max="9" width="15.5703125" customWidth="1"/>
    <col min="10" max="10" width="19.28515625" customWidth="1"/>
    <col min="11" max="11" width="14.42578125" customWidth="1"/>
    <col min="12" max="12" width="11.42578125" customWidth="1"/>
    <col min="13" max="13" width="12.85546875" customWidth="1"/>
    <col min="14" max="14" width="13.28515625" customWidth="1"/>
    <col min="15" max="15" width="12.42578125" customWidth="1"/>
    <col min="16" max="16" width="20.28515625" customWidth="1"/>
    <col min="17" max="17" width="19.28515625" customWidth="1"/>
    <col min="18" max="18" width="12.140625" customWidth="1"/>
    <col min="19" max="19" width="11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0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EDATE('Ene-24'!N1,1)</f>
        <v>44958</v>
      </c>
      <c r="O1" s="711"/>
      <c r="P1" s="711"/>
      <c r="Q1" s="711"/>
      <c r="R1" s="711"/>
    </row>
    <row r="2" spans="1:20" ht="15" customHeight="1"/>
    <row r="3" spans="1:20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0" ht="25.15" customHeight="1">
      <c r="B4" s="718">
        <f>SUM(compras_mes2[[#Totals],[NETO GRAVADO]])+extracto_banco_mes2[[#Totals],[NETO]]</f>
        <v>84161379.410952389</v>
      </c>
      <c r="C4" s="718"/>
      <c r="D4" s="718"/>
      <c r="E4" s="718"/>
      <c r="F4" s="39"/>
      <c r="G4" s="719">
        <f>compras_mes2[[#Totals],[IVA 21 %]]+compras_mes2[[#Totals],[IVA 27%]]+compras_mes2[[#Totals],[IVA 10,5%]]+extracto_banco_mes2[[#Totals],[IVA 21%]]+extracto_banco_mes2[[#Totals],[IVA 10,5%]]</f>
        <v>17583490.4485</v>
      </c>
      <c r="H4" s="719"/>
      <c r="I4" s="39"/>
      <c r="J4" s="725">
        <f>venta_a_mes2[[#Totals],[IMPORTE NETO]]+ventas_b_mes2[[#Totals],[IMPORTE NETO]]</f>
        <v>0</v>
      </c>
      <c r="K4" s="725"/>
      <c r="L4" s="39"/>
      <c r="M4" s="725">
        <f>venta_a_mes2[[#Totals],[IVA 21%]]+venta_a_mes2[[#Totals],[IVA 10,5%]]+ventas_b_mes2[[#Totals],[IVA 21%]]+ventas_b_mes2[[#Totals],[IVA 10,5%]]</f>
        <v>0</v>
      </c>
      <c r="N4" s="725"/>
      <c r="O4" s="39"/>
      <c r="P4" s="721">
        <f>G4-M4</f>
        <v>17583490.4485</v>
      </c>
      <c r="Q4" s="722"/>
      <c r="R4" s="722"/>
    </row>
    <row r="5" spans="1:20" ht="17.25" customHeight="1"/>
    <row r="6" spans="1:20" ht="18.75" customHeight="1">
      <c r="F6" s="128"/>
    </row>
    <row r="7" spans="1:20" ht="38.450000000000003" customHeight="1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0" s="157" customFormat="1">
      <c r="A8"/>
      <c r="B8" s="40">
        <v>45343</v>
      </c>
      <c r="C8" s="41">
        <v>1</v>
      </c>
      <c r="D8" s="331">
        <v>653</v>
      </c>
      <c r="E8" s="332">
        <v>16781</v>
      </c>
      <c r="F8" s="333">
        <v>30529403522</v>
      </c>
      <c r="G8" s="45" t="str">
        <f>IFERROR(IF(compras_mes2[[#This Row],[CUIT]]="","-",VLOOKUP(compras_mes2[[#This Row],[CUIT]],Lista_CUIT[#All],2,0)),"CUIT NO CARGADO")</f>
        <v>CASTILLO S A C I F I A</v>
      </c>
      <c r="H8" s="46">
        <v>162499.19</v>
      </c>
      <c r="I8" s="85">
        <f>IF(compras_mes2[[#This Row],[NETO GRAVADO]]="","",compras_mes2[[#This Row],[NETO GRAVADO]]*0.21)</f>
        <v>34124.829899999997</v>
      </c>
      <c r="J8" s="85"/>
      <c r="K8" s="85"/>
      <c r="L8" s="85"/>
      <c r="M8" s="85"/>
      <c r="N8" s="85"/>
      <c r="O8" s="85">
        <v>4874.9799999999996</v>
      </c>
      <c r="P8" s="48">
        <f>SUM(compras_mes2[[#This Row],[NETO GRAVADO]:[Otros / No Grav.]])</f>
        <v>201498.99990000002</v>
      </c>
      <c r="Q8" s="45" t="str">
        <f>IFERROR(IF(compras_mes2[[#This Row],[CUIT]]="","-",VLOOKUP(compras_mes2[[#This Row],[CUIT]],Lista_CUIT[#All],3,0)),"CUIT NO CARGADO")</f>
        <v>Gastos Varios</v>
      </c>
      <c r="R8" s="49">
        <f>IFERROR(IF(compras_mes2[[#This Row],[CUIT]]="","-",VLOOKUP(compras_mes2[[#This Row],[CUIT]],Lista_CUIT[#All],4,0)),"CUIT NO CARGADO")</f>
        <v>0</v>
      </c>
      <c r="S8">
        <v>73392.84</v>
      </c>
      <c r="T8"/>
    </row>
    <row r="9" spans="1:20">
      <c r="B9" s="40"/>
      <c r="C9" s="41"/>
      <c r="D9" s="331"/>
      <c r="E9" s="332"/>
      <c r="F9" s="333"/>
      <c r="G9" s="45" t="str">
        <f>IFERROR(IF(compras_mes2[[#This Row],[CUIT]]="","-",VLOOKUP(compras_mes2[[#This Row],[CUIT]],Lista_CUIT[#All],2,0)),"CUIT NO CARGADO")</f>
        <v>-</v>
      </c>
      <c r="H9" s="46"/>
      <c r="I9" s="85" t="str">
        <f>IF(compras_mes2[[#This Row],[NETO GRAVADO]]="","",compras_mes2[[#This Row],[NETO GRAVADO]]*0.21)</f>
        <v/>
      </c>
      <c r="J9" s="85"/>
      <c r="K9" s="85"/>
      <c r="L9" s="85"/>
      <c r="M9" s="85"/>
      <c r="N9" s="85"/>
      <c r="O9" s="85"/>
      <c r="P9" s="48">
        <f>SUM(compras_mes2[[#This Row],[NETO GRAVADO]:[Otros / No Grav.]])</f>
        <v>0</v>
      </c>
      <c r="Q9" s="45" t="str">
        <f>IFERROR(IF(compras_mes2[[#This Row],[CUIT]]="","-",VLOOKUP(compras_mes2[[#This Row],[CUIT]],Lista_CUIT[#All],3,0)),"CUIT NO CARGADO")</f>
        <v>-</v>
      </c>
      <c r="R9" s="49" t="str">
        <f>IFERROR(IF(compras_mes2[[#This Row],[CUIT]]="","-",VLOOKUP(compras_mes2[[#This Row],[CUIT]],Lista_CUIT[#All],4,0)),"CUIT NO CARGADO")</f>
        <v>-</v>
      </c>
      <c r="S9">
        <v>5299.99</v>
      </c>
    </row>
    <row r="10" spans="1:20" s="157" customFormat="1">
      <c r="A10"/>
      <c r="B10" s="40">
        <v>45323</v>
      </c>
      <c r="C10" s="41">
        <v>1</v>
      </c>
      <c r="D10" s="331">
        <v>1</v>
      </c>
      <c r="E10" s="332">
        <v>106</v>
      </c>
      <c r="F10" s="333">
        <v>30716010313</v>
      </c>
      <c r="G10" s="45" t="str">
        <f>IFERROR(IF(compras_mes2[[#This Row],[CUIT]]="","-",VLOOKUP(compras_mes2[[#This Row],[CUIT]],Lista_CUIT[#All],2,0)),"CUIT NO CARGADO")</f>
        <v>H UNO 1469 S.A.</v>
      </c>
      <c r="H10" s="46">
        <v>46000</v>
      </c>
      <c r="I10" s="85">
        <f>IF(compras_mes2[[#This Row],[NETO GRAVADO]]="","",compras_mes2[[#This Row],[NETO GRAVADO]]*0.21)</f>
        <v>9660</v>
      </c>
      <c r="J10" s="85"/>
      <c r="K10" s="85"/>
      <c r="L10" s="85"/>
      <c r="M10" s="85"/>
      <c r="N10" s="85"/>
      <c r="O10" s="85"/>
      <c r="P10" s="48">
        <f>SUM(compras_mes2[[#This Row],[NETO GRAVADO]:[Otros / No Grav.]])</f>
        <v>55660</v>
      </c>
      <c r="Q10" s="45" t="str">
        <f>IFERROR(IF(compras_mes2[[#This Row],[CUIT]]="","-",VLOOKUP(compras_mes2[[#This Row],[CUIT]],Lista_CUIT[#All],3,0)),"CUIT NO CARGADO")</f>
        <v>Alquiler</v>
      </c>
      <c r="R10" s="49">
        <f>IFERROR(IF(compras_mes2[[#This Row],[CUIT]]="","-",VLOOKUP(compras_mes2[[#This Row],[CUIT]],Lista_CUIT[#All],4,0)),"CUIT NO CARGADO")</f>
        <v>0</v>
      </c>
      <c r="S10">
        <v>2602200</v>
      </c>
      <c r="T10"/>
    </row>
    <row r="11" spans="1:20">
      <c r="B11" s="347">
        <v>45323</v>
      </c>
      <c r="C11" s="343">
        <v>1</v>
      </c>
      <c r="D11" s="344">
        <v>1</v>
      </c>
      <c r="E11" s="345">
        <v>465</v>
      </c>
      <c r="F11" s="346">
        <v>20131206144</v>
      </c>
      <c r="G11" s="279" t="str">
        <f>IFERROR(IF(compras_mes2[[#This Row],[CUIT]]="","-",VLOOKUP(compras_mes2[[#This Row],[CUIT]],Lista_CUIT[#All],2,0)),"CUIT NO CARGADO")</f>
        <v>CHAMORRO MANUEL</v>
      </c>
      <c r="H11" s="276">
        <v>300000</v>
      </c>
      <c r="I11" s="266">
        <f>IF(compras_mes2[[#This Row],[NETO GRAVADO]]="","",compras_mes2[[#This Row],[NETO GRAVADO]]*0.21)</f>
        <v>63000</v>
      </c>
      <c r="J11" s="266"/>
      <c r="K11" s="266"/>
      <c r="L11" s="266"/>
      <c r="M11" s="266"/>
      <c r="N11" s="266"/>
      <c r="O11" s="266"/>
      <c r="P11" s="267">
        <f>SUM(compras_mes2[[#This Row],[NETO GRAVADO]:[Otros / No Grav.]])</f>
        <v>363000</v>
      </c>
      <c r="Q11" s="279" t="str">
        <f>IFERROR(IF(compras_mes2[[#This Row],[CUIT]]="","-",VLOOKUP(compras_mes2[[#This Row],[CUIT]],Lista_CUIT[#All],3,0)),"CUIT NO CARGADO")</f>
        <v>Alquiler</v>
      </c>
      <c r="R11" s="280">
        <f>IFERROR(IF(compras_mes2[[#This Row],[CUIT]]="","-",VLOOKUP(compras_mes2[[#This Row],[CUIT]],Lista_CUIT[#All],4,0)),"CUIT NO CARGADO")</f>
        <v>0</v>
      </c>
      <c r="S11">
        <v>928201.89</v>
      </c>
    </row>
    <row r="12" spans="1:20" s="157" customFormat="1">
      <c r="A12"/>
      <c r="B12" s="347">
        <v>45330</v>
      </c>
      <c r="C12" s="343">
        <v>1</v>
      </c>
      <c r="D12" s="344">
        <v>2</v>
      </c>
      <c r="E12" s="345">
        <v>248</v>
      </c>
      <c r="F12" s="346">
        <v>27309896063</v>
      </c>
      <c r="G12" s="279" t="str">
        <f>IFERROR(IF(compras_mes2[[#This Row],[CUIT]]="","-",VLOOKUP(compras_mes2[[#This Row],[CUIT]],Lista_CUIT[#All],2,0)),"CUIT NO CARGADO")</f>
        <v>BATTELLINI MARIA SOLEDAD</v>
      </c>
      <c r="H12" s="276">
        <v>250000</v>
      </c>
      <c r="I12" s="266">
        <f>IF(compras_mes2[[#This Row],[NETO GRAVADO]]="","",compras_mes2[[#This Row],[NETO GRAVADO]]*0.21)</f>
        <v>52500</v>
      </c>
      <c r="J12" s="266"/>
      <c r="K12" s="266"/>
      <c r="L12" s="266"/>
      <c r="M12" s="266"/>
      <c r="N12" s="266"/>
      <c r="O12" s="266"/>
      <c r="P12" s="267">
        <f>SUM(compras_mes2[[#This Row],[NETO GRAVADO]:[Otros / No Grav.]])</f>
        <v>302500</v>
      </c>
      <c r="Q12" s="279" t="str">
        <f>IFERROR(IF(compras_mes2[[#This Row],[CUIT]]="","-",VLOOKUP(compras_mes2[[#This Row],[CUIT]],Lista_CUIT[#All],3,0)),"CUIT NO CARGADO")</f>
        <v>Alquiler</v>
      </c>
      <c r="R12" s="280">
        <f>IFERROR(IF(compras_mes2[[#This Row],[CUIT]]="","-",VLOOKUP(compras_mes2[[#This Row],[CUIT]],Lista_CUIT[#All],4,0)),"CUIT NO CARGADO")</f>
        <v>0</v>
      </c>
      <c r="S12">
        <v>55792.05</v>
      </c>
      <c r="T12"/>
    </row>
    <row r="13" spans="1:20" s="157" customFormat="1">
      <c r="A13"/>
      <c r="B13" s="40">
        <v>45330</v>
      </c>
      <c r="C13" s="41">
        <v>1</v>
      </c>
      <c r="D13" s="331">
        <v>20</v>
      </c>
      <c r="E13" s="332">
        <v>11819</v>
      </c>
      <c r="F13" s="333">
        <v>30515800219</v>
      </c>
      <c r="G13" s="45" t="str">
        <f>IFERROR(IF(compras_mes2[[#This Row],[CUIT]]="","-",VLOOKUP(compras_mes2[[#This Row],[CUIT]],Lista_CUIT[#All],2,0)),"CUIT NO CARGADO")</f>
        <v>INCAT SRL</v>
      </c>
      <c r="H13" s="46">
        <v>2059.88</v>
      </c>
      <c r="I13" s="85">
        <f>IF(compras_mes2[[#This Row],[NETO GRAVADO]]="","",compras_mes2[[#This Row],[NETO GRAVADO]]*0.21)</f>
        <v>432.57479999999998</v>
      </c>
      <c r="J13" s="85"/>
      <c r="K13" s="85"/>
      <c r="L13" s="85"/>
      <c r="M13" s="85"/>
      <c r="N13" s="85"/>
      <c r="O13" s="85">
        <v>7.56</v>
      </c>
      <c r="P13" s="48">
        <f>SUM(compras_mes2[[#This Row],[NETO GRAVADO]:[Otros / No Grav.]])</f>
        <v>2500.0147999999999</v>
      </c>
      <c r="Q13" s="45" t="str">
        <f>IFERROR(IF(compras_mes2[[#This Row],[CUIT]]="","-",VLOOKUP(compras_mes2[[#This Row],[CUIT]],Lista_CUIT[#All],3,0)),"CUIT NO CARGADO")</f>
        <v>Combustible</v>
      </c>
      <c r="R13" s="49" t="str">
        <f>IFERROR(IF(compras_mes2[[#This Row],[CUIT]]="","-",VLOOKUP(compras_mes2[[#This Row],[CUIT]],Lista_CUIT[#All],4,0)),"CUIT NO CARGADO")</f>
        <v>CABA</v>
      </c>
      <c r="S13">
        <v>54160</v>
      </c>
      <c r="T13"/>
    </row>
    <row r="14" spans="1:20" s="157" customFormat="1">
      <c r="A14"/>
      <c r="B14" s="40">
        <v>45331</v>
      </c>
      <c r="C14" s="41">
        <v>1</v>
      </c>
      <c r="D14" s="331">
        <v>20</v>
      </c>
      <c r="E14" s="332">
        <v>11839</v>
      </c>
      <c r="F14" s="333">
        <v>30515800219</v>
      </c>
      <c r="G14" s="45" t="str">
        <f>IFERROR(IF(compras_mes2[[#This Row],[CUIT]]="","-",VLOOKUP(compras_mes2[[#This Row],[CUIT]],Lista_CUIT[#All],2,0)),"CUIT NO CARGADO")</f>
        <v>INCAT SRL</v>
      </c>
      <c r="H14" s="46">
        <v>1400.72</v>
      </c>
      <c r="I14" s="85">
        <f>IF(compras_mes2[[#This Row],[NETO GRAVADO]]="","",compras_mes2[[#This Row],[NETO GRAVADO]]*0.21)</f>
        <v>294.15120000000002</v>
      </c>
      <c r="J14" s="85"/>
      <c r="K14" s="85"/>
      <c r="L14" s="85"/>
      <c r="M14" s="85"/>
      <c r="N14" s="85"/>
      <c r="O14" s="85">
        <v>5.14</v>
      </c>
      <c r="P14" s="48">
        <f>SUM(compras_mes2[[#This Row],[NETO GRAVADO]:[Otros / No Grav.]])</f>
        <v>1700.0112000000001</v>
      </c>
      <c r="Q14" s="45" t="str">
        <f>IFERROR(IF(compras_mes2[[#This Row],[CUIT]]="","-",VLOOKUP(compras_mes2[[#This Row],[CUIT]],Lista_CUIT[#All],3,0)),"CUIT NO CARGADO")</f>
        <v>Combustible</v>
      </c>
      <c r="R14" s="49" t="str">
        <f>IFERROR(IF(compras_mes2[[#This Row],[CUIT]]="","-",VLOOKUP(compras_mes2[[#This Row],[CUIT]],Lista_CUIT[#All],4,0)),"CUIT NO CARGADO")</f>
        <v>CABA</v>
      </c>
      <c r="S14">
        <v>55660</v>
      </c>
      <c r="T14"/>
    </row>
    <row r="15" spans="1:20" s="196" customFormat="1">
      <c r="A15" s="56"/>
      <c r="B15" s="40">
        <v>45336</v>
      </c>
      <c r="C15" s="41">
        <v>1</v>
      </c>
      <c r="D15" s="331">
        <v>20</v>
      </c>
      <c r="E15" s="332">
        <v>11882</v>
      </c>
      <c r="F15" s="333">
        <v>30515800219</v>
      </c>
      <c r="G15" s="45" t="str">
        <f>IFERROR(IF(compras_mes2[[#This Row],[CUIT]]="","-",VLOOKUP(compras_mes2[[#This Row],[CUIT]],Lista_CUIT[#All],2,0)),"CUIT NO CARGADO")</f>
        <v>INCAT SRL</v>
      </c>
      <c r="H15" s="46">
        <v>2265.87</v>
      </c>
      <c r="I15" s="85">
        <f>IF(compras_mes2[[#This Row],[NETO GRAVADO]]="","",compras_mes2[[#This Row],[NETO GRAVADO]]*0.21)</f>
        <v>475.83269999999993</v>
      </c>
      <c r="J15" s="85"/>
      <c r="K15" s="85"/>
      <c r="L15" s="85"/>
      <c r="M15" s="85"/>
      <c r="N15" s="85"/>
      <c r="O15" s="85">
        <v>8.31</v>
      </c>
      <c r="P15" s="48">
        <f>SUM(compras_mes2[[#This Row],[NETO GRAVADO]:[Otros / No Grav.]])</f>
        <v>2750.0126999999998</v>
      </c>
      <c r="Q15" s="45" t="str">
        <f>IFERROR(IF(compras_mes2[[#This Row],[CUIT]]="","-",VLOOKUP(compras_mes2[[#This Row],[CUIT]],Lista_CUIT[#All],3,0)),"CUIT NO CARGADO")</f>
        <v>Combustible</v>
      </c>
      <c r="R15" s="49" t="str">
        <f>IFERROR(IF(compras_mes2[[#This Row],[CUIT]]="","-",VLOOKUP(compras_mes2[[#This Row],[CUIT]],Lista_CUIT[#All],4,0)),"CUIT NO CARGADO")</f>
        <v>CABA</v>
      </c>
      <c r="S15" s="56">
        <v>3797</v>
      </c>
      <c r="T15" s="56"/>
    </row>
    <row r="16" spans="1:20" s="157" customFormat="1" ht="15.75" customHeight="1">
      <c r="A16"/>
      <c r="B16" s="40">
        <v>45337</v>
      </c>
      <c r="C16" s="41">
        <v>1</v>
      </c>
      <c r="D16" s="331">
        <v>6850</v>
      </c>
      <c r="E16" s="332">
        <v>19956</v>
      </c>
      <c r="F16" s="333">
        <v>30678774495</v>
      </c>
      <c r="G16" s="45" t="str">
        <f>IFERROR(IF(compras_mes2[[#This Row],[CUIT]]="","-",VLOOKUP(compras_mes2[[#This Row],[CUIT]],Lista_CUIT[#All],2,0)),"CUIT NO CARGADO")</f>
        <v>OPER. DE EST. DE SERV. SA</v>
      </c>
      <c r="H16" s="46">
        <v>5380.55</v>
      </c>
      <c r="I16" s="85">
        <f>IF(compras_mes2[[#This Row],[NETO GRAVADO]]="","",compras_mes2[[#This Row],[NETO GRAVADO]]*0.21)</f>
        <v>1129.9155000000001</v>
      </c>
      <c r="J16" s="85"/>
      <c r="K16" s="85"/>
      <c r="L16" s="85"/>
      <c r="M16" s="85"/>
      <c r="N16" s="85"/>
      <c r="O16" s="85">
        <v>489.56</v>
      </c>
      <c r="P16" s="48">
        <f>SUM(compras_mes2[[#This Row],[NETO GRAVADO]:[Otros / No Grav.]])</f>
        <v>7000.0255000000006</v>
      </c>
      <c r="Q16" s="45" t="str">
        <f>IFERROR(IF(compras_mes2[[#This Row],[CUIT]]="","-",VLOOKUP(compras_mes2[[#This Row],[CUIT]],Lista_CUIT[#All],3,0)),"CUIT NO CARGADO")</f>
        <v>Combustible</v>
      </c>
      <c r="R16" s="49">
        <f>IFERROR(IF(compras_mes2[[#This Row],[CUIT]]="","-",VLOOKUP(compras_mes2[[#This Row],[CUIT]],Lista_CUIT[#All],4,0)),"CUIT NO CARGADO")</f>
        <v>0</v>
      </c>
      <c r="S16">
        <v>2283778.2000000002</v>
      </c>
      <c r="T16"/>
    </row>
    <row r="17" spans="1:20">
      <c r="B17" s="347">
        <v>45343</v>
      </c>
      <c r="C17" s="343">
        <v>1</v>
      </c>
      <c r="D17" s="344">
        <v>6852</v>
      </c>
      <c r="E17" s="345">
        <v>22483</v>
      </c>
      <c r="F17" s="346">
        <v>30678774495</v>
      </c>
      <c r="G17" s="279" t="str">
        <f>IFERROR(IF(compras_mes2[[#This Row],[CUIT]]="","-",VLOOKUP(compras_mes2[[#This Row],[CUIT]],Lista_CUIT[#All],2,0)),"CUIT NO CARGADO")</f>
        <v>OPER. DE EST. DE SERV. SA</v>
      </c>
      <c r="H17" s="276">
        <v>5385.12</v>
      </c>
      <c r="I17" s="266">
        <f>IF(compras_mes2[[#This Row],[NETO GRAVADO]]="","",compras_mes2[[#This Row],[NETO GRAVADO]]*0.21)</f>
        <v>1130.8751999999999</v>
      </c>
      <c r="J17" s="266"/>
      <c r="K17" s="266"/>
      <c r="L17" s="266"/>
      <c r="M17" s="266"/>
      <c r="N17" s="266"/>
      <c r="O17" s="266">
        <v>489.98</v>
      </c>
      <c r="P17" s="267">
        <f>SUM(compras_mes2[[#This Row],[NETO GRAVADO]:[Otros / No Grav.]])</f>
        <v>7005.9751999999989</v>
      </c>
      <c r="Q17" s="279" t="str">
        <f>IFERROR(IF(compras_mes2[[#This Row],[CUIT]]="","-",VLOOKUP(compras_mes2[[#This Row],[CUIT]],Lista_CUIT[#All],3,0)),"CUIT NO CARGADO")</f>
        <v>Combustible</v>
      </c>
      <c r="R17" s="280">
        <f>IFERROR(IF(compras_mes2[[#This Row],[CUIT]]="","-",VLOOKUP(compras_mes2[[#This Row],[CUIT]],Lista_CUIT[#All],4,0)),"CUIT NO CARGADO")</f>
        <v>0</v>
      </c>
      <c r="S17">
        <v>139984.9</v>
      </c>
    </row>
    <row r="18" spans="1:20" s="157" customFormat="1">
      <c r="A18"/>
      <c r="B18" s="40">
        <v>45349</v>
      </c>
      <c r="C18" s="41">
        <v>1</v>
      </c>
      <c r="D18" s="331">
        <v>6864</v>
      </c>
      <c r="E18" s="332">
        <v>23749</v>
      </c>
      <c r="F18" s="333">
        <v>30678774495</v>
      </c>
      <c r="G18" s="45" t="str">
        <f>IFERROR(IF(compras_mes2[[#This Row],[CUIT]]="","-",VLOOKUP(compras_mes2[[#This Row],[CUIT]],Lista_CUIT[#All],2,0)),"CUIT NO CARGADO")</f>
        <v>OPER. DE EST. DE SERV. SA</v>
      </c>
      <c r="H18" s="46">
        <v>25394.04</v>
      </c>
      <c r="I18" s="85">
        <f>IF(compras_mes2[[#This Row],[NETO GRAVADO]]="","",compras_mes2[[#This Row],[NETO GRAVADO]]*0.21)</f>
        <v>5332.7484000000004</v>
      </c>
      <c r="J18" s="85"/>
      <c r="K18" s="85"/>
      <c r="L18" s="85"/>
      <c r="M18" s="85"/>
      <c r="N18" s="85"/>
      <c r="O18" s="85">
        <v>2285.17</v>
      </c>
      <c r="P18" s="48">
        <f>SUM(compras_mes2[[#This Row],[NETO GRAVADO]:[Otros / No Grav.]])</f>
        <v>33011.958400000003</v>
      </c>
      <c r="Q18" s="45" t="str">
        <f>IFERROR(IF(compras_mes2[[#This Row],[CUIT]]="","-",VLOOKUP(compras_mes2[[#This Row],[CUIT]],Lista_CUIT[#All],3,0)),"CUIT NO CARGADO")</f>
        <v>Combustible</v>
      </c>
      <c r="R18" s="49">
        <f>IFERROR(IF(compras_mes2[[#This Row],[CUIT]]="","-",VLOOKUP(compras_mes2[[#This Row],[CUIT]],Lista_CUIT[#All],4,0)),"CUIT NO CARGADO")</f>
        <v>0</v>
      </c>
      <c r="S18">
        <v>203437.3</v>
      </c>
      <c r="T18"/>
    </row>
    <row r="19" spans="1:20" ht="14.45" customHeight="1">
      <c r="B19" s="40">
        <v>45350</v>
      </c>
      <c r="C19" s="41">
        <v>1</v>
      </c>
      <c r="D19" s="331">
        <v>18</v>
      </c>
      <c r="E19" s="332">
        <v>266625</v>
      </c>
      <c r="F19" s="333">
        <v>30515800219</v>
      </c>
      <c r="G19" s="45" t="str">
        <f>IFERROR(IF(compras_mes2[[#This Row],[CUIT]]="","-",VLOOKUP(compras_mes2[[#This Row],[CUIT]],Lista_CUIT[#All],2,0)),"CUIT NO CARGADO")</f>
        <v>INCAT SRL</v>
      </c>
      <c r="H19" s="46">
        <v>39996.959999999999</v>
      </c>
      <c r="I19" s="85">
        <f>IF(compras_mes2[[#This Row],[NETO GRAVADO]]="","",compras_mes2[[#This Row],[NETO GRAVADO]]*0.21)</f>
        <v>8399.3616000000002</v>
      </c>
      <c r="J19" s="85"/>
      <c r="K19" s="85"/>
      <c r="L19" s="85"/>
      <c r="M19" s="85"/>
      <c r="N19" s="85"/>
      <c r="O19" s="85">
        <v>4023.69</v>
      </c>
      <c r="P19" s="48">
        <f>SUM(compras_mes2[[#This Row],[NETO GRAVADO]:[Otros / No Grav.]])</f>
        <v>52420.011599999998</v>
      </c>
      <c r="Q19" s="45" t="str">
        <f>IFERROR(IF(compras_mes2[[#This Row],[CUIT]]="","-",VLOOKUP(compras_mes2[[#This Row],[CUIT]],Lista_CUIT[#All],3,0)),"CUIT NO CARGADO")</f>
        <v>Combustible</v>
      </c>
      <c r="R19" s="49" t="str">
        <f>IFERROR(IF(compras_mes2[[#This Row],[CUIT]]="","-",VLOOKUP(compras_mes2[[#This Row],[CUIT]],Lista_CUIT[#All],4,0)),"CUIT NO CARGADO")</f>
        <v>CABA</v>
      </c>
      <c r="S19">
        <v>4429834.2</v>
      </c>
    </row>
    <row r="20" spans="1:20" s="157" customFormat="1">
      <c r="A20"/>
      <c r="B20" s="40">
        <v>45324</v>
      </c>
      <c r="C20" s="41">
        <v>1</v>
      </c>
      <c r="D20" s="331">
        <v>9</v>
      </c>
      <c r="E20" s="332">
        <v>65095</v>
      </c>
      <c r="F20" s="333">
        <v>30696131003</v>
      </c>
      <c r="G20" s="45" t="str">
        <f>IFERROR(IF(compras_mes2[[#This Row],[CUIT]]="","-",VLOOKUP(compras_mes2[[#This Row],[CUIT]],Lista_CUIT[#All],2,0)),"CUIT NO CARGADO")</f>
        <v>Petrolfe S.A.</v>
      </c>
      <c r="H20" s="46">
        <v>15259.43</v>
      </c>
      <c r="I20" s="85">
        <f>IF(compras_mes2[[#This Row],[NETO GRAVADO]]="","",compras_mes2[[#This Row],[NETO GRAVADO]]*0.21)</f>
        <v>3204.4802999999997</v>
      </c>
      <c r="J20" s="85"/>
      <c r="K20" s="85"/>
      <c r="L20" s="85"/>
      <c r="M20" s="85"/>
      <c r="N20" s="85"/>
      <c r="O20" s="85">
        <v>1535.1</v>
      </c>
      <c r="P20" s="48">
        <f>SUM(compras_mes2[[#This Row],[NETO GRAVADO]:[Otros / No Grav.]])</f>
        <v>19999.010299999998</v>
      </c>
      <c r="Q20" s="45" t="str">
        <f>IFERROR(IF(compras_mes2[[#This Row],[CUIT]]="","-",VLOOKUP(compras_mes2[[#This Row],[CUIT]],Lista_CUIT[#All],3,0)),"CUIT NO CARGADO")</f>
        <v>Combustible</v>
      </c>
      <c r="R20" s="49">
        <f>IFERROR(IF(compras_mes2[[#This Row],[CUIT]]="","-",VLOOKUP(compras_mes2[[#This Row],[CUIT]],Lista_CUIT[#All],4,0)),"CUIT NO CARGADO")</f>
        <v>0</v>
      </c>
      <c r="S20">
        <v>302500</v>
      </c>
      <c r="T20"/>
    </row>
    <row r="21" spans="1:20">
      <c r="B21" s="40">
        <v>45325</v>
      </c>
      <c r="C21" s="41">
        <v>1</v>
      </c>
      <c r="D21" s="331">
        <v>12</v>
      </c>
      <c r="E21" s="332">
        <v>41933</v>
      </c>
      <c r="F21" s="333">
        <v>30696131003</v>
      </c>
      <c r="G21" s="45" t="str">
        <f>IFERROR(IF(compras_mes2[[#This Row],[CUIT]]="","-",VLOOKUP(compras_mes2[[#This Row],[CUIT]],Lista_CUIT[#All],2,0)),"CUIT NO CARGADO")</f>
        <v>Petrolfe S.A.</v>
      </c>
      <c r="H21" s="46">
        <v>132371.68</v>
      </c>
      <c r="I21" s="85">
        <f>IF(compras_mes2[[#This Row],[NETO GRAVADO]]="","",compras_mes2[[#This Row],[NETO GRAVADO]]*0.21)</f>
        <v>27798.052799999998</v>
      </c>
      <c r="J21" s="85"/>
      <c r="K21" s="85"/>
      <c r="L21" s="85"/>
      <c r="M21" s="85"/>
      <c r="N21" s="85"/>
      <c r="O21" s="85">
        <v>12361.76</v>
      </c>
      <c r="P21" s="48">
        <f>SUM(compras_mes2[[#This Row],[NETO GRAVADO]:[Otros / No Grav.]])</f>
        <v>172531.49280000001</v>
      </c>
      <c r="Q21" s="45" t="str">
        <f>IFERROR(IF(compras_mes2[[#This Row],[CUIT]]="","-",VLOOKUP(compras_mes2[[#This Row],[CUIT]],Lista_CUIT[#All],3,0)),"CUIT NO CARGADO")</f>
        <v>Combustible</v>
      </c>
      <c r="R21" s="49">
        <f>IFERROR(IF(compras_mes2[[#This Row],[CUIT]]="","-",VLOOKUP(compras_mes2[[#This Row],[CUIT]],Lista_CUIT[#All],4,0)),"CUIT NO CARGADO")</f>
        <v>0</v>
      </c>
      <c r="S21">
        <v>-2996202</v>
      </c>
    </row>
    <row r="22" spans="1:20" ht="14.45" customHeight="1">
      <c r="B22" s="40">
        <v>45332</v>
      </c>
      <c r="C22" s="41">
        <v>1</v>
      </c>
      <c r="D22" s="331">
        <v>12</v>
      </c>
      <c r="E22" s="332">
        <v>42295</v>
      </c>
      <c r="F22" s="333">
        <v>30696131003</v>
      </c>
      <c r="G22" s="45" t="str">
        <f>IFERROR(IF(compras_mes2[[#This Row],[CUIT]]="","-",VLOOKUP(compras_mes2[[#This Row],[CUIT]],Lista_CUIT[#All],2,0)),"CUIT NO CARGADO")</f>
        <v>Petrolfe S.A.</v>
      </c>
      <c r="H22" s="46">
        <v>117122.57</v>
      </c>
      <c r="I22" s="85">
        <f>IF(compras_mes2[[#This Row],[NETO GRAVADO]]="","",compras_mes2[[#This Row],[NETO GRAVADO]]*0.21)</f>
        <v>24595.739700000002</v>
      </c>
      <c r="J22" s="85"/>
      <c r="K22" s="85"/>
      <c r="L22" s="85"/>
      <c r="M22" s="85"/>
      <c r="N22" s="85"/>
      <c r="O22" s="85">
        <v>10828.68</v>
      </c>
      <c r="P22" s="48">
        <f>SUM(compras_mes2[[#This Row],[NETO GRAVADO]:[Otros / No Grav.]])</f>
        <v>152546.98970000001</v>
      </c>
      <c r="Q22" s="45" t="str">
        <f>IFERROR(IF(compras_mes2[[#This Row],[CUIT]]="","-",VLOOKUP(compras_mes2[[#This Row],[CUIT]],Lista_CUIT[#All],3,0)),"CUIT NO CARGADO")</f>
        <v>Combustible</v>
      </c>
      <c r="R22" s="49">
        <f>IFERROR(IF(compras_mes2[[#This Row],[CUIT]]="","-",VLOOKUP(compras_mes2[[#This Row],[CUIT]],Lista_CUIT[#All],4,0)),"CUIT NO CARGADO")</f>
        <v>0</v>
      </c>
      <c r="S22">
        <v>26000</v>
      </c>
    </row>
    <row r="23" spans="1:20" ht="14.45" customHeight="1">
      <c r="B23" s="40">
        <v>45333</v>
      </c>
      <c r="C23" s="41">
        <v>1</v>
      </c>
      <c r="D23" s="331">
        <v>3</v>
      </c>
      <c r="E23" s="332">
        <v>3740</v>
      </c>
      <c r="F23" s="333">
        <v>30716874601</v>
      </c>
      <c r="G23" s="45" t="str">
        <f>IFERROR(IF(compras_mes2[[#This Row],[CUIT]]="","-",VLOOKUP(compras_mes2[[#This Row],[CUIT]],Lista_CUIT[#All],2,0)),"CUIT NO CARGADO")</f>
        <v>BOUVET COMBUSTIBLES SAS</v>
      </c>
      <c r="H23" s="46">
        <v>32400.080000000002</v>
      </c>
      <c r="I23" s="85">
        <f>IF(compras_mes2[[#This Row],[NETO GRAVADO]]="","",compras_mes2[[#This Row],[NETO GRAVADO]]*0.21)</f>
        <v>6804.0168000000003</v>
      </c>
      <c r="J23" s="85"/>
      <c r="K23" s="85"/>
      <c r="L23" s="85"/>
      <c r="M23" s="85"/>
      <c r="N23" s="85"/>
      <c r="O23" s="85">
        <v>2298.91</v>
      </c>
      <c r="P23" s="48">
        <f>SUM(compras_mes2[[#This Row],[NETO GRAVADO]:[Otros / No Grav.]])</f>
        <v>41503.006800000003</v>
      </c>
      <c r="Q23" s="45" t="str">
        <f>IFERROR(IF(compras_mes2[[#This Row],[CUIT]]="","-",VLOOKUP(compras_mes2[[#This Row],[CUIT]],Lista_CUIT[#All],3,0)),"CUIT NO CARGADO")</f>
        <v>Combustible</v>
      </c>
      <c r="R23" s="49">
        <f>IFERROR(IF(compras_mes2[[#This Row],[CUIT]]="","-",VLOOKUP(compras_mes2[[#This Row],[CUIT]],Lista_CUIT[#All],4,0)),"CUIT NO CARGADO")</f>
        <v>0</v>
      </c>
      <c r="S23">
        <v>363000</v>
      </c>
    </row>
    <row r="24" spans="1:20" ht="15" customHeight="1">
      <c r="B24" s="40">
        <v>45338</v>
      </c>
      <c r="C24" s="41">
        <v>1</v>
      </c>
      <c r="D24" s="331">
        <v>17</v>
      </c>
      <c r="E24" s="332">
        <v>4396</v>
      </c>
      <c r="F24" s="333">
        <v>30707841105</v>
      </c>
      <c r="G24" s="45" t="str">
        <f>IFERROR(IF(compras_mes2[[#This Row],[CUIT]]="","-",VLOOKUP(compras_mes2[[#This Row],[CUIT]],Lista_CUIT[#All],2,0)),"CUIT NO CARGADO")</f>
        <v>PETRO ARG SRL</v>
      </c>
      <c r="H24" s="46">
        <v>24065.11</v>
      </c>
      <c r="I24" s="85">
        <f>IF(compras_mes2[[#This Row],[NETO GRAVADO]]="","",compras_mes2[[#This Row],[NETO GRAVADO]]*0.21)</f>
        <v>5053.6731</v>
      </c>
      <c r="J24" s="85"/>
      <c r="K24" s="85"/>
      <c r="L24" s="85"/>
      <c r="M24" s="85"/>
      <c r="N24" s="85"/>
      <c r="O24" s="85">
        <v>889.25</v>
      </c>
      <c r="P24" s="48">
        <f>SUM(compras_mes2[[#This Row],[NETO GRAVADO]:[Otros / No Grav.]])</f>
        <v>30008.033100000001</v>
      </c>
      <c r="Q24" s="45" t="str">
        <f>IFERROR(IF(compras_mes2[[#This Row],[CUIT]]="","-",VLOOKUP(compras_mes2[[#This Row],[CUIT]],Lista_CUIT[#All],3,0)),"CUIT NO CARGADO")</f>
        <v>Combustible</v>
      </c>
      <c r="R24" s="49">
        <f>IFERROR(IF(compras_mes2[[#This Row],[CUIT]]="","-",VLOOKUP(compras_mes2[[#This Row],[CUIT]],Lista_CUIT[#All],4,0)),"CUIT NO CARGADO")</f>
        <v>0</v>
      </c>
      <c r="S24">
        <v>18000</v>
      </c>
    </row>
    <row r="25" spans="1:20" ht="15" customHeight="1">
      <c r="B25" s="40">
        <v>45339</v>
      </c>
      <c r="C25" s="41">
        <v>1</v>
      </c>
      <c r="D25" s="331">
        <v>12</v>
      </c>
      <c r="E25" s="332">
        <v>42649</v>
      </c>
      <c r="F25" s="333">
        <v>30696131003</v>
      </c>
      <c r="G25" s="45" t="str">
        <f>IFERROR(IF(compras_mes2[[#This Row],[CUIT]]="","-",VLOOKUP(compras_mes2[[#This Row],[CUIT]],Lista_CUIT[#All],2,0)),"CUIT NO CARGADO")</f>
        <v>Petrolfe S.A.</v>
      </c>
      <c r="H25" s="46">
        <v>49762.86</v>
      </c>
      <c r="I25" s="85">
        <f>IF(compras_mes2[[#This Row],[NETO GRAVADO]]="","",compras_mes2[[#This Row],[NETO GRAVADO]]*0.21)</f>
        <v>10450.2006</v>
      </c>
      <c r="J25" s="85"/>
      <c r="K25" s="85"/>
      <c r="L25" s="85"/>
      <c r="M25" s="85"/>
      <c r="N25" s="85"/>
      <c r="O25" s="85">
        <v>4991.96</v>
      </c>
      <c r="P25" s="48">
        <f>SUM(compras_mes2[[#This Row],[NETO GRAVADO]:[Otros / No Grav.]])</f>
        <v>65205.020599999996</v>
      </c>
      <c r="Q25" s="45" t="str">
        <f>IFERROR(IF(compras_mes2[[#This Row],[CUIT]]="","-",VLOOKUP(compras_mes2[[#This Row],[CUIT]],Lista_CUIT[#All],3,0)),"CUIT NO CARGADO")</f>
        <v>Combustible</v>
      </c>
      <c r="R25" s="49">
        <f>IFERROR(IF(compras_mes2[[#This Row],[CUIT]]="","-",VLOOKUP(compras_mes2[[#This Row],[CUIT]],Lista_CUIT[#All],4,0)),"CUIT NO CARGADO")</f>
        <v>0</v>
      </c>
      <c r="S25">
        <v>118734.88</v>
      </c>
    </row>
    <row r="26" spans="1:20" s="157" customFormat="1" ht="15" customHeight="1">
      <c r="A26"/>
      <c r="B26" s="40">
        <v>45342</v>
      </c>
      <c r="C26" s="41">
        <v>1</v>
      </c>
      <c r="D26" s="331">
        <v>15</v>
      </c>
      <c r="E26" s="332">
        <v>199</v>
      </c>
      <c r="F26" s="333">
        <v>30714391344</v>
      </c>
      <c r="G26" s="45" t="str">
        <f>IFERROR(IF(compras_mes2[[#This Row],[CUIT]]="","-",VLOOKUP(compras_mes2[[#This Row],[CUIT]],Lista_CUIT[#All],2,0)),"CUIT NO CARGADO")</f>
        <v>FOLGEN SA</v>
      </c>
      <c r="H26" s="46">
        <v>3093.99</v>
      </c>
      <c r="I26" s="85">
        <f>IF(compras_mes2[[#This Row],[NETO GRAVADO]]="","",compras_mes2[[#This Row],[NETO GRAVADO]]*0.21)</f>
        <v>649.73789999999997</v>
      </c>
      <c r="J26" s="85"/>
      <c r="K26" s="85"/>
      <c r="L26" s="85"/>
      <c r="M26" s="85"/>
      <c r="N26" s="85"/>
      <c r="O26" s="85">
        <v>53.27</v>
      </c>
      <c r="P26" s="48">
        <f>SUM(compras_mes2[[#This Row],[NETO GRAVADO]:[Otros / No Grav.]])</f>
        <v>3796.9978999999998</v>
      </c>
      <c r="Q26" s="45" t="str">
        <f>IFERROR(IF(compras_mes2[[#This Row],[CUIT]]="","-",VLOOKUP(compras_mes2[[#This Row],[CUIT]],Lista_CUIT[#All],3,0)),"CUIT NO CARGADO")</f>
        <v>Combustible</v>
      </c>
      <c r="R26" s="49">
        <f>IFERROR(IF(compras_mes2[[#This Row],[CUIT]]="","-",VLOOKUP(compras_mes2[[#This Row],[CUIT]],Lista_CUIT[#All],4,0)),"CUIT NO CARGADO")</f>
        <v>0</v>
      </c>
      <c r="S26">
        <v>33000</v>
      </c>
      <c r="T26"/>
    </row>
    <row r="27" spans="1:20" ht="15" customHeight="1">
      <c r="B27" s="40">
        <v>45350</v>
      </c>
      <c r="C27" s="41">
        <v>1</v>
      </c>
      <c r="D27" s="331">
        <v>7</v>
      </c>
      <c r="E27" s="332">
        <v>47874</v>
      </c>
      <c r="F27" s="333">
        <v>30597304281</v>
      </c>
      <c r="G27" s="45" t="str">
        <f>IFERROR(IF(compras_mes2[[#This Row],[CUIT]]="","-",VLOOKUP(compras_mes2[[#This Row],[CUIT]],Lista_CUIT[#All],2,0)),"CUIT NO CARGADO")</f>
        <v>NOCEDA SA</v>
      </c>
      <c r="H27" s="46">
        <v>3136.36</v>
      </c>
      <c r="I27" s="85">
        <f>IF(compras_mes2[[#This Row],[NETO GRAVADO]]="","",compras_mes2[[#This Row],[NETO GRAVADO]]*0.21)</f>
        <v>658.63559999999995</v>
      </c>
      <c r="J27" s="85"/>
      <c r="K27" s="85"/>
      <c r="L27" s="85"/>
      <c r="M27" s="85"/>
      <c r="N27" s="85"/>
      <c r="O27" s="85"/>
      <c r="P27" s="48">
        <f>SUM(compras_mes2[[#This Row],[NETO GRAVADO]:[Otros / No Grav.]])</f>
        <v>3794.9956000000002</v>
      </c>
      <c r="Q27" s="45" t="str">
        <f>IFERROR(IF(compras_mes2[[#This Row],[CUIT]]="","-",VLOOKUP(compras_mes2[[#This Row],[CUIT]],Lista_CUIT[#All],3,0)),"CUIT NO CARGADO")</f>
        <v>Combustible</v>
      </c>
      <c r="R27" s="49">
        <f>IFERROR(IF(compras_mes2[[#This Row],[CUIT]]="","-",VLOOKUP(compras_mes2[[#This Row],[CUIT]],Lista_CUIT[#All],4,0)),"CUIT NO CARGADO")</f>
        <v>0</v>
      </c>
      <c r="S27">
        <v>479160</v>
      </c>
    </row>
    <row r="28" spans="1:20" ht="15" customHeight="1">
      <c r="B28" s="40">
        <v>45351</v>
      </c>
      <c r="C28" s="41">
        <v>1</v>
      </c>
      <c r="D28" s="331">
        <v>12</v>
      </c>
      <c r="E28" s="332">
        <v>44603</v>
      </c>
      <c r="F28" s="333">
        <v>30684988030</v>
      </c>
      <c r="G28" s="45" t="str">
        <f>IFERROR(IF(compras_mes2[[#This Row],[CUIT]]="","-",VLOOKUP(compras_mes2[[#This Row],[CUIT]],Lista_CUIT[#All],2,0)),"CUIT NO CARGADO")</f>
        <v>NUEVOS EMPRENDIMIENTOS SRL</v>
      </c>
      <c r="H28" s="46">
        <v>7593.9</v>
      </c>
      <c r="I28" s="85">
        <f>IF(compras_mes2[[#This Row],[NETO GRAVADO]]="","",compras_mes2[[#This Row],[NETO GRAVADO]]*0.21)</f>
        <v>1594.7189999999998</v>
      </c>
      <c r="J28" s="85"/>
      <c r="K28" s="85"/>
      <c r="L28" s="85"/>
      <c r="M28" s="85"/>
      <c r="N28" s="85"/>
      <c r="O28" s="85">
        <v>811.66</v>
      </c>
      <c r="P28" s="48">
        <f>SUM(compras_mes2[[#This Row],[NETO GRAVADO]:[Otros / No Grav.]])</f>
        <v>10000.278999999999</v>
      </c>
      <c r="Q28" s="45" t="str">
        <f>IFERROR(IF(compras_mes2[[#This Row],[CUIT]]="","-",VLOOKUP(compras_mes2[[#This Row],[CUIT]],Lista_CUIT[#All],3,0)),"CUIT NO CARGADO")</f>
        <v>Combustible</v>
      </c>
      <c r="R28" s="49">
        <f>IFERROR(IF(compras_mes2[[#This Row],[CUIT]]="","-",VLOOKUP(compras_mes2[[#This Row],[CUIT]],Lista_CUIT[#All],4,0)),"CUIT NO CARGADO")</f>
        <v>0</v>
      </c>
      <c r="S28">
        <v>15900.01</v>
      </c>
    </row>
    <row r="29" spans="1:20">
      <c r="B29" s="347">
        <v>45332</v>
      </c>
      <c r="C29" s="343">
        <v>1</v>
      </c>
      <c r="D29" s="344">
        <v>6</v>
      </c>
      <c r="E29" s="345">
        <v>15587093</v>
      </c>
      <c r="F29" s="346">
        <v>30620177497</v>
      </c>
      <c r="G29" s="279" t="str">
        <f>IFERROR(IF(compras_mes2[[#This Row],[CUIT]]="","-",VLOOKUP(compras_mes2[[#This Row],[CUIT]],Lista_CUIT[#All],2,0)),"CUIT NO CARGADO")</f>
        <v>POSNET SRL</v>
      </c>
      <c r="H29" s="276">
        <v>14000</v>
      </c>
      <c r="I29" s="266">
        <f>IF(compras_mes2[[#This Row],[NETO GRAVADO]]="","",compras_mes2[[#This Row],[NETO GRAVADO]]*0.21)</f>
        <v>2940</v>
      </c>
      <c r="J29" s="266"/>
      <c r="K29" s="266"/>
      <c r="L29" s="266"/>
      <c r="M29" s="266"/>
      <c r="N29" s="266">
        <v>1260</v>
      </c>
      <c r="O29" s="266"/>
      <c r="P29" s="267">
        <f>SUM(compras_mes2[[#This Row],[NETO GRAVADO]:[Otros / No Grav.]])</f>
        <v>18200</v>
      </c>
      <c r="Q29" s="279" t="str">
        <f>IFERROR(IF(compras_mes2[[#This Row],[CUIT]]="","-",VLOOKUP(compras_mes2[[#This Row],[CUIT]],Lista_CUIT[#All],3,0)),"CUIT NO CARGADO")</f>
        <v>Gastos Comercializacion</v>
      </c>
      <c r="R29" s="280">
        <f>IFERROR(IF(compras_mes2[[#This Row],[CUIT]]="","-",VLOOKUP(compras_mes2[[#This Row],[CUIT]],Lista_CUIT[#All],4,0)),"CUIT NO CARGADO")</f>
        <v>0</v>
      </c>
      <c r="S29">
        <v>21000.28</v>
      </c>
    </row>
    <row r="30" spans="1:20">
      <c r="B30" s="347">
        <v>45332</v>
      </c>
      <c r="C30" s="343">
        <v>1</v>
      </c>
      <c r="D30" s="344">
        <v>6</v>
      </c>
      <c r="E30" s="345">
        <v>15589644</v>
      </c>
      <c r="F30" s="346">
        <v>30620177497</v>
      </c>
      <c r="G30" s="279" t="str">
        <f>IFERROR(IF(compras_mes2[[#This Row],[CUIT]]="","-",VLOOKUP(compras_mes2[[#This Row],[CUIT]],Lista_CUIT[#All],2,0)),"CUIT NO CARGADO")</f>
        <v>POSNET SRL</v>
      </c>
      <c r="H30" s="276">
        <v>14000</v>
      </c>
      <c r="I30" s="266">
        <f>IF(compras_mes2[[#This Row],[NETO GRAVADO]]="","",compras_mes2[[#This Row],[NETO GRAVADO]]*0.21)</f>
        <v>2940</v>
      </c>
      <c r="J30" s="266"/>
      <c r="K30" s="266"/>
      <c r="L30" s="266"/>
      <c r="M30" s="266"/>
      <c r="N30" s="266">
        <v>1260</v>
      </c>
      <c r="O30" s="266"/>
      <c r="P30" s="267">
        <f>SUM(compras_mes2[[#This Row],[NETO GRAVADO]:[Otros / No Grav.]])</f>
        <v>18200</v>
      </c>
      <c r="Q30" s="279" t="str">
        <f>IFERROR(IF(compras_mes2[[#This Row],[CUIT]]="","-",VLOOKUP(compras_mes2[[#This Row],[CUIT]],Lista_CUIT[#All],3,0)),"CUIT NO CARGADO")</f>
        <v>Gastos Comercializacion</v>
      </c>
      <c r="R30" s="280">
        <f>IFERROR(IF(compras_mes2[[#This Row],[CUIT]]="","-",VLOOKUP(compras_mes2[[#This Row],[CUIT]],Lista_CUIT[#All],4,0)),"CUIT NO CARGADO")</f>
        <v>0</v>
      </c>
      <c r="S30">
        <v>9408113</v>
      </c>
    </row>
    <row r="31" spans="1:20" s="157" customFormat="1">
      <c r="A31"/>
      <c r="B31" s="347">
        <v>45332</v>
      </c>
      <c r="C31" s="343">
        <v>1</v>
      </c>
      <c r="D31" s="344">
        <v>6</v>
      </c>
      <c r="E31" s="345">
        <v>15606743</v>
      </c>
      <c r="F31" s="346">
        <v>30620177497</v>
      </c>
      <c r="G31" s="279" t="str">
        <f>IFERROR(IF(compras_mes2[[#This Row],[CUIT]]="","-",VLOOKUP(compras_mes2[[#This Row],[CUIT]],Lista_CUIT[#All],2,0)),"CUIT NO CARGADO")</f>
        <v>POSNET SRL</v>
      </c>
      <c r="H31" s="276">
        <v>14000</v>
      </c>
      <c r="I31" s="266">
        <f>IF(compras_mes2[[#This Row],[NETO GRAVADO]]="","",compras_mes2[[#This Row],[NETO GRAVADO]]*0.21)</f>
        <v>2940</v>
      </c>
      <c r="J31" s="266"/>
      <c r="K31" s="266"/>
      <c r="L31" s="266"/>
      <c r="M31" s="266"/>
      <c r="N31" s="266">
        <v>1260</v>
      </c>
      <c r="O31" s="266"/>
      <c r="P31" s="267">
        <f>SUM(compras_mes2[[#This Row],[NETO GRAVADO]:[Otros / No Grav.]])</f>
        <v>18200</v>
      </c>
      <c r="Q31" s="279" t="str">
        <f>IFERROR(IF(compras_mes2[[#This Row],[CUIT]]="","-",VLOOKUP(compras_mes2[[#This Row],[CUIT]],Lista_CUIT[#All],3,0)),"CUIT NO CARGADO")</f>
        <v>Gastos Comercializacion</v>
      </c>
      <c r="R31" s="280">
        <f>IFERROR(IF(compras_mes2[[#This Row],[CUIT]]="","-",VLOOKUP(compras_mes2[[#This Row],[CUIT]],Lista_CUIT[#All],4,0)),"CUIT NO CARGADO")</f>
        <v>0</v>
      </c>
      <c r="S31">
        <v>11514.97</v>
      </c>
      <c r="T31"/>
    </row>
    <row r="32" spans="1:20" s="157" customFormat="1">
      <c r="A32"/>
      <c r="B32" s="347">
        <v>45332</v>
      </c>
      <c r="C32" s="343">
        <v>1</v>
      </c>
      <c r="D32" s="344">
        <v>6</v>
      </c>
      <c r="E32" s="345">
        <v>15617149</v>
      </c>
      <c r="F32" s="346">
        <v>30620177497</v>
      </c>
      <c r="G32" s="279" t="str">
        <f>IFERROR(IF(compras_mes2[[#This Row],[CUIT]]="","-",VLOOKUP(compras_mes2[[#This Row],[CUIT]],Lista_CUIT[#All],2,0)),"CUIT NO CARGADO")</f>
        <v>POSNET SRL</v>
      </c>
      <c r="H32" s="276">
        <v>42000</v>
      </c>
      <c r="I32" s="266">
        <f>IF(compras_mes2[[#This Row],[NETO GRAVADO]]="","",compras_mes2[[#This Row],[NETO GRAVADO]]*0.21)</f>
        <v>8820</v>
      </c>
      <c r="J32" s="266"/>
      <c r="K32" s="266"/>
      <c r="L32" s="266"/>
      <c r="M32" s="266"/>
      <c r="N32" s="266">
        <v>3780</v>
      </c>
      <c r="O32" s="266"/>
      <c r="P32" s="267">
        <f>SUM(compras_mes2[[#This Row],[NETO GRAVADO]:[Otros / No Grav.]])</f>
        <v>54600</v>
      </c>
      <c r="Q32" s="279" t="str">
        <f>IFERROR(IF(compras_mes2[[#This Row],[CUIT]]="","-",VLOOKUP(compras_mes2[[#This Row],[CUIT]],Lista_CUIT[#All],3,0)),"CUIT NO CARGADO")</f>
        <v>Gastos Comercializacion</v>
      </c>
      <c r="R32" s="280">
        <f>IFERROR(IF(compras_mes2[[#This Row],[CUIT]]="","-",VLOOKUP(compras_mes2[[#This Row],[CUIT]],Lista_CUIT[#All],4,0)),"CUIT NO CARGADO")</f>
        <v>0</v>
      </c>
      <c r="S32">
        <v>29083.25</v>
      </c>
      <c r="T32"/>
    </row>
    <row r="33" spans="1:20" s="157" customFormat="1">
      <c r="A33"/>
      <c r="B33" s="347">
        <v>45351</v>
      </c>
      <c r="C33" s="343">
        <v>3</v>
      </c>
      <c r="D33" s="344">
        <v>11</v>
      </c>
      <c r="E33" s="345">
        <v>702188</v>
      </c>
      <c r="F33" s="346">
        <v>33709585229</v>
      </c>
      <c r="G33" s="279" t="str">
        <f>IFERROR(IF(compras_mes2[[#This Row],[CUIT]]="","-",VLOOKUP(compras_mes2[[#This Row],[CUIT]],Lista_CUIT[#All],2,0)),"CUIT NO CARGADO")</f>
        <v>GOOGLE ARGENTINA S.R.L.</v>
      </c>
      <c r="H33" s="276">
        <v>-89.14</v>
      </c>
      <c r="I33" s="266">
        <f>IF(compras_mes2[[#This Row],[NETO GRAVADO]]="","",compras_mes2[[#This Row],[NETO GRAVADO]]*0.21)</f>
        <v>-18.7194</v>
      </c>
      <c r="J33" s="266"/>
      <c r="K33" s="266"/>
      <c r="L33" s="266"/>
      <c r="M33" s="266"/>
      <c r="N33" s="266">
        <v>-10.01</v>
      </c>
      <c r="O33" s="266"/>
      <c r="P33" s="267">
        <f>SUM(compras_mes2[[#This Row],[NETO GRAVADO]:[Otros / No Grav.]])</f>
        <v>-117.8694</v>
      </c>
      <c r="Q33" s="279" t="str">
        <f>IFERROR(IF(compras_mes2[[#This Row],[CUIT]]="","-",VLOOKUP(compras_mes2[[#This Row],[CUIT]],Lista_CUIT[#All],3,0)),"CUIT NO CARGADO")</f>
        <v>Gastos Comercializacion</v>
      </c>
      <c r="R33" s="280">
        <f>IFERROR(IF(compras_mes2[[#This Row],[CUIT]]="","-",VLOOKUP(compras_mes2[[#This Row],[CUIT]],Lista_CUIT[#All],4,0)),"CUIT NO CARGADO")</f>
        <v>0</v>
      </c>
      <c r="S33">
        <v>7300</v>
      </c>
      <c r="T33"/>
    </row>
    <row r="34" spans="1:20" s="157" customFormat="1">
      <c r="A34"/>
      <c r="B34" s="347">
        <v>45351</v>
      </c>
      <c r="C34" s="343">
        <v>1</v>
      </c>
      <c r="D34" s="344">
        <v>11</v>
      </c>
      <c r="E34" s="345">
        <v>953002</v>
      </c>
      <c r="F34" s="346">
        <v>33709585229</v>
      </c>
      <c r="G34" s="279" t="str">
        <f>IFERROR(IF(compras_mes2[[#This Row],[CUIT]]="","-",VLOOKUP(compras_mes2[[#This Row],[CUIT]],Lista_CUIT[#All],2,0)),"CUIT NO CARGADO")</f>
        <v>GOOGLE ARGENTINA S.R.L.</v>
      </c>
      <c r="H34" s="276">
        <v>207828.68</v>
      </c>
      <c r="I34" s="266">
        <f>IF(compras_mes2[[#This Row],[NETO GRAVADO]]="","",compras_mes2[[#This Row],[NETO GRAVADO]]*0.21)</f>
        <v>43644.022799999999</v>
      </c>
      <c r="J34" s="266"/>
      <c r="K34" s="266"/>
      <c r="L34" s="266"/>
      <c r="M34" s="266"/>
      <c r="N34" s="266">
        <v>42566.51</v>
      </c>
      <c r="O34" s="266">
        <v>6234.86</v>
      </c>
      <c r="P34" s="267">
        <f>SUM(compras_mes2[[#This Row],[NETO GRAVADO]:[Otros / No Grav.]])</f>
        <v>300274.07279999997</v>
      </c>
      <c r="Q34" s="279" t="str">
        <f>IFERROR(IF(compras_mes2[[#This Row],[CUIT]]="","-",VLOOKUP(compras_mes2[[#This Row],[CUIT]],Lista_CUIT[#All],3,0)),"CUIT NO CARGADO")</f>
        <v>Gastos Comercializacion</v>
      </c>
      <c r="R34" s="280">
        <f>IFERROR(IF(compras_mes2[[#This Row],[CUIT]]="","-",VLOOKUP(compras_mes2[[#This Row],[CUIT]],Lista_CUIT[#All],4,0)),"CUIT NO CARGADO")</f>
        <v>0</v>
      </c>
      <c r="S34">
        <v>64411.11</v>
      </c>
      <c r="T34"/>
    </row>
    <row r="35" spans="1:20">
      <c r="B35" s="347">
        <v>45342</v>
      </c>
      <c r="C35" s="343">
        <v>1</v>
      </c>
      <c r="D35" s="344">
        <v>1</v>
      </c>
      <c r="E35" s="345">
        <v>680</v>
      </c>
      <c r="F35" s="346">
        <v>30715889486</v>
      </c>
      <c r="G35" s="279" t="str">
        <f>IFERROR(IF(compras_mes2[[#This Row],[CUIT]]="","-",VLOOKUP(compras_mes2[[#This Row],[CUIT]],Lista_CUIT[#All],2,0)),"CUIT NO CARGADO")</f>
        <v>EXPOESTETICA</v>
      </c>
      <c r="H35" s="276">
        <v>396000</v>
      </c>
      <c r="I35" s="266">
        <f>IF(compras_mes2[[#This Row],[NETO GRAVADO]]="","",compras_mes2[[#This Row],[NETO GRAVADO]]*0.21)</f>
        <v>83160</v>
      </c>
      <c r="J35" s="266"/>
      <c r="K35" s="266"/>
      <c r="L35" s="266"/>
      <c r="M35" s="266"/>
      <c r="N35" s="266"/>
      <c r="O35" s="266"/>
      <c r="P35" s="267">
        <f>SUM(compras_mes2[[#This Row],[NETO GRAVADO]:[Otros / No Grav.]])</f>
        <v>479160</v>
      </c>
      <c r="Q35" s="279" t="str">
        <f>IFERROR(IF(compras_mes2[[#This Row],[CUIT]]="","-",VLOOKUP(compras_mes2[[#This Row],[CUIT]],Lista_CUIT[#All],3,0)),"CUIT NO CARGADO")</f>
        <v>Gastos Comercializacion - Feria</v>
      </c>
      <c r="R35" s="280" t="str">
        <f>IFERROR(IF(compras_mes2[[#This Row],[CUIT]]="","-",VLOOKUP(compras_mes2[[#This Row],[CUIT]],Lista_CUIT[#All],4,0)),"CUIT NO CARGADO")</f>
        <v>BUENOS AIRES</v>
      </c>
      <c r="S35">
        <v>20034.75</v>
      </c>
    </row>
    <row r="36" spans="1:20" s="196" customFormat="1" ht="18.600000000000001" customHeight="1">
      <c r="A36" s="56"/>
      <c r="B36" s="40">
        <v>45346</v>
      </c>
      <c r="C36" s="41">
        <v>1</v>
      </c>
      <c r="D36" s="331">
        <v>14</v>
      </c>
      <c r="E36" s="332">
        <v>11397</v>
      </c>
      <c r="F36" s="333">
        <v>30715186256</v>
      </c>
      <c r="G36" s="45" t="str">
        <f>IFERROR(IF(compras_mes2[[#This Row],[CUIT]]="","-",VLOOKUP(compras_mes2[[#This Row],[CUIT]],Lista_CUIT[#All],2,0)),"CUIT NO CARGADO")</f>
        <v>FRIGORIFICO ALIMENTIC</v>
      </c>
      <c r="H36" s="46">
        <v>59671.9</v>
      </c>
      <c r="I36" s="85">
        <v>3758.74</v>
      </c>
      <c r="J36" s="85"/>
      <c r="K36" s="85">
        <v>4386.18</v>
      </c>
      <c r="L36" s="85"/>
      <c r="M36" s="85"/>
      <c r="N36" s="85"/>
      <c r="O36" s="85"/>
      <c r="P36" s="48">
        <f>SUM(compras_mes2[[#This Row],[NETO GRAVADO]:[Otros / No Grav.]])</f>
        <v>67816.820000000007</v>
      </c>
      <c r="Q36" s="45" t="str">
        <f>IFERROR(IF(compras_mes2[[#This Row],[CUIT]]="","-",VLOOKUP(compras_mes2[[#This Row],[CUIT]],Lista_CUIT[#All],3,0)),"CUIT NO CARGADO")</f>
        <v>Gastos Comercializacion - Feria</v>
      </c>
      <c r="R36" s="49">
        <f>IFERROR(IF(compras_mes2[[#This Row],[CUIT]]="","-",VLOOKUP(compras_mes2[[#This Row],[CUIT]],Lista_CUIT[#All],4,0)),"CUIT NO CARGADO")</f>
        <v>0</v>
      </c>
      <c r="S36" s="56">
        <v>36521.14</v>
      </c>
      <c r="T36" s="56"/>
    </row>
    <row r="37" spans="1:20" s="157" customFormat="1">
      <c r="A37"/>
      <c r="B37" s="347">
        <v>45341</v>
      </c>
      <c r="C37" s="343">
        <v>1</v>
      </c>
      <c r="D37" s="344">
        <v>113</v>
      </c>
      <c r="E37" s="345">
        <v>3494539</v>
      </c>
      <c r="F37" s="346">
        <v>30577207190</v>
      </c>
      <c r="G37" s="279" t="str">
        <f>IFERROR(IF(compras_mes2[[#This Row],[CUIT]]="","-",VLOOKUP(compras_mes2[[#This Row],[CUIT]],Lista_CUIT[#All],2,0)),"CUIT NO CARGADO")</f>
        <v>COORDINACION ECOLOGICA AREA METROPOLITANA SOCIEDAD DEL ESTADO</v>
      </c>
      <c r="H37" s="276">
        <v>6373.55</v>
      </c>
      <c r="I37" s="266">
        <f>IF(compras_mes2[[#This Row],[NETO GRAVADO]]="","",compras_mes2[[#This Row],[NETO GRAVADO]]*0.21)</f>
        <v>1338.4455</v>
      </c>
      <c r="J37" s="266"/>
      <c r="K37" s="266"/>
      <c r="L37" s="266">
        <v>191.21</v>
      </c>
      <c r="M37" s="266"/>
      <c r="N37" s="266"/>
      <c r="O37" s="266"/>
      <c r="P37" s="267">
        <f>SUM(compras_mes2[[#This Row],[NETO GRAVADO]:[Otros / No Grav.]])</f>
        <v>7903.2055</v>
      </c>
      <c r="Q37" s="279" t="str">
        <f>IFERROR(IF(compras_mes2[[#This Row],[CUIT]]="","-",VLOOKUP(compras_mes2[[#This Row],[CUIT]],Lista_CUIT[#All],3,0)),"CUIT NO CARGADO")</f>
        <v>Gastos Limpieza</v>
      </c>
      <c r="R37" s="280">
        <f>IFERROR(IF(compras_mes2[[#This Row],[CUIT]]="","-",VLOOKUP(compras_mes2[[#This Row],[CUIT]],Lista_CUIT[#All],4,0)),"CUIT NO CARGADO")</f>
        <v>0</v>
      </c>
      <c r="S37">
        <v>22761.96</v>
      </c>
      <c r="T37"/>
    </row>
    <row r="38" spans="1:20">
      <c r="B38" s="40">
        <v>45342</v>
      </c>
      <c r="C38" s="41">
        <v>1</v>
      </c>
      <c r="D38" s="331">
        <v>3</v>
      </c>
      <c r="E38" s="332">
        <v>939</v>
      </c>
      <c r="F38" s="333">
        <v>20308960782</v>
      </c>
      <c r="G38" s="45" t="str">
        <f>IFERROR(IF(compras_mes2[[#This Row],[CUIT]]="","-",VLOOKUP(compras_mes2[[#This Row],[CUIT]],Lista_CUIT[#All],2,0)),"CUIT NO CARGADO")</f>
        <v>OSSANDON ROBERTO SAUL</v>
      </c>
      <c r="H38" s="46">
        <v>6033.06</v>
      </c>
      <c r="I38" s="85">
        <f>IF(compras_mes2[[#This Row],[NETO GRAVADO]]="","",compras_mes2[[#This Row],[NETO GRAVADO]]*0.21)</f>
        <v>1266.9426000000001</v>
      </c>
      <c r="J38" s="85"/>
      <c r="K38" s="85"/>
      <c r="L38" s="85"/>
      <c r="M38" s="85"/>
      <c r="N38" s="85"/>
      <c r="O38" s="85"/>
      <c r="P38" s="48">
        <f>SUM(compras_mes2[[#This Row],[NETO GRAVADO]:[Otros / No Grav.]])</f>
        <v>7300.0026000000007</v>
      </c>
      <c r="Q38" s="45" t="str">
        <f>IFERROR(IF(compras_mes2[[#This Row],[CUIT]]="","-",VLOOKUP(compras_mes2[[#This Row],[CUIT]],Lista_CUIT[#All],3,0)),"CUIT NO CARGADO")</f>
        <v>Gastos Limpieza</v>
      </c>
      <c r="R38" s="49">
        <f>IFERROR(IF(compras_mes2[[#This Row],[CUIT]]="","-",VLOOKUP(compras_mes2[[#This Row],[CUIT]],Lista_CUIT[#All],4,0)),"CUIT NO CARGADO")</f>
        <v>0</v>
      </c>
      <c r="S38">
        <v>15311.06</v>
      </c>
    </row>
    <row r="39" spans="1:20">
      <c r="B39" s="40">
        <v>45330</v>
      </c>
      <c r="C39" s="41">
        <v>1</v>
      </c>
      <c r="D39" s="331">
        <v>7</v>
      </c>
      <c r="E39" s="332">
        <v>7824</v>
      </c>
      <c r="F39" s="333">
        <v>27280785208</v>
      </c>
      <c r="G39" s="45" t="str">
        <f>IFERROR(IF(compras_mes2[[#This Row],[CUIT]]="","-",VLOOKUP(compras_mes2[[#This Row],[CUIT]],Lista_CUIT[#All],2,0)),"CUIT NO CARGADO")</f>
        <v>GANUZA KARINA ANDREA</v>
      </c>
      <c r="H39" s="46">
        <v>280966.09000000003</v>
      </c>
      <c r="I39" s="85">
        <f>IF(compras_mes2[[#This Row],[NETO GRAVADO]]="","",compras_mes2[[#This Row],[NETO GRAVADO]]*0.21)</f>
        <v>59002.878900000003</v>
      </c>
      <c r="J39" s="85"/>
      <c r="K39" s="85"/>
      <c r="L39" s="85"/>
      <c r="M39" s="85"/>
      <c r="N39" s="85"/>
      <c r="O39" s="85"/>
      <c r="P39" s="48">
        <f>SUM(compras_mes2[[#This Row],[NETO GRAVADO]:[Otros / No Grav.]])</f>
        <v>339968.96890000004</v>
      </c>
      <c r="Q39" s="45" t="str">
        <f>IFERROR(IF(compras_mes2[[#This Row],[CUIT]]="","-",VLOOKUP(compras_mes2[[#This Row],[CUIT]],Lista_CUIT[#All],3,0)),"CUIT NO CARGADO")</f>
        <v>Gastos Oficina</v>
      </c>
      <c r="R39" s="49">
        <f>IFERROR(IF(compras_mes2[[#This Row],[CUIT]]="","-",VLOOKUP(compras_mes2[[#This Row],[CUIT]],Lista_CUIT[#All],4,0)),"CUIT NO CARGADO")</f>
        <v>0</v>
      </c>
      <c r="S39">
        <v>5410.6</v>
      </c>
    </row>
    <row r="40" spans="1:20">
      <c r="B40" s="40">
        <v>45343</v>
      </c>
      <c r="C40" s="41">
        <v>1</v>
      </c>
      <c r="D40" s="331">
        <v>5001</v>
      </c>
      <c r="E40" s="332">
        <v>130119</v>
      </c>
      <c r="F40" s="333">
        <v>30696692951</v>
      </c>
      <c r="G40" s="45" t="str">
        <f>IFERROR(IF(compras_mes2[[#This Row],[CUIT]]="","-",VLOOKUP(compras_mes2[[#This Row],[CUIT]],Lista_CUIT[#All],2,0)),"CUIT NO CARGADO")</f>
        <v>CEVEN SA</v>
      </c>
      <c r="H40" s="46">
        <v>247933.06</v>
      </c>
      <c r="I40" s="85">
        <f>IF(compras_mes2[[#This Row],[NETO GRAVADO]]="","",compras_mes2[[#This Row],[NETO GRAVADO]]*0.21)</f>
        <v>52065.942599999995</v>
      </c>
      <c r="J40" s="85"/>
      <c r="K40" s="85"/>
      <c r="L40" s="85"/>
      <c r="M40" s="85"/>
      <c r="N40" s="85"/>
      <c r="O40" s="85"/>
      <c r="P40" s="48">
        <f>SUM(compras_mes2[[#This Row],[NETO GRAVADO]:[Otros / No Grav.]])</f>
        <v>299999.00260000001</v>
      </c>
      <c r="Q40" s="45" t="str">
        <f>IFERROR(IF(compras_mes2[[#This Row],[CUIT]]="","-",VLOOKUP(compras_mes2[[#This Row],[CUIT]],Lista_CUIT[#All],3,0)),"CUIT NO CARGADO")</f>
        <v>Gastos Oficina</v>
      </c>
      <c r="R40" s="49">
        <f>IFERROR(IF(compras_mes2[[#This Row],[CUIT]]="","-",VLOOKUP(compras_mes2[[#This Row],[CUIT]],Lista_CUIT[#All],4,0)),"CUIT NO CARGADO")</f>
        <v>0</v>
      </c>
      <c r="S40">
        <v>8500</v>
      </c>
    </row>
    <row r="41" spans="1:20">
      <c r="B41" s="40">
        <v>45350</v>
      </c>
      <c r="C41" s="41">
        <v>1</v>
      </c>
      <c r="D41" s="331">
        <v>4</v>
      </c>
      <c r="E41" s="332">
        <v>2327</v>
      </c>
      <c r="F41" s="333">
        <v>30715946250</v>
      </c>
      <c r="G41" s="45" t="str">
        <f>IFERROR(IF(compras_mes2[[#This Row],[CUIT]]="","-",VLOOKUP(compras_mes2[[#This Row],[CUIT]],Lista_CUIT[#All],2,0)),"CUIT NO CARGADO")</f>
        <v>GLOBAL AESTHETICS PRODUCTS AND SERVICES SRL</v>
      </c>
      <c r="H41" s="46">
        <v>4037700.48</v>
      </c>
      <c r="I41" s="85">
        <f>IF(compras_mes2[[#This Row],[NETO GRAVADO]]="","",compras_mes2[[#This Row],[NETO GRAVADO]]*0.21)</f>
        <v>847917.10080000001</v>
      </c>
      <c r="J41" s="85"/>
      <c r="K41" s="85"/>
      <c r="L41" s="85"/>
      <c r="M41" s="85"/>
      <c r="N41" s="85"/>
      <c r="O41" s="85"/>
      <c r="P41" s="48">
        <f>SUM(compras_mes2[[#This Row],[NETO GRAVADO]:[Otros / No Grav.]])</f>
        <v>4885617.5807999996</v>
      </c>
      <c r="Q41" s="45" t="str">
        <f>IFERROR(IF(compras_mes2[[#This Row],[CUIT]]="","-",VLOOKUP(compras_mes2[[#This Row],[CUIT]],Lista_CUIT[#All],3,0)),"CUIT NO CARGADO")</f>
        <v>Productos Venta</v>
      </c>
      <c r="R41" s="49">
        <f>IFERROR(IF(compras_mes2[[#This Row],[CUIT]]="","-",VLOOKUP(compras_mes2[[#This Row],[CUIT]],Lista_CUIT[#All],4,0)),"CUIT NO CARGADO")</f>
        <v>0</v>
      </c>
      <c r="S41">
        <v>167600.38</v>
      </c>
    </row>
    <row r="42" spans="1:20">
      <c r="B42" s="347">
        <v>45323</v>
      </c>
      <c r="C42" s="343">
        <v>1</v>
      </c>
      <c r="D42" s="344">
        <v>4</v>
      </c>
      <c r="E42" s="345">
        <v>63983</v>
      </c>
      <c r="F42" s="346">
        <v>30708349646</v>
      </c>
      <c r="G42" s="279" t="str">
        <f>IFERROR(IF(compras_mes2[[#This Row],[CUIT]]="","-",VLOOKUP(compras_mes2[[#This Row],[CUIT]],Lista_CUIT[#All],2,0)),"CUIT NO CARGADO")</f>
        <v>PEM PRODUCTOS ELECTRICOS S.A.</v>
      </c>
      <c r="H42" s="276">
        <v>61501.52</v>
      </c>
      <c r="I42" s="266">
        <f>IF(compras_mes2[[#This Row],[NETO GRAVADO]]="","",compras_mes2[[#This Row],[NETO GRAVADO]]*0.21)</f>
        <v>12915.319199999998</v>
      </c>
      <c r="J42" s="266"/>
      <c r="K42" s="266"/>
      <c r="L42" s="266"/>
      <c r="M42" s="266"/>
      <c r="N42" s="266"/>
      <c r="O42" s="266"/>
      <c r="P42" s="267">
        <f>SUM(compras_mes2[[#This Row],[NETO GRAVADO]:[Otros / No Grav.]])</f>
        <v>74416.839199999988</v>
      </c>
      <c r="Q42" s="279" t="str">
        <f>IFERROR(IF(compras_mes2[[#This Row],[CUIT]]="","-",VLOOKUP(compras_mes2[[#This Row],[CUIT]],Lista_CUIT[#All],3,0)),"CUIT NO CARGADO")</f>
        <v>Gastos Oficina</v>
      </c>
      <c r="R42" s="280">
        <f>IFERROR(IF(compras_mes2[[#This Row],[CUIT]]="","-",VLOOKUP(compras_mes2[[#This Row],[CUIT]],Lista_CUIT[#All],4,0)),"CUIT NO CARGADO")</f>
        <v>0</v>
      </c>
      <c r="S42">
        <v>30000</v>
      </c>
    </row>
    <row r="43" spans="1:20" s="157" customFormat="1">
      <c r="A43"/>
      <c r="B43" s="40">
        <v>45330</v>
      </c>
      <c r="C43" s="41">
        <v>1</v>
      </c>
      <c r="D43" s="331">
        <v>2</v>
      </c>
      <c r="E43" s="332">
        <v>38352</v>
      </c>
      <c r="F43" s="333">
        <v>33714232199</v>
      </c>
      <c r="G43" s="45" t="str">
        <f>IFERROR(IF(compras_mes2[[#This Row],[CUIT]]="","-",VLOOKUP(compras_mes2[[#This Row],[CUIT]],Lista_CUIT[#All],2,0)),"CUIT NO CARGADO")</f>
        <v>NUAGE SYSTEMS S.A.</v>
      </c>
      <c r="H43" s="46">
        <v>209700</v>
      </c>
      <c r="I43" s="85">
        <f>IF(compras_mes2[[#This Row],[NETO GRAVADO]]="","",compras_mes2[[#This Row],[NETO GRAVADO]]*0.21)</f>
        <v>44037</v>
      </c>
      <c r="J43" s="85"/>
      <c r="K43" s="85"/>
      <c r="L43" s="85"/>
      <c r="M43" s="85"/>
      <c r="N43" s="85"/>
      <c r="O43" s="85"/>
      <c r="P43" s="48">
        <f>SUM(compras_mes2[[#This Row],[NETO GRAVADO]:[Otros / No Grav.]])</f>
        <v>253737</v>
      </c>
      <c r="Q43" s="45" t="str">
        <f>IFERROR(IF(compras_mes2[[#This Row],[CUIT]]="","-",VLOOKUP(compras_mes2[[#This Row],[CUIT]],Lista_CUIT[#All],3,0)),"CUIT NO CARGADO")</f>
        <v>Gastos Oficina</v>
      </c>
      <c r="R43" s="49">
        <f>IFERROR(IF(compras_mes2[[#This Row],[CUIT]]="","-",VLOOKUP(compras_mes2[[#This Row],[CUIT]],Lista_CUIT[#All],4,0)),"CUIT NO CARGADO")</f>
        <v>0</v>
      </c>
      <c r="S43">
        <v>4885617.58</v>
      </c>
      <c r="T43"/>
    </row>
    <row r="44" spans="1:20" s="157" customFormat="1">
      <c r="A44"/>
      <c r="B44" s="347">
        <v>45344</v>
      </c>
      <c r="C44" s="343">
        <v>1</v>
      </c>
      <c r="D44" s="344">
        <v>4</v>
      </c>
      <c r="E44" s="345">
        <v>64467</v>
      </c>
      <c r="F44" s="346">
        <v>30708349646</v>
      </c>
      <c r="G44" s="279" t="str">
        <f>IFERROR(IF(compras_mes2[[#This Row],[CUIT]]="","-",VLOOKUP(compras_mes2[[#This Row],[CUIT]],Lista_CUIT[#All],2,0)),"CUIT NO CARGADO")</f>
        <v>PEM PRODUCTOS ELECTRICOS S.A.</v>
      </c>
      <c r="H44" s="276">
        <v>67907.149999999994</v>
      </c>
      <c r="I44" s="266">
        <f>IF(compras_mes2[[#This Row],[NETO GRAVADO]]="","",compras_mes2[[#This Row],[NETO GRAVADO]]*0.21)</f>
        <v>14260.501499999998</v>
      </c>
      <c r="J44" s="266"/>
      <c r="K44" s="266"/>
      <c r="L44" s="266"/>
      <c r="M44" s="266"/>
      <c r="N44" s="266"/>
      <c r="O44" s="266"/>
      <c r="P44" s="267">
        <f>SUM(compras_mes2[[#This Row],[NETO GRAVADO]:[Otros / No Grav.]])</f>
        <v>82167.651499999993</v>
      </c>
      <c r="Q44" s="279" t="str">
        <f>IFERROR(IF(compras_mes2[[#This Row],[CUIT]]="","-",VLOOKUP(compras_mes2[[#This Row],[CUIT]],Lista_CUIT[#All],3,0)),"CUIT NO CARGADO")</f>
        <v>Gastos Oficina</v>
      </c>
      <c r="R44" s="280">
        <f>IFERROR(IF(compras_mes2[[#This Row],[CUIT]]="","-",VLOOKUP(compras_mes2[[#This Row],[CUIT]],Lista_CUIT[#All],4,0)),"CUIT NO CARGADO")</f>
        <v>0</v>
      </c>
      <c r="S44">
        <v>49793</v>
      </c>
      <c r="T44"/>
    </row>
    <row r="45" spans="1:20" ht="18" customHeight="1">
      <c r="B45" s="40">
        <v>45344</v>
      </c>
      <c r="C45" s="41">
        <v>1</v>
      </c>
      <c r="D45" s="331">
        <v>3</v>
      </c>
      <c r="E45" s="332">
        <v>75</v>
      </c>
      <c r="F45" s="333">
        <v>33715993509</v>
      </c>
      <c r="G45" s="45" t="str">
        <f>IFERROR(IF(compras_mes2[[#This Row],[CUIT]]="","-",VLOOKUP(compras_mes2[[#This Row],[CUIT]],Lista_CUIT[#All],2,0)),"CUIT NO CARGADO")</f>
        <v>+Q NATURAL S.A.</v>
      </c>
      <c r="H45" s="46">
        <v>4380.16</v>
      </c>
      <c r="I45" s="85">
        <f>IF(compras_mes2[[#This Row],[NETO GRAVADO]]="","",compras_mes2[[#This Row],[NETO GRAVADO]]*0.21)</f>
        <v>919.83359999999993</v>
      </c>
      <c r="J45" s="85"/>
      <c r="K45" s="85"/>
      <c r="L45" s="85"/>
      <c r="M45" s="85"/>
      <c r="N45" s="85"/>
      <c r="O45" s="85"/>
      <c r="P45" s="48">
        <f>SUM(compras_mes2[[#This Row],[NETO GRAVADO]:[Otros / No Grav.]])</f>
        <v>5299.9935999999998</v>
      </c>
      <c r="Q45" s="45" t="str">
        <f>IFERROR(IF(compras_mes2[[#This Row],[CUIT]]="","-",VLOOKUP(compras_mes2[[#This Row],[CUIT]],Lista_CUIT[#All],3,0)),"CUIT NO CARGADO")</f>
        <v>Gastos Varios</v>
      </c>
      <c r="R45" s="49">
        <f>IFERROR(IF(compras_mes2[[#This Row],[CUIT]]="","-",VLOOKUP(compras_mes2[[#This Row],[CUIT]],Lista_CUIT[#All],4,0)),"CUIT NO CARGADO")</f>
        <v>0</v>
      </c>
      <c r="S45">
        <v>93482.37</v>
      </c>
    </row>
    <row r="46" spans="1:20">
      <c r="B46" s="40">
        <v>45342</v>
      </c>
      <c r="C46" s="41">
        <v>1</v>
      </c>
      <c r="D46" s="331">
        <v>2</v>
      </c>
      <c r="E46" s="332">
        <v>7162</v>
      </c>
      <c r="F46" s="333">
        <v>23180288899</v>
      </c>
      <c r="G46" s="45" t="str">
        <f>IFERROR(IF(compras_mes2[[#This Row],[CUIT]]="","-",VLOOKUP(compras_mes2[[#This Row],[CUIT]],Lista_CUIT[#All],2,0)),"CUIT NO CARGADO")</f>
        <v>ROMERO EMILIO</v>
      </c>
      <c r="H46" s="46">
        <v>1847340</v>
      </c>
      <c r="I46" s="85">
        <f>IF(compras_mes2[[#This Row],[NETO GRAVADO]]="","",compras_mes2[[#This Row],[NETO GRAVADO]]*0.21)</f>
        <v>387941.39999999997</v>
      </c>
      <c r="J46" s="85"/>
      <c r="K46" s="85"/>
      <c r="L46" s="85">
        <v>55420.2</v>
      </c>
      <c r="M46" s="85"/>
      <c r="N46" s="85"/>
      <c r="O46" s="85"/>
      <c r="P46" s="48">
        <f>SUM(compras_mes2[[#This Row],[NETO GRAVADO]:[Otros / No Grav.]])</f>
        <v>2290701.6</v>
      </c>
      <c r="Q46" s="45" t="str">
        <f>IFERROR(IF(compras_mes2[[#This Row],[CUIT]]="","-",VLOOKUP(compras_mes2[[#This Row],[CUIT]],Lista_CUIT[#All],3,0)),"CUIT NO CARGADO")</f>
        <v>Gastos Varios</v>
      </c>
      <c r="R46" s="49">
        <f>IFERROR(IF(compras_mes2[[#This Row],[CUIT]]="","-",VLOOKUP(compras_mes2[[#This Row],[CUIT]],Lista_CUIT[#All],4,0)),"CUIT NO CARGADO")</f>
        <v>0</v>
      </c>
      <c r="S46">
        <v>12005</v>
      </c>
    </row>
    <row r="47" spans="1:20">
      <c r="B47" s="40">
        <v>45343</v>
      </c>
      <c r="C47" s="41">
        <v>1</v>
      </c>
      <c r="D47" s="331">
        <v>2</v>
      </c>
      <c r="E47" s="332">
        <v>1968</v>
      </c>
      <c r="F47" s="333">
        <v>30717065359</v>
      </c>
      <c r="G47" s="45" t="str">
        <f>IFERROR(IF(compras_mes2[[#This Row],[CUIT]]="","-",VLOOKUP(compras_mes2[[#This Row],[CUIT]],Lista_CUIT[#All],2,0)),"CUIT NO CARGADO")</f>
        <v>HERNANDEZ Y COSTA SOC. LEY 19550 CAP I SECC IV</v>
      </c>
      <c r="H47" s="46">
        <v>7024.81</v>
      </c>
      <c r="I47" s="85">
        <f>IF(compras_mes2[[#This Row],[NETO GRAVADO]]="","",compras_mes2[[#This Row],[NETO GRAVADO]]*0.21)</f>
        <v>1475.2101</v>
      </c>
      <c r="J47" s="85"/>
      <c r="K47" s="85"/>
      <c r="L47" s="85"/>
      <c r="M47" s="85"/>
      <c r="N47" s="85"/>
      <c r="O47" s="85"/>
      <c r="P47" s="48">
        <f>SUM(compras_mes2[[#This Row],[NETO GRAVADO]:[Otros / No Grav.]])</f>
        <v>8500.0200999999997</v>
      </c>
      <c r="Q47" s="45" t="str">
        <f>IFERROR(IF(compras_mes2[[#This Row],[CUIT]]="","-",VLOOKUP(compras_mes2[[#This Row],[CUIT]],Lista_CUIT[#All],3,0)),"CUIT NO CARGADO")</f>
        <v>Gastos Varios</v>
      </c>
      <c r="R47" s="49">
        <f>IFERROR(IF(compras_mes2[[#This Row],[CUIT]]="","-",VLOOKUP(compras_mes2[[#This Row],[CUIT]],Lista_CUIT[#All],4,0)),"CUIT NO CARGADO")</f>
        <v>0</v>
      </c>
      <c r="S47">
        <v>35825</v>
      </c>
    </row>
    <row r="48" spans="1:20">
      <c r="B48" s="347">
        <v>45349</v>
      </c>
      <c r="C48" s="343">
        <v>1</v>
      </c>
      <c r="D48" s="344">
        <v>4</v>
      </c>
      <c r="E48" s="345">
        <v>7953</v>
      </c>
      <c r="F48" s="346">
        <v>30698029648</v>
      </c>
      <c r="G48" s="279" t="str">
        <f>IFERROR(IF(compras_mes2[[#This Row],[CUIT]]="","-",VLOOKUP(compras_mes2[[#This Row],[CUIT]],Lista_CUIT[#All],2,0)),"CUIT NO CARGADO")</f>
        <v>FISDEL LIONEL Y FISDEL MARIO S H</v>
      </c>
      <c r="H48" s="276">
        <v>5118.5</v>
      </c>
      <c r="I48" s="266">
        <f>IF(compras_mes2[[#This Row],[NETO GRAVADO]]="","",compras_mes2[[#This Row],[NETO GRAVADO]]*0.21)</f>
        <v>1074.885</v>
      </c>
      <c r="J48" s="266"/>
      <c r="K48" s="266"/>
      <c r="L48" s="266"/>
      <c r="M48" s="266"/>
      <c r="N48" s="266"/>
      <c r="O48" s="266"/>
      <c r="P48" s="267">
        <f>SUM(compras_mes2[[#This Row],[NETO GRAVADO]:[Otros / No Grav.]])</f>
        <v>6193.3850000000002</v>
      </c>
      <c r="Q48" s="279" t="str">
        <f>IFERROR(IF(compras_mes2[[#This Row],[CUIT]]="","-",VLOOKUP(compras_mes2[[#This Row],[CUIT]],Lista_CUIT[#All],3,0)),"CUIT NO CARGADO")</f>
        <v>Gastos Varios</v>
      </c>
      <c r="R48" s="280">
        <f>IFERROR(IF(compras_mes2[[#This Row],[CUIT]]="","-",VLOOKUP(compras_mes2[[#This Row],[CUIT]],Lista_CUIT[#All],4,0)),"CUIT NO CARGADO")</f>
        <v>0</v>
      </c>
      <c r="S48">
        <v>16930</v>
      </c>
    </row>
    <row r="49" spans="1:20">
      <c r="B49" s="347">
        <v>45351</v>
      </c>
      <c r="C49" s="343">
        <v>1</v>
      </c>
      <c r="D49" s="344">
        <v>4</v>
      </c>
      <c r="E49" s="345">
        <v>464</v>
      </c>
      <c r="F49" s="346">
        <v>20078298376</v>
      </c>
      <c r="G49" s="279" t="str">
        <f>IFERROR(IF(compras_mes2[[#This Row],[CUIT]]="","-",VLOOKUP(compras_mes2[[#This Row],[CUIT]],Lista_CUIT[#All],2,0)),"CUIT NO CARGADO")</f>
        <v>SUCESION DE FORNO OSCAR FELIX</v>
      </c>
      <c r="H49" s="276">
        <v>21487.62</v>
      </c>
      <c r="I49" s="266">
        <f>IF(compras_mes2[[#This Row],[NETO GRAVADO]]="","",compras_mes2[[#This Row],[NETO GRAVADO]]*0.21)</f>
        <v>4512.4002</v>
      </c>
      <c r="J49" s="266"/>
      <c r="K49" s="266"/>
      <c r="L49" s="266"/>
      <c r="M49" s="266"/>
      <c r="N49" s="266"/>
      <c r="O49" s="266"/>
      <c r="P49" s="267">
        <f>SUM(compras_mes2[[#This Row],[NETO GRAVADO]:[Otros / No Grav.]])</f>
        <v>26000.020199999999</v>
      </c>
      <c r="Q49" s="279" t="str">
        <f>IFERROR(IF(compras_mes2[[#This Row],[CUIT]]="","-",VLOOKUP(compras_mes2[[#This Row],[CUIT]],Lista_CUIT[#All],3,0)),"CUIT NO CARGADO")</f>
        <v>Gastos Varios</v>
      </c>
      <c r="R49" s="280">
        <f>IFERROR(IF(compras_mes2[[#This Row],[CUIT]]="","-",VLOOKUP(compras_mes2[[#This Row],[CUIT]],Lista_CUIT[#All],4,0)),"CUIT NO CARGADO")</f>
        <v>0</v>
      </c>
      <c r="S49">
        <v>23760</v>
      </c>
    </row>
    <row r="50" spans="1:20">
      <c r="B50" s="347">
        <v>45351</v>
      </c>
      <c r="C50" s="343">
        <v>1</v>
      </c>
      <c r="D50" s="344">
        <v>4</v>
      </c>
      <c r="E50" s="345">
        <v>465</v>
      </c>
      <c r="F50" s="346">
        <v>20078298376</v>
      </c>
      <c r="G50" s="279" t="str">
        <f>IFERROR(IF(compras_mes2[[#This Row],[CUIT]]="","-",VLOOKUP(compras_mes2[[#This Row],[CUIT]],Lista_CUIT[#All],2,0)),"CUIT NO CARGADO")</f>
        <v>SUCESION DE FORNO OSCAR FELIX</v>
      </c>
      <c r="H50" s="276">
        <v>14876.05</v>
      </c>
      <c r="I50" s="266">
        <f>IF(compras_mes2[[#This Row],[NETO GRAVADO]]="","",compras_mes2[[#This Row],[NETO GRAVADO]]*0.21)</f>
        <v>3123.9704999999999</v>
      </c>
      <c r="J50" s="266"/>
      <c r="K50" s="266"/>
      <c r="L50" s="266"/>
      <c r="M50" s="266"/>
      <c r="N50" s="266"/>
      <c r="O50" s="266"/>
      <c r="P50" s="267">
        <f>SUM(compras_mes2[[#This Row],[NETO GRAVADO]:[Otros / No Grav.]])</f>
        <v>18000.020499999999</v>
      </c>
      <c r="Q50" s="279" t="str">
        <f>IFERROR(IF(compras_mes2[[#This Row],[CUIT]]="","-",VLOOKUP(compras_mes2[[#This Row],[CUIT]],Lista_CUIT[#All],3,0)),"CUIT NO CARGADO")</f>
        <v>Gastos Varios</v>
      </c>
      <c r="R50" s="280">
        <f>IFERROR(IF(compras_mes2[[#This Row],[CUIT]]="","-",VLOOKUP(compras_mes2[[#This Row],[CUIT]],Lista_CUIT[#All],4,0)),"CUIT NO CARGADO")</f>
        <v>0</v>
      </c>
      <c r="S50">
        <v>197550</v>
      </c>
    </row>
    <row r="51" spans="1:20">
      <c r="B51" s="347">
        <v>45324</v>
      </c>
      <c r="C51" s="343">
        <v>1</v>
      </c>
      <c r="D51" s="344">
        <v>2199</v>
      </c>
      <c r="E51" s="345">
        <v>27053</v>
      </c>
      <c r="F51" s="346">
        <v>30548083156</v>
      </c>
      <c r="G51" s="279" t="str">
        <f>IFERROR(IF(compras_mes2[[#This Row],[CUIT]]="","-",VLOOKUP(compras_mes2[[#This Row],[CUIT]],Lista_CUIT[#All],2,0)),"CUIT NO CARGADO")</f>
        <v>COTO CENTRO INTEGRAL DE COMERCIALIZACION SOCIEDAD ANONIMA</v>
      </c>
      <c r="H51" s="276">
        <v>25950.76</v>
      </c>
      <c r="I51" s="266">
        <v>3421.1</v>
      </c>
      <c r="J51" s="266"/>
      <c r="K51" s="266">
        <v>1014.28</v>
      </c>
      <c r="L51" s="266"/>
      <c r="M51" s="266"/>
      <c r="N51" s="266"/>
      <c r="O51" s="266">
        <v>1676.91</v>
      </c>
      <c r="P51" s="267">
        <f>SUM(compras_mes2[[#This Row],[NETO GRAVADO]:[Otros / No Grav.]])</f>
        <v>32063.049999999996</v>
      </c>
      <c r="Q51" s="279" t="str">
        <f>IFERROR(IF(compras_mes2[[#This Row],[CUIT]]="","-",VLOOKUP(compras_mes2[[#This Row],[CUIT]],Lista_CUIT[#All],3,0)),"CUIT NO CARGADO")</f>
        <v>Gastos Varios</v>
      </c>
      <c r="R51" s="280">
        <f>IFERROR(IF(compras_mes2[[#This Row],[CUIT]]="","-",VLOOKUP(compras_mes2[[#This Row],[CUIT]],Lista_CUIT[#All],4,0)),"CUIT NO CARGADO")</f>
        <v>0</v>
      </c>
      <c r="S51">
        <v>58316</v>
      </c>
    </row>
    <row r="52" spans="1:20">
      <c r="B52" s="40">
        <v>45336</v>
      </c>
      <c r="C52" s="41">
        <v>1</v>
      </c>
      <c r="D52" s="331">
        <v>2188</v>
      </c>
      <c r="E52" s="332">
        <v>111974</v>
      </c>
      <c r="F52" s="333">
        <v>30548083156</v>
      </c>
      <c r="G52" s="45" t="str">
        <f>IFERROR(IF(compras_mes2[[#This Row],[CUIT]]="","-",VLOOKUP(compras_mes2[[#This Row],[CUIT]],Lista_CUIT[#All],2,0)),"CUIT NO CARGADO")</f>
        <v>COTO CENTRO INTEGRAL DE COMERCIALIZACION SOCIEDAD ANONIMA</v>
      </c>
      <c r="H52" s="46">
        <v>73521.17</v>
      </c>
      <c r="I52" s="85">
        <v>13323.19</v>
      </c>
      <c r="J52" s="85"/>
      <c r="K52" s="85">
        <v>1058.1300000000001</v>
      </c>
      <c r="L52" s="85">
        <f>1903.31+151.16</f>
        <v>2054.4699999999998</v>
      </c>
      <c r="M52" s="85"/>
      <c r="N52" s="85">
        <v>3636.85</v>
      </c>
      <c r="O52" s="85"/>
      <c r="P52" s="48">
        <f>SUM(compras_mes2[[#This Row],[NETO GRAVADO]:[Otros / No Grav.]])</f>
        <v>93593.810000000012</v>
      </c>
      <c r="Q52" s="45" t="str">
        <f>IFERROR(IF(compras_mes2[[#This Row],[CUIT]]="","-",VLOOKUP(compras_mes2[[#This Row],[CUIT]],Lista_CUIT[#All],3,0)),"CUIT NO CARGADO")</f>
        <v>Gastos Varios</v>
      </c>
      <c r="R52" s="49">
        <f>IFERROR(IF(compras_mes2[[#This Row],[CUIT]]="","-",VLOOKUP(compras_mes2[[#This Row],[CUIT]],Lista_CUIT[#All],4,0)),"CUIT NO CARGADO")</f>
        <v>0</v>
      </c>
      <c r="S52">
        <v>58316</v>
      </c>
    </row>
    <row r="53" spans="1:20" s="157" customFormat="1">
      <c r="A53" t="s">
        <v>1577</v>
      </c>
      <c r="B53" s="40">
        <v>45342</v>
      </c>
      <c r="C53" s="41">
        <v>1</v>
      </c>
      <c r="D53" s="331">
        <v>2188</v>
      </c>
      <c r="E53" s="332">
        <v>112418</v>
      </c>
      <c r="F53" s="333">
        <v>30548083156</v>
      </c>
      <c r="G53" s="45" t="str">
        <f>IFERROR(IF(compras_mes2[[#This Row],[CUIT]]="","-",VLOOKUP(compras_mes2[[#This Row],[CUIT]],Lista_CUIT[#All],2,0)),"CUIT NO CARGADO")</f>
        <v>COTO CENTRO INTEGRAL DE COMERCIALIZACION SOCIEDAD ANONIMA</v>
      </c>
      <c r="H53" s="46">
        <v>48848.94</v>
      </c>
      <c r="I53" s="85">
        <v>9113.7099999999991</v>
      </c>
      <c r="J53" s="85"/>
      <c r="K53" s="85">
        <v>572.28</v>
      </c>
      <c r="L53" s="85">
        <f>1224.95+81.75</f>
        <v>1306.7</v>
      </c>
      <c r="M53" s="85"/>
      <c r="N53" s="85">
        <v>2855.79</v>
      </c>
      <c r="O53" s="85"/>
      <c r="P53" s="48">
        <f>SUM(compras_mes2[[#This Row],[NETO GRAVADO]:[Otros / No Grav.]])</f>
        <v>62697.42</v>
      </c>
      <c r="Q53" s="45" t="str">
        <f>IFERROR(IF(compras_mes2[[#This Row],[CUIT]]="","-",VLOOKUP(compras_mes2[[#This Row],[CUIT]],Lista_CUIT[#All],3,0)),"CUIT NO CARGADO")</f>
        <v>Gastos Varios</v>
      </c>
      <c r="R53" s="49">
        <f>IFERROR(IF(compras_mes2[[#This Row],[CUIT]]="","-",VLOOKUP(compras_mes2[[#This Row],[CUIT]],Lista_CUIT[#All],4,0)),"CUIT NO CARGADO")</f>
        <v>0</v>
      </c>
      <c r="S53">
        <v>1736955</v>
      </c>
      <c r="T53"/>
    </row>
    <row r="54" spans="1:20" s="157" customFormat="1">
      <c r="A54"/>
      <c r="B54" s="347">
        <v>45349</v>
      </c>
      <c r="C54" s="343">
        <v>1</v>
      </c>
      <c r="D54" s="344">
        <v>2188</v>
      </c>
      <c r="E54" s="345">
        <v>112989</v>
      </c>
      <c r="F54" s="346">
        <v>30548083156</v>
      </c>
      <c r="G54" s="279" t="str">
        <f>IFERROR(IF(compras_mes2[[#This Row],[CUIT]]="","-",VLOOKUP(compras_mes2[[#This Row],[CUIT]],Lista_CUIT[#All],2,0)),"CUIT NO CARGADO")</f>
        <v>COTO CENTRO INTEGRAL DE COMERCIALIZACION SOCIEDAD ANONIMA</v>
      </c>
      <c r="H54" s="276">
        <v>57323.43</v>
      </c>
      <c r="I54" s="266">
        <v>10966.02</v>
      </c>
      <c r="J54" s="266"/>
      <c r="K54" s="266">
        <v>535.95000000000005</v>
      </c>
      <c r="L54" s="266"/>
      <c r="M54" s="266"/>
      <c r="N54" s="266"/>
      <c r="O54" s="266">
        <v>4950.3599999999997</v>
      </c>
      <c r="P54" s="267">
        <f>SUM(compras_mes2[[#This Row],[NETO GRAVADO]:[Otros / No Grav.]])</f>
        <v>73775.759999999995</v>
      </c>
      <c r="Q54" s="279" t="str">
        <f>IFERROR(IF(compras_mes2[[#This Row],[CUIT]]="","-",VLOOKUP(compras_mes2[[#This Row],[CUIT]],Lista_CUIT[#All],3,0)),"CUIT NO CARGADO")</f>
        <v>Gastos Varios</v>
      </c>
      <c r="R54" s="280">
        <f>IFERROR(IF(compras_mes2[[#This Row],[CUIT]]="","-",VLOOKUP(compras_mes2[[#This Row],[CUIT]],Lista_CUIT[#All],4,0)),"CUIT NO CARGADO")</f>
        <v>0</v>
      </c>
      <c r="S54">
        <v>6046921.75</v>
      </c>
      <c r="T54"/>
    </row>
    <row r="55" spans="1:20">
      <c r="B55" s="40">
        <v>45332</v>
      </c>
      <c r="C55" s="41">
        <v>1</v>
      </c>
      <c r="D55" s="331">
        <v>71</v>
      </c>
      <c r="E55" s="332">
        <v>1772</v>
      </c>
      <c r="F55" s="333">
        <v>30714956147</v>
      </c>
      <c r="G55" s="45" t="str">
        <f>IFERROR(IF(compras_mes2[[#This Row],[CUIT]]="","-",VLOOKUP(compras_mes2[[#This Row],[CUIT]],Lista_CUIT[#All],2,0)),"CUIT NO CARGADO")</f>
        <v>SUPERMERCADOS EL ABASTECEDOR SA</v>
      </c>
      <c r="H55" s="46">
        <v>31083.43</v>
      </c>
      <c r="I55" s="85">
        <v>4347.88</v>
      </c>
      <c r="J55" s="85"/>
      <c r="K55" s="85">
        <v>1089.83</v>
      </c>
      <c r="L55" s="85"/>
      <c r="M55" s="85"/>
      <c r="N55" s="85"/>
      <c r="O55" s="85"/>
      <c r="P55" s="48">
        <f>SUM(compras_mes2[[#This Row],[NETO GRAVADO]:[Otros / No Grav.]])</f>
        <v>36521.14</v>
      </c>
      <c r="Q55" s="45" t="str">
        <f>IFERROR(IF(compras_mes2[[#This Row],[CUIT]]="","-",VLOOKUP(compras_mes2[[#This Row],[CUIT]],Lista_CUIT[#All],3,0)),"CUIT NO CARGADO")</f>
        <v>Gastos Varios</v>
      </c>
      <c r="R55" s="49">
        <f>IFERROR(IF(compras_mes2[[#This Row],[CUIT]]="","-",VLOOKUP(compras_mes2[[#This Row],[CUIT]],Lista_CUIT[#All],4,0)),"CUIT NO CARGADO")</f>
        <v>0</v>
      </c>
      <c r="S55">
        <v>2541600.94</v>
      </c>
    </row>
    <row r="56" spans="1:20">
      <c r="B56" s="40">
        <v>45332</v>
      </c>
      <c r="C56" s="41">
        <v>1</v>
      </c>
      <c r="D56" s="331">
        <v>71</v>
      </c>
      <c r="E56" s="332">
        <v>1773</v>
      </c>
      <c r="F56" s="333">
        <v>30714956147</v>
      </c>
      <c r="G56" s="45" t="str">
        <f>IFERROR(IF(compras_mes2[[#This Row],[CUIT]]="","-",VLOOKUP(compras_mes2[[#This Row],[CUIT]],Lista_CUIT[#All],2,0)),"CUIT NO CARGADO")</f>
        <v>SUPERMERCADOS EL ABASTECEDOR SA</v>
      </c>
      <c r="H56" s="46">
        <v>19778.259999999998</v>
      </c>
      <c r="I56" s="85">
        <v>1813.97</v>
      </c>
      <c r="J56" s="85"/>
      <c r="K56" s="85">
        <v>1169.73</v>
      </c>
      <c r="L56" s="85"/>
      <c r="M56" s="85"/>
      <c r="N56" s="85"/>
      <c r="O56" s="85"/>
      <c r="P56" s="48">
        <f>SUM(compras_mes2[[#This Row],[NETO GRAVADO]:[Otros / No Grav.]])</f>
        <v>22761.96</v>
      </c>
      <c r="Q56" s="45" t="str">
        <f>IFERROR(IF(compras_mes2[[#This Row],[CUIT]]="","-",VLOOKUP(compras_mes2[[#This Row],[CUIT]],Lista_CUIT[#All],3,0)),"CUIT NO CARGADO")</f>
        <v>Gastos Varios</v>
      </c>
      <c r="R56" s="49">
        <f>IFERROR(IF(compras_mes2[[#This Row],[CUIT]]="","-",VLOOKUP(compras_mes2[[#This Row],[CUIT]],Lista_CUIT[#All],4,0)),"CUIT NO CARGADO")</f>
        <v>0</v>
      </c>
      <c r="S56">
        <v>8318225.1500000004</v>
      </c>
    </row>
    <row r="57" spans="1:20" ht="17.25" customHeight="1">
      <c r="B57" s="40">
        <v>45334</v>
      </c>
      <c r="C57" s="41">
        <v>1</v>
      </c>
      <c r="D57" s="331">
        <v>13568</v>
      </c>
      <c r="E57" s="332">
        <v>1</v>
      </c>
      <c r="F57" s="333">
        <v>30590360763</v>
      </c>
      <c r="G57" s="45" t="str">
        <f>IFERROR(IF(compras_mes2[[#This Row],[CUIT]]="","-",VLOOKUP(compras_mes2[[#This Row],[CUIT]],Lista_CUIT[#All],2,0)),"CUIT NO CARGADO")</f>
        <v>CENCOSUD S.A</v>
      </c>
      <c r="H57" s="46">
        <v>56456.03</v>
      </c>
      <c r="I57" s="85">
        <f>IF(compras_mes2[[#This Row],[NETO GRAVADO]]="","",compras_mes2[[#This Row],[NETO GRAVADO]]*0.21)</f>
        <v>11855.766299999999</v>
      </c>
      <c r="J57" s="85"/>
      <c r="K57" s="85"/>
      <c r="L57" s="85">
        <v>1693.68</v>
      </c>
      <c r="M57" s="85"/>
      <c r="N57" s="85">
        <v>3387.36</v>
      </c>
      <c r="O57" s="85"/>
      <c r="P57" s="48">
        <f>SUM(compras_mes2[[#This Row],[NETO GRAVADO]:[Otros / No Grav.]])</f>
        <v>73392.836299999995</v>
      </c>
      <c r="Q57" s="45" t="str">
        <f>IFERROR(IF(compras_mes2[[#This Row],[CUIT]]="","-",VLOOKUP(compras_mes2[[#This Row],[CUIT]],Lista_CUIT[#All],3,0)),"CUIT NO CARGADO")</f>
        <v>Gastos Varios</v>
      </c>
      <c r="R57" s="49">
        <f>IFERROR(IF(compras_mes2[[#This Row],[CUIT]]="","-",VLOOKUP(compras_mes2[[#This Row],[CUIT]],Lista_CUIT[#All],4,0)),"CUIT NO CARGADO")</f>
        <v>0</v>
      </c>
      <c r="S57">
        <v>3504476.33</v>
      </c>
    </row>
    <row r="58" spans="1:20">
      <c r="B58" s="40">
        <v>45334</v>
      </c>
      <c r="C58" s="41">
        <v>1</v>
      </c>
      <c r="D58" s="331">
        <v>74</v>
      </c>
      <c r="E58" s="332">
        <v>805</v>
      </c>
      <c r="F58" s="333">
        <v>30714956147</v>
      </c>
      <c r="G58" s="45" t="str">
        <f>IFERROR(IF(compras_mes2[[#This Row],[CUIT]]="","-",VLOOKUP(compras_mes2[[#This Row],[CUIT]],Lista_CUIT[#All],2,0)),"CUIT NO CARGADO")</f>
        <v>SUPERMERCADOS EL ABASTECEDOR SA</v>
      </c>
      <c r="H58" s="46">
        <v>10170</v>
      </c>
      <c r="I58" s="85">
        <v>554.17999999999995</v>
      </c>
      <c r="J58" s="85"/>
      <c r="K58" s="85">
        <v>790.79</v>
      </c>
      <c r="L58" s="85"/>
      <c r="M58" s="85"/>
      <c r="N58" s="85"/>
      <c r="O58" s="85"/>
      <c r="P58" s="48">
        <f>SUM(compras_mes2[[#This Row],[NETO GRAVADO]:[Otros / No Grav.]])</f>
        <v>11514.970000000001</v>
      </c>
      <c r="Q58" s="45" t="str">
        <f>IFERROR(IF(compras_mes2[[#This Row],[CUIT]]="","-",VLOOKUP(compras_mes2[[#This Row],[CUIT]],Lista_CUIT[#All],3,0)),"CUIT NO CARGADO")</f>
        <v>Gastos Varios</v>
      </c>
      <c r="R58" s="49">
        <f>IFERROR(IF(compras_mes2[[#This Row],[CUIT]]="","-",VLOOKUP(compras_mes2[[#This Row],[CUIT]],Lista_CUIT[#All],4,0)),"CUIT NO CARGADO")</f>
        <v>0</v>
      </c>
      <c r="S58">
        <v>3170955.29</v>
      </c>
    </row>
    <row r="59" spans="1:20">
      <c r="B59" s="40">
        <v>45334</v>
      </c>
      <c r="C59" s="41">
        <v>1</v>
      </c>
      <c r="D59" s="331">
        <v>13556</v>
      </c>
      <c r="E59" s="332">
        <v>2110</v>
      </c>
      <c r="F59" s="333">
        <v>30590360763</v>
      </c>
      <c r="G59" s="45" t="str">
        <f>IFERROR(IF(compras_mes2[[#This Row],[CUIT]]="","-",VLOOKUP(compras_mes2[[#This Row],[CUIT]],Lista_CUIT[#All],2,0)),"CUIT NO CARGADO")</f>
        <v>CENCOSUD S.A</v>
      </c>
      <c r="H59" s="46">
        <v>128175.93</v>
      </c>
      <c r="I59" s="85">
        <f>IF(compras_mes2[[#This Row],[NETO GRAVADO]]="","",compras_mes2[[#This Row],[NETO GRAVADO]]*0.21)</f>
        <v>26916.945299999996</v>
      </c>
      <c r="J59" s="85"/>
      <c r="K59" s="85"/>
      <c r="L59" s="85">
        <v>3845.28</v>
      </c>
      <c r="M59" s="85"/>
      <c r="N59" s="85">
        <v>7690.56</v>
      </c>
      <c r="O59" s="85">
        <v>971.66</v>
      </c>
      <c r="P59" s="48">
        <f>SUM(compras_mes2[[#This Row],[NETO GRAVADO]:[Otros / No Grav.]])</f>
        <v>167600.37529999999</v>
      </c>
      <c r="Q59" s="45" t="str">
        <f>IFERROR(IF(compras_mes2[[#This Row],[CUIT]]="","-",VLOOKUP(compras_mes2[[#This Row],[CUIT]],Lista_CUIT[#All],3,0)),"CUIT NO CARGADO")</f>
        <v>Gastos Varios</v>
      </c>
      <c r="R59" s="49">
        <f>IFERROR(IF(compras_mes2[[#This Row],[CUIT]]="","-",VLOOKUP(compras_mes2[[#This Row],[CUIT]],Lista_CUIT[#All],4,0)),"CUIT NO CARGADO")</f>
        <v>0</v>
      </c>
      <c r="S59">
        <v>7406936.8799999999</v>
      </c>
    </row>
    <row r="60" spans="1:20">
      <c r="B60" s="40">
        <v>45334</v>
      </c>
      <c r="C60" s="41">
        <v>1</v>
      </c>
      <c r="D60" s="331">
        <v>13554</v>
      </c>
      <c r="E60" s="332">
        <v>2373</v>
      </c>
      <c r="F60" s="333">
        <v>30590360763</v>
      </c>
      <c r="G60" s="45" t="str">
        <f>IFERROR(IF(compras_mes2[[#This Row],[CUIT]]="","-",VLOOKUP(compras_mes2[[#This Row],[CUIT]],Lista_CUIT[#All],2,0)),"CUIT NO CARGADO")</f>
        <v>CENCOSUD S.A</v>
      </c>
      <c r="H60" s="46">
        <v>74225.570000000007</v>
      </c>
      <c r="I60" s="85">
        <v>10318.35</v>
      </c>
      <c r="J60" s="85"/>
      <c r="K60" s="85">
        <v>2634.51</v>
      </c>
      <c r="L60" s="85">
        <f>1474.05+376.36</f>
        <v>1850.4099999999999</v>
      </c>
      <c r="M60" s="85"/>
      <c r="N60" s="85">
        <v>4453.53</v>
      </c>
      <c r="O60" s="85"/>
      <c r="P60" s="48">
        <f>SUM(compras_mes2[[#This Row],[NETO GRAVADO]:[Otros / No Grav.]])</f>
        <v>93482.37000000001</v>
      </c>
      <c r="Q60" s="45" t="str">
        <f>IFERROR(IF(compras_mes2[[#This Row],[CUIT]]="","-",VLOOKUP(compras_mes2[[#This Row],[CUIT]],Lista_CUIT[#All],3,0)),"CUIT NO CARGADO")</f>
        <v>Gastos Varios</v>
      </c>
      <c r="R60" s="49">
        <f>IFERROR(IF(compras_mes2[[#This Row],[CUIT]]="","-",VLOOKUP(compras_mes2[[#This Row],[CUIT]],Lista_CUIT[#All],4,0)),"CUIT NO CARGADO")</f>
        <v>0</v>
      </c>
      <c r="S60">
        <v>3947613.77</v>
      </c>
    </row>
    <row r="61" spans="1:20">
      <c r="B61" s="40">
        <v>45338</v>
      </c>
      <c r="C61" s="41">
        <v>1</v>
      </c>
      <c r="D61" s="331">
        <v>7</v>
      </c>
      <c r="E61" s="332">
        <v>2371</v>
      </c>
      <c r="F61" s="333">
        <v>20134664518</v>
      </c>
      <c r="G61" s="45" t="str">
        <f>IFERROR(IF(compras_mes2[[#This Row],[CUIT]]="","-",VLOOKUP(compras_mes2[[#This Row],[CUIT]],Lista_CUIT[#All],2,0)),"CUIT NO CARGADO")</f>
        <v>HOKAMA SERGIO ENRIQUE</v>
      </c>
      <c r="H61" s="46">
        <v>41151.22</v>
      </c>
      <c r="I61" s="85">
        <f>IF(compras_mes2[[#This Row],[NETO GRAVADO]]="","",compras_mes2[[#This Row],[NETO GRAVADO]]*0.21)</f>
        <v>8641.7561999999998</v>
      </c>
      <c r="J61" s="85"/>
      <c r="K61" s="85"/>
      <c r="L61" s="85"/>
      <c r="M61" s="85"/>
      <c r="N61" s="85"/>
      <c r="O61" s="85"/>
      <c r="P61" s="48">
        <f>SUM(compras_mes2[[#This Row],[NETO GRAVADO]:[Otros / No Grav.]])</f>
        <v>49792.976200000005</v>
      </c>
      <c r="Q61" s="45" t="str">
        <f>IFERROR(IF(compras_mes2[[#This Row],[CUIT]]="","-",VLOOKUP(compras_mes2[[#This Row],[CUIT]],Lista_CUIT[#All],3,0)),"CUIT NO CARGADO")</f>
        <v>Gastos Varios</v>
      </c>
      <c r="R61" s="49" t="str">
        <f>IFERROR(IF(compras_mes2[[#This Row],[CUIT]]="","-",VLOOKUP(compras_mes2[[#This Row],[CUIT]],Lista_CUIT[#All],4,0)),"CUIT NO CARGADO")</f>
        <v>BUENOS AIRES</v>
      </c>
      <c r="S61">
        <v>12424924.18</v>
      </c>
    </row>
    <row r="62" spans="1:20">
      <c r="B62" s="40">
        <v>45338</v>
      </c>
      <c r="C62" s="41">
        <v>1</v>
      </c>
      <c r="D62" s="331">
        <v>1005</v>
      </c>
      <c r="E62" s="332">
        <v>47443</v>
      </c>
      <c r="F62" s="333">
        <v>20338116978</v>
      </c>
      <c r="G62" s="45" t="str">
        <f>IFERROR(IF(compras_mes2[[#This Row],[CUIT]]="","-",VLOOKUP(compras_mes2[[#This Row],[CUIT]],Lista_CUIT[#All],2,0)),"CUIT NO CARGADO")</f>
        <v>HERBAS ESPINOZA GABRIEL MATIAS</v>
      </c>
      <c r="H62" s="46">
        <v>16942.150000000001</v>
      </c>
      <c r="I62" s="85">
        <f>IF(compras_mes2[[#This Row],[NETO GRAVADO]]="","",compras_mes2[[#This Row],[NETO GRAVADO]]*0.21)</f>
        <v>3557.8515000000002</v>
      </c>
      <c r="J62" s="85"/>
      <c r="K62" s="85"/>
      <c r="L62" s="85"/>
      <c r="M62" s="85"/>
      <c r="N62" s="85"/>
      <c r="O62" s="85"/>
      <c r="P62" s="48">
        <f>SUM(compras_mes2[[#This Row],[NETO GRAVADO]:[Otros / No Grav.]])</f>
        <v>20500.001500000002</v>
      </c>
      <c r="Q62" s="45" t="str">
        <f>IFERROR(IF(compras_mes2[[#This Row],[CUIT]]="","-",VLOOKUP(compras_mes2[[#This Row],[CUIT]],Lista_CUIT[#All],3,0)),"CUIT NO CARGADO")</f>
        <v>Gastos Varios</v>
      </c>
      <c r="R62" s="49">
        <f>IFERROR(IF(compras_mes2[[#This Row],[CUIT]]="","-",VLOOKUP(compras_mes2[[#This Row],[CUIT]],Lista_CUIT[#All],4,0)),"CUIT NO CARGADO")</f>
        <v>0</v>
      </c>
      <c r="S62">
        <v>4376737.95</v>
      </c>
    </row>
    <row r="63" spans="1:20">
      <c r="B63" s="347">
        <v>45339</v>
      </c>
      <c r="C63" s="343">
        <v>1</v>
      </c>
      <c r="D63" s="344">
        <v>4</v>
      </c>
      <c r="E63" s="345">
        <v>685</v>
      </c>
      <c r="F63" s="346">
        <v>23329455319</v>
      </c>
      <c r="G63" s="279" t="str">
        <f>IFERROR(IF(compras_mes2[[#This Row],[CUIT]]="","-",VLOOKUP(compras_mes2[[#This Row],[CUIT]],Lista_CUIT[#All],2,0)),"CUIT NO CARGADO")</f>
        <v>REPETTO RAMIRO ANDRES</v>
      </c>
      <c r="H63" s="276">
        <v>13140.5</v>
      </c>
      <c r="I63" s="266">
        <f>IF(compras_mes2[[#This Row],[NETO GRAVADO]]="","",compras_mes2[[#This Row],[NETO GRAVADO]]*0.21)</f>
        <v>2759.5050000000001</v>
      </c>
      <c r="J63" s="266"/>
      <c r="K63" s="266"/>
      <c r="L63" s="266"/>
      <c r="M63" s="266"/>
      <c r="N63" s="266"/>
      <c r="O63" s="266"/>
      <c r="P63" s="267">
        <f>SUM(compras_mes2[[#This Row],[NETO GRAVADO]:[Otros / No Grav.]])</f>
        <v>15900.005000000001</v>
      </c>
      <c r="Q63" s="279" t="str">
        <f>IFERROR(IF(compras_mes2[[#This Row],[CUIT]]="","-",VLOOKUP(compras_mes2[[#This Row],[CUIT]],Lista_CUIT[#All],3,0)),"CUIT NO CARGADO")</f>
        <v>Gastos Varios</v>
      </c>
      <c r="R63" s="280">
        <f>IFERROR(IF(compras_mes2[[#This Row],[CUIT]]="","-",VLOOKUP(compras_mes2[[#This Row],[CUIT]],Lista_CUIT[#All],4,0)),"CUIT NO CARGADO")</f>
        <v>0</v>
      </c>
      <c r="S63">
        <v>2762779.57</v>
      </c>
    </row>
    <row r="64" spans="1:20">
      <c r="B64" s="347">
        <v>45339</v>
      </c>
      <c r="C64" s="343">
        <v>1</v>
      </c>
      <c r="D64" s="344">
        <v>4</v>
      </c>
      <c r="E64" s="345">
        <v>723</v>
      </c>
      <c r="F64" s="346">
        <v>30715501348</v>
      </c>
      <c r="G64" s="279" t="str">
        <f>IFERROR(IF(compras_mes2[[#This Row],[CUIT]]="","-",VLOOKUP(compras_mes2[[#This Row],[CUIT]],Lista_CUIT[#All],2,0)),"CUIT NO CARGADO")</f>
        <v>VANALEX PISCINAS S.R.L.</v>
      </c>
      <c r="H64" s="276">
        <v>17355.599999999999</v>
      </c>
      <c r="I64" s="266">
        <f>IF(compras_mes2[[#This Row],[NETO GRAVADO]]="","",compras_mes2[[#This Row],[NETO GRAVADO]]*0.21)</f>
        <v>3644.6759999999995</v>
      </c>
      <c r="J64" s="266"/>
      <c r="K64" s="266"/>
      <c r="L64" s="266"/>
      <c r="M64" s="266"/>
      <c r="N64" s="266"/>
      <c r="O64" s="266"/>
      <c r="P64" s="267">
        <f>SUM(compras_mes2[[#This Row],[NETO GRAVADO]:[Otros / No Grav.]])</f>
        <v>21000.275999999998</v>
      </c>
      <c r="Q64" s="279" t="str">
        <f>IFERROR(IF(compras_mes2[[#This Row],[CUIT]]="","-",VLOOKUP(compras_mes2[[#This Row],[CUIT]],Lista_CUIT[#All],3,0)),"CUIT NO CARGADO")</f>
        <v>Gastos Varios</v>
      </c>
      <c r="R64" s="280">
        <f>IFERROR(IF(compras_mes2[[#This Row],[CUIT]]="","-",VLOOKUP(compras_mes2[[#This Row],[CUIT]],Lista_CUIT[#All],4,0)),"CUIT NO CARGADO")</f>
        <v>0</v>
      </c>
      <c r="S64">
        <v>2898772.8</v>
      </c>
    </row>
    <row r="65" spans="1:20" s="157" customFormat="1">
      <c r="A65"/>
      <c r="B65" s="40">
        <v>45339</v>
      </c>
      <c r="C65" s="41">
        <v>1</v>
      </c>
      <c r="D65" s="331">
        <v>7</v>
      </c>
      <c r="E65" s="332">
        <v>2374</v>
      </c>
      <c r="F65" s="333">
        <v>20134664518</v>
      </c>
      <c r="G65" s="45" t="str">
        <f>IFERROR(IF(compras_mes2[[#This Row],[CUIT]]="","-",VLOOKUP(compras_mes2[[#This Row],[CUIT]],Lista_CUIT[#All],2,0)),"CUIT NO CARGADO")</f>
        <v>HOKAMA SERGIO ENRIQUE</v>
      </c>
      <c r="H65" s="46">
        <v>9921.49</v>
      </c>
      <c r="I65" s="85">
        <f>IF(compras_mes2[[#This Row],[NETO GRAVADO]]="","",compras_mes2[[#This Row],[NETO GRAVADO]]*0.21)</f>
        <v>2083.5128999999997</v>
      </c>
      <c r="J65" s="85"/>
      <c r="K65" s="85"/>
      <c r="L65" s="85"/>
      <c r="M65" s="85"/>
      <c r="N65" s="85"/>
      <c r="O65" s="85"/>
      <c r="P65" s="48">
        <f>SUM(compras_mes2[[#This Row],[NETO GRAVADO]:[Otros / No Grav.]])</f>
        <v>12005.002899999999</v>
      </c>
      <c r="Q65" s="45" t="str">
        <f>IFERROR(IF(compras_mes2[[#This Row],[CUIT]]="","-",VLOOKUP(compras_mes2[[#This Row],[CUIT]],Lista_CUIT[#All],3,0)),"CUIT NO CARGADO")</f>
        <v>Gastos Varios</v>
      </c>
      <c r="R65" s="49" t="str">
        <f>IFERROR(IF(compras_mes2[[#This Row],[CUIT]]="","-",VLOOKUP(compras_mes2[[#This Row],[CUIT]],Lista_CUIT[#All],4,0)),"CUIT NO CARGADO")</f>
        <v>BUENOS AIRES</v>
      </c>
      <c r="S65">
        <v>41503.01</v>
      </c>
      <c r="T65"/>
    </row>
    <row r="66" spans="1:20">
      <c r="B66" s="40">
        <v>45340</v>
      </c>
      <c r="C66" s="41">
        <v>1</v>
      </c>
      <c r="D66" s="331">
        <v>71</v>
      </c>
      <c r="E66" s="332">
        <v>1795</v>
      </c>
      <c r="F66" s="333">
        <v>30714956147</v>
      </c>
      <c r="G66" s="45" t="str">
        <f>IFERROR(IF(compras_mes2[[#This Row],[CUIT]]="","-",VLOOKUP(compras_mes2[[#This Row],[CUIT]],Lista_CUIT[#All],2,0)),"CUIT NO CARGADO")</f>
        <v>SUPERMERCADOS EL ABASTECEDOR SA</v>
      </c>
      <c r="H66" s="46">
        <v>13553.03</v>
      </c>
      <c r="I66" s="85">
        <v>669.92</v>
      </c>
      <c r="J66" s="85"/>
      <c r="K66" s="85">
        <v>1088.1099999999999</v>
      </c>
      <c r="L66" s="85"/>
      <c r="M66" s="85"/>
      <c r="N66" s="85"/>
      <c r="O66" s="85"/>
      <c r="P66" s="48">
        <f>SUM(compras_mes2[[#This Row],[NETO GRAVADO]:[Otros / No Grav.]])</f>
        <v>15311.060000000001</v>
      </c>
      <c r="Q66" s="45" t="str">
        <f>IFERROR(IF(compras_mes2[[#This Row],[CUIT]]="","-",VLOOKUP(compras_mes2[[#This Row],[CUIT]],Lista_CUIT[#All],3,0)),"CUIT NO CARGADO")</f>
        <v>Gastos Varios</v>
      </c>
      <c r="R66" s="49">
        <f>IFERROR(IF(compras_mes2[[#This Row],[CUIT]]="","-",VLOOKUP(compras_mes2[[#This Row],[CUIT]],Lista_CUIT[#All],4,0)),"CUIT NO CARGADO")</f>
        <v>0</v>
      </c>
      <c r="S66">
        <v>13000</v>
      </c>
    </row>
    <row r="67" spans="1:20">
      <c r="B67" s="347">
        <v>45341</v>
      </c>
      <c r="C67" s="343">
        <v>1</v>
      </c>
      <c r="D67" s="344">
        <v>5</v>
      </c>
      <c r="E67" s="345">
        <v>4116</v>
      </c>
      <c r="F67" s="346">
        <v>30708558792</v>
      </c>
      <c r="G67" s="279" t="str">
        <f>IFERROR(IF(compras_mes2[[#This Row],[CUIT]]="","-",VLOOKUP(compras_mes2[[#This Row],[CUIT]],Lista_CUIT[#All],2,0)),"CUIT NO CARGADO")</f>
        <v>MYL TRANSFORMADORES S.A</v>
      </c>
      <c r="H67" s="276">
        <v>10743.8</v>
      </c>
      <c r="I67" s="266">
        <f>IF(compras_mes2[[#This Row],[NETO GRAVADO]]="","",compras_mes2[[#This Row],[NETO GRAVADO]]*0.21)</f>
        <v>2256.1979999999999</v>
      </c>
      <c r="J67" s="266"/>
      <c r="K67" s="266"/>
      <c r="L67" s="266"/>
      <c r="M67" s="266"/>
      <c r="N67" s="266"/>
      <c r="O67" s="266"/>
      <c r="P67" s="267">
        <f>SUM(compras_mes2[[#This Row],[NETO GRAVADO]:[Otros / No Grav.]])</f>
        <v>12999.998</v>
      </c>
      <c r="Q67" s="279" t="str">
        <f>IFERROR(IF(compras_mes2[[#This Row],[CUIT]]="","-",VLOOKUP(compras_mes2[[#This Row],[CUIT]],Lista_CUIT[#All],3,0)),"CUIT NO CARGADO")</f>
        <v>Gastos Varios</v>
      </c>
      <c r="R67" s="280">
        <f>IFERROR(IF(compras_mes2[[#This Row],[CUIT]]="","-",VLOOKUP(compras_mes2[[#This Row],[CUIT]],Lista_CUIT[#All],4,0)),"CUIT NO CARGADO")</f>
        <v>0</v>
      </c>
      <c r="S67">
        <v>30008.03</v>
      </c>
    </row>
    <row r="68" spans="1:20" ht="19.149999999999999" customHeight="1">
      <c r="B68" s="40">
        <v>45342</v>
      </c>
      <c r="C68" s="41">
        <v>1</v>
      </c>
      <c r="D68" s="331">
        <v>4793</v>
      </c>
      <c r="E68" s="332">
        <v>825</v>
      </c>
      <c r="F68" s="333">
        <v>30685849751</v>
      </c>
      <c r="G68" s="45" t="str">
        <f>IFERROR(IF(compras_mes2[[#This Row],[CUIT]]="","-",VLOOKUP(compras_mes2[[#This Row],[CUIT]],Lista_CUIT[#All],2,0)),"CUIT NO CARGADO")</f>
        <v>DIA ARGENTINA S A</v>
      </c>
      <c r="H68" s="46">
        <v>24569.41</v>
      </c>
      <c r="I68" s="85">
        <v>4400.45</v>
      </c>
      <c r="J68" s="85"/>
      <c r="K68" s="85">
        <v>113.39</v>
      </c>
      <c r="L68" s="85"/>
      <c r="M68" s="85"/>
      <c r="N68" s="85"/>
      <c r="O68" s="85"/>
      <c r="P68" s="48">
        <f>SUM(compras_mes2[[#This Row],[NETO GRAVADO]:[Otros / No Grav.]])</f>
        <v>29083.25</v>
      </c>
      <c r="Q68" s="45" t="str">
        <f>IFERROR(IF(compras_mes2[[#This Row],[CUIT]]="","-",VLOOKUP(compras_mes2[[#This Row],[CUIT]],Lista_CUIT[#All],3,0)),"CUIT NO CARGADO")</f>
        <v>Gastos Varios</v>
      </c>
      <c r="R68" s="49">
        <f>IFERROR(IF(compras_mes2[[#This Row],[CUIT]]="","-",VLOOKUP(compras_mes2[[#This Row],[CUIT]],Lista_CUIT[#All],4,0)),"CUIT NO CARGADO")</f>
        <v>0</v>
      </c>
      <c r="S68">
        <v>2996202</v>
      </c>
    </row>
    <row r="69" spans="1:20" s="157" customFormat="1">
      <c r="A69"/>
      <c r="B69" s="40">
        <v>45343</v>
      </c>
      <c r="C69" s="41">
        <v>1</v>
      </c>
      <c r="D69" s="331">
        <v>1677</v>
      </c>
      <c r="E69" s="332">
        <v>37384</v>
      </c>
      <c r="F69" s="333">
        <v>30589621499</v>
      </c>
      <c r="G69" s="45" t="str">
        <f>IFERROR(IF(compras_mes2[[#This Row],[CUIT]]="","-",VLOOKUP(compras_mes2[[#This Row],[CUIT]],Lista_CUIT[#All],2,0)),"CUIT NO CARGADO")</f>
        <v>MAKRO SA</v>
      </c>
      <c r="H69" s="46">
        <v>52529.21</v>
      </c>
      <c r="I69" s="85">
        <f>IF(compras_mes2[[#This Row],[NETO GRAVADO]]="","",compras_mes2[[#This Row],[NETO GRAVADO]]*0.21)</f>
        <v>11031.134099999999</v>
      </c>
      <c r="J69" s="85"/>
      <c r="K69" s="85"/>
      <c r="L69" s="85">
        <v>1575.88</v>
      </c>
      <c r="M69" s="85"/>
      <c r="N69" s="85">
        <v>3151.75</v>
      </c>
      <c r="O69" s="85"/>
      <c r="P69" s="48">
        <f>SUM(compras_mes2[[#This Row],[NETO GRAVADO]:[Otros / No Grav.]])</f>
        <v>68287.974099999992</v>
      </c>
      <c r="Q69" s="45" t="str">
        <f>IFERROR(IF(compras_mes2[[#This Row],[CUIT]]="","-",VLOOKUP(compras_mes2[[#This Row],[CUIT]],Lista_CUIT[#All],3,0)),"CUIT NO CARGADO")</f>
        <v>Gastos Varios</v>
      </c>
      <c r="R69" s="49">
        <f>IFERROR(IF(compras_mes2[[#This Row],[CUIT]]="","-",VLOOKUP(compras_mes2[[#This Row],[CUIT]],Lista_CUIT[#All],4,0)),"CUIT NO CARGADO")</f>
        <v>0</v>
      </c>
      <c r="S69">
        <v>3646940</v>
      </c>
      <c r="T69"/>
    </row>
    <row r="70" spans="1:20">
      <c r="B70" s="40">
        <v>45344</v>
      </c>
      <c r="C70" s="41">
        <v>1</v>
      </c>
      <c r="D70" s="331">
        <v>7</v>
      </c>
      <c r="E70" s="332">
        <v>2394</v>
      </c>
      <c r="F70" s="333">
        <v>20134664518</v>
      </c>
      <c r="G70" s="45" t="str">
        <f>IFERROR(IF(compras_mes2[[#This Row],[CUIT]]="","-",VLOOKUP(compras_mes2[[#This Row],[CUIT]],Lista_CUIT[#All],2,0)),"CUIT NO CARGADO")</f>
        <v>HOKAMA SERGIO ENRIQUE</v>
      </c>
      <c r="H70" s="46">
        <v>29607.42</v>
      </c>
      <c r="I70" s="85">
        <f>IF(compras_mes2[[#This Row],[NETO GRAVADO]]="","",compras_mes2[[#This Row],[NETO GRAVADO]]*0.21)</f>
        <v>6217.5581999999995</v>
      </c>
      <c r="J70" s="85"/>
      <c r="K70" s="85"/>
      <c r="L70" s="85"/>
      <c r="M70" s="85"/>
      <c r="N70" s="85"/>
      <c r="O70" s="85"/>
      <c r="P70" s="48">
        <f>SUM(compras_mes2[[#This Row],[NETO GRAVADO]:[Otros / No Grav.]])</f>
        <v>35824.978199999998</v>
      </c>
      <c r="Q70" s="45" t="str">
        <f>IFERROR(IF(compras_mes2[[#This Row],[CUIT]]="","-",VLOOKUP(compras_mes2[[#This Row],[CUIT]],Lista_CUIT[#All],3,0)),"CUIT NO CARGADO")</f>
        <v>Gastos Varios</v>
      </c>
      <c r="R70" s="49" t="str">
        <f>IFERROR(IF(compras_mes2[[#This Row],[CUIT]]="","-",VLOOKUP(compras_mes2[[#This Row],[CUIT]],Lista_CUIT[#All],4,0)),"CUIT NO CARGADO")</f>
        <v>BUENOS AIRES</v>
      </c>
      <c r="S70">
        <v>2290701.6</v>
      </c>
    </row>
    <row r="71" spans="1:20">
      <c r="B71" s="40">
        <v>45346</v>
      </c>
      <c r="C71" s="41">
        <v>1</v>
      </c>
      <c r="D71" s="331">
        <v>73</v>
      </c>
      <c r="E71" s="332">
        <v>1604</v>
      </c>
      <c r="F71" s="333">
        <v>30714956147</v>
      </c>
      <c r="G71" s="45" t="str">
        <f>IFERROR(IF(compras_mes2[[#This Row],[CUIT]]="","-",VLOOKUP(compras_mes2[[#This Row],[CUIT]],Lista_CUIT[#All],2,0)),"CUIT NO CARGADO")</f>
        <v>SUPERMERCADOS EL ABASTECEDOR SA</v>
      </c>
      <c r="H71" s="46">
        <v>17037</v>
      </c>
      <c r="I71" s="85">
        <v>2417.7399999999998</v>
      </c>
      <c r="J71" s="85"/>
      <c r="K71" s="85">
        <v>580.01</v>
      </c>
      <c r="L71" s="85"/>
      <c r="M71" s="85"/>
      <c r="N71" s="85"/>
      <c r="O71" s="85"/>
      <c r="P71" s="48">
        <f>SUM(compras_mes2[[#This Row],[NETO GRAVADO]:[Otros / No Grav.]])</f>
        <v>20034.749999999996</v>
      </c>
      <c r="Q71" s="45" t="str">
        <f>IFERROR(IF(compras_mes2[[#This Row],[CUIT]]="","-",VLOOKUP(compras_mes2[[#This Row],[CUIT]],Lista_CUIT[#All],3,0)),"CUIT NO CARGADO")</f>
        <v>Gastos Varios</v>
      </c>
      <c r="R71" s="49">
        <f>IFERROR(IF(compras_mes2[[#This Row],[CUIT]]="","-",VLOOKUP(compras_mes2[[#This Row],[CUIT]],Lista_CUIT[#All],4,0)),"CUIT NO CARGADO")</f>
        <v>0</v>
      </c>
      <c r="S71">
        <v>1291675</v>
      </c>
    </row>
    <row r="72" spans="1:20">
      <c r="B72" s="40">
        <v>45346</v>
      </c>
      <c r="C72" s="41">
        <v>1</v>
      </c>
      <c r="D72" s="331">
        <v>71</v>
      </c>
      <c r="E72" s="332">
        <v>1820</v>
      </c>
      <c r="F72" s="333">
        <v>30714956147</v>
      </c>
      <c r="G72" s="45" t="str">
        <f>IFERROR(IF(compras_mes2[[#This Row],[CUIT]]="","-",VLOOKUP(compras_mes2[[#This Row],[CUIT]],Lista_CUIT[#All],2,0)),"CUIT NO CARGADO")</f>
        <v>SUPERMERCADOS EL ABASTECEDOR SA</v>
      </c>
      <c r="H72" s="46">
        <v>4585.17</v>
      </c>
      <c r="I72" s="85">
        <v>687.97</v>
      </c>
      <c r="J72" s="85"/>
      <c r="K72" s="85">
        <v>137.46</v>
      </c>
      <c r="L72" s="85"/>
      <c r="M72" s="85"/>
      <c r="N72" s="85"/>
      <c r="O72" s="85"/>
      <c r="P72" s="48">
        <f>SUM(compras_mes2[[#This Row],[NETO GRAVADO]:[Otros / No Grav.]])</f>
        <v>5410.6</v>
      </c>
      <c r="Q72" s="45" t="str">
        <f>IFERROR(IF(compras_mes2[[#This Row],[CUIT]]="","-",VLOOKUP(compras_mes2[[#This Row],[CUIT]],Lista_CUIT[#All],3,0)),"CUIT NO CARGADO")</f>
        <v>Gastos Varios</v>
      </c>
      <c r="R72" s="49">
        <f>IFERROR(IF(compras_mes2[[#This Row],[CUIT]]="","-",VLOOKUP(compras_mes2[[#This Row],[CUIT]],Lista_CUIT[#All],4,0)),"CUIT NO CARGADO")</f>
        <v>0</v>
      </c>
      <c r="S72">
        <v>339968.97</v>
      </c>
    </row>
    <row r="73" spans="1:20" s="157" customFormat="1">
      <c r="A73"/>
      <c r="B73" s="347">
        <v>45346</v>
      </c>
      <c r="C73" s="343">
        <v>1</v>
      </c>
      <c r="D73" s="344">
        <v>36</v>
      </c>
      <c r="E73" s="345">
        <v>11698</v>
      </c>
      <c r="F73" s="346">
        <v>30714769290</v>
      </c>
      <c r="G73" s="279" t="str">
        <f>IFERROR(IF(compras_mes2[[#This Row],[CUIT]]="","-",VLOOKUP(compras_mes2[[#This Row],[CUIT]],Lista_CUIT[#All],2,0)),"CUIT NO CARGADO")</f>
        <v>GOLONOR S.A.</v>
      </c>
      <c r="H73" s="276">
        <v>27272.73</v>
      </c>
      <c r="I73" s="266">
        <f>IF(compras_mes2[[#This Row],[NETO GRAVADO]]="","",compras_mes2[[#This Row],[NETO GRAVADO]]*0.21)</f>
        <v>5727.2732999999998</v>
      </c>
      <c r="J73" s="266"/>
      <c r="K73" s="266"/>
      <c r="L73" s="266"/>
      <c r="M73" s="266"/>
      <c r="N73" s="266"/>
      <c r="O73" s="266"/>
      <c r="P73" s="267">
        <f>SUM(compras_mes2[[#This Row],[NETO GRAVADO]:[Otros / No Grav.]])</f>
        <v>33000.003299999997</v>
      </c>
      <c r="Q73" s="279" t="str">
        <f>IFERROR(IF(compras_mes2[[#This Row],[CUIT]]="","-",VLOOKUP(compras_mes2[[#This Row],[CUIT]],Lista_CUIT[#All],3,0)),"CUIT NO CARGADO")</f>
        <v>Gastos Varios</v>
      </c>
      <c r="R73" s="280">
        <f>IFERROR(IF(compras_mes2[[#This Row],[CUIT]]="","-",VLOOKUP(compras_mes2[[#This Row],[CUIT]],Lista_CUIT[#All],4,0)),"CUIT NO CARGADO")</f>
        <v>0</v>
      </c>
      <c r="S73">
        <v>6193.39</v>
      </c>
      <c r="T73"/>
    </row>
    <row r="74" spans="1:20">
      <c r="B74" s="347">
        <v>45350</v>
      </c>
      <c r="C74" s="343">
        <v>1</v>
      </c>
      <c r="D74" s="344">
        <v>11</v>
      </c>
      <c r="E74" s="345">
        <v>572</v>
      </c>
      <c r="F74" s="346">
        <v>33716089059</v>
      </c>
      <c r="G74" s="279" t="str">
        <f>IFERROR(IF(compras_mes2[[#This Row],[CUIT]]="","-",VLOOKUP(compras_mes2[[#This Row],[CUIT]],Lista_CUIT[#All],2,0)),"CUIT NO CARGADO")</f>
        <v>GAMA26 SRL</v>
      </c>
      <c r="H74" s="276">
        <v>27272.71</v>
      </c>
      <c r="I74" s="266">
        <f>IF(compras_mes2[[#This Row],[NETO GRAVADO]]="","",compras_mes2[[#This Row],[NETO GRAVADO]]*0.21)</f>
        <v>5727.2690999999995</v>
      </c>
      <c r="J74" s="266"/>
      <c r="K74" s="266"/>
      <c r="L74" s="266"/>
      <c r="M74" s="266"/>
      <c r="N74" s="266"/>
      <c r="O74" s="266"/>
      <c r="P74" s="267">
        <f>SUM(compras_mes2[[#This Row],[NETO GRAVADO]:[Otros / No Grav.]])</f>
        <v>32999.979099999997</v>
      </c>
      <c r="Q74" s="279" t="str">
        <f>IFERROR(IF(compras_mes2[[#This Row],[CUIT]]="","-",VLOOKUP(compras_mes2[[#This Row],[CUIT]],Lista_CUIT[#All],3,0)),"CUIT NO CARGADO")</f>
        <v>Gastos Varios</v>
      </c>
      <c r="R74" s="280">
        <f>IFERROR(IF(compras_mes2[[#This Row],[CUIT]]="","-",VLOOKUP(compras_mes2[[#This Row],[CUIT]],Lista_CUIT[#All],4,0)),"CUIT NO CARGADO")</f>
        <v>0</v>
      </c>
      <c r="S74">
        <v>67816.820000000007</v>
      </c>
    </row>
    <row r="75" spans="1:20" s="157" customFormat="1">
      <c r="A75"/>
      <c r="B75" s="40">
        <v>45351</v>
      </c>
      <c r="C75" s="41">
        <v>1</v>
      </c>
      <c r="D75" s="331">
        <v>7</v>
      </c>
      <c r="E75" s="332">
        <v>2428</v>
      </c>
      <c r="F75" s="333">
        <v>20134664518</v>
      </c>
      <c r="G75" s="45" t="str">
        <f>IFERROR(IF(compras_mes2[[#This Row],[CUIT]]="","-",VLOOKUP(compras_mes2[[#This Row],[CUIT]],Lista_CUIT[#All],2,0)),"CUIT NO CARGADO")</f>
        <v>HOKAMA SERGIO ENRIQUE</v>
      </c>
      <c r="H75" s="46">
        <v>13991.73</v>
      </c>
      <c r="I75" s="85">
        <f>IF(compras_mes2[[#This Row],[NETO GRAVADO]]="","",compras_mes2[[#This Row],[NETO GRAVADO]]*0.21)</f>
        <v>2938.2632999999996</v>
      </c>
      <c r="J75" s="85"/>
      <c r="K75" s="85"/>
      <c r="L75" s="85"/>
      <c r="M75" s="85"/>
      <c r="N75" s="85"/>
      <c r="O75" s="85"/>
      <c r="P75" s="48">
        <f>SUM(compras_mes2[[#This Row],[NETO GRAVADO]:[Otros / No Grav.]])</f>
        <v>16929.993299999998</v>
      </c>
      <c r="Q75" s="45" t="str">
        <f>IFERROR(IF(compras_mes2[[#This Row],[CUIT]]="","-",VLOOKUP(compras_mes2[[#This Row],[CUIT]],Lista_CUIT[#All],3,0)),"CUIT NO CARGADO")</f>
        <v>Gastos Varios</v>
      </c>
      <c r="R75" s="49" t="str">
        <f>IFERROR(IF(compras_mes2[[#This Row],[CUIT]]="","-",VLOOKUP(compras_mes2[[#This Row],[CUIT]],Lista_CUIT[#All],4,0)),"CUIT NO CARGADO")</f>
        <v>BUENOS AIRES</v>
      </c>
      <c r="S75">
        <v>33000</v>
      </c>
      <c r="T75"/>
    </row>
    <row r="76" spans="1:20">
      <c r="B76" s="347">
        <v>45351</v>
      </c>
      <c r="C76" s="343">
        <v>1</v>
      </c>
      <c r="D76" s="344">
        <v>27</v>
      </c>
      <c r="E76" s="345">
        <v>2177613</v>
      </c>
      <c r="F76" s="346">
        <v>30703088534</v>
      </c>
      <c r="G76" s="279" t="str">
        <f>IFERROR(IF(compras_mes2[[#This Row],[CUIT]]="","-",VLOOKUP(compras_mes2[[#This Row],[CUIT]],Lista_CUIT[#All],2,0)),"CUIT NO CARGADO")</f>
        <v>MERCADO LIBRE SRL</v>
      </c>
      <c r="H76" s="276">
        <v>454688.2</v>
      </c>
      <c r="I76" s="266">
        <f>IF(compras_mes2[[#This Row],[NETO GRAVADO]]="","",compras_mes2[[#This Row],[NETO GRAVADO]]*0.21)</f>
        <v>95484.521999999997</v>
      </c>
      <c r="J76" s="266"/>
      <c r="K76" s="266"/>
      <c r="L76" s="266"/>
      <c r="M76" s="266"/>
      <c r="N76" s="266"/>
      <c r="O76" s="266">
        <v>45468.82</v>
      </c>
      <c r="P76" s="267">
        <f>SUM(compras_mes2[[#This Row],[NETO GRAVADO]:[Otros / No Grav.]])</f>
        <v>595641.54200000002</v>
      </c>
      <c r="Q76" s="279" t="str">
        <f>IFERROR(IF(compras_mes2[[#This Row],[CUIT]]="","-",VLOOKUP(compras_mes2[[#This Row],[CUIT]],Lista_CUIT[#All],3,0)),"CUIT NO CARGADO")</f>
        <v>Gastos Varios</v>
      </c>
      <c r="R76" s="280" t="str">
        <f>IFERROR(IF(compras_mes2[[#This Row],[CUIT]]="","-",VLOOKUP(compras_mes2[[#This Row],[CUIT]],Lista_CUIT[#All],4,0)),"CUIT NO CARGADO")</f>
        <v>CABA</v>
      </c>
      <c r="S76">
        <v>2500.0100000000002</v>
      </c>
    </row>
    <row r="77" spans="1:20">
      <c r="B77" s="40">
        <v>45341</v>
      </c>
      <c r="C77" s="41">
        <v>1</v>
      </c>
      <c r="D77" s="331">
        <v>4</v>
      </c>
      <c r="E77" s="332">
        <v>2928</v>
      </c>
      <c r="F77" s="333">
        <v>30717202305</v>
      </c>
      <c r="G77" s="45" t="str">
        <f>IFERROR(IF(compras_mes2[[#This Row],[CUIT]]="","-",VLOOKUP(compras_mes2[[#This Row],[CUIT]],Lista_CUIT[#All],2,0)),"CUIT NO CARGADO")</f>
        <v>LIBRERIA EL COLEGIO AVELLANEDA S.R.L.</v>
      </c>
      <c r="H77" s="46">
        <v>48195.040000000001</v>
      </c>
      <c r="I77" s="85">
        <f>IF(compras_mes2[[#This Row],[NETO GRAVADO]]="","",compras_mes2[[#This Row],[NETO GRAVADO]]*0.21)</f>
        <v>10120.9584</v>
      </c>
      <c r="J77" s="85"/>
      <c r="K77" s="85"/>
      <c r="L77" s="85"/>
      <c r="M77" s="85"/>
      <c r="N77" s="85"/>
      <c r="O77" s="85"/>
      <c r="P77" s="48">
        <f>SUM(compras_mes2[[#This Row],[NETO GRAVADO]:[Otros / No Grav.]])</f>
        <v>58315.998399999997</v>
      </c>
      <c r="Q77" s="45" t="str">
        <f>IFERROR(IF(compras_mes2[[#This Row],[CUIT]]="","-",VLOOKUP(compras_mes2[[#This Row],[CUIT]],Lista_CUIT[#All],3,0)),"CUIT NO CARGADO")</f>
        <v>LIBRERÍA</v>
      </c>
      <c r="R77" s="49">
        <f>IFERROR(IF(compras_mes2[[#This Row],[CUIT]]="","-",VLOOKUP(compras_mes2[[#This Row],[CUIT]],Lista_CUIT[#All],4,0)),"CUIT NO CARGADO")</f>
        <v>0</v>
      </c>
      <c r="S77">
        <v>1700.01</v>
      </c>
    </row>
    <row r="78" spans="1:20">
      <c r="B78" s="40">
        <v>45341</v>
      </c>
      <c r="C78" s="41">
        <v>1</v>
      </c>
      <c r="D78" s="331">
        <v>4</v>
      </c>
      <c r="E78" s="332">
        <v>2929</v>
      </c>
      <c r="F78" s="333">
        <v>30717202305</v>
      </c>
      <c r="G78" s="45" t="str">
        <f>IFERROR(IF(compras_mes2[[#This Row],[CUIT]]="","-",VLOOKUP(compras_mes2[[#This Row],[CUIT]],Lista_CUIT[#All],2,0)),"CUIT NO CARGADO")</f>
        <v>LIBRERIA EL COLEGIO AVELLANEDA S.R.L.</v>
      </c>
      <c r="H78" s="46">
        <v>48195.040000000001</v>
      </c>
      <c r="I78" s="85">
        <f>IF(compras_mes2[[#This Row],[NETO GRAVADO]]="","",compras_mes2[[#This Row],[NETO GRAVADO]]*0.21)</f>
        <v>10120.9584</v>
      </c>
      <c r="J78" s="85"/>
      <c r="K78" s="85"/>
      <c r="L78" s="85"/>
      <c r="M78" s="85"/>
      <c r="N78" s="85"/>
      <c r="O78" s="85"/>
      <c r="P78" s="48">
        <f>SUM(compras_mes2[[#This Row],[NETO GRAVADO]:[Otros / No Grav.]])</f>
        <v>58315.998399999997</v>
      </c>
      <c r="Q78" s="45" t="str">
        <f>IFERROR(IF(compras_mes2[[#This Row],[CUIT]]="","-",VLOOKUP(compras_mes2[[#This Row],[CUIT]],Lista_CUIT[#All],3,0)),"CUIT NO CARGADO")</f>
        <v>LIBRERÍA</v>
      </c>
      <c r="R78" s="49">
        <f>IFERROR(IF(compras_mes2[[#This Row],[CUIT]]="","-",VLOOKUP(compras_mes2[[#This Row],[CUIT]],Lista_CUIT[#All],4,0)),"CUIT NO CARGADO")</f>
        <v>0</v>
      </c>
      <c r="S78">
        <v>2750.01</v>
      </c>
    </row>
    <row r="79" spans="1:20">
      <c r="B79" s="40">
        <v>45349</v>
      </c>
      <c r="C79" s="41">
        <v>1</v>
      </c>
      <c r="D79" s="331">
        <v>2</v>
      </c>
      <c r="E79" s="332">
        <v>523</v>
      </c>
      <c r="F79" s="333">
        <v>30717768511</v>
      </c>
      <c r="G79" s="45" t="str">
        <f>IFERROR(IF(compras_mes2[[#This Row],[CUIT]]="","-",VLOOKUP(compras_mes2[[#This Row],[CUIT]],Lista_CUIT[#All],2,0)),"CUIT NO CARGADO")</f>
        <v>DEALER S. CAP I SECC IV</v>
      </c>
      <c r="H79" s="46">
        <v>98128</v>
      </c>
      <c r="I79" s="85">
        <f>IF(compras_mes2[[#This Row],[NETO GRAVADO]]="","",compras_mes2[[#This Row],[NETO GRAVADO]]*0.21)</f>
        <v>20606.88</v>
      </c>
      <c r="J79" s="85"/>
      <c r="K79" s="85"/>
      <c r="L79" s="85"/>
      <c r="M79" s="85"/>
      <c r="N79" s="85"/>
      <c r="O79" s="85"/>
      <c r="P79" s="48">
        <f>SUM(compras_mes2[[#This Row],[NETO GRAVADO]:[Otros / No Grav.]])</f>
        <v>118734.88</v>
      </c>
      <c r="Q79" s="45" t="str">
        <f>IFERROR(IF(compras_mes2[[#This Row],[CUIT]]="","-",VLOOKUP(compras_mes2[[#This Row],[CUIT]],Lista_CUIT[#All],3,0)),"CUIT NO CARGADO")</f>
        <v>LIBRERÍA</v>
      </c>
      <c r="R79" s="49">
        <f>IFERROR(IF(compras_mes2[[#This Row],[CUIT]]="","-",VLOOKUP(compras_mes2[[#This Row],[CUIT]],Lista_CUIT[#All],4,0)),"CUIT NO CARGADO")</f>
        <v>0</v>
      </c>
      <c r="S79">
        <v>201499</v>
      </c>
    </row>
    <row r="80" spans="1:20" s="157" customFormat="1">
      <c r="A80"/>
      <c r="B80" s="40">
        <v>45342</v>
      </c>
      <c r="C80" s="41">
        <v>1</v>
      </c>
      <c r="D80" s="331">
        <v>4</v>
      </c>
      <c r="E80" s="332">
        <v>45325</v>
      </c>
      <c r="F80" s="333">
        <v>30709863076</v>
      </c>
      <c r="G80" s="45" t="str">
        <f>IFERROR(IF(compras_mes2[[#This Row],[CUIT]]="","-",VLOOKUP(compras_mes2[[#This Row],[CUIT]],Lista_CUIT[#All],2,0)),"CUIT NO CARGADO")</f>
        <v>INDUSTRIAS PLASTICOS SALTA S.R.L.</v>
      </c>
      <c r="H80" s="46">
        <v>140000</v>
      </c>
      <c r="I80" s="85">
        <f>IF(compras_mes2[[#This Row],[NETO GRAVADO]]="","",compras_mes2[[#This Row],[NETO GRAVADO]]*0.21)</f>
        <v>29400</v>
      </c>
      <c r="J80" s="85"/>
      <c r="K80" s="85"/>
      <c r="L80" s="85"/>
      <c r="M80" s="85"/>
      <c r="N80" s="85"/>
      <c r="O80" s="85"/>
      <c r="P80" s="48">
        <f>SUM(compras_mes2[[#This Row],[NETO GRAVADO]:[Otros / No Grav.]])</f>
        <v>169400</v>
      </c>
      <c r="Q80" s="45" t="str">
        <f>IFERROR(IF(compras_mes2[[#This Row],[CUIT]]="","-",VLOOKUP(compras_mes2[[#This Row],[CUIT]],Lista_CUIT[#All],3,0)),"CUIT NO CARGADO")</f>
        <v>Materia Prima</v>
      </c>
      <c r="R80" s="49">
        <f>IFERROR(IF(compras_mes2[[#This Row],[CUIT]]="","-",VLOOKUP(compras_mes2[[#This Row],[CUIT]],Lista_CUIT[#All],4,0)),"CUIT NO CARGADO")</f>
        <v>0</v>
      </c>
      <c r="S80">
        <v>3661.46</v>
      </c>
      <c r="T80"/>
    </row>
    <row r="81" spans="1:20" s="157" customFormat="1">
      <c r="A81"/>
      <c r="B81" s="40">
        <v>45348</v>
      </c>
      <c r="C81" s="41">
        <v>1</v>
      </c>
      <c r="D81" s="331">
        <v>36</v>
      </c>
      <c r="E81" s="332">
        <v>18171</v>
      </c>
      <c r="F81" s="333">
        <v>30707924906</v>
      </c>
      <c r="G81" s="45" t="str">
        <f>IFERROR(IF(compras_mes2[[#This Row],[CUIT]]="","-",VLOOKUP(compras_mes2[[#This Row],[CUIT]],Lista_CUIT[#All],2,0)),"CUIT NO CARGADO")</f>
        <v>BLUECAR SA</v>
      </c>
      <c r="H81" s="46">
        <v>2883.04</v>
      </c>
      <c r="I81" s="85">
        <f>IF(compras_mes2[[#This Row],[NETO GRAVADO]]="","",compras_mes2[[#This Row],[NETO GRAVADO]]*0.21)</f>
        <v>605.4384</v>
      </c>
      <c r="J81" s="85"/>
      <c r="K81" s="85"/>
      <c r="L81" s="85"/>
      <c r="M81" s="85"/>
      <c r="N81" s="85">
        <v>172.98</v>
      </c>
      <c r="O81" s="85"/>
      <c r="P81" s="48">
        <f>SUM(compras_mes2[[#This Row],[NETO GRAVADO]:[Otros / No Grav.]])</f>
        <v>3661.4584</v>
      </c>
      <c r="Q81" s="45" t="str">
        <f>IFERROR(IF(compras_mes2[[#This Row],[CUIT]]="","-",VLOOKUP(compras_mes2[[#This Row],[CUIT]],Lista_CUIT[#All],3,0)),"CUIT NO CARGADO")</f>
        <v>Materia Prima</v>
      </c>
      <c r="R81" s="49">
        <f>IFERROR(IF(compras_mes2[[#This Row],[CUIT]]="","-",VLOOKUP(compras_mes2[[#This Row],[CUIT]],Lista_CUIT[#All],4,0)),"CUIT NO CARGADO")</f>
        <v>0</v>
      </c>
      <c r="S81">
        <v>40169.800000000003</v>
      </c>
      <c r="T81"/>
    </row>
    <row r="82" spans="1:20">
      <c r="B82" s="40">
        <v>45348</v>
      </c>
      <c r="C82" s="41">
        <v>1</v>
      </c>
      <c r="D82" s="331">
        <v>4</v>
      </c>
      <c r="E82" s="332">
        <v>45378</v>
      </c>
      <c r="F82" s="333">
        <v>30709863076</v>
      </c>
      <c r="G82" s="45" t="str">
        <f>IFERROR(IF(compras_mes2[[#This Row],[CUIT]]="","-",VLOOKUP(compras_mes2[[#This Row],[CUIT]],Lista_CUIT[#All],2,0)),"CUIT NO CARGADO")</f>
        <v>INDUSTRIAS PLASTICOS SALTA S.R.L.</v>
      </c>
      <c r="H82" s="46">
        <v>1478700</v>
      </c>
      <c r="I82" s="85">
        <f>IF(compras_mes2[[#This Row],[NETO GRAVADO]]="","",compras_mes2[[#This Row],[NETO GRAVADO]]*0.21)</f>
        <v>310527</v>
      </c>
      <c r="J82" s="85"/>
      <c r="K82" s="85"/>
      <c r="L82" s="85"/>
      <c r="M82" s="85"/>
      <c r="N82" s="85"/>
      <c r="O82" s="85"/>
      <c r="P82" s="48">
        <f>SUM(compras_mes2[[#This Row],[NETO GRAVADO]:[Otros / No Grav.]])</f>
        <v>1789227</v>
      </c>
      <c r="Q82" s="45" t="str">
        <f>IFERROR(IF(compras_mes2[[#This Row],[CUIT]]="","-",VLOOKUP(compras_mes2[[#This Row],[CUIT]],Lista_CUIT[#All],3,0)),"CUIT NO CARGADO")</f>
        <v>Materia Prima</v>
      </c>
      <c r="R82" s="49">
        <f>IFERROR(IF(compras_mes2[[#This Row],[CUIT]]="","-",VLOOKUP(compras_mes2[[#This Row],[CUIT]],Lista_CUIT[#All],4,0)),"CUIT NO CARGADO")</f>
        <v>0</v>
      </c>
      <c r="S82">
        <v>27434.9</v>
      </c>
    </row>
    <row r="83" spans="1:20">
      <c r="B83" s="40">
        <v>45341</v>
      </c>
      <c r="C83" s="41">
        <v>1</v>
      </c>
      <c r="D83" s="331">
        <v>1</v>
      </c>
      <c r="E83" s="332">
        <v>213</v>
      </c>
      <c r="F83" s="333">
        <v>20077604627</v>
      </c>
      <c r="G83" s="45" t="str">
        <f>IFERROR(IF(compras_mes2[[#This Row],[CUIT]]="","-",VLOOKUP(compras_mes2[[#This Row],[CUIT]],Lista_CUIT[#All],2,0)),"CUIT NO CARGADO")</f>
        <v>OCAÑO ENRIQUE</v>
      </c>
      <c r="H83" s="46">
        <v>1887420</v>
      </c>
      <c r="I83" s="85">
        <f>IF(compras_mes2[[#This Row],[NETO GRAVADO]]="","",compras_mes2[[#This Row],[NETO GRAVADO]]*0.21)</f>
        <v>396358.2</v>
      </c>
      <c r="J83" s="85"/>
      <c r="K83" s="85"/>
      <c r="L83" s="85"/>
      <c r="M83" s="85"/>
      <c r="N83" s="85"/>
      <c r="O83" s="85"/>
      <c r="P83" s="48">
        <f>SUM(compras_mes2[[#This Row],[NETO GRAVADO]:[Otros / No Grav.]])</f>
        <v>2283778.2000000002</v>
      </c>
      <c r="Q83" s="45" t="str">
        <f>IFERROR(IF(compras_mes2[[#This Row],[CUIT]]="","-",VLOOKUP(compras_mes2[[#This Row],[CUIT]],Lista_CUIT[#All],3,0)),"CUIT NO CARGADO")</f>
        <v>Material de Empaque</v>
      </c>
      <c r="R83" s="49">
        <f>IFERROR(IF(compras_mes2[[#This Row],[CUIT]]="","-",VLOOKUP(compras_mes2[[#This Row],[CUIT]],Lista_CUIT[#All],4,0)),"CUIT NO CARGADO")</f>
        <v>0</v>
      </c>
      <c r="S83">
        <v>11146.52</v>
      </c>
    </row>
    <row r="84" spans="1:20">
      <c r="B84" s="40">
        <v>45341</v>
      </c>
      <c r="C84" s="41">
        <v>1</v>
      </c>
      <c r="D84" s="331">
        <v>1</v>
      </c>
      <c r="E84" s="332">
        <v>214</v>
      </c>
      <c r="F84" s="333">
        <v>20077604627</v>
      </c>
      <c r="G84" s="45" t="str">
        <f>IFERROR(IF(compras_mes2[[#This Row],[CUIT]]="","-",VLOOKUP(compras_mes2[[#This Row],[CUIT]],Lista_CUIT[#All],2,0)),"CUIT NO CARGADO")</f>
        <v>OCAÑO ENRIQUE</v>
      </c>
      <c r="H84" s="46">
        <v>115690</v>
      </c>
      <c r="I84" s="85">
        <f>IF(compras_mes2[[#This Row],[NETO GRAVADO]]="","",compras_mes2[[#This Row],[NETO GRAVADO]]*0.21)</f>
        <v>24294.899999999998</v>
      </c>
      <c r="J84" s="85"/>
      <c r="K84" s="85"/>
      <c r="L84" s="85"/>
      <c r="M84" s="85"/>
      <c r="N84" s="85"/>
      <c r="O84" s="85"/>
      <c r="P84" s="48">
        <f>SUM(compras_mes2[[#This Row],[NETO GRAVADO]:[Otros / No Grav.]])</f>
        <v>139984.9</v>
      </c>
      <c r="Q84" s="45" t="str">
        <f>IFERROR(IF(compras_mes2[[#This Row],[CUIT]]="","-",VLOOKUP(compras_mes2[[#This Row],[CUIT]],Lista_CUIT[#All],3,0)),"CUIT NO CARGADO")</f>
        <v>Material de Empaque</v>
      </c>
      <c r="R84" s="49">
        <f>IFERROR(IF(compras_mes2[[#This Row],[CUIT]]="","-",VLOOKUP(compras_mes2[[#This Row],[CUIT]],Lista_CUIT[#All],4,0)),"CUIT NO CARGADO")</f>
        <v>0</v>
      </c>
      <c r="S84">
        <v>7000.02</v>
      </c>
    </row>
    <row r="85" spans="1:20" s="157" customFormat="1">
      <c r="A85"/>
      <c r="B85" s="40">
        <v>45343</v>
      </c>
      <c r="C85" s="41">
        <v>1</v>
      </c>
      <c r="D85" s="331">
        <v>5</v>
      </c>
      <c r="E85" s="332">
        <v>51788</v>
      </c>
      <c r="F85" s="333">
        <v>20145686459</v>
      </c>
      <c r="G85" s="45" t="str">
        <f>IFERROR(IF(compras_mes2[[#This Row],[CUIT]]="","-",VLOOKUP(compras_mes2[[#This Row],[CUIT]],Lista_CUIT[#All],2,0)),"CUIT NO CARGADO")</f>
        <v>SELEM DAVID FERNANDO</v>
      </c>
      <c r="H85" s="46">
        <v>54290.080000000002</v>
      </c>
      <c r="I85" s="85">
        <f>IF(compras_mes2[[#This Row],[NETO GRAVADO]]="","",compras_mes2[[#This Row],[NETO GRAVADO]]*0.21)</f>
        <v>11400.916799999999</v>
      </c>
      <c r="J85" s="85"/>
      <c r="K85" s="85"/>
      <c r="L85" s="85"/>
      <c r="M85" s="85"/>
      <c r="N85" s="85"/>
      <c r="O85" s="85"/>
      <c r="P85" s="48">
        <f>SUM(compras_mes2[[#This Row],[NETO GRAVADO]:[Otros / No Grav.]])</f>
        <v>65690.996799999994</v>
      </c>
      <c r="Q85" s="45" t="str">
        <f>IFERROR(IF(compras_mes2[[#This Row],[CUIT]]="","-",VLOOKUP(compras_mes2[[#This Row],[CUIT]],Lista_CUIT[#All],3,0)),"CUIT NO CARGADO")</f>
        <v>Material de Empaque</v>
      </c>
      <c r="R85" s="49">
        <f>IFERROR(IF(compras_mes2[[#This Row],[CUIT]]="","-",VLOOKUP(compras_mes2[[#This Row],[CUIT]],Lista_CUIT[#All],4,0)),"CUIT NO CARGADO")</f>
        <v>0</v>
      </c>
      <c r="S85">
        <v>19412.099999999999</v>
      </c>
      <c r="T85"/>
    </row>
    <row r="86" spans="1:20">
      <c r="B86" s="40">
        <v>45344</v>
      </c>
      <c r="C86" s="41">
        <v>1</v>
      </c>
      <c r="D86" s="331">
        <v>1</v>
      </c>
      <c r="E86" s="332">
        <v>217</v>
      </c>
      <c r="F86" s="333">
        <v>20077604627</v>
      </c>
      <c r="G86" s="45" t="str">
        <f>IFERROR(IF(compras_mes2[[#This Row],[CUIT]]="","-",VLOOKUP(compras_mes2[[#This Row],[CUIT]],Lista_CUIT[#All],2,0)),"CUIT NO CARGADO")</f>
        <v>OCAÑO ENRIQUE</v>
      </c>
      <c r="H86" s="46">
        <v>168130</v>
      </c>
      <c r="I86" s="85">
        <f>IF(compras_mes2[[#This Row],[NETO GRAVADO]]="","",compras_mes2[[#This Row],[NETO GRAVADO]]*0.21)</f>
        <v>35307.299999999996</v>
      </c>
      <c r="J86" s="85"/>
      <c r="K86" s="85"/>
      <c r="L86" s="85"/>
      <c r="M86" s="85"/>
      <c r="N86" s="85"/>
      <c r="O86" s="85"/>
      <c r="P86" s="48">
        <f>SUM(compras_mes2[[#This Row],[NETO GRAVADO]:[Otros / No Grav.]])</f>
        <v>203437.3</v>
      </c>
      <c r="Q86" s="45" t="str">
        <f>IFERROR(IF(compras_mes2[[#This Row],[CUIT]]="","-",VLOOKUP(compras_mes2[[#This Row],[CUIT]],Lista_CUIT[#All],3,0)),"CUIT NO CARGADO")</f>
        <v>Material de Empaque</v>
      </c>
      <c r="R86" s="49">
        <f>IFERROR(IF(compras_mes2[[#This Row],[CUIT]]="","-",VLOOKUP(compras_mes2[[#This Row],[CUIT]],Lista_CUIT[#All],4,0)),"CUIT NO CARGADO")</f>
        <v>0</v>
      </c>
      <c r="S86">
        <v>7005.97</v>
      </c>
    </row>
    <row r="87" spans="1:20">
      <c r="B87" s="40">
        <v>45349</v>
      </c>
      <c r="C87" s="41">
        <v>1</v>
      </c>
      <c r="D87" s="331">
        <v>1</v>
      </c>
      <c r="E87" s="332">
        <v>218</v>
      </c>
      <c r="F87" s="333">
        <v>20077604627</v>
      </c>
      <c r="G87" s="45" t="str">
        <f>IFERROR(IF(compras_mes2[[#This Row],[CUIT]]="","-",VLOOKUP(compras_mes2[[#This Row],[CUIT]],Lista_CUIT[#All],2,0)),"CUIT NO CARGADO")</f>
        <v>OCAÑO ENRIQUE</v>
      </c>
      <c r="H87" s="46">
        <v>3661020</v>
      </c>
      <c r="I87" s="85">
        <f>IF(compras_mes2[[#This Row],[NETO GRAVADO]]="","",compras_mes2[[#This Row],[NETO GRAVADO]]*0.21)</f>
        <v>768814.2</v>
      </c>
      <c r="J87" s="85"/>
      <c r="K87" s="85"/>
      <c r="L87" s="85"/>
      <c r="M87" s="85"/>
      <c r="N87" s="85"/>
      <c r="O87" s="85"/>
      <c r="P87" s="48">
        <f>SUM(compras_mes2[[#This Row],[NETO GRAVADO]:[Otros / No Grav.]])</f>
        <v>4429834.2</v>
      </c>
      <c r="Q87" s="45" t="str">
        <f>IFERROR(IF(compras_mes2[[#This Row],[CUIT]]="","-",VLOOKUP(compras_mes2[[#This Row],[CUIT]],Lista_CUIT[#All],3,0)),"CUIT NO CARGADO")</f>
        <v>Material de Empaque</v>
      </c>
      <c r="R87" s="49">
        <f>IFERROR(IF(compras_mes2[[#This Row],[CUIT]]="","-",VLOOKUP(compras_mes2[[#This Row],[CUIT]],Lista_CUIT[#All],4,0)),"CUIT NO CARGADO")</f>
        <v>0</v>
      </c>
      <c r="S87">
        <v>828774.38</v>
      </c>
    </row>
    <row r="88" spans="1:20">
      <c r="B88" s="347">
        <v>45323</v>
      </c>
      <c r="C88" s="343">
        <v>1</v>
      </c>
      <c r="D88" s="344">
        <v>2</v>
      </c>
      <c r="E88" s="345">
        <v>741</v>
      </c>
      <c r="F88" s="346">
        <v>20103069832</v>
      </c>
      <c r="G88" s="279" t="str">
        <f>IFERROR(IF(compras_mes2[[#This Row],[CUIT]]="","-",VLOOKUP(compras_mes2[[#This Row],[CUIT]],Lista_CUIT[#All],2,0)),"CUIT NO CARGADO")</f>
        <v>DE LUCA HECTOR RAFAEL FRANCI</v>
      </c>
      <c r="H88" s="276">
        <v>7775300</v>
      </c>
      <c r="I88" s="266">
        <f>IF(compras_mes2[[#This Row],[NETO GRAVADO]]="","",compras_mes2[[#This Row],[NETO GRAVADO]]*0.21)</f>
        <v>1632813</v>
      </c>
      <c r="J88" s="266"/>
      <c r="K88" s="266"/>
      <c r="L88" s="266"/>
      <c r="M88" s="266"/>
      <c r="N88" s="266"/>
      <c r="O88" s="266"/>
      <c r="P88" s="267">
        <f>SUM(compras_mes2[[#This Row],[NETO GRAVADO]:[Otros / No Grav.]])</f>
        <v>9408113</v>
      </c>
      <c r="Q88" s="279" t="str">
        <f>IFERROR(IF(compras_mes2[[#This Row],[CUIT]]="","-",VLOOKUP(compras_mes2[[#This Row],[CUIT]],Lista_CUIT[#All],3,0)),"CUIT NO CARGADO")</f>
        <v>Material de Empaque</v>
      </c>
      <c r="R88" s="280">
        <f>IFERROR(IF(compras_mes2[[#This Row],[CUIT]]="","-",VLOOKUP(compras_mes2[[#This Row],[CUIT]],Lista_CUIT[#All],4,0)),"CUIT NO CARGADO")</f>
        <v>0</v>
      </c>
      <c r="S88">
        <v>33011.96</v>
      </c>
    </row>
    <row r="89" spans="1:20">
      <c r="B89" s="40">
        <v>45338</v>
      </c>
      <c r="C89" s="41">
        <v>1</v>
      </c>
      <c r="D89" s="331">
        <v>4</v>
      </c>
      <c r="E89" s="332">
        <v>23660</v>
      </c>
      <c r="F89" s="333">
        <v>30552433595</v>
      </c>
      <c r="G89" s="45" t="str">
        <f>IFERROR(IF(compras_mes2[[#This Row],[CUIT]]="","-",VLOOKUP(compras_mes2[[#This Row],[CUIT]],Lista_CUIT[#All],2,0)),"CUIT NO CARGADO")</f>
        <v>PIROPLAST SRL</v>
      </c>
      <c r="H89" s="46">
        <v>684937.5</v>
      </c>
      <c r="I89" s="85">
        <f>IF(compras_mes2[[#This Row],[NETO GRAVADO]]="","",compras_mes2[[#This Row],[NETO GRAVADO]]*0.21)</f>
        <v>143836.875</v>
      </c>
      <c r="J89" s="85"/>
      <c r="K89" s="85"/>
      <c r="L89" s="85"/>
      <c r="M89" s="85"/>
      <c r="N89" s="85"/>
      <c r="O89" s="85"/>
      <c r="P89" s="48">
        <f>SUM(compras_mes2[[#This Row],[NETO GRAVADO]:[Otros / No Grav.]])</f>
        <v>828774.375</v>
      </c>
      <c r="Q89" s="45" t="str">
        <f>IFERROR(IF(compras_mes2[[#This Row],[CUIT]]="","-",VLOOKUP(compras_mes2[[#This Row],[CUIT]],Lista_CUIT[#All],3,0)),"CUIT NO CARGADO")</f>
        <v>Material de Empaque</v>
      </c>
      <c r="R89" s="49">
        <f>IFERROR(IF(compras_mes2[[#This Row],[CUIT]]="","-",VLOOKUP(compras_mes2[[#This Row],[CUIT]],Lista_CUIT[#All],4,0)),"CUIT NO CARGADO")</f>
        <v>0</v>
      </c>
      <c r="S89">
        <v>32063.05</v>
      </c>
    </row>
    <row r="90" spans="1:20">
      <c r="B90" s="347">
        <v>45327</v>
      </c>
      <c r="C90" s="343">
        <v>1</v>
      </c>
      <c r="D90" s="344">
        <v>7</v>
      </c>
      <c r="E90" s="345">
        <v>93</v>
      </c>
      <c r="F90" s="346">
        <v>30718359526</v>
      </c>
      <c r="G90" s="279" t="str">
        <f>IFERROR(IF(compras_mes2[[#This Row],[CUIT]]="","-",VLOOKUP(compras_mes2[[#This Row],[CUIT]],Lista_CUIT[#All],2,0)),"CUIT NO CARGADO")</f>
        <v>BARABAS HNOS S.R.L.</v>
      </c>
      <c r="H90" s="276">
        <v>46109.13</v>
      </c>
      <c r="I90" s="266">
        <f>IF(compras_mes2[[#This Row],[NETO GRAVADO]]="","",compras_mes2[[#This Row],[NETO GRAVADO]]*0.21)</f>
        <v>9682.9172999999992</v>
      </c>
      <c r="J90" s="266"/>
      <c r="K90" s="266"/>
      <c r="L90" s="266"/>
      <c r="M90" s="266"/>
      <c r="N90" s="266"/>
      <c r="O90" s="266"/>
      <c r="P90" s="267">
        <f>SUM(compras_mes2[[#This Row],[NETO GRAVADO]:[Otros / No Grav.]])</f>
        <v>55792.047299999998</v>
      </c>
      <c r="Q90" s="279" t="str">
        <f>IFERROR(IF(compras_mes2[[#This Row],[CUIT]]="","-",VLOOKUP(compras_mes2[[#This Row],[CUIT]],Lista_CUIT[#All],3,0)),"CUIT NO CARGADO")</f>
        <v>Material de Empaque</v>
      </c>
      <c r="R90" s="280">
        <f>IFERROR(IF(compras_mes2[[#This Row],[CUIT]]="","-",VLOOKUP(compras_mes2[[#This Row],[CUIT]],Lista_CUIT[#All],4,0)),"CUIT NO CARGADO")</f>
        <v>0</v>
      </c>
      <c r="S90">
        <v>65779.39</v>
      </c>
    </row>
    <row r="91" spans="1:20">
      <c r="B91" s="347">
        <v>45327</v>
      </c>
      <c r="C91" s="343">
        <v>1</v>
      </c>
      <c r="D91" s="344">
        <v>7</v>
      </c>
      <c r="E91" s="345">
        <v>94</v>
      </c>
      <c r="F91" s="346">
        <v>30718359526</v>
      </c>
      <c r="G91" s="279" t="str">
        <f>IFERROR(IF(compras_mes2[[#This Row],[CUIT]]="","-",VLOOKUP(compras_mes2[[#This Row],[CUIT]],Lista_CUIT[#All],2,0)),"CUIT NO CARGADO")</f>
        <v>BARABAS HNOS S.R.L.</v>
      </c>
      <c r="H91" s="276">
        <v>44760.33</v>
      </c>
      <c r="I91" s="266">
        <f>IF(compras_mes2[[#This Row],[NETO GRAVADO]]="","",compras_mes2[[#This Row],[NETO GRAVADO]]*0.21)</f>
        <v>9399.6692999999996</v>
      </c>
      <c r="J91" s="266"/>
      <c r="K91" s="266"/>
      <c r="L91" s="266"/>
      <c r="M91" s="266"/>
      <c r="N91" s="266"/>
      <c r="O91" s="266"/>
      <c r="P91" s="267">
        <f>SUM(compras_mes2[[#This Row],[NETO GRAVADO]:[Otros / No Grav.]])</f>
        <v>54159.999300000003</v>
      </c>
      <c r="Q91" s="279" t="str">
        <f>IFERROR(IF(compras_mes2[[#This Row],[CUIT]]="","-",VLOOKUP(compras_mes2[[#This Row],[CUIT]],Lista_CUIT[#All],3,0)),"CUIT NO CARGADO")</f>
        <v>Material de Empaque</v>
      </c>
      <c r="R91" s="280">
        <f>IFERROR(IF(compras_mes2[[#This Row],[CUIT]]="","-",VLOOKUP(compras_mes2[[#This Row],[CUIT]],Lista_CUIT[#All],4,0)),"CUIT NO CARGADO")</f>
        <v>0</v>
      </c>
      <c r="S91">
        <v>68287.97</v>
      </c>
    </row>
    <row r="92" spans="1:20">
      <c r="B92" s="347">
        <v>45331</v>
      </c>
      <c r="C92" s="343">
        <v>1</v>
      </c>
      <c r="D92" s="344">
        <v>3</v>
      </c>
      <c r="E92" s="345">
        <v>18206</v>
      </c>
      <c r="F92" s="346">
        <v>30663937975</v>
      </c>
      <c r="G92" s="279" t="str">
        <f>IFERROR(IF(compras_mes2[[#This Row],[CUIT]]="","-",VLOOKUP(compras_mes2[[#This Row],[CUIT]],Lista_CUIT[#All],2,0)),"CUIT NO CARGADO")</f>
        <v>BARABAS HNOS DE BARABAS EDUARDO,  BARABAS CARLOS Y HORACIO BARABAS SOC  DE HECHO</v>
      </c>
      <c r="H92" s="276">
        <v>33198.18</v>
      </c>
      <c r="I92" s="266">
        <f>IF(compras_mes2[[#This Row],[NETO GRAVADO]]="","",compras_mes2[[#This Row],[NETO GRAVADO]]*0.21)</f>
        <v>6971.6178</v>
      </c>
      <c r="J92" s="266"/>
      <c r="K92" s="266"/>
      <c r="L92" s="266"/>
      <c r="M92" s="266"/>
      <c r="N92" s="266"/>
      <c r="O92" s="266"/>
      <c r="P92" s="267">
        <f>SUM(compras_mes2[[#This Row],[NETO GRAVADO]:[Otros / No Grav.]])</f>
        <v>40169.7978</v>
      </c>
      <c r="Q92" s="279" t="str">
        <f>IFERROR(IF(compras_mes2[[#This Row],[CUIT]]="","-",VLOOKUP(compras_mes2[[#This Row],[CUIT]],Lista_CUIT[#All],3,0)),"CUIT NO CARGADO")</f>
        <v>Material de Empaque</v>
      </c>
      <c r="R92" s="280">
        <f>IFERROR(IF(compras_mes2[[#This Row],[CUIT]]="","-",VLOOKUP(compras_mes2[[#This Row],[CUIT]],Lista_CUIT[#All],4,0)),"CUIT NO CARGADO")</f>
        <v>0</v>
      </c>
      <c r="S92">
        <v>253737</v>
      </c>
    </row>
    <row r="93" spans="1:20">
      <c r="B93" s="347">
        <v>45341</v>
      </c>
      <c r="C93" s="343">
        <v>1</v>
      </c>
      <c r="D93" s="344">
        <v>3</v>
      </c>
      <c r="E93" s="345">
        <v>18219</v>
      </c>
      <c r="F93" s="346">
        <v>30663937975</v>
      </c>
      <c r="G93" s="279" t="str">
        <f>IFERROR(IF(compras_mes2[[#This Row],[CUIT]]="","-",VLOOKUP(compras_mes2[[#This Row],[CUIT]],Lista_CUIT[#All],2,0)),"CUIT NO CARGADO")</f>
        <v>BARABAS HNOS DE BARABAS EDUARDO,  BARABAS CARLOS Y HORACIO BARABAS SOC  DE HECHO</v>
      </c>
      <c r="H93" s="276">
        <v>22673.47</v>
      </c>
      <c r="I93" s="266">
        <f>IF(compras_mes2[[#This Row],[NETO GRAVADO]]="","",compras_mes2[[#This Row],[NETO GRAVADO]]*0.21)</f>
        <v>4761.4287000000004</v>
      </c>
      <c r="J93" s="266"/>
      <c r="K93" s="266"/>
      <c r="L93" s="266"/>
      <c r="M93" s="266"/>
      <c r="N93" s="266"/>
      <c r="O93" s="266"/>
      <c r="P93" s="267">
        <f>SUM(compras_mes2[[#This Row],[NETO GRAVADO]:[Otros / No Grav.]])</f>
        <v>27434.898700000002</v>
      </c>
      <c r="Q93" s="279" t="str">
        <f>IFERROR(IF(compras_mes2[[#This Row],[CUIT]]="","-",VLOOKUP(compras_mes2[[#This Row],[CUIT]],Lista_CUIT[#All],3,0)),"CUIT NO CARGADO")</f>
        <v>Material de Empaque</v>
      </c>
      <c r="R93" s="280">
        <f>IFERROR(IF(compras_mes2[[#This Row],[CUIT]]="","-",VLOOKUP(compras_mes2[[#This Row],[CUIT]],Lista_CUIT[#All],4,0)),"CUIT NO CARGADO")</f>
        <v>0</v>
      </c>
      <c r="S93">
        <v>172531.49</v>
      </c>
    </row>
    <row r="94" spans="1:20" s="157" customFormat="1">
      <c r="A94"/>
      <c r="B94" s="347">
        <v>45342</v>
      </c>
      <c r="C94" s="343">
        <v>1</v>
      </c>
      <c r="D94" s="344">
        <v>3</v>
      </c>
      <c r="E94" s="345">
        <v>2614</v>
      </c>
      <c r="F94" s="346">
        <v>30715296000</v>
      </c>
      <c r="G94" s="279" t="str">
        <f>IFERROR(IF(compras_mes2[[#This Row],[CUIT]]="","-",VLOOKUP(compras_mes2[[#This Row],[CUIT]],Lista_CUIT[#All],2,0)),"CUIT NO CARGADO")</f>
        <v>TUTTO CERAMICAS SRL</v>
      </c>
      <c r="H94" s="276">
        <v>19636.36</v>
      </c>
      <c r="I94" s="266">
        <f>IF(compras_mes2[[#This Row],[NETO GRAVADO]]="","",compras_mes2[[#This Row],[NETO GRAVADO]]*0.21)</f>
        <v>4123.6355999999996</v>
      </c>
      <c r="J94" s="266"/>
      <c r="K94" s="266"/>
      <c r="L94" s="266"/>
      <c r="M94" s="266"/>
      <c r="N94" s="266"/>
      <c r="O94" s="266"/>
      <c r="P94" s="267">
        <f>SUM(compras_mes2[[#This Row],[NETO GRAVADO]:[Otros / No Grav.]])</f>
        <v>23759.995600000002</v>
      </c>
      <c r="Q94" s="279" t="str">
        <f>IFERROR(IF(compras_mes2[[#This Row],[CUIT]]="","-",VLOOKUP(compras_mes2[[#This Row],[CUIT]],Lista_CUIT[#All],3,0)),"CUIT NO CARGADO")</f>
        <v>Material de Empaque</v>
      </c>
      <c r="R94" s="280">
        <f>IFERROR(IF(compras_mes2[[#This Row],[CUIT]]="","-",VLOOKUP(compras_mes2[[#This Row],[CUIT]],Lista_CUIT[#All],4,0)),"CUIT NO CARGADO")</f>
        <v>0</v>
      </c>
      <c r="S94">
        <v>152546.97</v>
      </c>
      <c r="T94"/>
    </row>
    <row r="95" spans="1:20" s="157" customFormat="1">
      <c r="A95"/>
      <c r="B95" s="347">
        <v>45349</v>
      </c>
      <c r="C95" s="343">
        <v>1</v>
      </c>
      <c r="D95" s="344">
        <v>3</v>
      </c>
      <c r="E95" s="345">
        <v>2620</v>
      </c>
      <c r="F95" s="346">
        <v>30715296000</v>
      </c>
      <c r="G95" s="279" t="str">
        <f>IFERROR(IF(compras_mes2[[#This Row],[CUIT]]="","-",VLOOKUP(compras_mes2[[#This Row],[CUIT]],Lista_CUIT[#All],2,0)),"CUIT NO CARGADO")</f>
        <v>TUTTO CERAMICAS SRL</v>
      </c>
      <c r="H95" s="276">
        <v>163264.46</v>
      </c>
      <c r="I95" s="266">
        <f>IF(compras_mes2[[#This Row],[NETO GRAVADO]]="","",compras_mes2[[#This Row],[NETO GRAVADO]]*0.21)</f>
        <v>34285.536599999999</v>
      </c>
      <c r="J95" s="266"/>
      <c r="K95" s="266"/>
      <c r="L95" s="266"/>
      <c r="M95" s="266"/>
      <c r="N95" s="266"/>
      <c r="O95" s="266"/>
      <c r="P95" s="267">
        <f>SUM(compras_mes2[[#This Row],[NETO GRAVADO]:[Otros / No Grav.]])</f>
        <v>197549.99659999998</v>
      </c>
      <c r="Q95" s="279" t="str">
        <f>IFERROR(IF(compras_mes2[[#This Row],[CUIT]]="","-",VLOOKUP(compras_mes2[[#This Row],[CUIT]],Lista_CUIT[#All],3,0)),"CUIT NO CARGADO")</f>
        <v>Material de Empaque</v>
      </c>
      <c r="R95" s="280">
        <f>IFERROR(IF(compras_mes2[[#This Row],[CUIT]]="","-",VLOOKUP(compras_mes2[[#This Row],[CUIT]],Lista_CUIT[#All],4,0)),"CUIT NO CARGADO")</f>
        <v>0</v>
      </c>
      <c r="S95">
        <v>65205.04</v>
      </c>
      <c r="T95"/>
    </row>
    <row r="96" spans="1:20" s="157" customFormat="1">
      <c r="A96"/>
      <c r="B96" s="347">
        <v>45337</v>
      </c>
      <c r="C96" s="343">
        <v>1</v>
      </c>
      <c r="D96" s="344">
        <v>3034</v>
      </c>
      <c r="E96" s="345">
        <v>5493954</v>
      </c>
      <c r="F96" s="346">
        <v>30708574836</v>
      </c>
      <c r="G96" s="279" t="str">
        <f>IFERROR(IF(compras_mes2[[#This Row],[CUIT]]="","-",VLOOKUP(compras_mes2[[#This Row],[CUIT]],Lista_CUIT[#All],2,0)),"CUIT NO CARGADO")</f>
        <v>CORREO OFICIAL DE LA REPUBLICA ARGENTINA SOCIEDAD ANONIMA</v>
      </c>
      <c r="H96" s="276">
        <v>8070.25</v>
      </c>
      <c r="I96" s="266">
        <f>IF(compras_mes2[[#This Row],[NETO GRAVADO]]="","",compras_mes2[[#This Row],[NETO GRAVADO]]*0.21)</f>
        <v>1694.7524999999998</v>
      </c>
      <c r="J96" s="266"/>
      <c r="K96" s="266"/>
      <c r="L96" s="266"/>
      <c r="M96" s="266"/>
      <c r="N96" s="266"/>
      <c r="O96" s="266"/>
      <c r="P96" s="267">
        <f>SUM(compras_mes2[[#This Row],[NETO GRAVADO]:[Otros / No Grav.]])</f>
        <v>9765.0025000000005</v>
      </c>
      <c r="Q96" s="279" t="str">
        <f>IFERROR(IF(compras_mes2[[#This Row],[CUIT]]="","-",VLOOKUP(compras_mes2[[#This Row],[CUIT]],Lista_CUIT[#All],3,0)),"CUIT NO CARGADO")</f>
        <v>MESAJERIA</v>
      </c>
      <c r="R96" s="280">
        <f>IFERROR(IF(compras_mes2[[#This Row],[CUIT]]="","-",VLOOKUP(compras_mes2[[#This Row],[CUIT]],Lista_CUIT[#All],4,0)),"CUIT NO CARGADO")</f>
        <v>0</v>
      </c>
      <c r="S96">
        <v>10000.280000000001</v>
      </c>
      <c r="T96"/>
    </row>
    <row r="97" spans="1:20">
      <c r="B97" s="347">
        <v>45325</v>
      </c>
      <c r="C97" s="343">
        <v>1</v>
      </c>
      <c r="D97" s="344">
        <v>629</v>
      </c>
      <c r="E97" s="345">
        <v>4860407</v>
      </c>
      <c r="F97" s="346">
        <v>30663498513</v>
      </c>
      <c r="G97" s="279" t="str">
        <f>IFERROR(IF(compras_mes2[[#This Row],[CUIT]]="","-",VLOOKUP(compras_mes2[[#This Row],[CUIT]],Lista_CUIT[#All],2,0)),"CUIT NO CARGADO")</f>
        <v>GRUPO CONCES. DEL OESTE SA</v>
      </c>
      <c r="H97" s="276">
        <v>12561.81</v>
      </c>
      <c r="I97" s="266">
        <f>IF(compras_mes2[[#This Row],[NETO GRAVADO]]="","",compras_mes2[[#This Row],[NETO GRAVADO]]*0.21)</f>
        <v>2637.9800999999998</v>
      </c>
      <c r="J97" s="266"/>
      <c r="K97" s="266"/>
      <c r="L97" s="266"/>
      <c r="M97" s="266"/>
      <c r="N97" s="266"/>
      <c r="O97" s="266"/>
      <c r="P97" s="267">
        <f>SUM(compras_mes2[[#This Row],[NETO GRAVADO]:[Otros / No Grav.]])</f>
        <v>15199.790099999998</v>
      </c>
      <c r="Q97" s="279" t="str">
        <f>IFERROR(IF(compras_mes2[[#This Row],[CUIT]]="","-",VLOOKUP(compras_mes2[[#This Row],[CUIT]],Lista_CUIT[#All],3,0)),"CUIT NO CARGADO")</f>
        <v>Peajes</v>
      </c>
      <c r="R97" s="280">
        <f>IFERROR(IF(compras_mes2[[#This Row],[CUIT]]="","-",VLOOKUP(compras_mes2[[#This Row],[CUIT]],Lista_CUIT[#All],4,0)),"CUIT NO CARGADO")</f>
        <v>0</v>
      </c>
      <c r="S97">
        <v>169400</v>
      </c>
    </row>
    <row r="98" spans="1:20">
      <c r="B98" s="347">
        <v>45325</v>
      </c>
      <c r="C98" s="343">
        <v>1</v>
      </c>
      <c r="D98" s="344">
        <v>711</v>
      </c>
      <c r="E98" s="345">
        <v>5299666</v>
      </c>
      <c r="F98" s="346">
        <v>30677237119</v>
      </c>
      <c r="G98" s="279" t="str">
        <f>IFERROR(IF(compras_mes2[[#This Row],[CUIT]]="","-",VLOOKUP(compras_mes2[[#This Row],[CUIT]],Lista_CUIT[#All],2,0)),"CUIT NO CARGADO")</f>
        <v>AUTOPISTAS DEL SOL S A</v>
      </c>
      <c r="H98" s="276">
        <v>4999.9399999999996</v>
      </c>
      <c r="I98" s="266">
        <f>IF(compras_mes2[[#This Row],[NETO GRAVADO]]="","",compras_mes2[[#This Row],[NETO GRAVADO]]*0.21)</f>
        <v>1049.9874</v>
      </c>
      <c r="J98" s="266"/>
      <c r="K98" s="266"/>
      <c r="L98" s="266"/>
      <c r="M98" s="266"/>
      <c r="N98" s="266"/>
      <c r="O98" s="266">
        <v>150</v>
      </c>
      <c r="P98" s="267">
        <f>SUM(compras_mes2[[#This Row],[NETO GRAVADO]:[Otros / No Grav.]])</f>
        <v>6199.9273999999996</v>
      </c>
      <c r="Q98" s="279" t="str">
        <f>IFERROR(IF(compras_mes2[[#This Row],[CUIT]]="","-",VLOOKUP(compras_mes2[[#This Row],[CUIT]],Lista_CUIT[#All],3,0)),"CUIT NO CARGADO")</f>
        <v>Peajes</v>
      </c>
      <c r="R98" s="280">
        <f>IFERROR(IF(compras_mes2[[#This Row],[CUIT]]="","-",VLOOKUP(compras_mes2[[#This Row],[CUIT]],Lista_CUIT[#All],4,0)),"CUIT NO CARGADO")</f>
        <v>0</v>
      </c>
      <c r="S98">
        <v>1789227</v>
      </c>
    </row>
    <row r="99" spans="1:20">
      <c r="B99" s="347">
        <v>45329</v>
      </c>
      <c r="C99" s="343">
        <v>1</v>
      </c>
      <c r="D99" s="344">
        <v>700</v>
      </c>
      <c r="E99" s="345">
        <v>1454047</v>
      </c>
      <c r="F99" s="346">
        <v>30715804812</v>
      </c>
      <c r="G99" s="279" t="str">
        <f>IFERROR(IF(compras_mes2[[#This Row],[CUIT]]="","-",VLOOKUP(compras_mes2[[#This Row],[CUIT]],Lista_CUIT[#All],2,0)),"CUIT NO CARGADO")</f>
        <v>CORREDORES VIALES SOCIEDAD ANONIMA</v>
      </c>
      <c r="H99" s="276">
        <v>2314.0500000000002</v>
      </c>
      <c r="I99" s="266">
        <f>IF(compras_mes2[[#This Row],[NETO GRAVADO]]="","",compras_mes2[[#This Row],[NETO GRAVADO]]*0.21)</f>
        <v>485.95050000000003</v>
      </c>
      <c r="J99" s="266"/>
      <c r="K99" s="266"/>
      <c r="L99" s="266"/>
      <c r="M99" s="266"/>
      <c r="N99" s="266"/>
      <c r="O99" s="266"/>
      <c r="P99" s="267">
        <f>SUM(compras_mes2[[#This Row],[NETO GRAVADO]:[Otros / No Grav.]])</f>
        <v>2800.0005000000001</v>
      </c>
      <c r="Q99" s="279" t="str">
        <f>IFERROR(IF(compras_mes2[[#This Row],[CUIT]]="","-",VLOOKUP(compras_mes2[[#This Row],[CUIT]],Lista_CUIT[#All],3,0)),"CUIT NO CARGADO")</f>
        <v>Peajes</v>
      </c>
      <c r="R99" s="280">
        <f>IFERROR(IF(compras_mes2[[#This Row],[CUIT]]="","-",VLOOKUP(compras_mes2[[#This Row],[CUIT]],Lista_CUIT[#All],4,0)),"CUIT NO CARGADO")</f>
        <v>0</v>
      </c>
      <c r="S99">
        <v>20500</v>
      </c>
    </row>
    <row r="100" spans="1:20">
      <c r="B100" s="347">
        <v>45337</v>
      </c>
      <c r="C100" s="343">
        <v>1</v>
      </c>
      <c r="D100" s="344">
        <v>503</v>
      </c>
      <c r="E100" s="345">
        <v>1190400</v>
      </c>
      <c r="F100" s="346">
        <v>30639935872</v>
      </c>
      <c r="G100" s="279" t="str">
        <f>IFERROR(IF(compras_mes2[[#This Row],[CUIT]]="","-",VLOOKUP(compras_mes2[[#This Row],[CUIT]],Lista_CUIT[#All],2,0)),"CUIT NO CARGADO")</f>
        <v>CAMINOS DEL RIO URUGUAY S A DE CONSTRUCCIONES Y CONCESIONES VIALES</v>
      </c>
      <c r="H100" s="276">
        <v>1157.02</v>
      </c>
      <c r="I100" s="266">
        <f>IF(compras_mes2[[#This Row],[NETO GRAVADO]]="","",compras_mes2[[#This Row],[NETO GRAVADO]]*0.21)</f>
        <v>242.9742</v>
      </c>
      <c r="J100" s="266"/>
      <c r="K100" s="266"/>
      <c r="L100" s="266"/>
      <c r="M100" s="266"/>
      <c r="N100" s="266">
        <v>69.42</v>
      </c>
      <c r="O100" s="266"/>
      <c r="P100" s="267">
        <f>SUM(compras_mes2[[#This Row],[NETO GRAVADO]:[Otros / No Grav.]])</f>
        <v>1469.4142000000002</v>
      </c>
      <c r="Q100" s="279" t="str">
        <f>IFERROR(IF(compras_mes2[[#This Row],[CUIT]]="","-",VLOOKUP(compras_mes2[[#This Row],[CUIT]],Lista_CUIT[#All],3,0)),"CUIT NO CARGADO")</f>
        <v>Peajes</v>
      </c>
      <c r="R100" s="280">
        <f>IFERROR(IF(compras_mes2[[#This Row],[CUIT]]="","-",VLOOKUP(compras_mes2[[#This Row],[CUIT]],Lista_CUIT[#All],4,0)),"CUIT NO CARGADO")</f>
        <v>0</v>
      </c>
      <c r="S100">
        <v>3795</v>
      </c>
    </row>
    <row r="101" spans="1:20" s="157" customFormat="1">
      <c r="A101"/>
      <c r="B101" s="347">
        <v>45339</v>
      </c>
      <c r="C101" s="343">
        <v>1</v>
      </c>
      <c r="D101" s="344">
        <v>629</v>
      </c>
      <c r="E101" s="345">
        <v>4897780</v>
      </c>
      <c r="F101" s="346">
        <v>30663498513</v>
      </c>
      <c r="G101" s="279" t="str">
        <f>IFERROR(IF(compras_mes2[[#This Row],[CUIT]]="","-",VLOOKUP(compras_mes2[[#This Row],[CUIT]],Lista_CUIT[#All],2,0)),"CUIT NO CARGADO")</f>
        <v>GRUPO CONCES. DEL OESTE SA</v>
      </c>
      <c r="H101" s="276">
        <v>7231.32</v>
      </c>
      <c r="I101" s="266">
        <f>IF(compras_mes2[[#This Row],[NETO GRAVADO]]="","",compras_mes2[[#This Row],[NETO GRAVADO]]*0.21)</f>
        <v>1518.5771999999999</v>
      </c>
      <c r="J101" s="266"/>
      <c r="K101" s="266"/>
      <c r="L101" s="266"/>
      <c r="M101" s="266"/>
      <c r="N101" s="266"/>
      <c r="O101" s="266"/>
      <c r="P101" s="267">
        <f>SUM(compras_mes2[[#This Row],[NETO GRAVADO]:[Otros / No Grav.]])</f>
        <v>8749.8971999999994</v>
      </c>
      <c r="Q101" s="279" t="str">
        <f>IFERROR(IF(compras_mes2[[#This Row],[CUIT]]="","-",VLOOKUP(compras_mes2[[#This Row],[CUIT]],Lista_CUIT[#All],3,0)),"CUIT NO CARGADO")</f>
        <v>Peajes</v>
      </c>
      <c r="R101" s="280">
        <f>IFERROR(IF(compras_mes2[[#This Row],[CUIT]]="","-",VLOOKUP(compras_mes2[[#This Row],[CUIT]],Lista_CUIT[#All],4,0)),"CUIT NO CARGADO")</f>
        <v>0</v>
      </c>
      <c r="S101">
        <v>65691</v>
      </c>
      <c r="T101"/>
    </row>
    <row r="102" spans="1:20" s="157" customFormat="1">
      <c r="A102"/>
      <c r="B102" s="347">
        <v>45339</v>
      </c>
      <c r="C102" s="343">
        <v>1</v>
      </c>
      <c r="D102" s="344">
        <v>711</v>
      </c>
      <c r="E102" s="345">
        <v>5354451</v>
      </c>
      <c r="F102" s="346">
        <v>30677237119</v>
      </c>
      <c r="G102" s="279" t="str">
        <f>IFERROR(IF(compras_mes2[[#This Row],[CUIT]]="","-",VLOOKUP(compras_mes2[[#This Row],[CUIT]],Lista_CUIT[#All],2,0)),"CUIT NO CARGADO")</f>
        <v>AUTOPISTAS DEL SOL S A</v>
      </c>
      <c r="H102" s="276">
        <v>2355.35</v>
      </c>
      <c r="I102" s="266">
        <f>IF(compras_mes2[[#This Row],[NETO GRAVADO]]="","",compras_mes2[[#This Row],[NETO GRAVADO]]*0.21)</f>
        <v>494.62349999999998</v>
      </c>
      <c r="J102" s="266"/>
      <c r="K102" s="266"/>
      <c r="L102" s="266"/>
      <c r="M102" s="266"/>
      <c r="N102" s="266"/>
      <c r="O102" s="266">
        <v>70.66</v>
      </c>
      <c r="P102" s="267">
        <f>SUM(compras_mes2[[#This Row],[NETO GRAVADO]:[Otros / No Grav.]])</f>
        <v>2920.6334999999999</v>
      </c>
      <c r="Q102" s="279" t="str">
        <f>IFERROR(IF(compras_mes2[[#This Row],[CUIT]]="","-",VLOOKUP(compras_mes2[[#This Row],[CUIT]],Lista_CUIT[#All],3,0)),"CUIT NO CARGADO")</f>
        <v>Peajes</v>
      </c>
      <c r="R102" s="280">
        <f>IFERROR(IF(compras_mes2[[#This Row],[CUIT]]="","-",VLOOKUP(compras_mes2[[#This Row],[CUIT]],Lista_CUIT[#All],4,0)),"CUIT NO CARGADO")</f>
        <v>0</v>
      </c>
      <c r="S102">
        <v>74416.84</v>
      </c>
      <c r="T102"/>
    </row>
    <row r="103" spans="1:20">
      <c r="B103" s="347">
        <v>45341</v>
      </c>
      <c r="C103" s="343">
        <v>1</v>
      </c>
      <c r="D103" s="344">
        <v>5014</v>
      </c>
      <c r="E103" s="345">
        <v>578946</v>
      </c>
      <c r="F103" s="346">
        <v>30574876474</v>
      </c>
      <c r="G103" s="279" t="str">
        <f>IFERROR(IF(compras_mes2[[#This Row],[CUIT]]="","-",VLOOKUP(compras_mes2[[#This Row],[CUIT]],Lista_CUIT[#All],2,0)),"CUIT NO CARGADO")</f>
        <v>AUTOPISTAS URBANAS S A</v>
      </c>
      <c r="H103" s="276">
        <v>43176.24</v>
      </c>
      <c r="I103" s="266">
        <f>IF(compras_mes2[[#This Row],[NETO GRAVADO]]="","",compras_mes2[[#This Row],[NETO GRAVADO]]*0.21)</f>
        <v>9067.0103999999992</v>
      </c>
      <c r="J103" s="266"/>
      <c r="K103" s="266"/>
      <c r="L103" s="266"/>
      <c r="M103" s="266"/>
      <c r="N103" s="266">
        <v>1295.27</v>
      </c>
      <c r="O103" s="266">
        <f>4317.61</f>
        <v>4317.6099999999997</v>
      </c>
      <c r="P103" s="267">
        <f>SUM(compras_mes2[[#This Row],[NETO GRAVADO]:[Otros / No Grav.]])</f>
        <v>57856.130399999995</v>
      </c>
      <c r="Q103" s="279" t="str">
        <f>IFERROR(IF(compras_mes2[[#This Row],[CUIT]]="","-",VLOOKUP(compras_mes2[[#This Row],[CUIT]],Lista_CUIT[#All],3,0)),"CUIT NO CARGADO")</f>
        <v>Peajes</v>
      </c>
      <c r="R103" s="280">
        <f>IFERROR(IF(compras_mes2[[#This Row],[CUIT]]="","-",VLOOKUP(compras_mes2[[#This Row],[CUIT]],Lista_CUIT[#All],4,0)),"CUIT NO CARGADO")</f>
        <v>0</v>
      </c>
      <c r="S103">
        <v>82167.649999999994</v>
      </c>
    </row>
    <row r="104" spans="1:20">
      <c r="B104" s="347">
        <v>45342</v>
      </c>
      <c r="C104" s="343">
        <v>1</v>
      </c>
      <c r="D104" s="344">
        <v>700</v>
      </c>
      <c r="E104" s="345">
        <v>1487273</v>
      </c>
      <c r="F104" s="346">
        <v>30715804812</v>
      </c>
      <c r="G104" s="279" t="str">
        <f>IFERROR(IF(compras_mes2[[#This Row],[CUIT]]="","-",VLOOKUP(compras_mes2[[#This Row],[CUIT]],Lista_CUIT[#All],2,0)),"CUIT NO CARGADO")</f>
        <v>CORREDORES VIALES SOCIEDAD ANONIMA</v>
      </c>
      <c r="H104" s="276">
        <v>950.41</v>
      </c>
      <c r="I104" s="266">
        <f>IF(compras_mes2[[#This Row],[NETO GRAVADO]]="","",compras_mes2[[#This Row],[NETO GRAVADO]]*0.21)</f>
        <v>199.58609999999999</v>
      </c>
      <c r="J104" s="266"/>
      <c r="K104" s="266"/>
      <c r="L104" s="266"/>
      <c r="M104" s="266"/>
      <c r="N104" s="266"/>
      <c r="O104" s="266"/>
      <c r="P104" s="267">
        <f>SUM(compras_mes2[[#This Row],[NETO GRAVADO]:[Otros / No Grav.]])</f>
        <v>1149.9960999999998</v>
      </c>
      <c r="Q104" s="279" t="str">
        <f>IFERROR(IF(compras_mes2[[#This Row],[CUIT]]="","-",VLOOKUP(compras_mes2[[#This Row],[CUIT]],Lista_CUIT[#All],3,0)),"CUIT NO CARGADO")</f>
        <v>Peajes</v>
      </c>
      <c r="R104" s="280">
        <f>IFERROR(IF(compras_mes2[[#This Row],[CUIT]]="","-",VLOOKUP(compras_mes2[[#This Row],[CUIT]],Lista_CUIT[#All],4,0)),"CUIT NO CARGADO")</f>
        <v>0</v>
      </c>
      <c r="S104">
        <v>19999.02</v>
      </c>
    </row>
    <row r="105" spans="1:20" s="157" customFormat="1">
      <c r="A105"/>
      <c r="B105" s="347">
        <v>45351</v>
      </c>
      <c r="C105" s="343">
        <v>1</v>
      </c>
      <c r="D105" s="344">
        <v>50</v>
      </c>
      <c r="E105" s="345">
        <v>3496971</v>
      </c>
      <c r="F105" s="346">
        <v>30714112836</v>
      </c>
      <c r="G105" s="279" t="str">
        <f>IFERROR(IF(compras_mes2[[#This Row],[CUIT]]="","-",VLOOKUP(compras_mes2[[#This Row],[CUIT]],Lista_CUIT[#All],2,0)),"CUIT NO CARGADO")</f>
        <v>AUTOPISTAS DE BS AS</v>
      </c>
      <c r="H105" s="276">
        <v>12739.67</v>
      </c>
      <c r="I105" s="266">
        <f>IF(compras_mes2[[#This Row],[NETO GRAVADO]]="","",compras_mes2[[#This Row],[NETO GRAVADO]]*0.21)</f>
        <v>2675.3307</v>
      </c>
      <c r="J105" s="266"/>
      <c r="K105" s="266"/>
      <c r="L105" s="266">
        <v>382.19</v>
      </c>
      <c r="M105" s="266"/>
      <c r="N105" s="266"/>
      <c r="O105" s="266"/>
      <c r="P105" s="267">
        <f>SUM(compras_mes2[[#This Row],[NETO GRAVADO]:[Otros / No Grav.]])</f>
        <v>15797.190700000001</v>
      </c>
      <c r="Q105" s="279" t="str">
        <f>IFERROR(IF(compras_mes2[[#This Row],[CUIT]]="","-",VLOOKUP(compras_mes2[[#This Row],[CUIT]],Lista_CUIT[#All],3,0)),"CUIT NO CARGADO")</f>
        <v>Peajes</v>
      </c>
      <c r="R105" s="280">
        <f>IFERROR(IF(compras_mes2[[#This Row],[CUIT]]="","-",VLOOKUP(compras_mes2[[#This Row],[CUIT]],Lista_CUIT[#All],4,0)),"CUIT NO CARGADO")</f>
        <v>0</v>
      </c>
      <c r="S105">
        <v>93593.81</v>
      </c>
      <c r="T105"/>
    </row>
    <row r="106" spans="1:20" s="157" customFormat="1">
      <c r="A106"/>
      <c r="B106" s="347">
        <v>45323</v>
      </c>
      <c r="C106" s="343">
        <v>1</v>
      </c>
      <c r="D106" s="344">
        <v>6</v>
      </c>
      <c r="E106" s="345">
        <v>2996</v>
      </c>
      <c r="F106" s="346">
        <v>30574603788</v>
      </c>
      <c r="G106" s="279" t="str">
        <f>IFERROR(IF(compras_mes2[[#This Row],[CUIT]]="","-",VLOOKUP(compras_mes2[[#This Row],[CUIT]],Lista_CUIT[#All],2,0)),"CUIT NO CARGADO")</f>
        <v>CODAC SRL</v>
      </c>
      <c r="H106" s="276">
        <v>1435500</v>
      </c>
      <c r="I106" s="266">
        <f>IF(compras_mes2[[#This Row],[NETO GRAVADO]]="","",compras_mes2[[#This Row],[NETO GRAVADO]]*0.21)</f>
        <v>301455</v>
      </c>
      <c r="J106" s="266"/>
      <c r="K106" s="266"/>
      <c r="L106" s="266"/>
      <c r="M106" s="266"/>
      <c r="N106" s="266"/>
      <c r="O106" s="266"/>
      <c r="P106" s="267">
        <f>SUM(compras_mes2[[#This Row],[NETO GRAVADO]:[Otros / No Grav.]])</f>
        <v>1736955</v>
      </c>
      <c r="Q106" s="279" t="str">
        <f>IFERROR(IF(compras_mes2[[#This Row],[CUIT]]="","-",VLOOKUP(compras_mes2[[#This Row],[CUIT]],Lista_CUIT[#All],3,0)),"CUIT NO CARGADO")</f>
        <v>Productos Venta</v>
      </c>
      <c r="R106" s="280" t="str">
        <f>IFERROR(IF(compras_mes2[[#This Row],[CUIT]]="","-",VLOOKUP(compras_mes2[[#This Row],[CUIT]],Lista_CUIT[#All],4,0)),"CUIT NO CARGADO")</f>
        <v>BUENOS AIRES</v>
      </c>
      <c r="S106">
        <v>62697.42</v>
      </c>
      <c r="T106"/>
    </row>
    <row r="107" spans="1:20" s="157" customFormat="1">
      <c r="A107"/>
      <c r="B107" s="40">
        <v>45343</v>
      </c>
      <c r="C107" s="41">
        <v>1</v>
      </c>
      <c r="D107" s="331">
        <v>6</v>
      </c>
      <c r="E107" s="332">
        <v>3011</v>
      </c>
      <c r="F107" s="333">
        <v>30574603788</v>
      </c>
      <c r="G107" s="45" t="str">
        <f>IFERROR(IF(compras_mes2[[#This Row],[CUIT]]="","-",VLOOKUP(compras_mes2[[#This Row],[CUIT]],Lista_CUIT[#All],2,0)),"CUIT NO CARGADO")</f>
        <v>CODAC SRL</v>
      </c>
      <c r="H107" s="46">
        <v>4997456</v>
      </c>
      <c r="I107" s="85">
        <f>IF(compras_mes2[[#This Row],[NETO GRAVADO]]="","",compras_mes2[[#This Row],[NETO GRAVADO]]*0.21)</f>
        <v>1049465.76</v>
      </c>
      <c r="J107" s="85"/>
      <c r="K107" s="85"/>
      <c r="L107" s="85"/>
      <c r="M107" s="85"/>
      <c r="N107" s="85"/>
      <c r="O107" s="85"/>
      <c r="P107" s="48">
        <f>SUM(compras_mes2[[#This Row],[NETO GRAVADO]:[Otros / No Grav.]])</f>
        <v>6046921.7599999998</v>
      </c>
      <c r="Q107" s="45" t="str">
        <f>IFERROR(IF(compras_mes2[[#This Row],[CUIT]]="","-",VLOOKUP(compras_mes2[[#This Row],[CUIT]],Lista_CUIT[#All],3,0)),"CUIT NO CARGADO")</f>
        <v>Productos Venta</v>
      </c>
      <c r="R107" s="49" t="str">
        <f>IFERROR(IF(compras_mes2[[#This Row],[CUIT]]="","-",VLOOKUP(compras_mes2[[#This Row],[CUIT]],Lista_CUIT[#All],4,0)),"CUIT NO CARGADO")</f>
        <v>BUENOS AIRES</v>
      </c>
      <c r="S107">
        <v>73775.759999999995</v>
      </c>
      <c r="T107"/>
    </row>
    <row r="108" spans="1:20" s="157" customFormat="1">
      <c r="A108"/>
      <c r="B108" s="40">
        <v>45338</v>
      </c>
      <c r="C108" s="41">
        <v>1</v>
      </c>
      <c r="D108" s="331">
        <v>2</v>
      </c>
      <c r="E108" s="332">
        <v>7425</v>
      </c>
      <c r="F108" s="333">
        <v>33714677239</v>
      </c>
      <c r="G108" s="45" t="str">
        <f>IFERROR(IF(compras_mes2[[#This Row],[CUIT]]="","-",VLOOKUP(compras_mes2[[#This Row],[CUIT]],Lista_CUIT[#All],2,0)),"CUIT NO CARGADO")</f>
        <v xml:space="preserve">BOMBAS VAPORIZADORAS </v>
      </c>
      <c r="H108" s="46">
        <v>1067500</v>
      </c>
      <c r="I108" s="85">
        <f>IF(compras_mes2[[#This Row],[NETO GRAVADO]]="","",compras_mes2[[#This Row],[NETO GRAVADO]]*0.21)</f>
        <v>224175</v>
      </c>
      <c r="J108" s="85"/>
      <c r="K108" s="85"/>
      <c r="L108" s="85"/>
      <c r="M108" s="85"/>
      <c r="N108" s="85"/>
      <c r="O108" s="85"/>
      <c r="P108" s="48">
        <f>SUM(compras_mes2[[#This Row],[NETO GRAVADO]:[Otros / No Grav.]])</f>
        <v>1291675</v>
      </c>
      <c r="Q108" s="45" t="str">
        <f>IFERROR(IF(compras_mes2[[#This Row],[CUIT]]="","-",VLOOKUP(compras_mes2[[#This Row],[CUIT]],Lista_CUIT[#All],3,0)),"CUIT NO CARGADO")</f>
        <v>Productos Venta</v>
      </c>
      <c r="R108" s="49">
        <f>IFERROR(IF(compras_mes2[[#This Row],[CUIT]]="","-",VLOOKUP(compras_mes2[[#This Row],[CUIT]],Lista_CUIT[#All],4,0)),"CUIT NO CARGADO")</f>
        <v>0</v>
      </c>
      <c r="S108">
        <v>299999</v>
      </c>
      <c r="T108"/>
    </row>
    <row r="109" spans="1:20" s="157" customFormat="1">
      <c r="A109"/>
      <c r="B109" s="40">
        <v>45344</v>
      </c>
      <c r="C109" s="41">
        <v>1</v>
      </c>
      <c r="D109" s="331">
        <v>1</v>
      </c>
      <c r="E109" s="332">
        <v>83</v>
      </c>
      <c r="F109" s="333">
        <v>30718148207</v>
      </c>
      <c r="G109" s="45" t="str">
        <f>IFERROR(IF(compras_mes2[[#This Row],[CUIT]]="","-",VLOOKUP(compras_mes2[[#This Row],[CUIT]],Lista_CUIT[#All],2,0)),"CUIT NO CARGADO")</f>
        <v>VIPA INTERNATIONAL S.R.L.</v>
      </c>
      <c r="H109" s="46">
        <v>2150578.52</v>
      </c>
      <c r="I109" s="85">
        <f>IF(compras_mes2[[#This Row],[NETO GRAVADO]]="","",compras_mes2[[#This Row],[NETO GRAVADO]]*0.21)</f>
        <v>451621.48920000001</v>
      </c>
      <c r="J109" s="85"/>
      <c r="K109" s="85"/>
      <c r="L109" s="85"/>
      <c r="M109" s="85"/>
      <c r="N109" s="85"/>
      <c r="O109" s="85"/>
      <c r="P109" s="48">
        <f>SUM(compras_mes2[[#This Row],[NETO GRAVADO]:[Otros / No Grav.]])</f>
        <v>2602200.0092000002</v>
      </c>
      <c r="Q109" s="45" t="str">
        <f>IFERROR(IF(compras_mes2[[#This Row],[CUIT]]="","-",VLOOKUP(compras_mes2[[#This Row],[CUIT]],Lista_CUIT[#All],3,0)),"CUIT NO CARGADO")</f>
        <v>Productos Venta</v>
      </c>
      <c r="R109" s="49">
        <f>IFERROR(IF(compras_mes2[[#This Row],[CUIT]]="","-",VLOOKUP(compras_mes2[[#This Row],[CUIT]],Lista_CUIT[#All],4,0)),"CUIT NO CARGADO")</f>
        <v>0</v>
      </c>
      <c r="S109">
        <v>52420.01</v>
      </c>
      <c r="T109"/>
    </row>
    <row r="110" spans="1:20">
      <c r="B110" s="40">
        <v>45349</v>
      </c>
      <c r="C110" s="41">
        <v>1</v>
      </c>
      <c r="D110" s="331">
        <v>1</v>
      </c>
      <c r="E110" s="332">
        <v>84</v>
      </c>
      <c r="F110" s="333">
        <v>30718148207</v>
      </c>
      <c r="G110" s="45" t="str">
        <f>IFERROR(IF(compras_mes2[[#This Row],[CUIT]]="","-",VLOOKUP(compras_mes2[[#This Row],[CUIT]],Lista_CUIT[#All],2,0)),"CUIT NO CARGADO")</f>
        <v>VIPA INTERNATIONAL S.R.L.</v>
      </c>
      <c r="H110" s="46">
        <v>767109</v>
      </c>
      <c r="I110" s="85">
        <f>IF(compras_mes2[[#This Row],[NETO GRAVADO]]="","",compras_mes2[[#This Row],[NETO GRAVADO]]*0.21)</f>
        <v>161092.88999999998</v>
      </c>
      <c r="J110" s="85"/>
      <c r="K110" s="85"/>
      <c r="L110" s="85"/>
      <c r="M110" s="85"/>
      <c r="N110" s="85"/>
      <c r="O110" s="85"/>
      <c r="P110" s="48">
        <f>SUM(compras_mes2[[#This Row],[NETO GRAVADO]:[Otros / No Grav.]])</f>
        <v>928201.89</v>
      </c>
      <c r="Q110" s="45" t="str">
        <f>IFERROR(IF(compras_mes2[[#This Row],[CUIT]]="","-",VLOOKUP(compras_mes2[[#This Row],[CUIT]],Lista_CUIT[#All],3,0)),"CUIT NO CARGADO")</f>
        <v>Productos Venta</v>
      </c>
      <c r="R110" s="49">
        <f>IFERROR(IF(compras_mes2[[#This Row],[CUIT]]="","-",VLOOKUP(compras_mes2[[#This Row],[CUIT]],Lista_CUIT[#All],4,0)),"CUIT NO CARGADO")</f>
        <v>0</v>
      </c>
      <c r="S110">
        <v>57856.02</v>
      </c>
    </row>
    <row r="111" spans="1:20">
      <c r="B111" s="347">
        <v>45323</v>
      </c>
      <c r="C111" s="343">
        <v>1</v>
      </c>
      <c r="D111" s="344">
        <v>2</v>
      </c>
      <c r="E111" s="345">
        <v>3577</v>
      </c>
      <c r="F111" s="346">
        <v>30629863571</v>
      </c>
      <c r="G111" s="279" t="str">
        <f>IFERROR(IF(compras_mes2[[#This Row],[CUIT]]="","-",VLOOKUP(compras_mes2[[#This Row],[CUIT]],Lista_CUIT[#All],2,0)),"CUIT NO CARGADO")</f>
        <v>TECNIMAR S R L</v>
      </c>
      <c r="H111" s="276">
        <v>2100496.67</v>
      </c>
      <c r="I111" s="266">
        <f>IF(compras_mes2[[#This Row],[NETO GRAVADO]]="","",compras_mes2[[#This Row],[NETO GRAVADO]]*0.21)</f>
        <v>441104.30069999996</v>
      </c>
      <c r="J111" s="266"/>
      <c r="K111" s="266"/>
      <c r="L111" s="266"/>
      <c r="M111" s="266"/>
      <c r="N111" s="266"/>
      <c r="O111" s="266"/>
      <c r="P111" s="267">
        <f>SUM(compras_mes2[[#This Row],[NETO GRAVADO]:[Otros / No Grav.]])</f>
        <v>2541600.9706999999</v>
      </c>
      <c r="Q111" s="279" t="str">
        <f>IFERROR(IF(compras_mes2[[#This Row],[CUIT]]="","-",VLOOKUP(compras_mes2[[#This Row],[CUIT]],Lista_CUIT[#All],3,0)),"CUIT NO CARGADO")</f>
        <v>Productos Venta</v>
      </c>
      <c r="R111" s="280">
        <f>IFERROR(IF(compras_mes2[[#This Row],[CUIT]]="","-",VLOOKUP(compras_mes2[[#This Row],[CUIT]],Lista_CUIT[#All],4,0)),"CUIT NO CARGADO")</f>
        <v>0</v>
      </c>
      <c r="S111">
        <v>-117.87</v>
      </c>
    </row>
    <row r="112" spans="1:20">
      <c r="B112" s="347">
        <v>45323</v>
      </c>
      <c r="C112" s="343">
        <v>1</v>
      </c>
      <c r="D112" s="344">
        <v>2</v>
      </c>
      <c r="E112" s="345">
        <v>3581</v>
      </c>
      <c r="F112" s="346">
        <v>30629863571</v>
      </c>
      <c r="G112" s="279" t="str">
        <f>IFERROR(IF(compras_mes2[[#This Row],[CUIT]]="","-",VLOOKUP(compras_mes2[[#This Row],[CUIT]],Lista_CUIT[#All],2,0)),"CUIT NO CARGADO")</f>
        <v>TECNIMAR S R L</v>
      </c>
      <c r="H112" s="276">
        <v>6874566.2400000002</v>
      </c>
      <c r="I112" s="266">
        <f>IF(compras_mes2[[#This Row],[NETO GRAVADO]]="","",compras_mes2[[#This Row],[NETO GRAVADO]]*0.21)</f>
        <v>1443658.9103999999</v>
      </c>
      <c r="J112" s="266"/>
      <c r="K112" s="266"/>
      <c r="L112" s="266"/>
      <c r="M112" s="266"/>
      <c r="N112" s="266"/>
      <c r="O112" s="266"/>
      <c r="P112" s="267">
        <f>SUM(compras_mes2[[#This Row],[NETO GRAVADO]:[Otros / No Grav.]])</f>
        <v>8318225.1503999997</v>
      </c>
      <c r="Q112" s="279" t="str">
        <f>IFERROR(IF(compras_mes2[[#This Row],[CUIT]]="","-",VLOOKUP(compras_mes2[[#This Row],[CUIT]],Lista_CUIT[#All],3,0)),"CUIT NO CARGADO")</f>
        <v>Productos Venta</v>
      </c>
      <c r="R112" s="280">
        <f>IFERROR(IF(compras_mes2[[#This Row],[CUIT]]="","-",VLOOKUP(compras_mes2[[#This Row],[CUIT]],Lista_CUIT[#All],4,0)),"CUIT NO CARGADO")</f>
        <v>0</v>
      </c>
      <c r="S112">
        <v>300276.07</v>
      </c>
    </row>
    <row r="113" spans="1:20">
      <c r="B113" s="347">
        <v>45327</v>
      </c>
      <c r="C113" s="343">
        <v>1</v>
      </c>
      <c r="D113" s="344">
        <v>2</v>
      </c>
      <c r="E113" s="345">
        <v>3582</v>
      </c>
      <c r="F113" s="346">
        <v>30629863571</v>
      </c>
      <c r="G113" s="279" t="str">
        <f>IFERROR(IF(compras_mes2[[#This Row],[CUIT]]="","-",VLOOKUP(compras_mes2[[#This Row],[CUIT]],Lista_CUIT[#All],2,0)),"CUIT NO CARGADO")</f>
        <v>TECNIMAR S R L</v>
      </c>
      <c r="H113" s="276">
        <v>2896261.43</v>
      </c>
      <c r="I113" s="266">
        <f>IF(compras_mes2[[#This Row],[NETO GRAVADO]]="","",compras_mes2[[#This Row],[NETO GRAVADO]]*0.21)</f>
        <v>608214.90029999998</v>
      </c>
      <c r="J113" s="266"/>
      <c r="K113" s="266"/>
      <c r="L113" s="266"/>
      <c r="M113" s="266"/>
      <c r="N113" s="266"/>
      <c r="O113" s="266"/>
      <c r="P113" s="267">
        <f>SUM(compras_mes2[[#This Row],[NETO GRAVADO]:[Otros / No Grav.]])</f>
        <v>3504476.3303</v>
      </c>
      <c r="Q113" s="279" t="str">
        <f>IFERROR(IF(compras_mes2[[#This Row],[CUIT]]="","-",VLOOKUP(compras_mes2[[#This Row],[CUIT]],Lista_CUIT[#All],3,0)),"CUIT NO CARGADO")</f>
        <v>Productos Venta</v>
      </c>
      <c r="R113" s="280">
        <f>IFERROR(IF(compras_mes2[[#This Row],[CUIT]]="","-",VLOOKUP(compras_mes2[[#This Row],[CUIT]],Lista_CUIT[#All],4,0)),"CUIT NO CARGADO")</f>
        <v>0</v>
      </c>
      <c r="S113">
        <v>1469.42</v>
      </c>
    </row>
    <row r="114" spans="1:20" s="157" customFormat="1">
      <c r="A114"/>
      <c r="B114" s="347">
        <v>45328</v>
      </c>
      <c r="C114" s="343">
        <v>1</v>
      </c>
      <c r="D114" s="344">
        <v>2</v>
      </c>
      <c r="E114" s="345">
        <v>3585</v>
      </c>
      <c r="F114" s="346">
        <v>30629863571</v>
      </c>
      <c r="G114" s="279" t="str">
        <f>IFERROR(IF(compras_mes2[[#This Row],[CUIT]]="","-",VLOOKUP(compras_mes2[[#This Row],[CUIT]],Lista_CUIT[#All],2,0)),"CUIT NO CARGADO")</f>
        <v>TECNIMAR S R L</v>
      </c>
      <c r="H114" s="276">
        <v>2620624.2400000002</v>
      </c>
      <c r="I114" s="266">
        <f>IF(compras_mes2[[#This Row],[NETO GRAVADO]]="","",compras_mes2[[#This Row],[NETO GRAVADO]]*0.21)</f>
        <v>550331.09039999999</v>
      </c>
      <c r="J114" s="266"/>
      <c r="K114" s="266"/>
      <c r="L114" s="266"/>
      <c r="M114" s="266"/>
      <c r="N114" s="266"/>
      <c r="O114" s="266"/>
      <c r="P114" s="267">
        <f>SUM(compras_mes2[[#This Row],[NETO GRAVADO]:[Otros / No Grav.]])</f>
        <v>3170955.3304000003</v>
      </c>
      <c r="Q114" s="279" t="str">
        <f>IFERROR(IF(compras_mes2[[#This Row],[CUIT]]="","-",VLOOKUP(compras_mes2[[#This Row],[CUIT]],Lista_CUIT[#All],3,0)),"CUIT NO CARGADO")</f>
        <v>Productos Venta</v>
      </c>
      <c r="R114" s="280">
        <f>IFERROR(IF(compras_mes2[[#This Row],[CUIT]]="","-",VLOOKUP(compras_mes2[[#This Row],[CUIT]],Lista_CUIT[#All],4,0)),"CUIT NO CARGADO")</f>
        <v>0</v>
      </c>
      <c r="S114">
        <v>2800</v>
      </c>
      <c r="T114"/>
    </row>
    <row r="115" spans="1:20">
      <c r="B115" s="347">
        <v>45329</v>
      </c>
      <c r="C115" s="343">
        <v>1</v>
      </c>
      <c r="D115" s="344">
        <v>2</v>
      </c>
      <c r="E115" s="345">
        <v>3587</v>
      </c>
      <c r="F115" s="346">
        <v>30629863571</v>
      </c>
      <c r="G115" s="279" t="str">
        <f>IFERROR(IF(compras_mes2[[#This Row],[CUIT]]="","-",VLOOKUP(compras_mes2[[#This Row],[CUIT]],Lista_CUIT[#All],2,0)),"CUIT NO CARGADO")</f>
        <v>TECNIMAR S R L</v>
      </c>
      <c r="H115" s="276">
        <v>6121435.4299999997</v>
      </c>
      <c r="I115" s="266">
        <f>IF(compras_mes2[[#This Row],[NETO GRAVADO]]="","",compras_mes2[[#This Row],[NETO GRAVADO]]*0.21)</f>
        <v>1285501.4402999999</v>
      </c>
      <c r="J115" s="266"/>
      <c r="K115" s="266"/>
      <c r="L115" s="266"/>
      <c r="M115" s="266"/>
      <c r="N115" s="266"/>
      <c r="O115" s="266"/>
      <c r="P115" s="267">
        <f>SUM(compras_mes2[[#This Row],[NETO GRAVADO]:[Otros / No Grav.]])</f>
        <v>7406936.8702999996</v>
      </c>
      <c r="Q115" s="279" t="str">
        <f>IFERROR(IF(compras_mes2[[#This Row],[CUIT]]="","-",VLOOKUP(compras_mes2[[#This Row],[CUIT]],Lista_CUIT[#All],3,0)),"CUIT NO CARGADO")</f>
        <v>Productos Venta</v>
      </c>
      <c r="R115" s="280">
        <f>IFERROR(IF(compras_mes2[[#This Row],[CUIT]]="","-",VLOOKUP(compras_mes2[[#This Row],[CUIT]],Lista_CUIT[#All],4,0)),"CUIT NO CARGADO")</f>
        <v>0</v>
      </c>
      <c r="S115">
        <v>1150</v>
      </c>
    </row>
    <row r="116" spans="1:20">
      <c r="B116" s="40">
        <v>45337</v>
      </c>
      <c r="C116" s="41">
        <v>1</v>
      </c>
      <c r="D116" s="331">
        <v>2</v>
      </c>
      <c r="E116" s="332">
        <v>3593</v>
      </c>
      <c r="F116" s="333">
        <v>30629863571</v>
      </c>
      <c r="G116" s="45" t="str">
        <f>IFERROR(IF(compras_mes2[[#This Row],[CUIT]]="","-",VLOOKUP(compras_mes2[[#This Row],[CUIT]],Lista_CUIT[#All],2,0)),"CUIT NO CARGADO")</f>
        <v>TECNIMAR S R L</v>
      </c>
      <c r="H116" s="46">
        <v>3262490.71</v>
      </c>
      <c r="I116" s="85">
        <f>IF(compras_mes2[[#This Row],[NETO GRAVADO]]="","",compras_mes2[[#This Row],[NETO GRAVADO]]*0.21)</f>
        <v>685123.04909999995</v>
      </c>
      <c r="J116" s="85"/>
      <c r="K116" s="85"/>
      <c r="L116" s="85"/>
      <c r="M116" s="85"/>
      <c r="N116" s="85"/>
      <c r="O116" s="85"/>
      <c r="P116" s="48">
        <f>SUM(compras_mes2[[#This Row],[NETO GRAVADO]:[Otros / No Grav.]])</f>
        <v>3947613.7590999999</v>
      </c>
      <c r="Q116" s="45" t="str">
        <f>IFERROR(IF(compras_mes2[[#This Row],[CUIT]]="","-",VLOOKUP(compras_mes2[[#This Row],[CUIT]],Lista_CUIT[#All],3,0)),"CUIT NO CARGADO")</f>
        <v>Productos Venta</v>
      </c>
      <c r="R116" s="49">
        <f>IFERROR(IF(compras_mes2[[#This Row],[CUIT]]="","-",VLOOKUP(compras_mes2[[#This Row],[CUIT]],Lista_CUIT[#All],4,0)),"CUIT NO CARGADO")</f>
        <v>0</v>
      </c>
      <c r="S116">
        <v>595641.54</v>
      </c>
    </row>
    <row r="117" spans="1:20">
      <c r="B117" s="40">
        <v>45343</v>
      </c>
      <c r="C117" s="41">
        <v>1</v>
      </c>
      <c r="D117" s="331">
        <v>2</v>
      </c>
      <c r="E117" s="332">
        <v>3596</v>
      </c>
      <c r="F117" s="333">
        <v>30629863571</v>
      </c>
      <c r="G117" s="45" t="str">
        <f>IFERROR(IF(compras_mes2[[#This Row],[CUIT]]="","-",VLOOKUP(compras_mes2[[#This Row],[CUIT]],Lista_CUIT[#All],2,0)),"CUIT NO CARGADO")</f>
        <v>TECNIMAR S R L</v>
      </c>
      <c r="H117" s="46">
        <v>10268532.380000001</v>
      </c>
      <c r="I117" s="85">
        <f>IF(compras_mes2[[#This Row],[NETO GRAVADO]]="","",compras_mes2[[#This Row],[NETO GRAVADO]]*0.21)</f>
        <v>2156391.7998000002</v>
      </c>
      <c r="J117" s="85"/>
      <c r="K117" s="85"/>
      <c r="L117" s="85"/>
      <c r="M117" s="85"/>
      <c r="N117" s="85"/>
      <c r="O117" s="85"/>
      <c r="P117" s="48">
        <f>SUM(compras_mes2[[#This Row],[NETO GRAVADO]:[Otros / No Grav.]])</f>
        <v>12424924.1798</v>
      </c>
      <c r="Q117" s="45" t="str">
        <f>IFERROR(IF(compras_mes2[[#This Row],[CUIT]]="","-",VLOOKUP(compras_mes2[[#This Row],[CUIT]],Lista_CUIT[#All],3,0)),"CUIT NO CARGADO")</f>
        <v>Productos Venta</v>
      </c>
      <c r="R117" s="49">
        <f>IFERROR(IF(compras_mes2[[#This Row],[CUIT]]="","-",VLOOKUP(compras_mes2[[#This Row],[CUIT]],Lista_CUIT[#All],4,0)),"CUIT NO CARGADO")</f>
        <v>0</v>
      </c>
      <c r="S117">
        <v>39975.53</v>
      </c>
    </row>
    <row r="118" spans="1:20">
      <c r="B118" s="40">
        <v>45344</v>
      </c>
      <c r="C118" s="41">
        <v>1</v>
      </c>
      <c r="D118" s="331">
        <v>2</v>
      </c>
      <c r="E118" s="332">
        <v>3598</v>
      </c>
      <c r="F118" s="333">
        <v>30629863571</v>
      </c>
      <c r="G118" s="45" t="str">
        <f>IFERROR(IF(compras_mes2[[#This Row],[CUIT]]="","-",VLOOKUP(compras_mes2[[#This Row],[CUIT]],Lista_CUIT[#All],2,0)),"CUIT NO CARGADO")</f>
        <v>TECNIMAR S R L</v>
      </c>
      <c r="H118" s="46">
        <v>3617138.81</v>
      </c>
      <c r="I118" s="85">
        <f>IF(compras_mes2[[#This Row],[NETO GRAVADO]]="","",compras_mes2[[#This Row],[NETO GRAVADO]]*0.21)</f>
        <v>759599.15009999997</v>
      </c>
      <c r="J118" s="85"/>
      <c r="K118" s="85"/>
      <c r="L118" s="85"/>
      <c r="M118" s="85"/>
      <c r="N118" s="85"/>
      <c r="O118" s="85"/>
      <c r="P118" s="48">
        <f>SUM(compras_mes2[[#This Row],[NETO GRAVADO]:[Otros / No Grav.]])</f>
        <v>4376737.9600999998</v>
      </c>
      <c r="Q118" s="45" t="str">
        <f>IFERROR(IF(compras_mes2[[#This Row],[CUIT]]="","-",VLOOKUP(compras_mes2[[#This Row],[CUIT]],Lista_CUIT[#All],3,0)),"CUIT NO CARGADO")</f>
        <v>Productos Venta</v>
      </c>
      <c r="R118" s="49">
        <f>IFERROR(IF(compras_mes2[[#This Row],[CUIT]]="","-",VLOOKUP(compras_mes2[[#This Row],[CUIT]],Lista_CUIT[#All],4,0)),"CUIT NO CARGADO")</f>
        <v>0</v>
      </c>
      <c r="S118">
        <v>39975.53</v>
      </c>
    </row>
    <row r="119" spans="1:20">
      <c r="B119" s="40">
        <v>45349</v>
      </c>
      <c r="C119" s="41">
        <v>1</v>
      </c>
      <c r="D119" s="331">
        <v>2</v>
      </c>
      <c r="E119" s="332">
        <v>3603</v>
      </c>
      <c r="F119" s="333">
        <v>30629863571</v>
      </c>
      <c r="G119" s="45" t="str">
        <f>IFERROR(IF(compras_mes2[[#This Row],[CUIT]]="","-",VLOOKUP(compras_mes2[[#This Row],[CUIT]],Lista_CUIT[#All],2,0)),"CUIT NO CARGADO")</f>
        <v>TECNIMAR S R L</v>
      </c>
      <c r="H119" s="46">
        <v>2283288.9</v>
      </c>
      <c r="I119" s="85">
        <f>IF(compras_mes2[[#This Row],[NETO GRAVADO]]="","",compras_mes2[[#This Row],[NETO GRAVADO]]*0.21)</f>
        <v>479490.66899999994</v>
      </c>
      <c r="J119" s="85"/>
      <c r="K119" s="85"/>
      <c r="L119" s="85"/>
      <c r="M119" s="85"/>
      <c r="N119" s="85"/>
      <c r="O119" s="85"/>
      <c r="P119" s="48">
        <f>SUM(compras_mes2[[#This Row],[NETO GRAVADO]:[Otros / No Grav.]])</f>
        <v>2762779.5689999997</v>
      </c>
      <c r="Q119" s="45" t="str">
        <f>IFERROR(IF(compras_mes2[[#This Row],[CUIT]]="","-",VLOOKUP(compras_mes2[[#This Row],[CUIT]],Lista_CUIT[#All],3,0)),"CUIT NO CARGADO")</f>
        <v>Productos Venta</v>
      </c>
      <c r="R119" s="49">
        <f>IFERROR(IF(compras_mes2[[#This Row],[CUIT]]="","-",VLOOKUP(compras_mes2[[#This Row],[CUIT]],Lista_CUIT[#All],4,0)),"CUIT NO CARGADO")</f>
        <v>0</v>
      </c>
      <c r="S119">
        <v>36926.11</v>
      </c>
    </row>
    <row r="120" spans="1:20">
      <c r="B120" s="40">
        <v>45351</v>
      </c>
      <c r="C120" s="41">
        <v>1</v>
      </c>
      <c r="D120" s="331">
        <v>2</v>
      </c>
      <c r="E120" s="332">
        <v>3605</v>
      </c>
      <c r="F120" s="333">
        <v>30629863571</v>
      </c>
      <c r="G120" s="45" t="str">
        <f>IFERROR(IF(compras_mes2[[#This Row],[CUIT]]="","-",VLOOKUP(compras_mes2[[#This Row],[CUIT]],Lista_CUIT[#All],2,0)),"CUIT NO CARGADO")</f>
        <v>TECNIMAR S R L</v>
      </c>
      <c r="H120" s="46">
        <v>2395680</v>
      </c>
      <c r="I120" s="85">
        <f>IF(compras_mes2[[#This Row],[NETO GRAVADO]]="","",compras_mes2[[#This Row],[NETO GRAVADO]]*0.21)</f>
        <v>503092.8</v>
      </c>
      <c r="J120" s="85"/>
      <c r="K120" s="85"/>
      <c r="L120" s="85"/>
      <c r="M120" s="85"/>
      <c r="N120" s="85"/>
      <c r="O120" s="85"/>
      <c r="P120" s="48">
        <f>SUM(compras_mes2[[#This Row],[NETO GRAVADO]:[Otros / No Grav.]])</f>
        <v>2898772.8</v>
      </c>
      <c r="Q120" s="45" t="str">
        <f>IFERROR(IF(compras_mes2[[#This Row],[CUIT]]="","-",VLOOKUP(compras_mes2[[#This Row],[CUIT]],Lista_CUIT[#All],3,0)),"CUIT NO CARGADO")</f>
        <v>Productos Venta</v>
      </c>
      <c r="R120" s="49">
        <f>IFERROR(IF(compras_mes2[[#This Row],[CUIT]]="","-",VLOOKUP(compras_mes2[[#This Row],[CUIT]],Lista_CUIT[#All],4,0)),"CUIT NO CARGADO")</f>
        <v>0</v>
      </c>
      <c r="S120">
        <v>56875</v>
      </c>
    </row>
    <row r="121" spans="1:20">
      <c r="B121" s="40">
        <v>45350</v>
      </c>
      <c r="C121" s="41">
        <v>3</v>
      </c>
      <c r="D121" s="331">
        <v>3</v>
      </c>
      <c r="E121" s="332">
        <v>300</v>
      </c>
      <c r="F121" s="333">
        <v>30708006420</v>
      </c>
      <c r="G121" s="45" t="str">
        <f>IFERROR(IF(compras_mes2[[#This Row],[CUIT]]="","-",VLOOKUP(compras_mes2[[#This Row],[CUIT]],Lista_CUIT[#All],2,0)),"CUIT NO CARGADO")</f>
        <v>MEDILEA S.A.</v>
      </c>
      <c r="H121" s="46">
        <v>-2476200</v>
      </c>
      <c r="I121" s="85">
        <f>IF(compras_mes2[[#This Row],[NETO GRAVADO]]="","",compras_mes2[[#This Row],[NETO GRAVADO]]*0.21)</f>
        <v>-520002</v>
      </c>
      <c r="J121" s="85"/>
      <c r="K121" s="85"/>
      <c r="L121" s="85"/>
      <c r="M121" s="85"/>
      <c r="N121" s="85"/>
      <c r="O121" s="85"/>
      <c r="P121" s="48">
        <f>SUM(compras_mes2[[#This Row],[NETO GRAVADO]:[Otros / No Grav.]])</f>
        <v>-2996202</v>
      </c>
      <c r="Q121" s="45" t="str">
        <f>IFERROR(IF(compras_mes2[[#This Row],[CUIT]]="","-",VLOOKUP(compras_mes2[[#This Row],[CUIT]],Lista_CUIT[#All],3,0)),"CUIT NO CARGADO")</f>
        <v>Productos Venta</v>
      </c>
      <c r="R121" s="49">
        <f>IFERROR(IF(compras_mes2[[#This Row],[CUIT]]="","-",VLOOKUP(compras_mes2[[#This Row],[CUIT]],Lista_CUIT[#All],4,0)),"CUIT NO CARGADO")</f>
        <v>0</v>
      </c>
      <c r="S121">
        <v>40300</v>
      </c>
    </row>
    <row r="122" spans="1:20">
      <c r="B122" s="40">
        <v>45350</v>
      </c>
      <c r="C122" s="41">
        <v>1</v>
      </c>
      <c r="D122" s="331">
        <v>3</v>
      </c>
      <c r="E122" s="332">
        <v>6744</v>
      </c>
      <c r="F122" s="333">
        <v>30708006420</v>
      </c>
      <c r="G122" s="45" t="str">
        <f>IFERROR(IF(compras_mes2[[#This Row],[CUIT]]="","-",VLOOKUP(compras_mes2[[#This Row],[CUIT]],Lista_CUIT[#All],2,0)),"CUIT NO CARGADO")</f>
        <v>MEDILEA S.A.</v>
      </c>
      <c r="H122" s="46">
        <v>2476200</v>
      </c>
      <c r="I122" s="85">
        <f>IF(compras_mes2[[#This Row],[NETO GRAVADO]]="","",compras_mes2[[#This Row],[NETO GRAVADO]]*0.21)</f>
        <v>520002</v>
      </c>
      <c r="J122" s="85"/>
      <c r="K122" s="85"/>
      <c r="L122" s="85"/>
      <c r="M122" s="85"/>
      <c r="N122" s="85"/>
      <c r="O122" s="85"/>
      <c r="P122" s="48">
        <f>SUM(compras_mes2[[#This Row],[NETO GRAVADO]:[Otros / No Grav.]])</f>
        <v>2996202</v>
      </c>
      <c r="Q122" s="45" t="str">
        <f>IFERROR(IF(compras_mes2[[#This Row],[CUIT]]="","-",VLOOKUP(compras_mes2[[#This Row],[CUIT]],Lista_CUIT[#All],3,0)),"CUIT NO CARGADO")</f>
        <v>Productos Venta</v>
      </c>
      <c r="R122" s="49">
        <f>IFERROR(IF(compras_mes2[[#This Row],[CUIT]]="","-",VLOOKUP(compras_mes2[[#This Row],[CUIT]],Lista_CUIT[#All],4,0)),"CUIT NO CARGADO")</f>
        <v>0</v>
      </c>
      <c r="S122">
        <v>7903.21</v>
      </c>
    </row>
    <row r="123" spans="1:20">
      <c r="B123" s="40">
        <v>45350</v>
      </c>
      <c r="C123" s="41">
        <v>1</v>
      </c>
      <c r="D123" s="331">
        <v>3</v>
      </c>
      <c r="E123" s="332">
        <v>6746</v>
      </c>
      <c r="F123" s="333">
        <v>30708006420</v>
      </c>
      <c r="G123" s="45" t="str">
        <f>IFERROR(IF(compras_mes2[[#This Row],[CUIT]]="","-",VLOOKUP(compras_mes2[[#This Row],[CUIT]],Lista_CUIT[#All],2,0)),"CUIT NO CARGADO")</f>
        <v>MEDILEA S.A.</v>
      </c>
      <c r="H123" s="46">
        <v>3014000</v>
      </c>
      <c r="I123" s="85">
        <f>IF(compras_mes2[[#This Row],[NETO GRAVADO]]="","",compras_mes2[[#This Row],[NETO GRAVADO]]*0.21)</f>
        <v>632940</v>
      </c>
      <c r="J123" s="85"/>
      <c r="K123" s="85"/>
      <c r="L123" s="85"/>
      <c r="M123" s="85"/>
      <c r="N123" s="85"/>
      <c r="O123" s="85"/>
      <c r="P123" s="48">
        <f>SUM(compras_mes2[[#This Row],[NETO GRAVADO]:[Otros / No Grav.]])</f>
        <v>3646940</v>
      </c>
      <c r="Q123" s="45" t="str">
        <f>IFERROR(IF(compras_mes2[[#This Row],[CUIT]]="","-",VLOOKUP(compras_mes2[[#This Row],[CUIT]],Lista_CUIT[#All],3,0)),"CUIT NO CARGADO")</f>
        <v>Productos Venta</v>
      </c>
      <c r="R123" s="49">
        <f>IFERROR(IF(compras_mes2[[#This Row],[CUIT]]="","-",VLOOKUP(compras_mes2[[#This Row],[CUIT]],Lista_CUIT[#All],4,0)),"CUIT NO CARGADO")</f>
        <v>0</v>
      </c>
      <c r="S123">
        <v>15797.19</v>
      </c>
    </row>
    <row r="124" spans="1:20">
      <c r="B124" s="347">
        <v>45325</v>
      </c>
      <c r="C124" s="343">
        <v>1</v>
      </c>
      <c r="D124" s="344">
        <v>3099</v>
      </c>
      <c r="E124" s="345">
        <v>32222</v>
      </c>
      <c r="F124" s="346">
        <v>30678814357</v>
      </c>
      <c r="G124" s="279" t="str">
        <f>IFERROR(IF(compras_mes2[[#This Row],[CUIT]]="","-",VLOOKUP(compras_mes2[[#This Row],[CUIT]],Lista_CUIT[#All],2,0)),"CUIT NO CARGADO")</f>
        <v>TELEFONICA MOVILES ARG</v>
      </c>
      <c r="H124" s="276">
        <v>48367.199999999997</v>
      </c>
      <c r="I124" s="266"/>
      <c r="J124" s="266">
        <v>13059.14</v>
      </c>
      <c r="K124" s="266"/>
      <c r="L124" s="266">
        <v>1451.02</v>
      </c>
      <c r="M124" s="266"/>
      <c r="N124" s="266">
        <v>2902.03</v>
      </c>
      <c r="O124" s="266"/>
      <c r="P124" s="267">
        <f>SUM(compras_mes2[[#This Row],[NETO GRAVADO]:[Otros / No Grav.]])</f>
        <v>65779.39</v>
      </c>
      <c r="Q124" s="279" t="str">
        <f>IFERROR(IF(compras_mes2[[#This Row],[CUIT]]="","-",VLOOKUP(compras_mes2[[#This Row],[CUIT]],Lista_CUIT[#All],3,0)),"CUIT NO CARGADO")</f>
        <v>Servicios Gas, Luz, etc.</v>
      </c>
      <c r="R124" s="280">
        <f>IFERROR(IF(compras_mes2[[#This Row],[CUIT]]="","-",VLOOKUP(compras_mes2[[#This Row],[CUIT]],Lista_CUIT[#All],4,0)),"CUIT NO CARGADO")</f>
        <v>0</v>
      </c>
      <c r="S124">
        <v>15200</v>
      </c>
    </row>
    <row r="125" spans="1:20">
      <c r="B125" s="347">
        <v>45331</v>
      </c>
      <c r="C125" s="343">
        <v>1</v>
      </c>
      <c r="D125" s="344">
        <v>3101</v>
      </c>
      <c r="E125" s="345">
        <v>22051</v>
      </c>
      <c r="F125" s="346">
        <v>30678814357</v>
      </c>
      <c r="G125" s="279" t="str">
        <f>IFERROR(IF(compras_mes2[[#This Row],[CUIT]]="","-",VLOOKUP(compras_mes2[[#This Row],[CUIT]],Lista_CUIT[#All],2,0)),"CUIT NO CARGADO")</f>
        <v>TELEFONICA MOVILES ARG</v>
      </c>
      <c r="H125" s="276">
        <v>14273.6</v>
      </c>
      <c r="I125" s="266"/>
      <c r="J125" s="266">
        <v>3853.87</v>
      </c>
      <c r="K125" s="266"/>
      <c r="L125" s="266">
        <v>428.21</v>
      </c>
      <c r="M125" s="266"/>
      <c r="N125" s="266">
        <v>856.42</v>
      </c>
      <c r="O125" s="266"/>
      <c r="P125" s="267">
        <f>SUM(compras_mes2[[#This Row],[NETO GRAVADO]:[Otros / No Grav.]])</f>
        <v>19412.099999999999</v>
      </c>
      <c r="Q125" s="279" t="str">
        <f>IFERROR(IF(compras_mes2[[#This Row],[CUIT]]="","-",VLOOKUP(compras_mes2[[#This Row],[CUIT]],Lista_CUIT[#All],3,0)),"CUIT NO CARGADO")</f>
        <v>Servicios Gas, Luz, etc.</v>
      </c>
      <c r="R125" s="280">
        <f>IFERROR(IF(compras_mes2[[#This Row],[CUIT]]="","-",VLOOKUP(compras_mes2[[#This Row],[CUIT]],Lista_CUIT[#All],4,0)),"CUIT NO CARGADO")</f>
        <v>0</v>
      </c>
      <c r="S125">
        <v>8750</v>
      </c>
    </row>
    <row r="126" spans="1:20">
      <c r="B126" s="40">
        <v>45332</v>
      </c>
      <c r="C126" s="41">
        <v>1</v>
      </c>
      <c r="D126" s="331">
        <v>6364</v>
      </c>
      <c r="E126" s="332">
        <v>8116772</v>
      </c>
      <c r="F126" s="333">
        <v>30639453738</v>
      </c>
      <c r="G126" s="45" t="str">
        <f>IFERROR(IF(compras_mes2[[#This Row],[CUIT]]="","-",VLOOKUP(compras_mes2[[#This Row],[CUIT]],Lista_CUIT[#All],2,0)),"CUIT NO CARGADO")</f>
        <v>TELECOM ARG SA</v>
      </c>
      <c r="H126" s="46">
        <v>111526.31</v>
      </c>
      <c r="I126" s="85">
        <v>23230.71</v>
      </c>
      <c r="J126" s="85">
        <v>240.87</v>
      </c>
      <c r="K126" s="85"/>
      <c r="L126" s="85">
        <v>3345.42</v>
      </c>
      <c r="M126" s="85"/>
      <c r="N126" s="85">
        <v>6091.92</v>
      </c>
      <c r="O126" s="85">
        <f>45.24+72.77</f>
        <v>118.00999999999999</v>
      </c>
      <c r="P126" s="48">
        <f>SUM(compras_mes2[[#This Row],[NETO GRAVADO]:[Otros / No Grav.]])</f>
        <v>144553.24000000002</v>
      </c>
      <c r="Q126" s="45" t="str">
        <f>IFERROR(IF(compras_mes2[[#This Row],[CUIT]]="","-",VLOOKUP(compras_mes2[[#This Row],[CUIT]],Lista_CUIT[#All],3,0)),"CUIT NO CARGADO")</f>
        <v>Servicios Gas, Luz, etc.</v>
      </c>
      <c r="R126" s="49">
        <f>IFERROR(IF(compras_mes2[[#This Row],[CUIT]]="","-",VLOOKUP(compras_mes2[[#This Row],[CUIT]],Lista_CUIT[#All],4,0)),"CUIT NO CARGADO")</f>
        <v>0</v>
      </c>
      <c r="S126">
        <v>6200</v>
      </c>
    </row>
    <row r="127" spans="1:20">
      <c r="B127" s="40">
        <v>45337</v>
      </c>
      <c r="C127" s="41">
        <v>1</v>
      </c>
      <c r="D127" s="331">
        <v>4264</v>
      </c>
      <c r="E127" s="332">
        <v>3331821</v>
      </c>
      <c r="F127" s="333">
        <v>30639453738</v>
      </c>
      <c r="G127" s="45" t="str">
        <f>IFERROR(IF(compras_mes2[[#This Row],[CUIT]]="","-",VLOOKUP(compras_mes2[[#This Row],[CUIT]],Lista_CUIT[#All],2,0)),"CUIT NO CARGADO")</f>
        <v>TELECOM ARG SA</v>
      </c>
      <c r="H127" s="46">
        <v>43750</v>
      </c>
      <c r="I127" s="85">
        <f>IF(compras_mes2[[#This Row],[NETO GRAVADO]]="","",compras_mes2[[#This Row],[NETO GRAVADO]]*0.21)</f>
        <v>9187.5</v>
      </c>
      <c r="J127" s="85"/>
      <c r="K127" s="85"/>
      <c r="L127" s="85">
        <v>1312.5</v>
      </c>
      <c r="M127" s="85"/>
      <c r="N127" s="85">
        <v>2625</v>
      </c>
      <c r="O127" s="85"/>
      <c r="P127" s="48">
        <f>SUM(compras_mes2[[#This Row],[NETO GRAVADO]:[Otros / No Grav.]])</f>
        <v>56875</v>
      </c>
      <c r="Q127" s="45" t="str">
        <f>IFERROR(IF(compras_mes2[[#This Row],[CUIT]]="","-",VLOOKUP(compras_mes2[[#This Row],[CUIT]],Lista_CUIT[#All],3,0)),"CUIT NO CARGADO")</f>
        <v>Servicios Gas, Luz, etc.</v>
      </c>
      <c r="R127" s="49">
        <f>IFERROR(IF(compras_mes2[[#This Row],[CUIT]]="","-",VLOOKUP(compras_mes2[[#This Row],[CUIT]],Lista_CUIT[#All],4,0)),"CUIT NO CARGADO")</f>
        <v>0</v>
      </c>
      <c r="S127">
        <v>2920.66</v>
      </c>
    </row>
    <row r="128" spans="1:20">
      <c r="B128" s="347">
        <v>45337</v>
      </c>
      <c r="C128" s="343">
        <v>1</v>
      </c>
      <c r="D128" s="344">
        <v>4264</v>
      </c>
      <c r="E128" s="345">
        <v>3336081</v>
      </c>
      <c r="F128" s="346">
        <v>30639453738</v>
      </c>
      <c r="G128" s="279" t="str">
        <f>IFERROR(IF(compras_mes2[[#This Row],[CUIT]]="","-",VLOOKUP(compras_mes2[[#This Row],[CUIT]],Lista_CUIT[#All],2,0)),"CUIT NO CARGADO")</f>
        <v>TELECOM ARG SA</v>
      </c>
      <c r="H128" s="276">
        <v>32500</v>
      </c>
      <c r="I128" s="266">
        <f>IF(compras_mes2[[#This Row],[NETO GRAVADO]]="","",compras_mes2[[#This Row],[NETO GRAVADO]]*0.21)</f>
        <v>6825</v>
      </c>
      <c r="J128" s="266"/>
      <c r="K128" s="266"/>
      <c r="L128" s="266"/>
      <c r="M128" s="266"/>
      <c r="N128" s="266">
        <v>975</v>
      </c>
      <c r="O128" s="266"/>
      <c r="P128" s="267">
        <f>SUM(compras_mes2[[#This Row],[NETO GRAVADO]:[Otros / No Grav.]])</f>
        <v>40300</v>
      </c>
      <c r="Q128" s="279" t="str">
        <f>IFERROR(IF(compras_mes2[[#This Row],[CUIT]]="","-",VLOOKUP(compras_mes2[[#This Row],[CUIT]],Lista_CUIT[#All],3,0)),"CUIT NO CARGADO")</f>
        <v>Servicios Gas, Luz, etc.</v>
      </c>
      <c r="R128" s="280">
        <f>IFERROR(IF(compras_mes2[[#This Row],[CUIT]]="","-",VLOOKUP(compras_mes2[[#This Row],[CUIT]],Lista_CUIT[#All],4,0)),"CUIT NO CARGADO")</f>
        <v>0</v>
      </c>
      <c r="S128">
        <v>9765</v>
      </c>
    </row>
    <row r="129" spans="1:20">
      <c r="B129" s="347">
        <v>45343</v>
      </c>
      <c r="C129" s="343">
        <v>1</v>
      </c>
      <c r="D129" s="344">
        <v>5</v>
      </c>
      <c r="E129" s="345">
        <v>2972059</v>
      </c>
      <c r="F129" s="346">
        <v>30702652975</v>
      </c>
      <c r="G129" s="279" t="str">
        <f>IFERROR(IF(compras_mes2[[#This Row],[CUIT]]="","-",VLOOKUP(compras_mes2[[#This Row],[CUIT]],Lista_CUIT[#All],2,0)),"CUIT NO CARGADO")</f>
        <v>NSS SA</v>
      </c>
      <c r="H129" s="276">
        <v>29075.68</v>
      </c>
      <c r="I129" s="266">
        <f>IF(compras_mes2[[#This Row],[NETO GRAVADO]]="","",compras_mes2[[#This Row],[NETO GRAVADO]]*0.21)</f>
        <v>6105.8927999999996</v>
      </c>
      <c r="J129" s="266"/>
      <c r="K129" s="266"/>
      <c r="L129" s="266"/>
      <c r="M129" s="266">
        <v>1744.54</v>
      </c>
      <c r="N129" s="266"/>
      <c r="O129" s="266"/>
      <c r="P129" s="267">
        <f>SUM(compras_mes2[[#This Row],[NETO GRAVADO]:[Otros / No Grav.]])</f>
        <v>36926.112800000003</v>
      </c>
      <c r="Q129" s="279" t="str">
        <f>IFERROR(IF(compras_mes2[[#This Row],[CUIT]]="","-",VLOOKUP(compras_mes2[[#This Row],[CUIT]],Lista_CUIT[#All],3,0)),"CUIT NO CARGADO")</f>
        <v>Servicios Gas, Luz, etc.</v>
      </c>
      <c r="R129" s="280">
        <f>IFERROR(IF(compras_mes2[[#This Row],[CUIT]]="","-",VLOOKUP(compras_mes2[[#This Row],[CUIT]],Lista_CUIT[#All],4,0)),"CUIT NO CARGADO")</f>
        <v>0</v>
      </c>
      <c r="S129">
        <v>144553.23000000001</v>
      </c>
    </row>
    <row r="130" spans="1:20">
      <c r="B130" s="347">
        <v>45350</v>
      </c>
      <c r="C130" s="343">
        <v>1</v>
      </c>
      <c r="D130" s="344">
        <v>6</v>
      </c>
      <c r="E130" s="345">
        <v>1508</v>
      </c>
      <c r="F130" s="346">
        <v>23265923909</v>
      </c>
      <c r="G130" s="279" t="str">
        <f>IFERROR(IF(compras_mes2[[#This Row],[CUIT]]="","-",VLOOKUP(compras_mes2[[#This Row],[CUIT]],Lista_CUIT[#All],2,0)),"CUIT NO CARGADO")</f>
        <v>OPORTO PABLO ALFREDO</v>
      </c>
      <c r="H130" s="276">
        <v>53232.32</v>
      </c>
      <c r="I130" s="266">
        <f>IF(compras_mes2[[#This Row],[NETO GRAVADO]]="","",compras_mes2[[#This Row],[NETO GRAVADO]]*0.21)</f>
        <v>11178.787199999999</v>
      </c>
      <c r="J130" s="266"/>
      <c r="K130" s="266"/>
      <c r="L130" s="266"/>
      <c r="M130" s="266"/>
      <c r="N130" s="266"/>
      <c r="O130" s="266"/>
      <c r="P130" s="267">
        <f>SUM(compras_mes2[[#This Row],[NETO GRAVADO]:[Otros / No Grav.]])</f>
        <v>64411.107199999999</v>
      </c>
      <c r="Q130" s="279" t="str">
        <f>IFERROR(IF(compras_mes2[[#This Row],[CUIT]]="","-",VLOOKUP(compras_mes2[[#This Row],[CUIT]],Lista_CUIT[#All],3,0)),"CUIT NO CARGADO")</f>
        <v>Servicios Gas, Luz, etc.</v>
      </c>
      <c r="R130" s="280">
        <f>IFERROR(IF(compras_mes2[[#This Row],[CUIT]]="","-",VLOOKUP(compras_mes2[[#This Row],[CUIT]],Lista_CUIT[#All],4,0)),"CUIT NO CARGADO")</f>
        <v>0</v>
      </c>
      <c r="S130">
        <v>18200</v>
      </c>
    </row>
    <row r="131" spans="1:20" s="195" customFormat="1">
      <c r="A131"/>
      <c r="B131" s="347">
        <v>45327</v>
      </c>
      <c r="C131" s="343">
        <v>1</v>
      </c>
      <c r="D131" s="344">
        <v>63</v>
      </c>
      <c r="E131" s="345">
        <v>2711932</v>
      </c>
      <c r="F131" s="346">
        <v>30640897267</v>
      </c>
      <c r="G131" s="279" t="str">
        <f>IFERROR(IF(compras_mes2[[#This Row],[CUIT]]="","-",VLOOKUP(compras_mes2[[#This Row],[CUIT]],Lista_CUIT[#All],2,0)),"CUIT NO CARGADO")</f>
        <v>TELECENTRO S.A.</v>
      </c>
      <c r="H131" s="276">
        <v>30750.41</v>
      </c>
      <c r="I131" s="266">
        <f>IF(compras_mes2[[#This Row],[NETO GRAVADO]]="","",compras_mes2[[#This Row],[NETO GRAVADO]]*0.21)</f>
        <v>6457.5860999999995</v>
      </c>
      <c r="J131" s="266"/>
      <c r="K131" s="266"/>
      <c r="L131" s="266">
        <v>922.51</v>
      </c>
      <c r="M131" s="266">
        <v>1845.02</v>
      </c>
      <c r="N131" s="266"/>
      <c r="O131" s="266"/>
      <c r="P131" s="267">
        <f>SUM(compras_mes2[[#This Row],[NETO GRAVADO]:[Otros / No Grav.]])</f>
        <v>39975.526099999995</v>
      </c>
      <c r="Q131" s="279" t="str">
        <f>IFERROR(IF(compras_mes2[[#This Row],[CUIT]]="","-",VLOOKUP(compras_mes2[[#This Row],[CUIT]],Lista_CUIT[#All],3,0)),"CUIT NO CARGADO")</f>
        <v>Servicios Gas, Luz, etc.</v>
      </c>
      <c r="R131" s="280">
        <f>IFERROR(IF(compras_mes2[[#This Row],[CUIT]]="","-",VLOOKUP(compras_mes2[[#This Row],[CUIT]],Lista_CUIT[#All],4,0)),"CUIT NO CARGADO")</f>
        <v>0</v>
      </c>
      <c r="S131">
        <v>18200</v>
      </c>
      <c r="T131"/>
    </row>
    <row r="132" spans="1:20" s="195" customFormat="1">
      <c r="A132"/>
      <c r="B132" s="347">
        <v>45327</v>
      </c>
      <c r="C132" s="343">
        <v>1</v>
      </c>
      <c r="D132" s="344">
        <v>63</v>
      </c>
      <c r="E132" s="345">
        <v>2712671</v>
      </c>
      <c r="F132" s="346">
        <v>30640897267</v>
      </c>
      <c r="G132" s="279" t="str">
        <f>IFERROR(IF(compras_mes2[[#This Row],[CUIT]]="","-",VLOOKUP(compras_mes2[[#This Row],[CUIT]],Lista_CUIT[#All],2,0)),"CUIT NO CARGADO")</f>
        <v>TELECENTRO S.A.</v>
      </c>
      <c r="H132" s="276">
        <v>30750.41</v>
      </c>
      <c r="I132" s="266">
        <f>IF(compras_mes2[[#This Row],[NETO GRAVADO]]="","",compras_mes2[[#This Row],[NETO GRAVADO]]*0.21)</f>
        <v>6457.5860999999995</v>
      </c>
      <c r="J132" s="266"/>
      <c r="K132" s="266"/>
      <c r="L132" s="266">
        <v>922.51</v>
      </c>
      <c r="M132" s="266">
        <v>1845.02</v>
      </c>
      <c r="N132" s="266"/>
      <c r="O132" s="266"/>
      <c r="P132" s="267">
        <f>SUM(compras_mes2[[#This Row],[NETO GRAVADO]:[Otros / No Grav.]])</f>
        <v>39975.526099999995</v>
      </c>
      <c r="Q132" s="279" t="str">
        <f>IFERROR(IF(compras_mes2[[#This Row],[CUIT]]="","-",VLOOKUP(compras_mes2[[#This Row],[CUIT]],Lista_CUIT[#All],3,0)),"CUIT NO CARGADO")</f>
        <v>Servicios Gas, Luz, etc.</v>
      </c>
      <c r="R132" s="280">
        <f>IFERROR(IF(compras_mes2[[#This Row],[CUIT]]="","-",VLOOKUP(compras_mes2[[#This Row],[CUIT]],Lista_CUIT[#All],4,0)),"CUIT NO CARGADO")</f>
        <v>0</v>
      </c>
      <c r="S132">
        <v>18200</v>
      </c>
      <c r="T132"/>
    </row>
    <row r="133" spans="1:20" s="195" customFormat="1">
      <c r="A133"/>
      <c r="B133" s="40">
        <v>45328</v>
      </c>
      <c r="C133" s="41">
        <v>1</v>
      </c>
      <c r="D133" s="331">
        <v>3</v>
      </c>
      <c r="E133" s="332">
        <v>19355</v>
      </c>
      <c r="F133" s="333">
        <v>33707953549</v>
      </c>
      <c r="G133" s="45" t="str">
        <f>IFERROR(IF(compras_mes2[[#This Row],[CUIT]]="","-",VLOOKUP(compras_mes2[[#This Row],[CUIT]],Lista_CUIT[#All],2,0)),"CUIT NO CARGADO")</f>
        <v>TELESMART</v>
      </c>
      <c r="H133" s="46">
        <v>9212</v>
      </c>
      <c r="I133" s="85">
        <f>IF(compras_mes2[[#This Row],[NETO GRAVADO]]="","",compras_mes2[[#This Row],[NETO GRAVADO]]*0.21)</f>
        <v>1934.52</v>
      </c>
      <c r="J133" s="85"/>
      <c r="K133" s="85"/>
      <c r="L133" s="85"/>
      <c r="M133" s="85"/>
      <c r="N133" s="85"/>
      <c r="O133" s="85"/>
      <c r="P133" s="48">
        <f>SUM(compras_mes2[[#This Row],[NETO GRAVADO]:[Otros / No Grav.]])</f>
        <v>11146.52</v>
      </c>
      <c r="Q133" s="45" t="str">
        <f>IFERROR(IF(compras_mes2[[#This Row],[CUIT]]="","-",VLOOKUP(compras_mes2[[#This Row],[CUIT]],Lista_CUIT[#All],3,0)),"CUIT NO CARGADO")</f>
        <v>Servicios Gas, Luz, etc.</v>
      </c>
      <c r="R133" s="49">
        <f>IFERROR(IF(compras_mes2[[#This Row],[CUIT]]="","-",VLOOKUP(compras_mes2[[#This Row],[CUIT]],Lista_CUIT[#All],4,0)),"CUIT NO CARGADO")</f>
        <v>0</v>
      </c>
      <c r="S133">
        <v>54600</v>
      </c>
      <c r="T133"/>
    </row>
    <row r="134" spans="1:20" s="195" customFormat="1">
      <c r="A134"/>
      <c r="B134" s="40">
        <v>45338</v>
      </c>
      <c r="C134" s="41">
        <v>1</v>
      </c>
      <c r="D134" s="331">
        <v>5</v>
      </c>
      <c r="E134" s="332">
        <v>2117</v>
      </c>
      <c r="F134" s="333">
        <v>30711651779</v>
      </c>
      <c r="G134" s="45" t="str">
        <f>IFERROR(IF(compras_mes2[[#This Row],[CUIT]]="","-",VLOOKUP(compras_mes2[[#This Row],[CUIT]],Lista_CUIT[#All],2,0)),"CUIT NO CARGADO")</f>
        <v>INFOSOL BUENOS AIRES S.R.L.</v>
      </c>
      <c r="H134" s="46">
        <v>24793.39</v>
      </c>
      <c r="I134" s="85">
        <f>IF(compras_mes2[[#This Row],[NETO GRAVADO]]="","",compras_mes2[[#This Row],[NETO GRAVADO]]*0.21)</f>
        <v>5206.6118999999999</v>
      </c>
      <c r="J134" s="85"/>
      <c r="K134" s="85"/>
      <c r="L134" s="85"/>
      <c r="M134" s="85"/>
      <c r="N134" s="85"/>
      <c r="O134" s="85"/>
      <c r="P134" s="48">
        <f>SUM(compras_mes2[[#This Row],[NETO GRAVADO]:[Otros / No Grav.]])</f>
        <v>30000.001899999999</v>
      </c>
      <c r="Q134" s="45" t="str">
        <f>IFERROR(IF(compras_mes2[[#This Row],[CUIT]]="","-",VLOOKUP(compras_mes2[[#This Row],[CUIT]],Lista_CUIT[#All],3,0)),"CUIT NO CARGADO")</f>
        <v>Servicios Informatica</v>
      </c>
      <c r="R134" s="49">
        <f>IFERROR(IF(compras_mes2[[#This Row],[CUIT]]="","-",VLOOKUP(compras_mes2[[#This Row],[CUIT]],Lista_CUIT[#All],4,0)),"CUIT NO CARGADO")</f>
        <v>0</v>
      </c>
      <c r="S134">
        <f>SUM(S8:S133)</f>
        <v>100676013.61999997</v>
      </c>
      <c r="T134"/>
    </row>
    <row r="135" spans="1:20">
      <c r="B135" s="96" t="s">
        <v>103</v>
      </c>
      <c r="C135" s="96"/>
      <c r="D135" s="96"/>
      <c r="E135" s="96"/>
      <c r="F135" s="96"/>
      <c r="G135" s="97"/>
      <c r="H135" s="98">
        <f>SUBTOTAL(109,compras_mes2[NETO GRAVADO])</f>
        <v>82979813.030000001</v>
      </c>
      <c r="I135" s="98">
        <f>SUBTOTAL(109,compras_mes2[IVA 21 %])</f>
        <v>17381542.778500002</v>
      </c>
      <c r="J135" s="98">
        <f>SUBTOTAL(109,compras_mes2[IVA 27%])</f>
        <v>17153.879999999997</v>
      </c>
      <c r="K135" s="98">
        <f>SUBTOTAL(109,compras_mes2[IVA 10,5%])</f>
        <v>15170.649999999998</v>
      </c>
      <c r="L135" s="98">
        <f>SUBTOTAL(109,compras_mes2[PERC. IVA])</f>
        <v>76702.19</v>
      </c>
      <c r="M135" s="98">
        <f>SUBTOTAL(109,compras_mes2[PERC IIBB 
BS AS])</f>
        <v>5434.58</v>
      </c>
      <c r="N135" s="98">
        <f>SUBTOTAL(109,compras_mes2[PERC. IIBB CABA])</f>
        <v>90280.37999999999</v>
      </c>
      <c r="O135" s="98">
        <f>SUBTOTAL(109,compras_mes2[Otros / No Grav.])</f>
        <v>109913.87</v>
      </c>
      <c r="P135" s="98">
        <f>SUBTOTAL(109,compras_mes2[TOTAL])</f>
        <v>100676011.35849997</v>
      </c>
      <c r="Q135" s="96"/>
      <c r="R135" s="96"/>
    </row>
    <row r="136" spans="1:20">
      <c r="B136" s="96"/>
      <c r="C136" s="96"/>
      <c r="D136" s="96"/>
      <c r="E136" s="96"/>
      <c r="F136" s="96"/>
      <c r="G136" s="97"/>
      <c r="H136" s="98"/>
      <c r="I136" s="98"/>
      <c r="J136" s="98"/>
      <c r="K136" s="98"/>
      <c r="L136" s="98"/>
      <c r="M136" s="98"/>
      <c r="N136" s="98"/>
      <c r="O136" s="98"/>
      <c r="P136" s="98"/>
      <c r="Q136" s="96"/>
      <c r="R136" s="96"/>
    </row>
    <row r="137" spans="1:20">
      <c r="B137" s="96"/>
      <c r="C137" s="96"/>
      <c r="D137" s="96"/>
      <c r="E137" s="96"/>
      <c r="F137" s="96"/>
      <c r="G137" s="97"/>
      <c r="H137" s="98"/>
      <c r="I137" s="98"/>
      <c r="J137" s="98"/>
      <c r="K137" s="98"/>
      <c r="L137" s="98"/>
      <c r="M137" s="98"/>
      <c r="N137" s="98"/>
      <c r="O137" s="98"/>
      <c r="P137" s="98"/>
      <c r="Q137" s="96"/>
      <c r="R137" s="96"/>
    </row>
    <row r="138" spans="1:20">
      <c r="B138" s="40"/>
      <c r="C138" s="41"/>
      <c r="D138" s="42"/>
      <c r="E138" s="43"/>
      <c r="F138" s="44"/>
      <c r="G138" s="45"/>
      <c r="H138" s="46"/>
      <c r="I138" s="47"/>
      <c r="J138" s="47"/>
      <c r="K138" s="47"/>
      <c r="L138" s="47"/>
      <c r="M138" s="47"/>
      <c r="N138" s="47"/>
      <c r="O138" s="47"/>
      <c r="P138" s="48"/>
      <c r="Q138" s="49"/>
      <c r="R138" s="49"/>
    </row>
    <row r="139" spans="1:20" ht="21">
      <c r="D139" s="712" t="s">
        <v>15</v>
      </c>
      <c r="E139" s="712"/>
      <c r="F139" s="712"/>
      <c r="G139" s="712"/>
      <c r="H139" s="712"/>
      <c r="I139" s="712"/>
      <c r="J139" s="712"/>
      <c r="K139" s="712"/>
      <c r="L139" s="712"/>
    </row>
    <row r="140" spans="1:20" ht="15.75">
      <c r="D140" s="73" t="s">
        <v>0</v>
      </c>
      <c r="E140" s="74" t="s">
        <v>26</v>
      </c>
      <c r="F140" s="74" t="s">
        <v>16</v>
      </c>
      <c r="G140" s="74" t="s">
        <v>5</v>
      </c>
      <c r="H140" s="74" t="s">
        <v>17</v>
      </c>
      <c r="I140" s="74" t="s">
        <v>7</v>
      </c>
      <c r="J140" s="75" t="s">
        <v>18</v>
      </c>
      <c r="K140" s="75" t="s">
        <v>19</v>
      </c>
      <c r="L140" s="76" t="s">
        <v>20</v>
      </c>
    </row>
    <row r="141" spans="1:20">
      <c r="D141" s="50">
        <v>45348</v>
      </c>
      <c r="E141" s="80">
        <v>26022024</v>
      </c>
      <c r="F141" s="341" t="s">
        <v>2081</v>
      </c>
      <c r="G141" s="81">
        <f>(extracto_banco_mes2[[#This Row],[IVA 21%]]*100/21)+(extracto_banco_mes2[[#This Row],[IVA 10,5%]]*100/10.5)</f>
        <v>11418.571428571429</v>
      </c>
      <c r="H141" s="81">
        <v>2397.9</v>
      </c>
      <c r="I141" s="81"/>
      <c r="J141" s="81">
        <v>8482.9500000000007</v>
      </c>
      <c r="K141" s="81">
        <v>285.09000000000003</v>
      </c>
      <c r="L141" s="81"/>
    </row>
    <row r="142" spans="1:20">
      <c r="D142" s="50">
        <v>45351</v>
      </c>
      <c r="E142" s="180">
        <v>29022025</v>
      </c>
      <c r="F142" s="186" t="s">
        <v>2115</v>
      </c>
      <c r="G142" s="81">
        <f>(extracto_banco_mes2[[#This Row],[IVA 21%]]*100/21)+(extracto_banco_mes2[[#This Row],[IVA 10,5%]]*100/10.5)</f>
        <v>62656.238095238106</v>
      </c>
      <c r="H142" s="81">
        <v>13157.810000000001</v>
      </c>
      <c r="I142" s="81"/>
      <c r="J142" s="81">
        <v>3347.37</v>
      </c>
      <c r="K142" s="81">
        <v>1718.08</v>
      </c>
      <c r="L142" s="81"/>
    </row>
    <row r="143" spans="1:20">
      <c r="D143" s="50">
        <v>45351</v>
      </c>
      <c r="E143" s="180">
        <v>20240229</v>
      </c>
      <c r="F143" s="186" t="s">
        <v>2114</v>
      </c>
      <c r="G143" s="81">
        <f>(extracto_banco_mes2[[#This Row],[IVA 21%]]*100/21)+(extracto_banco_mes2[[#This Row],[IVA 10,5%]]*100/10.5)</f>
        <v>14295.571428571429</v>
      </c>
      <c r="H143" s="81">
        <v>3002.07</v>
      </c>
      <c r="I143" s="81"/>
      <c r="J143" s="81">
        <v>787.5</v>
      </c>
      <c r="K143" s="81">
        <v>393.75</v>
      </c>
      <c r="L143" s="81"/>
    </row>
    <row r="144" spans="1:20">
      <c r="D144" s="348">
        <v>45351</v>
      </c>
      <c r="E144" s="180">
        <v>29202408</v>
      </c>
      <c r="F144" s="186" t="s">
        <v>1927</v>
      </c>
      <c r="G144" s="81">
        <f>(extracto_banco_mes2[[#This Row],[IVA 21%]]*100/21)+(extracto_banco_mes2[[#This Row],[IVA 10,5%]]*100/10.5)</f>
        <v>992499.85714285704</v>
      </c>
      <c r="H144" s="81">
        <v>51413.369999999988</v>
      </c>
      <c r="I144" s="81">
        <v>78505.8</v>
      </c>
      <c r="J144" s="81">
        <v>647950.16999999993</v>
      </c>
      <c r="K144" s="81">
        <v>17113.02</v>
      </c>
      <c r="L144" s="81"/>
    </row>
    <row r="145" spans="4:12">
      <c r="D145" s="50">
        <v>45351</v>
      </c>
      <c r="E145" s="180">
        <v>29202402</v>
      </c>
      <c r="F145" s="186" t="s">
        <v>2085</v>
      </c>
      <c r="G145" s="81">
        <f>(extracto_banco_mes2[[#This Row],[IVA 21%]]*100/21)+(extracto_banco_mes2[[#This Row],[IVA 10,5%]]*100/10.5)</f>
        <v>316.85714285714289</v>
      </c>
      <c r="H145" s="81">
        <v>66.540000000000006</v>
      </c>
      <c r="I145" s="81"/>
      <c r="J145" s="81">
        <v>1768.1899999999998</v>
      </c>
      <c r="K145" s="81"/>
      <c r="L145" s="81"/>
    </row>
    <row r="146" spans="4:12">
      <c r="D146" s="50">
        <v>45351</v>
      </c>
      <c r="E146" s="180">
        <v>29555201</v>
      </c>
      <c r="F146" s="186" t="s">
        <v>1929</v>
      </c>
      <c r="G146" s="81">
        <f>(extracto_banco_mes2[[#This Row],[IVA 21%]]*100/21)+(extracto_banco_mes2[[#This Row],[IVA 10,5%]]*100/10.5)</f>
        <v>1500</v>
      </c>
      <c r="H146" s="81">
        <v>315</v>
      </c>
      <c r="I146" s="81"/>
      <c r="J146" s="81">
        <v>1706.91</v>
      </c>
      <c r="K146" s="81"/>
      <c r="L146" s="81"/>
    </row>
    <row r="147" spans="4:12">
      <c r="D147" s="50">
        <v>45351</v>
      </c>
      <c r="E147" s="180">
        <v>29022224</v>
      </c>
      <c r="F147" s="186" t="s">
        <v>2116</v>
      </c>
      <c r="G147" s="81">
        <f>(extracto_banco_mes2[[#This Row],[IVA 21%]]*100/21)+(extracto_banco_mes2[[#This Row],[IVA 10,5%]]*100/10.5)</f>
        <v>94500</v>
      </c>
      <c r="H147" s="81">
        <v>19845</v>
      </c>
      <c r="I147" s="81"/>
      <c r="J147" s="81"/>
      <c r="K147" s="81">
        <v>2835</v>
      </c>
      <c r="L147" s="81"/>
    </row>
    <row r="148" spans="4:12">
      <c r="D148" s="50">
        <v>45351</v>
      </c>
      <c r="E148" s="180">
        <v>20223202</v>
      </c>
      <c r="F148" s="186" t="s">
        <v>2117</v>
      </c>
      <c r="G148" s="81">
        <f>(extracto_banco_mes2[[#This Row],[IVA 21%]]*100/21)+(extracto_banco_mes2[[#This Row],[IVA 10,5%]]*100/10.5)</f>
        <v>2400</v>
      </c>
      <c r="H148" s="81">
        <v>504</v>
      </c>
      <c r="I148" s="81"/>
      <c r="J148" s="81">
        <v>2697.04</v>
      </c>
      <c r="K148" s="81">
        <v>72</v>
      </c>
      <c r="L148" s="81"/>
    </row>
    <row r="149" spans="4:12">
      <c r="D149" s="50">
        <v>45351</v>
      </c>
      <c r="E149" s="180">
        <v>20232031</v>
      </c>
      <c r="F149" s="186" t="s">
        <v>2118</v>
      </c>
      <c r="G149" s="81">
        <f>(extracto_banco_mes2[[#This Row],[IVA 21%]]*100/21)+(extracto_banco_mes2[[#This Row],[IVA 10,5%]]*100/10.5)</f>
        <v>1979.2857142857142</v>
      </c>
      <c r="H149" s="342">
        <v>415.65</v>
      </c>
      <c r="I149" s="342"/>
      <c r="J149" s="342">
        <v>7322.41</v>
      </c>
      <c r="K149" s="342"/>
      <c r="L149" s="342"/>
    </row>
    <row r="150" spans="4:12">
      <c r="D150" s="82" t="s">
        <v>103</v>
      </c>
      <c r="E150" s="180"/>
      <c r="F150" s="80"/>
      <c r="G150" s="83">
        <f>SUBTOTAL(109,extracto_banco_mes2[NETO])</f>
        <v>1181566.3809523808</v>
      </c>
      <c r="H150" s="83">
        <f>SUBTOTAL(109,extracto_banco_mes2[IVA 21%])</f>
        <v>91117.339999999982</v>
      </c>
      <c r="I150" s="83">
        <f>SUBTOTAL(109,extracto_banco_mes2[IVA 10,5%])</f>
        <v>78505.8</v>
      </c>
      <c r="J150" s="83">
        <f>SUBTOTAL(109,extracto_banco_mes2[RET IIBB CABA])</f>
        <v>674062.53999999992</v>
      </c>
      <c r="K150" s="83">
        <f>SUBTOTAL(109,extracto_banco_mes2[PERC IVA])</f>
        <v>22416.940000000002</v>
      </c>
      <c r="L150" s="83">
        <f>SUBTOTAL(109,extracto_banco_mes2[PERC IIBB])</f>
        <v>0</v>
      </c>
    </row>
    <row r="151" spans="4:12">
      <c r="D151" s="197"/>
      <c r="E151" s="198"/>
      <c r="F151" s="198"/>
      <c r="G151" s="199"/>
      <c r="H151" s="199"/>
      <c r="I151" s="199"/>
      <c r="J151" s="199"/>
      <c r="K151" s="199"/>
      <c r="L151" s="199"/>
    </row>
    <row r="152" spans="4:12">
      <c r="D152" s="197"/>
      <c r="E152" s="198"/>
      <c r="F152" s="198"/>
      <c r="G152" s="199"/>
      <c r="H152" s="199"/>
      <c r="I152" s="199"/>
      <c r="J152" s="199"/>
      <c r="K152" s="199"/>
      <c r="L152" s="199"/>
    </row>
    <row r="154" spans="4:12" ht="21">
      <c r="D154" s="712" t="s">
        <v>25</v>
      </c>
      <c r="E154" s="712"/>
      <c r="F154" s="712"/>
      <c r="G154" s="712"/>
      <c r="H154" s="712"/>
      <c r="I154" s="712"/>
      <c r="J154" s="712"/>
      <c r="K154" s="712"/>
    </row>
    <row r="155" spans="4:12">
      <c r="D155" s="51" t="s">
        <v>0</v>
      </c>
      <c r="E155" s="51" t="s">
        <v>2</v>
      </c>
      <c r="F155" s="51" t="s">
        <v>74</v>
      </c>
      <c r="G155" s="51" t="s">
        <v>3</v>
      </c>
      <c r="H155" s="51" t="s">
        <v>4</v>
      </c>
      <c r="I155" s="52" t="s">
        <v>10</v>
      </c>
      <c r="J155" s="51" t="s">
        <v>13</v>
      </c>
      <c r="K155" s="51" t="s">
        <v>38</v>
      </c>
    </row>
    <row r="156" spans="4:12">
      <c r="D156" s="50">
        <v>45323</v>
      </c>
      <c r="E156" s="42">
        <v>3</v>
      </c>
      <c r="F156" s="43">
        <v>273</v>
      </c>
      <c r="G156" s="44">
        <v>20226549758</v>
      </c>
      <c r="H156" s="53" t="str">
        <f>IFERROR(IF(factura_c_mes2[[#This Row],[CUIT]]="","-",VLOOKUP(factura_c_mes2[[#This Row],[CUIT]],Lista_CUIT[#All],2,0)),"CUIT NO CARGADO")</f>
        <v>JANEIRO VERONICA BELEN</v>
      </c>
      <c r="I156" s="81">
        <v>160000</v>
      </c>
      <c r="J156" s="54" t="str">
        <f>IFERROR(IF(factura_c_mes2[[#This Row],[CUIT]]="","-",VLOOKUP(factura_c_mes2[[#This Row],[CUIT]],Lista_CUIT[#All],3,0)),"CUIT NO CARGADO")</f>
        <v>Gastos Varios</v>
      </c>
      <c r="K156" s="54">
        <f>IFERROR(IF(factura_c_mes2[[#This Row],[CUIT]]="","-",VLOOKUP(factura_c_mes2[[#This Row],[CUIT]],Lista_CUIT[#All],4,0)),"CUIT NO CARGADO")</f>
        <v>0</v>
      </c>
    </row>
    <row r="157" spans="4:12">
      <c r="D157" s="50">
        <v>45349</v>
      </c>
      <c r="E157" s="42">
        <v>2</v>
      </c>
      <c r="F157" s="43">
        <v>1443</v>
      </c>
      <c r="G157" s="44">
        <v>23277121859</v>
      </c>
      <c r="H157" s="53" t="str">
        <f>IFERROR(IF(factura_c_mes2[[#This Row],[CUIT]]="","-",VLOOKUP(factura_c_mes2[[#This Row],[CUIT]],Lista_CUIT[#All],2,0)),"CUIT NO CARGADO")</f>
        <v>BARCELONAMOTOS</v>
      </c>
      <c r="I157" s="81">
        <v>10000</v>
      </c>
      <c r="J157" s="54" t="str">
        <f>IFERROR(IF(factura_c_mes2[[#This Row],[CUIT]]="","-",VLOOKUP(factura_c_mes2[[#This Row],[CUIT]],Lista_CUIT[#All],3,0)),"CUIT NO CARGADO")</f>
        <v>Gastos Varios</v>
      </c>
      <c r="K157" s="54">
        <f>IFERROR(IF(factura_c_mes2[[#This Row],[CUIT]]="","-",VLOOKUP(factura_c_mes2[[#This Row],[CUIT]],Lista_CUIT[#All],4,0)),"CUIT NO CARGADO")</f>
        <v>0</v>
      </c>
    </row>
    <row r="158" spans="4:12">
      <c r="D158" s="50">
        <v>45338</v>
      </c>
      <c r="E158" s="42">
        <v>2</v>
      </c>
      <c r="F158" s="43">
        <v>3997</v>
      </c>
      <c r="G158" s="44">
        <v>20136536320</v>
      </c>
      <c r="H158" s="53" t="str">
        <f>IFERROR(IF(factura_c_mes2[[#This Row],[CUIT]]="","-",VLOOKUP(factura_c_mes2[[#This Row],[CUIT]],Lista_CUIT[#All],2,0)),"CUIT NO CARGADO")</f>
        <v>FONTENLA ERNESTO MARIO</v>
      </c>
      <c r="I158" s="81">
        <v>3200</v>
      </c>
      <c r="J158" s="54" t="str">
        <f>IFERROR(IF(factura_c_mes2[[#This Row],[CUIT]]="","-",VLOOKUP(factura_c_mes2[[#This Row],[CUIT]],Lista_CUIT[#All],3,0)),"CUIT NO CARGADO")</f>
        <v>Gastos Varios</v>
      </c>
      <c r="K158" s="54" t="str">
        <f>IFERROR(IF(factura_c_mes2[[#This Row],[CUIT]]="","-",VLOOKUP(factura_c_mes2[[#This Row],[CUIT]],Lista_CUIT[#All],4,0)),"CUIT NO CARGADO")</f>
        <v>CABA</v>
      </c>
    </row>
    <row r="159" spans="4:12">
      <c r="D159" s="50">
        <v>45339</v>
      </c>
      <c r="E159" s="42">
        <v>3</v>
      </c>
      <c r="F159" s="43">
        <v>890</v>
      </c>
      <c r="G159" s="44">
        <v>20173025557</v>
      </c>
      <c r="H159" s="53" t="str">
        <f>IFERROR(IF(factura_c_mes2[[#This Row],[CUIT]]="","-",VLOOKUP(factura_c_mes2[[#This Row],[CUIT]],Lista_CUIT[#All],2,0)),"CUIT NO CARGADO")</f>
        <v>MARAUDA HECTOR</v>
      </c>
      <c r="I159" s="81">
        <v>4500</v>
      </c>
      <c r="J159" s="54" t="str">
        <f>IFERROR(IF(factura_c_mes2[[#This Row],[CUIT]]="","-",VLOOKUP(factura_c_mes2[[#This Row],[CUIT]],Lista_CUIT[#All],3,0)),"CUIT NO CARGADO")</f>
        <v>Gastos Varios</v>
      </c>
      <c r="K159" s="54">
        <f>IFERROR(IF(factura_c_mes2[[#This Row],[CUIT]]="","-",VLOOKUP(factura_c_mes2[[#This Row],[CUIT]],Lista_CUIT[#All],4,0)),"CUIT NO CARGADO")</f>
        <v>0</v>
      </c>
    </row>
    <row r="160" spans="4:12">
      <c r="D160" s="50">
        <v>45339</v>
      </c>
      <c r="E160" s="42">
        <v>2</v>
      </c>
      <c r="F160" s="43">
        <v>3998</v>
      </c>
      <c r="G160" s="44">
        <v>20136536320</v>
      </c>
      <c r="H160" s="53" t="str">
        <f>IFERROR(IF(factura_c_mes2[[#This Row],[CUIT]]="","-",VLOOKUP(factura_c_mes2[[#This Row],[CUIT]],Lista_CUIT[#All],2,0)),"CUIT NO CARGADO")</f>
        <v>FONTENLA ERNESTO MARIO</v>
      </c>
      <c r="I160" s="81">
        <v>3200</v>
      </c>
      <c r="J160" s="54" t="str">
        <f>IFERROR(IF(factura_c_mes2[[#This Row],[CUIT]]="","-",VLOOKUP(factura_c_mes2[[#This Row],[CUIT]],Lista_CUIT[#All],3,0)),"CUIT NO CARGADO")</f>
        <v>Gastos Varios</v>
      </c>
      <c r="K160" s="54" t="str">
        <f>IFERROR(IF(factura_c_mes2[[#This Row],[CUIT]]="","-",VLOOKUP(factura_c_mes2[[#This Row],[CUIT]],Lista_CUIT[#All],4,0)),"CUIT NO CARGADO")</f>
        <v>CABA</v>
      </c>
    </row>
    <row r="161" spans="3:11">
      <c r="D161" s="50">
        <v>45342</v>
      </c>
      <c r="E161" s="42">
        <v>2</v>
      </c>
      <c r="F161" s="43">
        <v>4000</v>
      </c>
      <c r="G161" s="44">
        <v>20136536320</v>
      </c>
      <c r="H161" s="53" t="str">
        <f>IFERROR(IF(factura_c_mes2[[#This Row],[CUIT]]="","-",VLOOKUP(factura_c_mes2[[#This Row],[CUIT]],Lista_CUIT[#All],2,0)),"CUIT NO CARGADO")</f>
        <v>FONTENLA ERNESTO MARIO</v>
      </c>
      <c r="I161" s="81">
        <v>8700</v>
      </c>
      <c r="J161" s="54" t="str">
        <f>IFERROR(IF(factura_c_mes2[[#This Row],[CUIT]]="","-",VLOOKUP(factura_c_mes2[[#This Row],[CUIT]],Lista_CUIT[#All],3,0)),"CUIT NO CARGADO")</f>
        <v>Gastos Varios</v>
      </c>
      <c r="K161" s="54" t="str">
        <f>IFERROR(IF(factura_c_mes2[[#This Row],[CUIT]]="","-",VLOOKUP(factura_c_mes2[[#This Row],[CUIT]],Lista_CUIT[#All],4,0)),"CUIT NO CARGADO")</f>
        <v>CABA</v>
      </c>
    </row>
    <row r="162" spans="3:11">
      <c r="D162" s="50">
        <v>45344</v>
      </c>
      <c r="E162" s="42">
        <v>2</v>
      </c>
      <c r="F162" s="43">
        <v>4004</v>
      </c>
      <c r="G162" s="44">
        <v>20136536320</v>
      </c>
      <c r="H162" s="53" t="str">
        <f>IFERROR(IF(factura_c_mes2[[#This Row],[CUIT]]="","-",VLOOKUP(factura_c_mes2[[#This Row],[CUIT]],Lista_CUIT[#All],2,0)),"CUIT NO CARGADO")</f>
        <v>FONTENLA ERNESTO MARIO</v>
      </c>
      <c r="I162" s="81">
        <v>720</v>
      </c>
      <c r="J162" s="54" t="str">
        <f>IFERROR(IF(factura_c_mes2[[#This Row],[CUIT]]="","-",VLOOKUP(factura_c_mes2[[#This Row],[CUIT]],Lista_CUIT[#All],3,0)),"CUIT NO CARGADO")</f>
        <v>Gastos Varios</v>
      </c>
      <c r="K162" s="54" t="str">
        <f>IFERROR(IF(factura_c_mes2[[#This Row],[CUIT]]="","-",VLOOKUP(factura_c_mes2[[#This Row],[CUIT]],Lista_CUIT[#All],4,0)),"CUIT NO CARGADO")</f>
        <v>CABA</v>
      </c>
    </row>
    <row r="163" spans="3:11">
      <c r="D163" s="50">
        <v>45351</v>
      </c>
      <c r="E163" s="42">
        <v>2</v>
      </c>
      <c r="F163" s="43">
        <v>4008</v>
      </c>
      <c r="G163" s="44">
        <v>20136536320</v>
      </c>
      <c r="H163" s="53" t="str">
        <f>IFERROR(IF(factura_c_mes2[[#This Row],[CUIT]]="","-",VLOOKUP(factura_c_mes2[[#This Row],[CUIT]],Lista_CUIT[#All],2,0)),"CUIT NO CARGADO")</f>
        <v>FONTENLA ERNESTO MARIO</v>
      </c>
      <c r="I163" s="81">
        <v>4170</v>
      </c>
      <c r="J163" s="54" t="str">
        <f>IFERROR(IF(factura_c_mes2[[#This Row],[CUIT]]="","-",VLOOKUP(factura_c_mes2[[#This Row],[CUIT]],Lista_CUIT[#All],3,0)),"CUIT NO CARGADO")</f>
        <v>Gastos Varios</v>
      </c>
      <c r="K163" s="54" t="str">
        <f>IFERROR(IF(factura_c_mes2[[#This Row],[CUIT]]="","-",VLOOKUP(factura_c_mes2[[#This Row],[CUIT]],Lista_CUIT[#All],4,0)),"CUIT NO CARGADO")</f>
        <v>CABA</v>
      </c>
    </row>
    <row r="164" spans="3:11">
      <c r="D164" s="50">
        <v>45323</v>
      </c>
      <c r="E164" s="42">
        <v>1</v>
      </c>
      <c r="F164" s="43">
        <v>11</v>
      </c>
      <c r="G164" s="44">
        <v>20394167216</v>
      </c>
      <c r="H164" s="53" t="str">
        <f>IFERROR(IF(factura_c_mes2[[#This Row],[CUIT]]="","-",VLOOKUP(factura_c_mes2[[#This Row],[CUIT]],Lista_CUIT[#All],2,0)),"CUIT NO CARGADO")</f>
        <v>CASTILLO SANTIAGO JESUS</v>
      </c>
      <c r="I164" s="81">
        <v>400000</v>
      </c>
      <c r="J164" s="54" t="str">
        <f>IFERROR(IF(factura_c_mes2[[#This Row],[CUIT]]="","-",VLOOKUP(factura_c_mes2[[#This Row],[CUIT]],Lista_CUIT[#All],3,0)),"CUIT NO CARGADO")</f>
        <v>Honorarios Administrativos</v>
      </c>
      <c r="K164" s="54">
        <f>IFERROR(IF(factura_c_mes2[[#This Row],[CUIT]]="","-",VLOOKUP(factura_c_mes2[[#This Row],[CUIT]],Lista_CUIT[#All],4,0)),"CUIT NO CARGADO")</f>
        <v>0</v>
      </c>
    </row>
    <row r="165" spans="3:11">
      <c r="D165" s="50">
        <v>45327</v>
      </c>
      <c r="E165" s="42">
        <v>3</v>
      </c>
      <c r="F165" s="43">
        <v>818</v>
      </c>
      <c r="G165" s="44">
        <v>20086277523</v>
      </c>
      <c r="H165" s="53" t="str">
        <f>IFERROR(IF(factura_c_mes2[[#This Row],[CUIT]]="","-",VLOOKUP(factura_c_mes2[[#This Row],[CUIT]],Lista_CUIT[#All],2,0)),"CUIT NO CARGADO")</f>
        <v>BOTINDARI JUAN CARLOS</v>
      </c>
      <c r="I165" s="81">
        <v>155000</v>
      </c>
      <c r="J165" s="54" t="str">
        <f>IFERROR(IF(factura_c_mes2[[#This Row],[CUIT]]="","-",VLOOKUP(factura_c_mes2[[#This Row],[CUIT]],Lista_CUIT[#All],3,0)),"CUIT NO CARGADO")</f>
        <v>Honorarios Contables</v>
      </c>
      <c r="K165" s="54">
        <f>IFERROR(IF(factura_c_mes2[[#This Row],[CUIT]]="","-",VLOOKUP(factura_c_mes2[[#This Row],[CUIT]],Lista_CUIT[#All],4,0)),"CUIT NO CARGADO")</f>
        <v>0</v>
      </c>
    </row>
    <row r="166" spans="3:11">
      <c r="D166" s="50">
        <v>45330</v>
      </c>
      <c r="E166" s="42">
        <v>2</v>
      </c>
      <c r="F166" s="43">
        <v>280</v>
      </c>
      <c r="G166" s="44">
        <v>23319210954</v>
      </c>
      <c r="H166" s="53" t="str">
        <f>IFERROR(IF(factura_c_mes2[[#This Row],[CUIT]]="","-",VLOOKUP(factura_c_mes2[[#This Row],[CUIT]],Lista_CUIT[#All],2,0)),"CUIT NO CARGADO")</f>
        <v>CAFFARATTI ROMINA PAOLA</v>
      </c>
      <c r="I166" s="81">
        <v>62000</v>
      </c>
      <c r="J166" s="54" t="str">
        <f>IFERROR(IF(factura_c_mes2[[#This Row],[CUIT]]="","-",VLOOKUP(factura_c_mes2[[#This Row],[CUIT]],Lista_CUIT[#All],3,0)),"CUIT NO CARGADO")</f>
        <v>Honorarios Contables</v>
      </c>
      <c r="K166" s="54">
        <f>IFERROR(IF(factura_c_mes2[[#This Row],[CUIT]]="","-",VLOOKUP(factura_c_mes2[[#This Row],[CUIT]],Lista_CUIT[#All],4,0)),"CUIT NO CARGADO")</f>
        <v>0</v>
      </c>
    </row>
    <row r="167" spans="3:11">
      <c r="D167" s="50">
        <v>45351</v>
      </c>
      <c r="E167" s="42">
        <v>3</v>
      </c>
      <c r="F167" s="43">
        <v>112</v>
      </c>
      <c r="G167" s="44">
        <v>23291131204</v>
      </c>
      <c r="H167" s="53" t="str">
        <f>IFERROR(IF(factura_c_mes2[[#This Row],[CUIT]]="","-",VLOOKUP(factura_c_mes2[[#This Row],[CUIT]],Lista_CUIT[#All],2,0)),"CUIT NO CARGADO")</f>
        <v>LOMBARDI LAURA CECILIA</v>
      </c>
      <c r="I167" s="81">
        <v>113500</v>
      </c>
      <c r="J167" s="54" t="str">
        <f>IFERROR(IF(factura_c_mes2[[#This Row],[CUIT]]="","-",VLOOKUP(factura_c_mes2[[#This Row],[CUIT]],Lista_CUIT[#All],3,0)),"CUIT NO CARGADO")</f>
        <v>Honorarios Legales</v>
      </c>
      <c r="K167" s="54">
        <f>IFERROR(IF(factura_c_mes2[[#This Row],[CUIT]]="","-",VLOOKUP(factura_c_mes2[[#This Row],[CUIT]],Lista_CUIT[#All],4,0)),"CUIT NO CARGADO")</f>
        <v>0</v>
      </c>
    </row>
    <row r="168" spans="3:11">
      <c r="D168" s="50">
        <v>45324</v>
      </c>
      <c r="E168" s="42">
        <v>3</v>
      </c>
      <c r="F168" s="43">
        <v>460</v>
      </c>
      <c r="G168" s="44">
        <v>20210551574</v>
      </c>
      <c r="H168" s="53" t="str">
        <f>IFERROR(IF(factura_c_mes2[[#This Row],[CUIT]]="","-",VLOOKUP(factura_c_mes2[[#This Row],[CUIT]],Lista_CUIT[#All],2,0)),"CUIT NO CARGADO")</f>
        <v>REUS JORGE DIEGO</v>
      </c>
      <c r="I168" s="81">
        <v>125500</v>
      </c>
      <c r="J168" s="54" t="str">
        <f>IFERROR(IF(factura_c_mes2[[#This Row],[CUIT]]="","-",VLOOKUP(factura_c_mes2[[#This Row],[CUIT]],Lista_CUIT[#All],3,0)),"CUIT NO CARGADO")</f>
        <v>Honorarios Legales</v>
      </c>
      <c r="K168" s="54">
        <f>IFERROR(IF(factura_c_mes2[[#This Row],[CUIT]]="","-",VLOOKUP(factura_c_mes2[[#This Row],[CUIT]],Lista_CUIT[#All],4,0)),"CUIT NO CARGADO")</f>
        <v>0</v>
      </c>
    </row>
    <row r="169" spans="3:11">
      <c r="D169" s="50">
        <v>45351</v>
      </c>
      <c r="E169" s="42">
        <v>4</v>
      </c>
      <c r="F169" s="43">
        <v>372</v>
      </c>
      <c r="G169" s="44">
        <v>23222942934</v>
      </c>
      <c r="H169" s="53" t="str">
        <f>IFERROR(IF(factura_c_mes2[[#This Row],[CUIT]]="","-",VLOOKUP(factura_c_mes2[[#This Row],[CUIT]],Lista_CUIT[#All],2,0)),"CUIT NO CARGADO")</f>
        <v>FIORI SILVIA LORENA</v>
      </c>
      <c r="I169" s="81">
        <v>13500</v>
      </c>
      <c r="J169" s="54" t="str">
        <f>IFERROR(IF(factura_c_mes2[[#This Row],[CUIT]]="","-",VLOOKUP(factura_c_mes2[[#This Row],[CUIT]],Lista_CUIT[#All],3,0)),"CUIT NO CARGADO")</f>
        <v>Honorarios Profesionales</v>
      </c>
      <c r="K169" s="54">
        <f>IFERROR(IF(factura_c_mes2[[#This Row],[CUIT]]="","-",VLOOKUP(factura_c_mes2[[#This Row],[CUIT]],Lista_CUIT[#All],4,0)),"CUIT NO CARGADO")</f>
        <v>0</v>
      </c>
    </row>
    <row r="170" spans="3:11">
      <c r="D170" s="50">
        <v>45329</v>
      </c>
      <c r="E170" s="42">
        <v>1</v>
      </c>
      <c r="F170" s="43">
        <v>7</v>
      </c>
      <c r="G170" s="44">
        <v>27414720450</v>
      </c>
      <c r="H170" s="53" t="str">
        <f>IFERROR(IF(factura_c_mes2[[#This Row],[CUIT]]="","-",VLOOKUP(factura_c_mes2[[#This Row],[CUIT]],Lista_CUIT[#All],2,0)),"CUIT NO CARGADO")</f>
        <v>PREITI MICAELA ORIANA</v>
      </c>
      <c r="I170" s="81">
        <v>180000</v>
      </c>
      <c r="J170" s="54" t="str">
        <f>IFERROR(IF(factura_c_mes2[[#This Row],[CUIT]]="","-",VLOOKUP(factura_c_mes2[[#This Row],[CUIT]],Lista_CUIT[#All],3,0)),"CUIT NO CARGADO")</f>
        <v>Honorarios Profesionales</v>
      </c>
      <c r="K170" s="54">
        <f>IFERROR(IF(factura_c_mes2[[#This Row],[CUIT]]="","-",VLOOKUP(factura_c_mes2[[#This Row],[CUIT]],Lista_CUIT[#All],4,0)),"CUIT NO CARGADO")</f>
        <v>0</v>
      </c>
    </row>
    <row r="171" spans="3:11">
      <c r="D171" s="50">
        <v>45351</v>
      </c>
      <c r="E171" s="42">
        <v>1</v>
      </c>
      <c r="F171" s="43">
        <v>40</v>
      </c>
      <c r="G171" s="44">
        <v>20176922363</v>
      </c>
      <c r="H171" s="53" t="str">
        <f>IFERROR(IF(factura_c_mes2[[#This Row],[CUIT]]="","-",VLOOKUP(factura_c_mes2[[#This Row],[CUIT]],Lista_CUIT[#All],2,0)),"CUIT NO CARGADO")</f>
        <v>CASTILLO JUAN RAMON</v>
      </c>
      <c r="I171" s="81">
        <v>660000</v>
      </c>
      <c r="J171" s="54" t="str">
        <f>IFERROR(IF(factura_c_mes2[[#This Row],[CUIT]]="","-",VLOOKUP(factura_c_mes2[[#This Row],[CUIT]],Lista_CUIT[#All],3,0)),"CUIT NO CARGADO")</f>
        <v>Honorarios Profesionales</v>
      </c>
      <c r="K171" s="54">
        <f>IFERROR(IF(factura_c_mes2[[#This Row],[CUIT]]="","-",VLOOKUP(factura_c_mes2[[#This Row],[CUIT]],Lista_CUIT[#All],4,0)),"CUIT NO CARGADO")</f>
        <v>0</v>
      </c>
    </row>
    <row r="172" spans="3:11">
      <c r="D172" s="50">
        <v>45351</v>
      </c>
      <c r="E172" s="42">
        <v>1</v>
      </c>
      <c r="F172" s="43">
        <v>42</v>
      </c>
      <c r="G172" s="44">
        <v>20176922363</v>
      </c>
      <c r="H172" s="53" t="str">
        <f>IFERROR(IF(factura_c_mes2[[#This Row],[CUIT]]="","-",VLOOKUP(factura_c_mes2[[#This Row],[CUIT]],Lista_CUIT[#All],2,0)),"CUIT NO CARGADO")</f>
        <v>CASTILLO JUAN RAMON</v>
      </c>
      <c r="I172" s="81">
        <v>470000</v>
      </c>
      <c r="J172" s="54" t="str">
        <f>IFERROR(IF(factura_c_mes2[[#This Row],[CUIT]]="","-",VLOOKUP(factura_c_mes2[[#This Row],[CUIT]],Lista_CUIT[#All],3,0)),"CUIT NO CARGADO")</f>
        <v>Honorarios Profesionales</v>
      </c>
      <c r="K172" s="54">
        <f>IFERROR(IF(factura_c_mes2[[#This Row],[CUIT]]="","-",VLOOKUP(factura_c_mes2[[#This Row],[CUIT]],Lista_CUIT[#All],4,0)),"CUIT NO CARGADO")</f>
        <v>0</v>
      </c>
    </row>
    <row r="173" spans="3:11">
      <c r="D173" s="50">
        <v>45351</v>
      </c>
      <c r="E173" s="42">
        <v>1</v>
      </c>
      <c r="F173" s="43">
        <v>41</v>
      </c>
      <c r="G173" s="44">
        <v>20176922363</v>
      </c>
      <c r="H173" s="53" t="str">
        <f>IFERROR(IF(factura_c_mes2[[#This Row],[CUIT]]="","-",VLOOKUP(factura_c_mes2[[#This Row],[CUIT]],Lista_CUIT[#All],2,0)),"CUIT NO CARGADO")</f>
        <v>CASTILLO JUAN RAMON</v>
      </c>
      <c r="I173" s="81">
        <v>450000</v>
      </c>
      <c r="J173" s="54" t="str">
        <f>IFERROR(IF(factura_c_mes2[[#This Row],[CUIT]]="","-",VLOOKUP(factura_c_mes2[[#This Row],[CUIT]],Lista_CUIT[#All],3,0)),"CUIT NO CARGADO")</f>
        <v>Honorarios Profesionales</v>
      </c>
      <c r="K173" s="54">
        <f>IFERROR(IF(factura_c_mes2[[#This Row],[CUIT]]="","-",VLOOKUP(factura_c_mes2[[#This Row],[CUIT]],Lista_CUIT[#All],4,0)),"CUIT NO CARGADO")</f>
        <v>0</v>
      </c>
    </row>
    <row r="174" spans="3:11">
      <c r="C174" t="s">
        <v>1760</v>
      </c>
      <c r="D174" s="50">
        <v>45348</v>
      </c>
      <c r="E174" s="42">
        <v>8</v>
      </c>
      <c r="F174" s="43">
        <v>552</v>
      </c>
      <c r="G174" s="44">
        <v>27409592487</v>
      </c>
      <c r="H174" s="53" t="str">
        <f>IFERROR(IF(factura_c_mes2[[#This Row],[CUIT]]="","-",VLOOKUP(factura_c_mes2[[#This Row],[CUIT]],Lista_CUIT[#All],2,0)),"CUIT NO CARGADO")</f>
        <v>BAUDONE ANTONELLA AGOSTINA</v>
      </c>
      <c r="I174" s="81">
        <v>58800</v>
      </c>
      <c r="J174" s="54" t="str">
        <f>IFERROR(IF(factura_c_mes2[[#This Row],[CUIT]]="","-",VLOOKUP(factura_c_mes2[[#This Row],[CUIT]],Lista_CUIT[#All],3,0)),"CUIT NO CARGADO")</f>
        <v>Material de Empaque</v>
      </c>
      <c r="K174" s="54">
        <f>IFERROR(IF(factura_c_mes2[[#This Row],[CUIT]]="","-",VLOOKUP(factura_c_mes2[[#This Row],[CUIT]],Lista_CUIT[#All],4,0)),"CUIT NO CARGADO")</f>
        <v>0</v>
      </c>
    </row>
    <row r="175" spans="3:11">
      <c r="C175" t="s">
        <v>1760</v>
      </c>
      <c r="D175" s="50">
        <v>45348</v>
      </c>
      <c r="E175" s="42">
        <v>8</v>
      </c>
      <c r="F175" s="43">
        <v>551</v>
      </c>
      <c r="G175" s="44">
        <v>27409592487</v>
      </c>
      <c r="H175" s="53" t="str">
        <f>IFERROR(IF(factura_c_mes2[[#This Row],[CUIT]]="","-",VLOOKUP(factura_c_mes2[[#This Row],[CUIT]],Lista_CUIT[#All],2,0)),"CUIT NO CARGADO")</f>
        <v>BAUDONE ANTONELLA AGOSTINA</v>
      </c>
      <c r="I175" s="81">
        <v>83600</v>
      </c>
      <c r="J175" s="54" t="str">
        <f>IFERROR(IF(factura_c_mes2[[#This Row],[CUIT]]="","-",VLOOKUP(factura_c_mes2[[#This Row],[CUIT]],Lista_CUIT[#All],3,0)),"CUIT NO CARGADO")</f>
        <v>Material de Empaque</v>
      </c>
      <c r="K175" s="54">
        <f>IFERROR(IF(factura_c_mes2[[#This Row],[CUIT]]="","-",VLOOKUP(factura_c_mes2[[#This Row],[CUIT]],Lista_CUIT[#All],4,0)),"CUIT NO CARGADO")</f>
        <v>0</v>
      </c>
    </row>
    <row r="176" spans="3:11">
      <c r="C176" t="s">
        <v>1760</v>
      </c>
      <c r="D176" s="50">
        <v>45332</v>
      </c>
      <c r="E176" s="42">
        <v>1</v>
      </c>
      <c r="F176" s="43">
        <v>66</v>
      </c>
      <c r="G176" s="44">
        <v>20299505430</v>
      </c>
      <c r="H176" s="53" t="str">
        <f>IFERROR(IF(factura_c_mes2[[#This Row],[CUIT]]="","-",VLOOKUP(factura_c_mes2[[#This Row],[CUIT]],Lista_CUIT[#All],2,0)),"CUIT NO CARGADO")</f>
        <v>PRADO EMILIANO HERNAN</v>
      </c>
      <c r="I176" s="81">
        <v>340600</v>
      </c>
      <c r="J176" s="54" t="str">
        <f>IFERROR(IF(factura_c_mes2[[#This Row],[CUIT]]="","-",VLOOKUP(factura_c_mes2[[#This Row],[CUIT]],Lista_CUIT[#All],3,0)),"CUIT NO CARGADO")</f>
        <v>Material de Empaque</v>
      </c>
      <c r="K176" s="54">
        <f>IFERROR(IF(factura_c_mes2[[#This Row],[CUIT]]="","-",VLOOKUP(factura_c_mes2[[#This Row],[CUIT]],Lista_CUIT[#All],4,0)),"CUIT NO CARGADO")</f>
        <v>0</v>
      </c>
    </row>
    <row r="177" spans="2:18">
      <c r="C177" t="s">
        <v>1760</v>
      </c>
      <c r="D177" s="50">
        <v>45336</v>
      </c>
      <c r="E177" s="42">
        <v>1</v>
      </c>
      <c r="F177" s="43">
        <v>67</v>
      </c>
      <c r="G177" s="44">
        <v>20299505430</v>
      </c>
      <c r="H177" s="53" t="str">
        <f>IFERROR(IF(factura_c_mes2[[#This Row],[CUIT]]="","-",VLOOKUP(factura_c_mes2[[#This Row],[CUIT]],Lista_CUIT[#All],2,0)),"CUIT NO CARGADO")</f>
        <v>PRADO EMILIANO HERNAN</v>
      </c>
      <c r="I177" s="81">
        <v>331300</v>
      </c>
      <c r="J177" s="54" t="str">
        <f>IFERROR(IF(factura_c_mes2[[#This Row],[CUIT]]="","-",VLOOKUP(factura_c_mes2[[#This Row],[CUIT]],Lista_CUIT[#All],3,0)),"CUIT NO CARGADO")</f>
        <v>Material de Empaque</v>
      </c>
      <c r="K177" s="54">
        <f>IFERROR(IF(factura_c_mes2[[#This Row],[CUIT]]="","-",VLOOKUP(factura_c_mes2[[#This Row],[CUIT]],Lista_CUIT[#All],4,0)),"CUIT NO CARGADO")</f>
        <v>0</v>
      </c>
    </row>
    <row r="178" spans="2:18">
      <c r="C178" t="s">
        <v>1760</v>
      </c>
      <c r="D178" s="50">
        <v>45325</v>
      </c>
      <c r="E178" s="42">
        <v>2</v>
      </c>
      <c r="F178" s="43">
        <v>330</v>
      </c>
      <c r="G178" s="44">
        <v>20300814094</v>
      </c>
      <c r="H178" s="53" t="str">
        <f>IFERROR(IF(factura_c_mes2[[#This Row],[CUIT]]="","-",VLOOKUP(factura_c_mes2[[#This Row],[CUIT]],Lista_CUIT[#All],2,0)),"CUIT NO CARGADO")</f>
        <v>FARRAPEIRA OSCAR MAXIMO</v>
      </c>
      <c r="I178" s="81">
        <v>734064</v>
      </c>
      <c r="J178" s="54" t="str">
        <f>IFERROR(IF(factura_c_mes2[[#This Row],[CUIT]]="","-",VLOOKUP(factura_c_mes2[[#This Row],[CUIT]],Lista_CUIT[#All],3,0)),"CUIT NO CARGADO")</f>
        <v>Material de Empaque</v>
      </c>
      <c r="K178" s="54">
        <f>IFERROR(IF(factura_c_mes2[[#This Row],[CUIT]]="","-",VLOOKUP(factura_c_mes2[[#This Row],[CUIT]],Lista_CUIT[#All],4,0)),"CUIT NO CARGADO")</f>
        <v>0</v>
      </c>
    </row>
    <row r="179" spans="2:18">
      <c r="C179" t="s">
        <v>1760</v>
      </c>
      <c r="D179" s="50">
        <v>45326</v>
      </c>
      <c r="E179" s="42">
        <v>2</v>
      </c>
      <c r="F179" s="43">
        <v>331</v>
      </c>
      <c r="G179" s="44">
        <v>20300814094</v>
      </c>
      <c r="H179" s="53" t="str">
        <f>IFERROR(IF(factura_c_mes2[[#This Row],[CUIT]]="","-",VLOOKUP(factura_c_mes2[[#This Row],[CUIT]],Lista_CUIT[#All],2,0)),"CUIT NO CARGADO")</f>
        <v>FARRAPEIRA OSCAR MAXIMO</v>
      </c>
      <c r="I179" s="81">
        <v>1168356</v>
      </c>
      <c r="J179" s="54" t="str">
        <f>IFERROR(IF(factura_c_mes2[[#This Row],[CUIT]]="","-",VLOOKUP(factura_c_mes2[[#This Row],[CUIT]],Lista_CUIT[#All],3,0)),"CUIT NO CARGADO")</f>
        <v>Material de Empaque</v>
      </c>
      <c r="K179" s="54">
        <f>IFERROR(IF(factura_c_mes2[[#This Row],[CUIT]]="","-",VLOOKUP(factura_c_mes2[[#This Row],[CUIT]],Lista_CUIT[#All],4,0)),"CUIT NO CARGADO")</f>
        <v>0</v>
      </c>
    </row>
    <row r="180" spans="2:18">
      <c r="D180" s="55" t="s">
        <v>103</v>
      </c>
      <c r="E180" s="55"/>
      <c r="F180" s="55"/>
      <c r="G180" s="55"/>
      <c r="H180" s="57"/>
      <c r="I180" s="58">
        <f>SUBTOTAL(109,factura_c_mes2[TOTAL])</f>
        <v>5540710</v>
      </c>
      <c r="J180" s="55"/>
      <c r="K180" s="55"/>
    </row>
    <row r="181" spans="2:18">
      <c r="B181" s="56"/>
      <c r="C181" s="56"/>
      <c r="L181" s="56"/>
      <c r="M181" s="56"/>
      <c r="N181" s="56"/>
      <c r="O181" s="56"/>
      <c r="P181" s="56"/>
      <c r="Q181" s="56"/>
      <c r="R181" s="56"/>
    </row>
    <row r="186" spans="2:18" ht="26.25">
      <c r="B186" s="720" t="s">
        <v>29</v>
      </c>
      <c r="C186" s="720"/>
      <c r="D186" s="720"/>
      <c r="E186" s="720"/>
      <c r="F186" s="720"/>
      <c r="G186" s="720"/>
      <c r="H186" s="720"/>
      <c r="I186" s="720"/>
      <c r="J186" s="720"/>
      <c r="K186" s="716">
        <f>N1</f>
        <v>44958</v>
      </c>
      <c r="L186" s="716"/>
      <c r="M186" s="716"/>
    </row>
    <row r="188" spans="2:18" ht="21">
      <c r="B188" s="713" t="s">
        <v>30</v>
      </c>
      <c r="C188" s="713"/>
    </row>
    <row r="189" spans="2:18" ht="15.75">
      <c r="B189" s="60" t="s">
        <v>0</v>
      </c>
      <c r="C189" s="61" t="s">
        <v>1</v>
      </c>
      <c r="D189" s="61" t="s">
        <v>21</v>
      </c>
      <c r="E189" s="61" t="s">
        <v>22</v>
      </c>
      <c r="F189" s="61" t="s">
        <v>3</v>
      </c>
      <c r="G189" s="61" t="s">
        <v>4</v>
      </c>
      <c r="H189" s="61" t="s">
        <v>23</v>
      </c>
      <c r="I189" s="61" t="s">
        <v>17</v>
      </c>
      <c r="J189" s="61" t="s">
        <v>7</v>
      </c>
      <c r="K189" s="61" t="s">
        <v>24</v>
      </c>
      <c r="L189" s="61" t="s">
        <v>10</v>
      </c>
      <c r="M189" s="62" t="s">
        <v>38</v>
      </c>
    </row>
    <row r="190" spans="2:18">
      <c r="B190" s="40"/>
      <c r="C190" s="41"/>
      <c r="D190" s="42"/>
      <c r="E190" s="43"/>
      <c r="F190" s="44"/>
      <c r="G190" s="99" t="str">
        <f>IFERROR(IF(venta_a_mes2[[#This Row],[CUIT]]="","-",VLOOKUP(venta_a_mes2[[#This Row],[CUIT]],Lista_CUIT[#All],2,0)),"CUIT NO CARGADO")</f>
        <v>-</v>
      </c>
      <c r="H190" s="100"/>
      <c r="I190" s="101">
        <f>venta_a_mes2[[#This Row],[IMPORTE NETO]]*0.21</f>
        <v>0</v>
      </c>
      <c r="J190" s="65"/>
      <c r="K190" s="65"/>
      <c r="L190" s="65">
        <f>SUM(venta_a_mes2[[#This Row],[IMPORTE NETO]:[EXENTO]])</f>
        <v>0</v>
      </c>
      <c r="M190" s="59"/>
    </row>
    <row r="191" spans="2:18">
      <c r="B191" s="188" t="s">
        <v>103</v>
      </c>
      <c r="C191" s="189"/>
      <c r="D191" s="189"/>
      <c r="E191" s="189"/>
      <c r="F191" s="189"/>
      <c r="G191" s="189"/>
      <c r="H191" s="190">
        <f>SUBTOTAL(109,venta_a_mes2[IMPORTE NETO])</f>
        <v>0</v>
      </c>
      <c r="I191" s="191">
        <f>SUBTOTAL(109,venta_a_mes2[IVA 21%])</f>
        <v>0</v>
      </c>
      <c r="J191" s="192">
        <f>SUBTOTAL(109,venta_a_mes2[IVA 10,5%])</f>
        <v>0</v>
      </c>
      <c r="K191" s="192">
        <f>SUBTOTAL(109,venta_a_mes2[EXENTO])</f>
        <v>0</v>
      </c>
      <c r="L191" s="192">
        <f>SUBTOTAL(109,venta_a_mes2[TOTAL])</f>
        <v>0</v>
      </c>
      <c r="M191" s="193">
        <f>SUBTOTAL(103,venta_a_mes2[Provincia])</f>
        <v>0</v>
      </c>
    </row>
    <row r="194" spans="2:13" ht="21">
      <c r="B194" s="713" t="s">
        <v>31</v>
      </c>
      <c r="C194" s="713"/>
    </row>
    <row r="195" spans="2:13" ht="15.75">
      <c r="B195" s="60" t="s">
        <v>0</v>
      </c>
      <c r="C195" s="61" t="s">
        <v>1</v>
      </c>
      <c r="D195" s="61" t="s">
        <v>21</v>
      </c>
      <c r="E195" s="61" t="s">
        <v>22</v>
      </c>
      <c r="F195" s="61" t="s">
        <v>3</v>
      </c>
      <c r="G195" s="61" t="s">
        <v>4</v>
      </c>
      <c r="H195" s="61" t="s">
        <v>23</v>
      </c>
      <c r="I195" s="61" t="s">
        <v>17</v>
      </c>
      <c r="J195" s="61" t="s">
        <v>7</v>
      </c>
      <c r="K195" s="61" t="s">
        <v>24</v>
      </c>
      <c r="L195" s="61" t="s">
        <v>10</v>
      </c>
      <c r="M195" s="62" t="s">
        <v>38</v>
      </c>
    </row>
    <row r="196" spans="2:13">
      <c r="B196" s="40"/>
      <c r="C196" s="41"/>
      <c r="D196" s="42"/>
      <c r="E196" s="43"/>
      <c r="F196" s="43"/>
      <c r="G196" s="1" t="str">
        <f>IFERROR(IF(ventas_b_mes2[[#This Row],[CUIT]]="","-",VLOOKUP(ventas_b_mes2[[#This Row],[CUIT]],Lista_CUIT[#All],2,0)),"CUIT NO CARGADO")</f>
        <v>-</v>
      </c>
      <c r="H196" s="64">
        <f>ventas_b_mes2[[#This Row],[TOTAL]]/1.21</f>
        <v>0</v>
      </c>
      <c r="I196" s="64">
        <f>ventas_b_mes2[[#This Row],[IMPORTE NETO]]*0.21</f>
        <v>0</v>
      </c>
      <c r="J196" s="64"/>
      <c r="K196" s="64"/>
      <c r="L196" s="64"/>
      <c r="M196" s="59"/>
    </row>
    <row r="197" spans="2:13">
      <c r="B197" s="40"/>
      <c r="C197" s="41"/>
      <c r="D197" s="42"/>
      <c r="E197" s="43"/>
      <c r="F197" s="43"/>
      <c r="G197" s="1" t="str">
        <f>IFERROR(IF(ventas_b_mes2[[#This Row],[CUIT]]="","-",VLOOKUP(ventas_b_mes2[[#This Row],[CUIT]],Lista_CUIT[#All],2,0)),"CUIT NO CARGADO")</f>
        <v>-</v>
      </c>
      <c r="H197" s="64">
        <f>ventas_b_mes2[[#This Row],[TOTAL]]/1.21</f>
        <v>0</v>
      </c>
      <c r="I197" s="64">
        <f>ventas_b_mes2[[#This Row],[IMPORTE NETO]]*0.21</f>
        <v>0</v>
      </c>
      <c r="J197" s="64"/>
      <c r="K197" s="64"/>
      <c r="L197" s="64"/>
      <c r="M197" s="59"/>
    </row>
    <row r="198" spans="2:13">
      <c r="B198" s="66" t="s">
        <v>103</v>
      </c>
      <c r="C198" s="67"/>
      <c r="D198" s="67"/>
      <c r="E198" s="67"/>
      <c r="F198" s="67"/>
      <c r="G198" s="67"/>
      <c r="H198" s="77">
        <f>SUBTOTAL(109,ventas_b_mes2[IMPORTE NETO])</f>
        <v>0</v>
      </c>
      <c r="I198" s="77">
        <f>SUBTOTAL(109,ventas_b_mes2[IVA 21%])</f>
        <v>0</v>
      </c>
      <c r="J198" s="78">
        <f>SUBTOTAL(109,ventas_b_mes2[IVA 10,5%])</f>
        <v>0</v>
      </c>
      <c r="K198" s="78">
        <f>SUBTOTAL(109,ventas_b_mes2[EXENTO])</f>
        <v>0</v>
      </c>
      <c r="L198" s="78">
        <f>SUBTOTAL(109,ventas_b_mes2[TOTAL])</f>
        <v>0</v>
      </c>
      <c r="M198" s="68">
        <f>SUBTOTAL(103,ventas_b_mes2[Provincia])</f>
        <v>0</v>
      </c>
    </row>
    <row r="199" spans="2:13">
      <c r="B199" s="181"/>
      <c r="C199" s="181"/>
      <c r="D199" s="181"/>
      <c r="E199" s="181"/>
      <c r="F199" s="181"/>
      <c r="G199" s="181"/>
      <c r="H199" s="182"/>
      <c r="I199" s="182"/>
      <c r="J199" s="183"/>
      <c r="K199" s="183"/>
      <c r="L199" s="183"/>
      <c r="M199" s="184"/>
    </row>
    <row r="200" spans="2:13" ht="15.75" thickBot="1">
      <c r="B200" s="181"/>
      <c r="C200" s="181"/>
      <c r="D200" s="181"/>
      <c r="E200" s="181"/>
      <c r="F200" s="181"/>
      <c r="G200" s="181"/>
      <c r="H200" s="182"/>
      <c r="I200" s="182"/>
      <c r="J200" s="183"/>
      <c r="K200" s="183"/>
      <c r="L200" s="183"/>
      <c r="M200" s="184"/>
    </row>
    <row r="201" spans="2:13" ht="15.75" thickTop="1">
      <c r="C201" s="726" t="s">
        <v>66</v>
      </c>
      <c r="D201" s="726"/>
      <c r="E201" s="726"/>
      <c r="F201" s="726"/>
      <c r="G201" s="726"/>
      <c r="H201" s="32"/>
      <c r="I201" s="32"/>
      <c r="J201" s="32"/>
    </row>
    <row r="202" spans="2:13" ht="15.75">
      <c r="C202" s="114" t="s">
        <v>67</v>
      </c>
      <c r="D202" s="115" t="s">
        <v>68</v>
      </c>
      <c r="E202" s="115" t="s">
        <v>105</v>
      </c>
      <c r="F202" s="115" t="s">
        <v>3</v>
      </c>
      <c r="G202" s="115" t="s">
        <v>4</v>
      </c>
      <c r="H202" s="116" t="s">
        <v>69</v>
      </c>
      <c r="I202" s="116" t="s">
        <v>70</v>
      </c>
      <c r="J202" s="116" t="s">
        <v>71</v>
      </c>
      <c r="K202" s="116" t="s">
        <v>72</v>
      </c>
      <c r="L202" s="116" t="s">
        <v>73</v>
      </c>
    </row>
    <row r="203" spans="2:13">
      <c r="C203" s="117"/>
      <c r="D203" s="118"/>
      <c r="E203" s="118"/>
      <c r="F203" s="119"/>
      <c r="G203" s="53" t="str">
        <f>IFERROR(IF(Retenciones_mes2[[#This Row],[CUIT]]="","-",VLOOKUP(Retenciones_mes2[[#This Row],[CUIT]],Lista_CUIT[#All],2,0)),"CUIT NO CARGADO")</f>
        <v>-</v>
      </c>
      <c r="H203" s="120"/>
      <c r="I203" s="120"/>
      <c r="J203" s="120"/>
      <c r="K203" s="120"/>
      <c r="L203" s="120"/>
    </row>
    <row r="204" spans="2:13">
      <c r="C204" s="117"/>
      <c r="D204" s="118"/>
      <c r="E204" s="118"/>
      <c r="F204" s="119"/>
      <c r="G204" s="53" t="str">
        <f>IFERROR(IF(Retenciones_mes2[[#This Row],[CUIT]]="","-",VLOOKUP(Retenciones_mes2[[#This Row],[CUIT]],Lista_CUIT[#All],2,0)),"CUIT NO CARGADO")</f>
        <v>-</v>
      </c>
      <c r="H204" s="120"/>
      <c r="I204" s="120"/>
      <c r="J204" s="120"/>
      <c r="K204" s="120"/>
      <c r="L204" s="120"/>
    </row>
    <row r="205" spans="2:13">
      <c r="C205" s="117"/>
      <c r="D205" s="118"/>
      <c r="E205" s="118"/>
      <c r="F205" s="119"/>
      <c r="G205" s="53" t="str">
        <f>IFERROR(IF(Retenciones_mes2[[#This Row],[CUIT]]="","-",VLOOKUP(Retenciones_mes2[[#This Row],[CUIT]],Lista_CUIT[#All],2,0)),"CUIT NO CARGADO")</f>
        <v>-</v>
      </c>
      <c r="H205" s="120"/>
      <c r="I205" s="120"/>
      <c r="J205" s="120"/>
      <c r="K205" s="120"/>
      <c r="L205" s="120"/>
    </row>
    <row r="206" spans="2:13">
      <c r="C206" s="117"/>
      <c r="D206" s="118"/>
      <c r="E206" s="118"/>
      <c r="F206" s="119"/>
      <c r="G206" s="53" t="str">
        <f>IFERROR(IF(Retenciones_mes2[[#This Row],[CUIT]]="","-",VLOOKUP(Retenciones_mes2[[#This Row],[CUIT]],Lista_CUIT[#All],2,0)),"CUIT NO CARGADO")</f>
        <v>-</v>
      </c>
      <c r="H206" s="120"/>
      <c r="I206" s="120"/>
      <c r="J206" s="120"/>
      <c r="K206" s="120"/>
      <c r="L206" s="120"/>
    </row>
    <row r="207" spans="2:13">
      <c r="D207" s="118"/>
      <c r="E207" s="118"/>
      <c r="G207" s="53" t="str">
        <f>IFERROR(IF(Retenciones_mes2[[#This Row],[CUIT]]="","-",VLOOKUP(Retenciones_mes2[[#This Row],[CUIT]],Lista_CUIT[#All],2,0)),"CUIT NO CARGADO")</f>
        <v>-</v>
      </c>
    </row>
    <row r="208" spans="2:13">
      <c r="C208" s="33"/>
    </row>
    <row r="210" spans="2:13" ht="21">
      <c r="B210" s="713" t="s">
        <v>1711</v>
      </c>
      <c r="C210" s="713"/>
    </row>
    <row r="211" spans="2:13" ht="15.75">
      <c r="B211" s="60" t="s">
        <v>0</v>
      </c>
      <c r="C211" s="61" t="s">
        <v>1</v>
      </c>
      <c r="D211" s="61" t="s">
        <v>21</v>
      </c>
      <c r="E211" s="61" t="s">
        <v>22</v>
      </c>
      <c r="F211" s="61" t="s">
        <v>3</v>
      </c>
      <c r="G211" s="61" t="s">
        <v>4</v>
      </c>
      <c r="H211" s="61" t="s">
        <v>23</v>
      </c>
      <c r="I211" s="61" t="s">
        <v>17</v>
      </c>
      <c r="J211" s="61" t="s">
        <v>7</v>
      </c>
      <c r="K211" s="61" t="s">
        <v>24</v>
      </c>
      <c r="L211" s="61" t="s">
        <v>10</v>
      </c>
      <c r="M211" s="62" t="s">
        <v>38</v>
      </c>
    </row>
    <row r="212" spans="2:13">
      <c r="B212" s="40"/>
      <c r="C212" s="41"/>
      <c r="D212" s="42"/>
      <c r="E212" s="43"/>
      <c r="F212" s="44"/>
      <c r="G212" s="99" t="str">
        <f>IFERROR(IF(venta_a_mes552[[#This Row],[CUIT]]="","-",VLOOKUP(venta_a_mes552[[#This Row],[CUIT]],Lista_CUIT[#All],2,0)),"CUIT NO CARGADO")</f>
        <v>-</v>
      </c>
      <c r="H212" s="100"/>
      <c r="I212" s="101"/>
      <c r="J212" s="65"/>
      <c r="K212" s="65"/>
      <c r="L212" s="65">
        <f>SUM(venta_a_mes552[[#This Row],[IMPORTE NETO]:[EXENTO]])</f>
        <v>0</v>
      </c>
      <c r="M212" s="59"/>
    </row>
    <row r="213" spans="2:13">
      <c r="B213" s="40"/>
      <c r="C213" s="41"/>
      <c r="D213" s="42"/>
      <c r="E213" s="43"/>
      <c r="F213" s="44"/>
      <c r="G213" s="99" t="str">
        <f>IFERROR(IF(venta_a_mes552[[#This Row],[CUIT]]="","-",VLOOKUP(venta_a_mes552[[#This Row],[CUIT]],Lista_CUIT[#All],2,0)),"CUIT NO CARGADO")</f>
        <v>-</v>
      </c>
      <c r="H213" s="100"/>
      <c r="I213" s="101"/>
      <c r="J213" s="65"/>
      <c r="K213" s="65"/>
      <c r="L213" s="65">
        <f>SUM(venta_a_mes552[[#This Row],[IMPORTE NETO]:[EXENTO]])</f>
        <v>0</v>
      </c>
      <c r="M213" s="59"/>
    </row>
    <row r="214" spans="2:13">
      <c r="B214" s="40"/>
      <c r="C214" s="41"/>
      <c r="D214" s="42"/>
      <c r="E214" s="43"/>
      <c r="F214" s="44"/>
      <c r="G214" s="99" t="str">
        <f>IFERROR(IF(venta_a_mes552[[#This Row],[CUIT]]="","-",VLOOKUP(venta_a_mes552[[#This Row],[CUIT]],Lista_CUIT[#All],2,0)),"CUIT NO CARGADO")</f>
        <v>-</v>
      </c>
      <c r="H214" s="100"/>
      <c r="I214" s="101"/>
      <c r="J214" s="65"/>
      <c r="K214" s="65"/>
      <c r="L214" s="65">
        <f>SUM(venta_a_mes552[[#This Row],[IMPORTE NETO]:[EXENTO]])</f>
        <v>0</v>
      </c>
      <c r="M214" s="59"/>
    </row>
    <row r="215" spans="2:13">
      <c r="B215" s="40"/>
      <c r="C215" s="41"/>
      <c r="D215" s="42"/>
      <c r="E215" s="43"/>
      <c r="F215" s="44"/>
      <c r="G215" s="99" t="str">
        <f>IFERROR(IF(venta_a_mes552[[#This Row],[CUIT]]="","-",VLOOKUP(venta_a_mes552[[#This Row],[CUIT]],Lista_CUIT[#All],2,0)),"CUIT NO CARGADO")</f>
        <v>-</v>
      </c>
      <c r="H215" s="100"/>
      <c r="I215" s="101"/>
      <c r="J215" s="65"/>
      <c r="K215" s="65"/>
      <c r="L215" s="65">
        <f>SUM(venta_a_mes552[[#This Row],[IMPORTE NETO]:[EXENTO]])</f>
        <v>0</v>
      </c>
      <c r="M215" s="59"/>
    </row>
    <row r="216" spans="2:13">
      <c r="B216" s="66" t="s">
        <v>103</v>
      </c>
      <c r="C216" s="67"/>
      <c r="D216" s="67"/>
      <c r="E216" s="67"/>
      <c r="F216" s="67"/>
      <c r="G216" s="67"/>
      <c r="H216" s="69">
        <f>SUBTOTAL(109,venta_a_mes552[IMPORTE NETO])</f>
        <v>0</v>
      </c>
      <c r="I216" s="70">
        <f>SUBTOTAL(109,venta_a_mes552[IVA 21%])</f>
        <v>0</v>
      </c>
      <c r="J216" s="71">
        <f>SUBTOTAL(109,venta_a_mes552[IVA 10,5%])</f>
        <v>0</v>
      </c>
      <c r="K216" s="71">
        <f>SUBTOTAL(109,venta_a_mes552[EXENTO])</f>
        <v>0</v>
      </c>
      <c r="L216" s="71">
        <f>SUBTOTAL(109,venta_a_mes552[TOTAL])</f>
        <v>0</v>
      </c>
      <c r="M216" s="68">
        <f>SUBTOTAL(103,venta_a_mes552[Provincia])</f>
        <v>0</v>
      </c>
    </row>
  </sheetData>
  <mergeCells count="21">
    <mergeCell ref="D154:K154"/>
    <mergeCell ref="B186:J186"/>
    <mergeCell ref="K186:M186"/>
    <mergeCell ref="B188:C188"/>
    <mergeCell ref="B194:C194"/>
    <mergeCell ref="B210:C210"/>
    <mergeCell ref="P4:R4"/>
    <mergeCell ref="D139:L139"/>
    <mergeCell ref="B1:F1"/>
    <mergeCell ref="G1:M1"/>
    <mergeCell ref="N1:R1"/>
    <mergeCell ref="B3:E3"/>
    <mergeCell ref="G3:H3"/>
    <mergeCell ref="J3:K3"/>
    <mergeCell ref="M3:N3"/>
    <mergeCell ref="P3:R3"/>
    <mergeCell ref="C201:G201"/>
    <mergeCell ref="B4:E4"/>
    <mergeCell ref="G4:H4"/>
    <mergeCell ref="J4:K4"/>
    <mergeCell ref="M4:N4"/>
  </mergeCells>
  <phoneticPr fontId="38" type="noConversion"/>
  <dataValidations count="12">
    <dataValidation type="custom" allowBlank="1" showInputMessage="1" showErrorMessage="1" sqref="H190:K190 H212:K212 H214:K214">
      <formula1>IF($C190=3,H190&lt;0,H190&gt;=0)</formula1>
    </dataValidation>
    <dataValidation type="whole" allowBlank="1" showInputMessage="1" showErrorMessage="1" sqref="C190 C212:C215 C138 C8:C134">
      <formula1>1</formula1>
      <formula2>3</formula2>
    </dataValidation>
    <dataValidation type="date" allowBlank="1" showInputMessage="1" showErrorMessage="1" sqref="B8:B134 B196:B197 B190 B212:B215 B138 D141:D149 D156:D179">
      <formula1>40179</formula1>
      <formula2>TODAY()</formula2>
    </dataValidation>
    <dataValidation type="whole" allowBlank="1" showInputMessage="1" showErrorMessage="1" sqref="F190 F212:F215 F196:F197 F8:F134 G156:G179">
      <formula1>20000000000</formula1>
      <formula2>33999999999</formula2>
    </dataValidation>
    <dataValidation type="whole" allowBlank="1" showInputMessage="1" showErrorMessage="1" sqref="E8:E134 E190 E212:E215 E196:E197 F156:F179">
      <formula1>1</formula1>
      <formula2>99999999</formula2>
    </dataValidation>
    <dataValidation type="whole" allowBlank="1" showInputMessage="1" showErrorMessage="1" sqref="D8:D134 D190 D212:D215 D196:D197 E156:E179">
      <formula1>1</formula1>
      <formula2>9999</formula2>
    </dataValidation>
    <dataValidation type="custom" allowBlank="1" showInputMessage="1" showErrorMessage="1" sqref="L190">
      <formula1>IF($C8=3,L8&lt;0,L8&gt;=0)</formula1>
    </dataValidation>
    <dataValidation type="custom" allowBlank="1" showInputMessage="1" showErrorMessage="1" sqref="L212:L215">
      <formula1>IF(#REF!=3,#REF!&lt;0,#REF!&gt;=0)</formula1>
    </dataValidation>
    <dataValidation type="whole" allowBlank="1" showInputMessage="1" showErrorMessage="1" sqref="C196:C197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8:L37 L39 N8:N37 N39 H8:K134 L41:L134 M8:M134 O8:O134 N41:N134">
      <formula1>IF($C8=3,H8&lt;0,H8&gt;=0)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38 N38">
      <formula1>IF($C40=3,L38&lt;0,L38&gt;=0)</formula1>
    </dataValidation>
    <dataValidation type="custom" allowBlank="1" showInputMessage="1" showErrorMessage="1" sqref="H196:L197">
      <formula1>IF($C196=8,H196&lt;0,H196&gt;=0)</formula1>
    </dataValidation>
  </dataValidations>
  <pageMargins left="0.7" right="0.7" top="0.75" bottom="0.75" header="0.3" footer="0.3"/>
  <pageSetup paperSize="9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0.79998168889431442"/>
    <pageSetUpPr fitToPage="1"/>
  </sheetPr>
  <dimension ref="A1:Z251"/>
  <sheetViews>
    <sheetView showGridLines="0" topLeftCell="A175" zoomScale="85" zoomScaleNormal="85" workbookViewId="0">
      <selection activeCell="I204" sqref="I204:I205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0.28515625" customWidth="1"/>
    <col min="7" max="7" width="29.42578125" customWidth="1"/>
    <col min="8" max="8" width="27.28515625" customWidth="1"/>
    <col min="9" max="9" width="17.5703125" customWidth="1"/>
    <col min="10" max="10" width="21.85546875" customWidth="1"/>
    <col min="11" max="11" width="16.42578125" customWidth="1"/>
    <col min="12" max="12" width="12" customWidth="1"/>
    <col min="13" max="13" width="11.85546875" customWidth="1"/>
    <col min="14" max="14" width="20.7109375" customWidth="1"/>
    <col min="15" max="15" width="14.28515625" customWidth="1"/>
    <col min="16" max="16" width="17.85546875" customWidth="1"/>
    <col min="17" max="17" width="21.140625" style="433" customWidth="1"/>
    <col min="18" max="18" width="10.140625" customWidth="1"/>
    <col min="19" max="19" width="11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15" t="str">
        <f>'Ene-24'!G1:M1</f>
        <v>EUROARGENTINA</v>
      </c>
      <c r="H1" s="715"/>
      <c r="I1" s="715"/>
      <c r="J1" s="715"/>
      <c r="K1" s="715"/>
      <c r="L1" s="715"/>
      <c r="M1" s="715"/>
      <c r="N1" s="711">
        <f>EDATE('Ene-24'!N1,2)</f>
        <v>44986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SUM(compras_mes3[[#Totals],[NETO GRAVADO]])+extracto_banco_mes3[[#Totals],[NETO]]</f>
        <v>1691555.62</v>
      </c>
      <c r="C4" s="718"/>
      <c r="D4" s="718"/>
      <c r="E4" s="718"/>
      <c r="F4" s="39"/>
      <c r="G4" s="719">
        <f>compras_mes3[[#Totals],[IVA 21 %]]+compras_mes3[[#Totals],[IVA 27%]]+compras_mes3[[#Totals],[IVA 10,5%]]+extracto_banco_mes3[[#Totals],[IVA 21%]]+extracto_banco_mes3[[#Totals],[IVA 10,5%]]</f>
        <v>291039.3677</v>
      </c>
      <c r="H4" s="719"/>
      <c r="I4" s="39"/>
      <c r="J4" s="725">
        <f>venta_a_mes3[[#Totals],[IMPORTE NETO]]+ventas_b_mes3[[#Totals],[IMPORTE NETO]]</f>
        <v>0</v>
      </c>
      <c r="K4" s="725"/>
      <c r="L4" s="39"/>
      <c r="M4" s="725">
        <f>venta_a_mes3[[#Totals],[IVA 21%]]+venta_a_mes3[[#Totals],[IVA 10,5%]]+ventas_b_mes3[[#Totals],[IVA 21%]]+ventas_b_mes3[[#Totals],[IVA 10,5%]]</f>
        <v>0</v>
      </c>
      <c r="N4" s="725"/>
      <c r="O4" s="39"/>
      <c r="P4" s="721">
        <f>G4-M4</f>
        <v>291039.3677</v>
      </c>
      <c r="Q4" s="722"/>
      <c r="R4" s="722"/>
    </row>
    <row r="6" spans="1:26">
      <c r="N6" s="215"/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5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434" t="s">
        <v>11</v>
      </c>
      <c r="R8" s="84" t="s">
        <v>38</v>
      </c>
    </row>
    <row r="9" spans="1:26" hidden="1">
      <c r="B9" s="376">
        <v>45371</v>
      </c>
      <c r="C9" s="377">
        <v>1</v>
      </c>
      <c r="D9" s="378">
        <v>653</v>
      </c>
      <c r="E9" s="379">
        <v>17392</v>
      </c>
      <c r="F9" s="380">
        <v>30529403522</v>
      </c>
      <c r="G9" s="381" t="str">
        <f>IFERROR(IF(compras_mes3[[#This Row],[CUIT]]="","-",VLOOKUP(compras_mes3[[#This Row],[CUIT]],Lista_CUIT[#All],2,0)),"CUIT NO CARGADO")</f>
        <v>CASTILLO S A C I F I A</v>
      </c>
      <c r="H9" s="382">
        <v>4128.2299999999996</v>
      </c>
      <c r="I9" s="383">
        <f>compras_mes3[[#This Row],[NETO GRAVADO]]*0.21</f>
        <v>866.92829999999992</v>
      </c>
      <c r="J9" s="383"/>
      <c r="K9" s="383"/>
      <c r="L9" s="383"/>
      <c r="M9" s="383"/>
      <c r="N9" s="383"/>
      <c r="O9" s="383"/>
      <c r="P9" s="384">
        <f>SUM(compras_mes3[[#This Row],[NETO GRAVADO]:[Otros / No Grav.]])</f>
        <v>4995.1582999999991</v>
      </c>
      <c r="Q9" s="45" t="s">
        <v>79</v>
      </c>
      <c r="R9" s="385">
        <f>IFERROR(IF(compras_mes3[[#This Row],[CUIT]]="","-",VLOOKUP(compras_mes3[[#This Row],[CUIT]],Lista_CUIT[#All],4,0)),"CUIT NO CARGADO")</f>
        <v>0</v>
      </c>
    </row>
    <row r="10" spans="1:26" hidden="1">
      <c r="B10" s="350">
        <v>45352</v>
      </c>
      <c r="C10" s="351">
        <v>1</v>
      </c>
      <c r="D10" s="352">
        <v>1</v>
      </c>
      <c r="E10" s="353">
        <v>480</v>
      </c>
      <c r="F10" s="354">
        <v>20131206144</v>
      </c>
      <c r="G10" s="355" t="str">
        <f>IFERROR(IF(compras_mes3[[#This Row],[CUIT]]="","-",VLOOKUP(compras_mes3[[#This Row],[CUIT]],Lista_CUIT[#All],2,0)),"CUIT NO CARGADO")</f>
        <v>CHAMORRO MANUEL</v>
      </c>
      <c r="H10" s="356">
        <v>300000</v>
      </c>
      <c r="I10" s="357">
        <f>compras_mes3[[#This Row],[NETO GRAVADO]]*0.21</f>
        <v>63000</v>
      </c>
      <c r="J10" s="357"/>
      <c r="K10" s="357"/>
      <c r="L10" s="357"/>
      <c r="M10" s="357"/>
      <c r="N10" s="357"/>
      <c r="O10" s="357"/>
      <c r="P10" s="358">
        <f>SUM(compras_mes3[[#This Row],[NETO GRAVADO]:[Otros / No Grav.]])</f>
        <v>363000</v>
      </c>
      <c r="Q10" s="355" t="str">
        <f>IFERROR(IF(compras_mes3[[#This Row],[CUIT]]="","-",VLOOKUP(compras_mes3[[#This Row],[CUIT]],Lista_CUIT[#All],3,0)),"CUIT NO CARGADO")</f>
        <v>Alquiler</v>
      </c>
      <c r="R10" s="359">
        <f>IFERROR(IF(compras_mes3[[#This Row],[CUIT]]="","-",VLOOKUP(compras_mes3[[#This Row],[CUIT]],Lista_CUIT[#All],4,0)),"CUIT NO CARGADO")</f>
        <v>0</v>
      </c>
    </row>
    <row r="11" spans="1:26" hidden="1">
      <c r="B11" s="376">
        <v>45352</v>
      </c>
      <c r="C11" s="377">
        <v>1</v>
      </c>
      <c r="D11" s="378">
        <v>1</v>
      </c>
      <c r="E11" s="379">
        <v>109</v>
      </c>
      <c r="F11" s="380">
        <v>30716010313</v>
      </c>
      <c r="G11" s="381" t="str">
        <f>IFERROR(IF(compras_mes3[[#This Row],[CUIT]]="","-",VLOOKUP(compras_mes3[[#This Row],[CUIT]],Lista_CUIT[#All],2,0)),"CUIT NO CARGADO")</f>
        <v>H UNO 1469 S.A.</v>
      </c>
      <c r="H11" s="382">
        <v>46000</v>
      </c>
      <c r="I11" s="383">
        <f>compras_mes3[[#This Row],[NETO GRAVADO]]*0.21</f>
        <v>9660</v>
      </c>
      <c r="J11" s="383"/>
      <c r="K11" s="383"/>
      <c r="L11" s="383"/>
      <c r="M11" s="383"/>
      <c r="N11" s="383"/>
      <c r="O11" s="383"/>
      <c r="P11" s="384">
        <f>SUM(compras_mes3[[#This Row],[NETO GRAVADO]:[Otros / No Grav.]])</f>
        <v>55660</v>
      </c>
      <c r="Q11" s="381" t="str">
        <f>IFERROR(IF(compras_mes3[[#This Row],[CUIT]]="","-",VLOOKUP(compras_mes3[[#This Row],[CUIT]],Lista_CUIT[#All],3,0)),"CUIT NO CARGADO")</f>
        <v>Alquiler</v>
      </c>
      <c r="R11" s="385">
        <f>IFERROR(IF(compras_mes3[[#This Row],[CUIT]]="","-",VLOOKUP(compras_mes3[[#This Row],[CUIT]],Lista_CUIT[#All],4,0)),"CUIT NO CARGADO")</f>
        <v>0</v>
      </c>
    </row>
    <row r="12" spans="1:26" hidden="1">
      <c r="B12" s="376">
        <v>45360</v>
      </c>
      <c r="C12" s="377">
        <v>1</v>
      </c>
      <c r="D12" s="378">
        <v>2</v>
      </c>
      <c r="E12" s="379">
        <v>250</v>
      </c>
      <c r="F12" s="380">
        <v>27309896063</v>
      </c>
      <c r="G12" s="381" t="str">
        <f>IFERROR(IF(compras_mes3[[#This Row],[CUIT]]="","-",VLOOKUP(compras_mes3[[#This Row],[CUIT]],Lista_CUIT[#All],2,0)),"CUIT NO CARGADO")</f>
        <v>BATTELLINI MARIA SOLEDAD</v>
      </c>
      <c r="H12" s="382">
        <v>550000</v>
      </c>
      <c r="I12" s="383">
        <f>compras_mes3[[#This Row],[NETO GRAVADO]]*0.21</f>
        <v>115500</v>
      </c>
      <c r="J12" s="383"/>
      <c r="K12" s="383"/>
      <c r="L12" s="383"/>
      <c r="M12" s="383"/>
      <c r="N12" s="383"/>
      <c r="O12" s="383"/>
      <c r="P12" s="384">
        <f>SUM(compras_mes3[[#This Row],[NETO GRAVADO]:[Otros / No Grav.]])</f>
        <v>665500</v>
      </c>
      <c r="Q12" s="381" t="str">
        <f>IFERROR(IF(compras_mes3[[#This Row],[CUIT]]="","-",VLOOKUP(compras_mes3[[#This Row],[CUIT]],Lista_CUIT[#All],3,0)),"CUIT NO CARGADO")</f>
        <v>Alquiler</v>
      </c>
      <c r="R12" s="385">
        <f>IFERROR(IF(compras_mes3[[#This Row],[CUIT]]="","-",VLOOKUP(compras_mes3[[#This Row],[CUIT]],Lista_CUIT[#All],4,0)),"CUIT NO CARGADO")</f>
        <v>0</v>
      </c>
    </row>
    <row r="13" spans="1:26" hidden="1">
      <c r="B13" s="350">
        <v>45362</v>
      </c>
      <c r="C13" s="351">
        <v>1</v>
      </c>
      <c r="D13" s="352">
        <v>2</v>
      </c>
      <c r="E13" s="353">
        <v>253</v>
      </c>
      <c r="F13" s="354">
        <v>27309896063</v>
      </c>
      <c r="G13" s="355" t="str">
        <f>IFERROR(IF(compras_mes3[[#This Row],[CUIT]]="","-",VLOOKUP(compras_mes3[[#This Row],[CUIT]],Lista_CUIT[#All],2,0)),"CUIT NO CARGADO")</f>
        <v>BATTELLINI MARIA SOLEDAD</v>
      </c>
      <c r="H13" s="356">
        <v>550000</v>
      </c>
      <c r="I13" s="357">
        <f>compras_mes3[[#This Row],[NETO GRAVADO]]*0.21</f>
        <v>115500</v>
      </c>
      <c r="J13" s="357"/>
      <c r="K13" s="357"/>
      <c r="L13" s="357"/>
      <c r="M13" s="357"/>
      <c r="N13" s="357"/>
      <c r="O13" s="357"/>
      <c r="P13" s="358">
        <f>SUM(compras_mes3[[#This Row],[NETO GRAVADO]:[Otros / No Grav.]])</f>
        <v>665500</v>
      </c>
      <c r="Q13" s="355" t="str">
        <f>IFERROR(IF(compras_mes3[[#This Row],[CUIT]]="","-",VLOOKUP(compras_mes3[[#This Row],[CUIT]],Lista_CUIT[#All],3,0)),"CUIT NO CARGADO")</f>
        <v>Alquiler</v>
      </c>
      <c r="R13" s="359">
        <f>IFERROR(IF(compras_mes3[[#This Row],[CUIT]]="","-",VLOOKUP(compras_mes3[[#This Row],[CUIT]],Lista_CUIT[#All],4,0)),"CUIT NO CARGADO")</f>
        <v>0</v>
      </c>
    </row>
    <row r="14" spans="1:26" hidden="1">
      <c r="B14" s="367">
        <v>45362</v>
      </c>
      <c r="C14" s="375">
        <v>3</v>
      </c>
      <c r="D14" s="368">
        <v>2</v>
      </c>
      <c r="E14" s="369">
        <v>12</v>
      </c>
      <c r="F14" s="370">
        <v>27309896063</v>
      </c>
      <c r="G14" s="371" t="str">
        <f>IFERROR(IF(compras_mes3[[#This Row],[CUIT]]="","-",VLOOKUP(compras_mes3[[#This Row],[CUIT]],Lista_CUIT[#All],2,0)),"CUIT NO CARGADO")</f>
        <v>BATTELLINI MARIA SOLEDAD</v>
      </c>
      <c r="H14" s="372">
        <v>-550000</v>
      </c>
      <c r="I14" s="373">
        <f>compras_mes3[[#This Row],[NETO GRAVADO]]*0.21</f>
        <v>-115500</v>
      </c>
      <c r="J14" s="373"/>
      <c r="K14" s="373"/>
      <c r="L14" s="373"/>
      <c r="M14" s="373"/>
      <c r="N14" s="373"/>
      <c r="O14" s="373"/>
      <c r="P14" s="358">
        <f>SUM(compras_mes3[[#This Row],[NETO GRAVADO]:[Otros / No Grav.]])</f>
        <v>-665500</v>
      </c>
      <c r="Q14" s="371" t="str">
        <f>IFERROR(IF(compras_mes3[[#This Row],[CUIT]]="","-",VLOOKUP(compras_mes3[[#This Row],[CUIT]],Lista_CUIT[#All],3,0)),"CUIT NO CARGADO")</f>
        <v>Alquiler</v>
      </c>
      <c r="R14" s="374">
        <f>IFERROR(IF(compras_mes3[[#This Row],[CUIT]]="","-",VLOOKUP(compras_mes3[[#This Row],[CUIT]],Lista_CUIT[#All],4,0)),"CUIT NO CARGADO")</f>
        <v>0</v>
      </c>
    </row>
    <row r="15" spans="1:26" hidden="1">
      <c r="B15" s="350">
        <v>45352</v>
      </c>
      <c r="C15" s="351">
        <v>1</v>
      </c>
      <c r="D15" s="352">
        <v>6979</v>
      </c>
      <c r="E15" s="353">
        <v>119</v>
      </c>
      <c r="F15" s="354">
        <v>30678774495</v>
      </c>
      <c r="G15" s="355" t="str">
        <f>IFERROR(IF(compras_mes3[[#This Row],[CUIT]]="","-",VLOOKUP(compras_mes3[[#This Row],[CUIT]],Lista_CUIT[#All],2,0)),"CUIT NO CARGADO")</f>
        <v>OPER. DE EST. DE SERV. SA</v>
      </c>
      <c r="H15" s="356">
        <v>27107.4</v>
      </c>
      <c r="I15" s="357">
        <f>compras_mes3[[#This Row],[NETO GRAVADO]]*0.21</f>
        <v>5692.5540000000001</v>
      </c>
      <c r="J15" s="357"/>
      <c r="K15" s="357"/>
      <c r="L15" s="357"/>
      <c r="M15" s="357"/>
      <c r="N15" s="357"/>
      <c r="O15" s="357">
        <v>2727.01</v>
      </c>
      <c r="P15" s="358">
        <f>SUM(compras_mes3[[#This Row],[NETO GRAVADO]:[Otros / No Grav.]])</f>
        <v>35526.964</v>
      </c>
      <c r="Q15" s="355" t="str">
        <f>IFERROR(IF(compras_mes3[[#This Row],[CUIT]]="","-",VLOOKUP(compras_mes3[[#This Row],[CUIT]],Lista_CUIT[#All],3,0)),"CUIT NO CARGADO")</f>
        <v>Combustible</v>
      </c>
      <c r="R15" s="359">
        <f>IFERROR(IF(compras_mes3[[#This Row],[CUIT]]="","-",VLOOKUP(compras_mes3[[#This Row],[CUIT]],Lista_CUIT[#All],4,0)),"CUIT NO CARGADO")</f>
        <v>0</v>
      </c>
    </row>
    <row r="16" spans="1:26" hidden="1">
      <c r="B16" s="394">
        <v>45353</v>
      </c>
      <c r="C16" s="402">
        <v>1</v>
      </c>
      <c r="D16" s="395">
        <v>12</v>
      </c>
      <c r="E16" s="396">
        <v>43259</v>
      </c>
      <c r="F16" s="397">
        <v>30696131003</v>
      </c>
      <c r="G16" s="398" t="str">
        <f>IFERROR(IF(compras_mes3[[#This Row],[CUIT]]="","-",VLOOKUP(compras_mes3[[#This Row],[CUIT]],Lista_CUIT[#All],2,0)),"CUIT NO CARGADO")</f>
        <v>Petrolfe S.A.</v>
      </c>
      <c r="H16" s="399">
        <v>116924.76</v>
      </c>
      <c r="I16" s="400">
        <f>compras_mes3[[#This Row],[NETO GRAVADO]]*0.21</f>
        <v>24554.199599999996</v>
      </c>
      <c r="J16" s="400"/>
      <c r="K16" s="400"/>
      <c r="L16" s="400"/>
      <c r="M16" s="400"/>
      <c r="N16" s="400"/>
      <c r="O16" s="400">
        <v>17052.16</v>
      </c>
      <c r="P16" s="384">
        <f>SUM(compras_mes3[[#This Row],[NETO GRAVADO]:[Otros / No Grav.]])</f>
        <v>158531.11960000001</v>
      </c>
      <c r="Q16" s="398" t="str">
        <f>IFERROR(IF(compras_mes3[[#This Row],[CUIT]]="","-",VLOOKUP(compras_mes3[[#This Row],[CUIT]],Lista_CUIT[#All],3,0)),"CUIT NO CARGADO")</f>
        <v>Combustible</v>
      </c>
      <c r="R16" s="401">
        <f>IFERROR(IF(compras_mes3[[#This Row],[CUIT]]="","-",VLOOKUP(compras_mes3[[#This Row],[CUIT]],Lista_CUIT[#All],4,0)),"CUIT NO CARGADO")</f>
        <v>0</v>
      </c>
    </row>
    <row r="17" spans="2:18" hidden="1">
      <c r="B17" s="394">
        <v>45356</v>
      </c>
      <c r="C17" s="402">
        <v>1</v>
      </c>
      <c r="D17" s="395">
        <v>17</v>
      </c>
      <c r="E17" s="396">
        <v>5093</v>
      </c>
      <c r="F17" s="397">
        <v>30707841105</v>
      </c>
      <c r="G17" s="398" t="str">
        <f>IFERROR(IF(compras_mes3[[#This Row],[CUIT]]="","-",VLOOKUP(compras_mes3[[#This Row],[CUIT]],Lista_CUIT[#All],2,0)),"CUIT NO CARGADO")</f>
        <v>PETRO ARG SRL</v>
      </c>
      <c r="H17" s="399">
        <v>25715.57</v>
      </c>
      <c r="I17" s="400">
        <f>compras_mes3[[#This Row],[NETO GRAVADO]]*0.21</f>
        <v>5400.2696999999998</v>
      </c>
      <c r="J17" s="400"/>
      <c r="K17" s="400"/>
      <c r="L17" s="400"/>
      <c r="M17" s="400"/>
      <c r="N17" s="400"/>
      <c r="O17" s="400">
        <v>888.1</v>
      </c>
      <c r="P17" s="384">
        <f>SUM(compras_mes3[[#This Row],[NETO GRAVADO]:[Otros / No Grav.]])</f>
        <v>32003.939699999999</v>
      </c>
      <c r="Q17" s="398" t="str">
        <f>IFERROR(IF(compras_mes3[[#This Row],[CUIT]]="","-",VLOOKUP(compras_mes3[[#This Row],[CUIT]],Lista_CUIT[#All],3,0)),"CUIT NO CARGADO")</f>
        <v>Combustible</v>
      </c>
      <c r="R17" s="401">
        <f>IFERROR(IF(compras_mes3[[#This Row],[CUIT]]="","-",VLOOKUP(compras_mes3[[#This Row],[CUIT]],Lista_CUIT[#All],4,0)),"CUIT NO CARGADO")</f>
        <v>0</v>
      </c>
    </row>
    <row r="18" spans="2:18" hidden="1">
      <c r="B18" s="394">
        <v>45356</v>
      </c>
      <c r="C18" s="402">
        <v>1</v>
      </c>
      <c r="D18" s="395">
        <v>20</v>
      </c>
      <c r="E18" s="396">
        <v>12136</v>
      </c>
      <c r="F18" s="397">
        <v>30515800219</v>
      </c>
      <c r="G18" s="398" t="str">
        <f>IFERROR(IF(compras_mes3[[#This Row],[CUIT]]="","-",VLOOKUP(compras_mes3[[#This Row],[CUIT]],Lista_CUIT[#All],2,0)),"CUIT NO CARGADO")</f>
        <v>INCAT SRL</v>
      </c>
      <c r="H18" s="399">
        <v>3337</v>
      </c>
      <c r="I18" s="400">
        <f>compras_mes3[[#This Row],[NETO GRAVADO]]*0.21</f>
        <v>700.77</v>
      </c>
      <c r="J18" s="400"/>
      <c r="K18" s="400"/>
      <c r="L18" s="400"/>
      <c r="M18" s="400"/>
      <c r="N18" s="400"/>
      <c r="O18" s="400">
        <v>12.24</v>
      </c>
      <c r="P18" s="384">
        <f>SUM(compras_mes3[[#This Row],[NETO GRAVADO]:[Otros / No Grav.]])</f>
        <v>4050.0099999999998</v>
      </c>
      <c r="Q18" s="398" t="str">
        <f>IFERROR(IF(compras_mes3[[#This Row],[CUIT]]="","-",VLOOKUP(compras_mes3[[#This Row],[CUIT]],Lista_CUIT[#All],3,0)),"CUIT NO CARGADO")</f>
        <v>Combustible</v>
      </c>
      <c r="R18" s="401" t="str">
        <f>IFERROR(IF(compras_mes3[[#This Row],[CUIT]]="","-",VLOOKUP(compras_mes3[[#This Row],[CUIT]],Lista_CUIT[#All],4,0)),"CUIT NO CARGADO")</f>
        <v>CABA</v>
      </c>
    </row>
    <row r="19" spans="2:18" hidden="1">
      <c r="B19" s="394">
        <v>45356</v>
      </c>
      <c r="C19" s="402">
        <v>1</v>
      </c>
      <c r="D19" s="395">
        <v>20</v>
      </c>
      <c r="E19" s="396">
        <v>12138</v>
      </c>
      <c r="F19" s="397">
        <v>30515800219</v>
      </c>
      <c r="G19" s="398" t="str">
        <f>IFERROR(IF(compras_mes3[[#This Row],[CUIT]]="","-",VLOOKUP(compras_mes3[[#This Row],[CUIT]],Lista_CUIT[#All],2,0)),"CUIT NO CARGADO")</f>
        <v>INCAT SRL</v>
      </c>
      <c r="H19" s="399">
        <v>2760.24</v>
      </c>
      <c r="I19" s="400">
        <f>compras_mes3[[#This Row],[NETO GRAVADO]]*0.21</f>
        <v>579.65039999999988</v>
      </c>
      <c r="J19" s="400"/>
      <c r="K19" s="400"/>
      <c r="L19" s="400"/>
      <c r="M19" s="400"/>
      <c r="N19" s="400"/>
      <c r="O19" s="400">
        <v>10.119999999999999</v>
      </c>
      <c r="P19" s="384">
        <f>SUM(compras_mes3[[#This Row],[NETO GRAVADO]:[Otros / No Grav.]])</f>
        <v>3350.0103999999997</v>
      </c>
      <c r="Q19" s="398" t="str">
        <f>IFERROR(IF(compras_mes3[[#This Row],[CUIT]]="","-",VLOOKUP(compras_mes3[[#This Row],[CUIT]],Lista_CUIT[#All],3,0)),"CUIT NO CARGADO")</f>
        <v>Combustible</v>
      </c>
      <c r="R19" s="401" t="str">
        <f>IFERROR(IF(compras_mes3[[#This Row],[CUIT]]="","-",VLOOKUP(compras_mes3[[#This Row],[CUIT]],Lista_CUIT[#All],4,0)),"CUIT NO CARGADO")</f>
        <v>CABA</v>
      </c>
    </row>
    <row r="20" spans="2:18" hidden="1">
      <c r="B20" s="394">
        <v>45358</v>
      </c>
      <c r="C20" s="402">
        <v>1</v>
      </c>
      <c r="D20" s="395">
        <v>20</v>
      </c>
      <c r="E20" s="396">
        <v>12162</v>
      </c>
      <c r="F20" s="397">
        <v>30515800219</v>
      </c>
      <c r="G20" s="398" t="str">
        <f>IFERROR(IF(compras_mes3[[#This Row],[CUIT]]="","-",VLOOKUP(compras_mes3[[#This Row],[CUIT]],Lista_CUIT[#All],2,0)),"CUIT NO CARGADO")</f>
        <v>INCAT SRL</v>
      </c>
      <c r="H20" s="399">
        <v>3625.38</v>
      </c>
      <c r="I20" s="400">
        <f>compras_mes3[[#This Row],[NETO GRAVADO]]*0.21</f>
        <v>761.32979999999998</v>
      </c>
      <c r="J20" s="400"/>
      <c r="K20" s="400"/>
      <c r="L20" s="400"/>
      <c r="M20" s="400"/>
      <c r="N20" s="400"/>
      <c r="O20" s="400">
        <v>13.3</v>
      </c>
      <c r="P20" s="384">
        <f>SUM(compras_mes3[[#This Row],[NETO GRAVADO]:[Otros / No Grav.]])</f>
        <v>4400.0098000000007</v>
      </c>
      <c r="Q20" s="398" t="str">
        <f>IFERROR(IF(compras_mes3[[#This Row],[CUIT]]="","-",VLOOKUP(compras_mes3[[#This Row],[CUIT]],Lista_CUIT[#All],3,0)),"CUIT NO CARGADO")</f>
        <v>Combustible</v>
      </c>
      <c r="R20" s="401" t="str">
        <f>IFERROR(IF(compras_mes3[[#This Row],[CUIT]]="","-",VLOOKUP(compras_mes3[[#This Row],[CUIT]],Lista_CUIT[#All],4,0)),"CUIT NO CARGADO")</f>
        <v>CABA</v>
      </c>
    </row>
    <row r="21" spans="2:18" hidden="1">
      <c r="B21" s="376">
        <v>45359</v>
      </c>
      <c r="C21" s="377">
        <v>1</v>
      </c>
      <c r="D21" s="378">
        <v>6850</v>
      </c>
      <c r="E21" s="379">
        <v>20320</v>
      </c>
      <c r="F21" s="380">
        <v>30678774495</v>
      </c>
      <c r="G21" s="381" t="str">
        <f>IFERROR(IF(compras_mes3[[#This Row],[CUIT]]="","-",VLOOKUP(compras_mes3[[#This Row],[CUIT]],Lista_CUIT[#All],2,0)),"CUIT NO CARGADO")</f>
        <v>OPER. DE EST. DE SERV. SA</v>
      </c>
      <c r="H21" s="382">
        <v>44371.89</v>
      </c>
      <c r="I21" s="383">
        <f>compras_mes3[[#This Row],[NETO GRAVADO]]*0.21</f>
        <v>9318.0968999999986</v>
      </c>
      <c r="J21" s="383"/>
      <c r="K21" s="383"/>
      <c r="L21" s="383"/>
      <c r="M21" s="383"/>
      <c r="N21" s="383"/>
      <c r="O21" s="383">
        <v>5810.01</v>
      </c>
      <c r="P21" s="384">
        <f>SUM(compras_mes3[[#This Row],[NETO GRAVADO]:[Otros / No Grav.]])</f>
        <v>59499.996899999998</v>
      </c>
      <c r="Q21" s="381" t="str">
        <f>IFERROR(IF(compras_mes3[[#This Row],[CUIT]]="","-",VLOOKUP(compras_mes3[[#This Row],[CUIT]],Lista_CUIT[#All],3,0)),"CUIT NO CARGADO")</f>
        <v>Combustible</v>
      </c>
      <c r="R21" s="385">
        <f>IFERROR(IF(compras_mes3[[#This Row],[CUIT]]="","-",VLOOKUP(compras_mes3[[#This Row],[CUIT]],Lista_CUIT[#All],4,0)),"CUIT NO CARGADO")</f>
        <v>0</v>
      </c>
    </row>
    <row r="22" spans="2:18" hidden="1">
      <c r="B22" s="394">
        <v>45359</v>
      </c>
      <c r="C22" s="402">
        <v>1</v>
      </c>
      <c r="D22" s="395">
        <v>23</v>
      </c>
      <c r="E22" s="396">
        <v>25608</v>
      </c>
      <c r="F22" s="397">
        <v>30515800219</v>
      </c>
      <c r="G22" s="398" t="str">
        <f>IFERROR(IF(compras_mes3[[#This Row],[CUIT]]="","-",VLOOKUP(compras_mes3[[#This Row],[CUIT]],Lista_CUIT[#All],2,0)),"CUIT NO CARGADO")</f>
        <v>INCAT SRL</v>
      </c>
      <c r="H22" s="399">
        <v>21388.95</v>
      </c>
      <c r="I22" s="400">
        <f>compras_mes3[[#This Row],[NETO GRAVADO]]*0.21</f>
        <v>4491.6795000000002</v>
      </c>
      <c r="J22" s="400"/>
      <c r="K22" s="400"/>
      <c r="L22" s="400"/>
      <c r="M22" s="400"/>
      <c r="N22" s="400"/>
      <c r="O22" s="400">
        <v>3119.34</v>
      </c>
      <c r="P22" s="384">
        <f>SUM(compras_mes3[[#This Row],[NETO GRAVADO]:[Otros / No Grav.]])</f>
        <v>28999.969500000003</v>
      </c>
      <c r="Q22" s="398" t="str">
        <f>IFERROR(IF(compras_mes3[[#This Row],[CUIT]]="","-",VLOOKUP(compras_mes3[[#This Row],[CUIT]],Lista_CUIT[#All],3,0)),"CUIT NO CARGADO")</f>
        <v>Combustible</v>
      </c>
      <c r="R22" s="401" t="str">
        <f>IFERROR(IF(compras_mes3[[#This Row],[CUIT]]="","-",VLOOKUP(compras_mes3[[#This Row],[CUIT]],Lista_CUIT[#All],4,0)),"CUIT NO CARGADO")</f>
        <v>CABA</v>
      </c>
    </row>
    <row r="23" spans="2:18" hidden="1">
      <c r="B23" s="376">
        <v>45360</v>
      </c>
      <c r="C23" s="402">
        <v>1</v>
      </c>
      <c r="D23" s="378">
        <v>12</v>
      </c>
      <c r="E23" s="379">
        <v>43513</v>
      </c>
      <c r="F23" s="380">
        <v>30696131003</v>
      </c>
      <c r="G23" s="381" t="str">
        <f>IFERROR(IF(compras_mes3[[#This Row],[CUIT]]="","-",VLOOKUP(compras_mes3[[#This Row],[CUIT]],Lista_CUIT[#All],2,0)),"CUIT NO CARGADO")</f>
        <v>Petrolfe S.A.</v>
      </c>
      <c r="H23" s="382">
        <v>138905.95000000001</v>
      </c>
      <c r="I23" s="383">
        <f>compras_mes3[[#This Row],[NETO GRAVADO]]*0.21</f>
        <v>29170.249500000002</v>
      </c>
      <c r="J23" s="383"/>
      <c r="K23" s="383"/>
      <c r="L23" s="383"/>
      <c r="M23" s="383"/>
      <c r="N23" s="383"/>
      <c r="O23" s="383">
        <v>17935.830000000002</v>
      </c>
      <c r="P23" s="384">
        <f>SUM(compras_mes3[[#This Row],[NETO GRAVADO]:[Otros / No Grav.]])</f>
        <v>186012.0295</v>
      </c>
      <c r="Q23" s="381" t="str">
        <f>IFERROR(IF(compras_mes3[[#This Row],[CUIT]]="","-",VLOOKUP(compras_mes3[[#This Row],[CUIT]],Lista_CUIT[#All],3,0)),"CUIT NO CARGADO")</f>
        <v>Combustible</v>
      </c>
      <c r="R23" s="385">
        <f>IFERROR(IF(compras_mes3[[#This Row],[CUIT]]="","-",VLOOKUP(compras_mes3[[#This Row],[CUIT]],Lista_CUIT[#All],4,0)),"CUIT NO CARGADO")</f>
        <v>0</v>
      </c>
    </row>
    <row r="24" spans="2:18" hidden="1">
      <c r="B24" s="394">
        <v>45362</v>
      </c>
      <c r="C24" s="402">
        <v>1</v>
      </c>
      <c r="D24" s="395">
        <v>17</v>
      </c>
      <c r="E24" s="396">
        <v>5299</v>
      </c>
      <c r="F24" s="397">
        <v>30707841105</v>
      </c>
      <c r="G24" s="398" t="str">
        <f>IFERROR(IF(compras_mes3[[#This Row],[CUIT]]="","-",VLOOKUP(compras_mes3[[#This Row],[CUIT]],Lista_CUIT[#All],2,0)),"CUIT NO CARGADO")</f>
        <v>PETRO ARG SRL</v>
      </c>
      <c r="H24" s="399">
        <v>25713.24</v>
      </c>
      <c r="I24" s="400">
        <f>compras_mes3[[#This Row],[NETO GRAVADO]]*0.21</f>
        <v>5399.7804000000006</v>
      </c>
      <c r="J24" s="400"/>
      <c r="K24" s="400"/>
      <c r="L24" s="400"/>
      <c r="M24" s="400"/>
      <c r="N24" s="400"/>
      <c r="O24" s="400">
        <v>888.02</v>
      </c>
      <c r="P24" s="403">
        <f>SUM(compras_mes3[[#This Row],[NETO GRAVADO]:[Otros / No Grav.]])</f>
        <v>32001.040400000002</v>
      </c>
      <c r="Q24" s="398" t="str">
        <f>IFERROR(IF(compras_mes3[[#This Row],[CUIT]]="","-",VLOOKUP(compras_mes3[[#This Row],[CUIT]],Lista_CUIT[#All],3,0)),"CUIT NO CARGADO")</f>
        <v>Combustible</v>
      </c>
      <c r="R24" s="401">
        <f>IFERROR(IF(compras_mes3[[#This Row],[CUIT]]="","-",VLOOKUP(compras_mes3[[#This Row],[CUIT]],Lista_CUIT[#All],4,0)),"CUIT NO CARGADO")</f>
        <v>0</v>
      </c>
    </row>
    <row r="25" spans="2:18" hidden="1">
      <c r="B25" s="350">
        <v>45363</v>
      </c>
      <c r="C25" s="351">
        <v>1</v>
      </c>
      <c r="D25" s="352">
        <v>6864</v>
      </c>
      <c r="E25" s="353">
        <v>24108</v>
      </c>
      <c r="F25" s="354">
        <v>30678774495</v>
      </c>
      <c r="G25" s="355" t="str">
        <f>IFERROR(IF(compras_mes3[[#This Row],[CUIT]]="","-",VLOOKUP(compras_mes3[[#This Row],[CUIT]],Lista_CUIT[#All],2,0)),"CUIT NO CARGADO")</f>
        <v>OPER. DE EST. DE SERV. SA</v>
      </c>
      <c r="H25" s="356">
        <v>4855.21</v>
      </c>
      <c r="I25" s="357">
        <f>compras_mes3[[#This Row],[NETO GRAVADO]]*0.21</f>
        <v>1019.5941</v>
      </c>
      <c r="J25" s="357"/>
      <c r="K25" s="357"/>
      <c r="L25" s="357"/>
      <c r="M25" s="357"/>
      <c r="N25" s="357"/>
      <c r="O25" s="357">
        <v>631.16999999999996</v>
      </c>
      <c r="P25" s="358">
        <f>SUM(compras_mes3[[#This Row],[NETO GRAVADO]:[Otros / No Grav.]])</f>
        <v>6505.9741000000004</v>
      </c>
      <c r="Q25" s="355" t="str">
        <f>IFERROR(IF(compras_mes3[[#This Row],[CUIT]]="","-",VLOOKUP(compras_mes3[[#This Row],[CUIT]],Lista_CUIT[#All],3,0)),"CUIT NO CARGADO")</f>
        <v>Combustible</v>
      </c>
      <c r="R25" s="359">
        <f>IFERROR(IF(compras_mes3[[#This Row],[CUIT]]="","-",VLOOKUP(compras_mes3[[#This Row],[CUIT]],Lista_CUIT[#All],4,0)),"CUIT NO CARGADO")</f>
        <v>0</v>
      </c>
    </row>
    <row r="26" spans="2:18" hidden="1">
      <c r="B26" s="350">
        <v>45366</v>
      </c>
      <c r="C26" s="351">
        <v>1</v>
      </c>
      <c r="D26" s="352">
        <v>7974</v>
      </c>
      <c r="E26" s="353">
        <v>731</v>
      </c>
      <c r="F26" s="354">
        <v>30708046724</v>
      </c>
      <c r="G26" s="355" t="str">
        <f>IFERROR(IF(compras_mes3[[#This Row],[CUIT]]="","-",VLOOKUP(compras_mes3[[#This Row],[CUIT]],Lista_CUIT[#All],2,0)),"CUIT NO CARGADO")</f>
        <v>INTEGRAL PACK EXPRESS S.A.</v>
      </c>
      <c r="H26" s="356">
        <v>9177.19</v>
      </c>
      <c r="I26" s="357">
        <f>compras_mes3[[#This Row],[NETO GRAVADO]]*0.21</f>
        <v>1927.2099000000001</v>
      </c>
      <c r="J26" s="357"/>
      <c r="K26" s="357"/>
      <c r="L26" s="357"/>
      <c r="M26" s="357"/>
      <c r="N26" s="357"/>
      <c r="O26" s="357"/>
      <c r="P26" s="358">
        <f>SUM(compras_mes3[[#This Row],[NETO GRAVADO]:[Otros / No Grav.]])</f>
        <v>11104.3999</v>
      </c>
      <c r="Q26" s="355" t="str">
        <f>IFERROR(IF(compras_mes3[[#This Row],[CUIT]]="","-",VLOOKUP(compras_mes3[[#This Row],[CUIT]],Lista_CUIT[#All],3,0)),"CUIT NO CARGADO")</f>
        <v>Combustible</v>
      </c>
      <c r="R26" s="359">
        <f>IFERROR(IF(compras_mes3[[#This Row],[CUIT]]="","-",VLOOKUP(compras_mes3[[#This Row],[CUIT]],Lista_CUIT[#All],4,0)),"CUIT NO CARGADO")</f>
        <v>0</v>
      </c>
    </row>
    <row r="27" spans="2:18" hidden="1">
      <c r="B27" s="394">
        <v>45367</v>
      </c>
      <c r="C27" s="402">
        <v>1</v>
      </c>
      <c r="D27" s="395">
        <v>12</v>
      </c>
      <c r="E27" s="396">
        <v>43785</v>
      </c>
      <c r="F27" s="397">
        <v>30696131003</v>
      </c>
      <c r="G27" s="398" t="str">
        <f>IFERROR(IF(compras_mes3[[#This Row],[CUIT]]="","-",VLOOKUP(compras_mes3[[#This Row],[CUIT]],Lista_CUIT[#All],2,0)),"CUIT NO CARGADO")</f>
        <v>Petrolfe S.A.</v>
      </c>
      <c r="H27" s="399">
        <v>86544.43</v>
      </c>
      <c r="I27" s="400">
        <f>compras_mes3[[#This Row],[NETO GRAVADO]]*0.21</f>
        <v>18174.330299999998</v>
      </c>
      <c r="J27" s="400"/>
      <c r="K27" s="400"/>
      <c r="L27" s="400"/>
      <c r="M27" s="400"/>
      <c r="N27" s="400"/>
      <c r="O27" s="400">
        <v>12548.26</v>
      </c>
      <c r="P27" s="384">
        <f>SUM(compras_mes3[[#This Row],[NETO GRAVADO]:[Otros / No Grav.]])</f>
        <v>117267.02029999999</v>
      </c>
      <c r="Q27" s="398" t="str">
        <f>IFERROR(IF(compras_mes3[[#This Row],[CUIT]]="","-",VLOOKUP(compras_mes3[[#This Row],[CUIT]],Lista_CUIT[#All],3,0)),"CUIT NO CARGADO")</f>
        <v>Combustible</v>
      </c>
      <c r="R27" s="401">
        <f>IFERROR(IF(compras_mes3[[#This Row],[CUIT]]="","-",VLOOKUP(compras_mes3[[#This Row],[CUIT]],Lista_CUIT[#All],4,0)),"CUIT NO CARGADO")</f>
        <v>0</v>
      </c>
    </row>
    <row r="28" spans="2:18" hidden="1">
      <c r="B28" s="394">
        <v>45370</v>
      </c>
      <c r="C28" s="402">
        <v>1</v>
      </c>
      <c r="D28" s="395">
        <v>23</v>
      </c>
      <c r="E28" s="396">
        <v>26051</v>
      </c>
      <c r="F28" s="397">
        <v>30515800219</v>
      </c>
      <c r="G28" s="398" t="str">
        <f>IFERROR(IF(compras_mes3[[#This Row],[CUIT]]="","-",VLOOKUP(compras_mes3[[#This Row],[CUIT]],Lista_CUIT[#All],2,0)),"CUIT NO CARGADO")</f>
        <v>INCAT SRL</v>
      </c>
      <c r="H28" s="399">
        <v>24339.17</v>
      </c>
      <c r="I28" s="400">
        <f>compras_mes3[[#This Row],[NETO GRAVADO]]*0.21</f>
        <v>5111.2256999999991</v>
      </c>
      <c r="J28" s="400"/>
      <c r="K28" s="400"/>
      <c r="L28" s="400"/>
      <c r="M28" s="400"/>
      <c r="N28" s="400"/>
      <c r="O28" s="400">
        <v>3549.6</v>
      </c>
      <c r="P28" s="403">
        <f>SUM(compras_mes3[[#This Row],[NETO GRAVADO]:[Otros / No Grav.]])</f>
        <v>32999.995699999999</v>
      </c>
      <c r="Q28" s="398" t="str">
        <f>IFERROR(IF(compras_mes3[[#This Row],[CUIT]]="","-",VLOOKUP(compras_mes3[[#This Row],[CUIT]],Lista_CUIT[#All],3,0)),"CUIT NO CARGADO")</f>
        <v>Combustible</v>
      </c>
      <c r="R28" s="401" t="str">
        <f>IFERROR(IF(compras_mes3[[#This Row],[CUIT]]="","-",VLOOKUP(compras_mes3[[#This Row],[CUIT]],Lista_CUIT[#All],4,0)),"CUIT NO CARGADO")</f>
        <v>CABA</v>
      </c>
    </row>
    <row r="29" spans="2:18" hidden="1">
      <c r="B29" s="394">
        <v>45370</v>
      </c>
      <c r="C29" s="402">
        <v>1</v>
      </c>
      <c r="D29" s="395">
        <v>21</v>
      </c>
      <c r="E29" s="396">
        <v>37580</v>
      </c>
      <c r="F29" s="397">
        <v>30515800219</v>
      </c>
      <c r="G29" s="398" t="str">
        <f>IFERROR(IF(compras_mes3[[#This Row],[CUIT]]="","-",VLOOKUP(compras_mes3[[#This Row],[CUIT]],Lista_CUIT[#All],2,0)),"CUIT NO CARGADO")</f>
        <v>INCAT SRL</v>
      </c>
      <c r="H29" s="399">
        <v>3687.75</v>
      </c>
      <c r="I29" s="400">
        <f>compras_mes3[[#This Row],[NETO GRAVADO]]*0.21</f>
        <v>774.42750000000001</v>
      </c>
      <c r="J29" s="400"/>
      <c r="K29" s="400"/>
      <c r="L29" s="400"/>
      <c r="M29" s="400"/>
      <c r="N29" s="400"/>
      <c r="O29" s="400">
        <v>537.82000000000005</v>
      </c>
      <c r="P29" s="403">
        <f>SUM(compras_mes3[[#This Row],[NETO GRAVADO]:[Otros / No Grav.]])</f>
        <v>4999.9974999999995</v>
      </c>
      <c r="Q29" s="398" t="str">
        <f>IFERROR(IF(compras_mes3[[#This Row],[CUIT]]="","-",VLOOKUP(compras_mes3[[#This Row],[CUIT]],Lista_CUIT[#All],3,0)),"CUIT NO CARGADO")</f>
        <v>Combustible</v>
      </c>
      <c r="R29" s="401" t="str">
        <f>IFERROR(IF(compras_mes3[[#This Row],[CUIT]]="","-",VLOOKUP(compras_mes3[[#This Row],[CUIT]],Lista_CUIT[#All],4,0)),"CUIT NO CARGADO")</f>
        <v>CABA</v>
      </c>
    </row>
    <row r="30" spans="2:18" hidden="1">
      <c r="B30" s="394">
        <v>45372</v>
      </c>
      <c r="C30" s="402">
        <v>1</v>
      </c>
      <c r="D30" s="395">
        <v>18</v>
      </c>
      <c r="E30" s="396">
        <v>27376</v>
      </c>
      <c r="F30" s="397">
        <v>30515800219</v>
      </c>
      <c r="G30" s="398" t="str">
        <f>IFERROR(IF(compras_mes3[[#This Row],[CUIT]]="","-",VLOOKUP(compras_mes3[[#This Row],[CUIT]],Lista_CUIT[#All],2,0)),"CUIT NO CARGADO")</f>
        <v>INCAT SRL</v>
      </c>
      <c r="H30" s="399">
        <v>2884.35</v>
      </c>
      <c r="I30" s="400">
        <f>compras_mes3[[#This Row],[NETO GRAVADO]]*0.21</f>
        <v>605.71349999999995</v>
      </c>
      <c r="J30" s="400"/>
      <c r="K30" s="400"/>
      <c r="L30" s="400"/>
      <c r="M30" s="400"/>
      <c r="N30" s="400"/>
      <c r="O30" s="400">
        <v>9.9499999999999993</v>
      </c>
      <c r="P30" s="403">
        <f>SUM(compras_mes3[[#This Row],[NETO GRAVADO]:[Otros / No Grav.]])</f>
        <v>3500.0134999999996</v>
      </c>
      <c r="Q30" s="398" t="str">
        <f>IFERROR(IF(compras_mes3[[#This Row],[CUIT]]="","-",VLOOKUP(compras_mes3[[#This Row],[CUIT]],Lista_CUIT[#All],3,0)),"CUIT NO CARGADO")</f>
        <v>Combustible</v>
      </c>
      <c r="R30" s="401" t="str">
        <f>IFERROR(IF(compras_mes3[[#This Row],[CUIT]]="","-",VLOOKUP(compras_mes3[[#This Row],[CUIT]],Lista_CUIT[#All],4,0)),"CUIT NO CARGADO")</f>
        <v>CABA</v>
      </c>
    </row>
    <row r="31" spans="2:18" hidden="1">
      <c r="B31" s="394">
        <v>45373</v>
      </c>
      <c r="C31" s="402">
        <v>1</v>
      </c>
      <c r="D31" s="395">
        <v>17</v>
      </c>
      <c r="E31" s="396">
        <v>5758</v>
      </c>
      <c r="F31" s="397">
        <v>30707841105</v>
      </c>
      <c r="G31" s="398" t="str">
        <f>IFERROR(IF(compras_mes3[[#This Row],[CUIT]]="","-",VLOOKUP(compras_mes3[[#This Row],[CUIT]],Lista_CUIT[#All],2,0)),"CUIT NO CARGADO")</f>
        <v>PETRO ARG SRL</v>
      </c>
      <c r="H31" s="399">
        <v>24397.63</v>
      </c>
      <c r="I31" s="400">
        <f>compras_mes3[[#This Row],[NETO GRAVADO]]*0.21</f>
        <v>5123.5023000000001</v>
      </c>
      <c r="J31" s="400"/>
      <c r="K31" s="400"/>
      <c r="L31" s="400"/>
      <c r="M31" s="400"/>
      <c r="N31" s="400"/>
      <c r="O31" s="400">
        <v>3179.91</v>
      </c>
      <c r="P31" s="403">
        <f>SUM(compras_mes3[[#This Row],[NETO GRAVADO]:[Otros / No Grav.]])</f>
        <v>32701.042300000001</v>
      </c>
      <c r="Q31" s="398" t="str">
        <f>IFERROR(IF(compras_mes3[[#This Row],[CUIT]]="","-",VLOOKUP(compras_mes3[[#This Row],[CUIT]],Lista_CUIT[#All],3,0)),"CUIT NO CARGADO")</f>
        <v>Combustible</v>
      </c>
      <c r="R31" s="401">
        <f>IFERROR(IF(compras_mes3[[#This Row],[CUIT]]="","-",VLOOKUP(compras_mes3[[#This Row],[CUIT]],Lista_CUIT[#All],4,0)),"CUIT NO CARGADO")</f>
        <v>0</v>
      </c>
    </row>
    <row r="32" spans="2:18" hidden="1">
      <c r="B32" s="394">
        <v>45373</v>
      </c>
      <c r="C32" s="402">
        <v>1</v>
      </c>
      <c r="D32" s="395">
        <v>20</v>
      </c>
      <c r="E32" s="396">
        <v>12375</v>
      </c>
      <c r="F32" s="397">
        <v>30515800219</v>
      </c>
      <c r="G32" s="398" t="str">
        <f>IFERROR(IF(compras_mes3[[#This Row],[CUIT]]="","-",VLOOKUP(compras_mes3[[#This Row],[CUIT]],Lista_CUIT[#All],2,0)),"CUIT NO CARGADO")</f>
        <v>INCAT SRL</v>
      </c>
      <c r="H32" s="399">
        <v>2241.5300000000002</v>
      </c>
      <c r="I32" s="400">
        <f>compras_mes3[[#This Row],[NETO GRAVADO]]*0.21</f>
        <v>470.72130000000004</v>
      </c>
      <c r="J32" s="400"/>
      <c r="K32" s="400"/>
      <c r="L32" s="400"/>
      <c r="M32" s="400"/>
      <c r="N32" s="400"/>
      <c r="O32" s="400">
        <v>7.73</v>
      </c>
      <c r="P32" s="403">
        <f>SUM(compras_mes3[[#This Row],[NETO GRAVADO]:[Otros / No Grav.]])</f>
        <v>2719.9813000000004</v>
      </c>
      <c r="Q32" s="398" t="str">
        <f>IFERROR(IF(compras_mes3[[#This Row],[CUIT]]="","-",VLOOKUP(compras_mes3[[#This Row],[CUIT]],Lista_CUIT[#All],3,0)),"CUIT NO CARGADO")</f>
        <v>Combustible</v>
      </c>
      <c r="R32" s="401" t="str">
        <f>IFERROR(IF(compras_mes3[[#This Row],[CUIT]]="","-",VLOOKUP(compras_mes3[[#This Row],[CUIT]],Lista_CUIT[#All],4,0)),"CUIT NO CARGADO")</f>
        <v>CABA</v>
      </c>
    </row>
    <row r="33" spans="2:18" hidden="1">
      <c r="B33" s="394">
        <v>45374</v>
      </c>
      <c r="C33" s="402">
        <v>1</v>
      </c>
      <c r="D33" s="395">
        <v>12</v>
      </c>
      <c r="E33" s="396">
        <v>44015</v>
      </c>
      <c r="F33" s="397">
        <v>30696131003</v>
      </c>
      <c r="G33" s="398" t="str">
        <f>IFERROR(IF(compras_mes3[[#This Row],[CUIT]]="","-",VLOOKUP(compras_mes3[[#This Row],[CUIT]],Lista_CUIT[#All],2,0)),"CUIT NO CARGADO")</f>
        <v>Petrolfe S.A.</v>
      </c>
      <c r="H33" s="399">
        <v>116553.9</v>
      </c>
      <c r="I33" s="400">
        <f>compras_mes3[[#This Row],[NETO GRAVADO]]*0.21</f>
        <v>24476.319</v>
      </c>
      <c r="J33" s="400"/>
      <c r="K33" s="400"/>
      <c r="L33" s="400"/>
      <c r="M33" s="400"/>
      <c r="N33" s="400"/>
      <c r="O33" s="400">
        <v>15551.75</v>
      </c>
      <c r="P33" s="384">
        <f>SUM(compras_mes3[[#This Row],[NETO GRAVADO]:[Otros / No Grav.]])</f>
        <v>156581.96899999998</v>
      </c>
      <c r="Q33" s="398" t="str">
        <f>IFERROR(IF(compras_mes3[[#This Row],[CUIT]]="","-",VLOOKUP(compras_mes3[[#This Row],[CUIT]],Lista_CUIT[#All],3,0)),"CUIT NO CARGADO")</f>
        <v>Combustible</v>
      </c>
      <c r="R33" s="401">
        <f>IFERROR(IF(compras_mes3[[#This Row],[CUIT]]="","-",VLOOKUP(compras_mes3[[#This Row],[CUIT]],Lista_CUIT[#All],4,0)),"CUIT NO CARGADO")</f>
        <v>0</v>
      </c>
    </row>
    <row r="34" spans="2:18" hidden="1">
      <c r="B34" s="394">
        <v>45374</v>
      </c>
      <c r="C34" s="402">
        <v>1</v>
      </c>
      <c r="D34" s="395">
        <v>4</v>
      </c>
      <c r="E34" s="396">
        <v>5727</v>
      </c>
      <c r="F34" s="397">
        <v>30683553391</v>
      </c>
      <c r="G34" s="398" t="str">
        <f>IFERROR(IF(compras_mes3[[#This Row],[CUIT]]="","-",VLOOKUP(compras_mes3[[#This Row],[CUIT]],Lista_CUIT[#All],2,0)),"CUIT NO CARGADO")</f>
        <v>D ERAMO GUSTAVO Y D ERAMO PABLO SOC DE HECHO</v>
      </c>
      <c r="H34" s="399">
        <v>120330.57</v>
      </c>
      <c r="I34" s="400">
        <f>compras_mes3[[#This Row],[NETO GRAVADO]]*0.21</f>
        <v>25269.419700000002</v>
      </c>
      <c r="J34" s="400"/>
      <c r="K34" s="400"/>
      <c r="L34" s="400"/>
      <c r="M34" s="400"/>
      <c r="N34" s="400"/>
      <c r="O34" s="400"/>
      <c r="P34" s="384">
        <f>SUM(compras_mes3[[#This Row],[NETO GRAVADO]:[Otros / No Grav.]])</f>
        <v>145599.98970000001</v>
      </c>
      <c r="Q34" s="398" t="str">
        <f>IFERROR(IF(compras_mes3[[#This Row],[CUIT]]="","-",VLOOKUP(compras_mes3[[#This Row],[CUIT]],Lista_CUIT[#All],3,0)),"CUIT NO CARGADO")</f>
        <v>Combustible</v>
      </c>
      <c r="R34" s="401">
        <f>IFERROR(IF(compras_mes3[[#This Row],[CUIT]]="","-",VLOOKUP(compras_mes3[[#This Row],[CUIT]],Lista_CUIT[#All],4,0)),"CUIT NO CARGADO")</f>
        <v>0</v>
      </c>
    </row>
    <row r="35" spans="2:18" hidden="1">
      <c r="B35" s="376">
        <v>45376</v>
      </c>
      <c r="C35" s="377">
        <v>1</v>
      </c>
      <c r="D35" s="378">
        <v>6852</v>
      </c>
      <c r="E35" s="379">
        <v>23195</v>
      </c>
      <c r="F35" s="380">
        <v>30678774495</v>
      </c>
      <c r="G35" s="381" t="str">
        <f>IFERROR(IF(compras_mes3[[#This Row],[CUIT]]="","-",VLOOKUP(compras_mes3[[#This Row],[CUIT]],Lista_CUIT[#All],2,0)),"CUIT NO CARGADO")</f>
        <v>OPER. DE EST. DE SERV. SA</v>
      </c>
      <c r="H35" s="382">
        <v>5220.24</v>
      </c>
      <c r="I35" s="383">
        <f>compras_mes3[[#This Row],[NETO GRAVADO]]*0.21</f>
        <v>1096.2503999999999</v>
      </c>
      <c r="J35" s="383"/>
      <c r="K35" s="383"/>
      <c r="L35" s="383"/>
      <c r="M35" s="383"/>
      <c r="N35" s="383">
        <v>683.53</v>
      </c>
      <c r="O35" s="383"/>
      <c r="P35" s="384">
        <f>SUM(compras_mes3[[#This Row],[NETO GRAVADO]:[Otros / No Grav.]])</f>
        <v>7000.0203999999994</v>
      </c>
      <c r="Q35" s="381" t="str">
        <f>IFERROR(IF(compras_mes3[[#This Row],[CUIT]]="","-",VLOOKUP(compras_mes3[[#This Row],[CUIT]],Lista_CUIT[#All],3,0)),"CUIT NO CARGADO")</f>
        <v>Combustible</v>
      </c>
      <c r="R35" s="385">
        <f>IFERROR(IF(compras_mes3[[#This Row],[CUIT]]="","-",VLOOKUP(compras_mes3[[#This Row],[CUIT]],Lista_CUIT[#All],4,0)),"CUIT NO CARGADO")</f>
        <v>0</v>
      </c>
    </row>
    <row r="36" spans="2:18" hidden="1">
      <c r="B36" s="394">
        <v>45376</v>
      </c>
      <c r="C36" s="402">
        <v>1</v>
      </c>
      <c r="D36" s="395">
        <v>20</v>
      </c>
      <c r="E36" s="396">
        <v>12404</v>
      </c>
      <c r="F36" s="397">
        <v>30515800219</v>
      </c>
      <c r="G36" s="398" t="str">
        <f>IFERROR(IF(compras_mes3[[#This Row],[CUIT]]="","-",VLOOKUP(compras_mes3[[#This Row],[CUIT]],Lista_CUIT[#All],2,0)),"CUIT NO CARGADO")</f>
        <v>INCAT SRL</v>
      </c>
      <c r="H36" s="399">
        <v>1648.19</v>
      </c>
      <c r="I36" s="400">
        <f>compras_mes3[[#This Row],[NETO GRAVADO]]*0.21</f>
        <v>346.11989999999997</v>
      </c>
      <c r="J36" s="400"/>
      <c r="K36" s="400"/>
      <c r="L36" s="400"/>
      <c r="M36" s="400"/>
      <c r="N36" s="400"/>
      <c r="O36" s="400">
        <v>5.68</v>
      </c>
      <c r="P36" s="403">
        <f>SUM(compras_mes3[[#This Row],[NETO GRAVADO]:[Otros / No Grav.]])</f>
        <v>1999.9899</v>
      </c>
      <c r="Q36" s="398" t="str">
        <f>IFERROR(IF(compras_mes3[[#This Row],[CUIT]]="","-",VLOOKUP(compras_mes3[[#This Row],[CUIT]],Lista_CUIT[#All],3,0)),"CUIT NO CARGADO")</f>
        <v>Combustible</v>
      </c>
      <c r="R36" s="401" t="str">
        <f>IFERROR(IF(compras_mes3[[#This Row],[CUIT]]="","-",VLOOKUP(compras_mes3[[#This Row],[CUIT]],Lista_CUIT[#All],4,0)),"CUIT NO CARGADO")</f>
        <v>CABA</v>
      </c>
    </row>
    <row r="37" spans="2:18" hidden="1">
      <c r="B37" s="394">
        <v>45377</v>
      </c>
      <c r="C37" s="402">
        <v>1</v>
      </c>
      <c r="D37" s="395">
        <v>11</v>
      </c>
      <c r="E37" s="396">
        <v>30631</v>
      </c>
      <c r="F37" s="397">
        <v>30696131003</v>
      </c>
      <c r="G37" s="398" t="str">
        <f>IFERROR(IF(compras_mes3[[#This Row],[CUIT]]="","-",VLOOKUP(compras_mes3[[#This Row],[CUIT]],Lista_CUIT[#All],2,0)),"CUIT NO CARGADO")</f>
        <v>Petrolfe S.A.</v>
      </c>
      <c r="H37" s="399">
        <v>20872.669999999998</v>
      </c>
      <c r="I37" s="400">
        <f>compras_mes3[[#This Row],[NETO GRAVADO]]*0.21</f>
        <v>4383.2606999999998</v>
      </c>
      <c r="J37" s="400"/>
      <c r="K37" s="400"/>
      <c r="L37" s="400"/>
      <c r="M37" s="400"/>
      <c r="N37" s="400"/>
      <c r="O37" s="400">
        <v>3044.05</v>
      </c>
      <c r="P37" s="384">
        <f>SUM(compras_mes3[[#This Row],[NETO GRAVADO]:[Otros / No Grav.]])</f>
        <v>28299.980699999996</v>
      </c>
      <c r="Q37" s="398" t="str">
        <f>IFERROR(IF(compras_mes3[[#This Row],[CUIT]]="","-",VLOOKUP(compras_mes3[[#This Row],[CUIT]],Lista_CUIT[#All],3,0)),"CUIT NO CARGADO")</f>
        <v>Combustible</v>
      </c>
      <c r="R37" s="401">
        <f>IFERROR(IF(compras_mes3[[#This Row],[CUIT]]="","-",VLOOKUP(compras_mes3[[#This Row],[CUIT]],Lista_CUIT[#All],4,0)),"CUIT NO CARGADO")</f>
        <v>0</v>
      </c>
    </row>
    <row r="38" spans="2:18" hidden="1">
      <c r="B38" s="394">
        <v>45378</v>
      </c>
      <c r="C38" s="402">
        <v>1</v>
      </c>
      <c r="D38" s="395">
        <v>20</v>
      </c>
      <c r="E38" s="396">
        <v>12437</v>
      </c>
      <c r="F38" s="397">
        <v>30515800219</v>
      </c>
      <c r="G38" s="398" t="str">
        <f>IFERROR(IF(compras_mes3[[#This Row],[CUIT]]="","-",VLOOKUP(compras_mes3[[#This Row],[CUIT]],Lista_CUIT[#All],2,0)),"CUIT NO CARGADO")</f>
        <v>INCAT SRL</v>
      </c>
      <c r="H38" s="399">
        <v>4779.78</v>
      </c>
      <c r="I38" s="400">
        <f>compras_mes3[[#This Row],[NETO GRAVADO]]*0.21</f>
        <v>1003.7538</v>
      </c>
      <c r="J38" s="400"/>
      <c r="K38" s="400"/>
      <c r="L38" s="400"/>
      <c r="M38" s="400"/>
      <c r="N38" s="400"/>
      <c r="O38" s="400">
        <v>16.48</v>
      </c>
      <c r="P38" s="403">
        <f>SUM(compras_mes3[[#This Row],[NETO GRAVADO]:[Otros / No Grav.]])</f>
        <v>5800.0137999999988</v>
      </c>
      <c r="Q38" s="398" t="str">
        <f>IFERROR(IF(compras_mes3[[#This Row],[CUIT]]="","-",VLOOKUP(compras_mes3[[#This Row],[CUIT]],Lista_CUIT[#All],3,0)),"CUIT NO CARGADO")</f>
        <v>Combustible</v>
      </c>
      <c r="R38" s="401" t="str">
        <f>IFERROR(IF(compras_mes3[[#This Row],[CUIT]]="","-",VLOOKUP(compras_mes3[[#This Row],[CUIT]],Lista_CUIT[#All],4,0)),"CUIT NO CARGADO")</f>
        <v>CABA</v>
      </c>
    </row>
    <row r="39" spans="2:18" hidden="1">
      <c r="B39" s="394">
        <v>45379</v>
      </c>
      <c r="C39" s="377">
        <v>3</v>
      </c>
      <c r="D39" s="395">
        <v>12</v>
      </c>
      <c r="E39" s="396">
        <v>244</v>
      </c>
      <c r="F39" s="397">
        <v>30696131003</v>
      </c>
      <c r="G39" s="398" t="str">
        <f>IFERROR(IF(compras_mes3[[#This Row],[CUIT]]="","-",VLOOKUP(compras_mes3[[#This Row],[CUIT]],Lista_CUIT[#All],2,0)),"CUIT NO CARGADO")</f>
        <v>Petrolfe S.A.</v>
      </c>
      <c r="H39" s="399">
        <v>-20872.669999999998</v>
      </c>
      <c r="I39" s="400">
        <f>compras_mes3[[#This Row],[NETO GRAVADO]]*0.21</f>
        <v>-4383.2606999999998</v>
      </c>
      <c r="J39" s="400"/>
      <c r="K39" s="400"/>
      <c r="L39" s="400"/>
      <c r="M39" s="400"/>
      <c r="N39" s="400"/>
      <c r="O39" s="400">
        <v>3044.05</v>
      </c>
      <c r="P39" s="384">
        <f>SUM(compras_mes3[[#This Row],[NETO GRAVADO]:[Otros / No Grav.]])</f>
        <v>-22211.880699999998</v>
      </c>
      <c r="Q39" s="398" t="str">
        <f>IFERROR(IF(compras_mes3[[#This Row],[CUIT]]="","-",VLOOKUP(compras_mes3[[#This Row],[CUIT]],Lista_CUIT[#All],3,0)),"CUIT NO CARGADO")</f>
        <v>Combustible</v>
      </c>
      <c r="R39" s="401">
        <f>IFERROR(IF(compras_mes3[[#This Row],[CUIT]]="","-",VLOOKUP(compras_mes3[[#This Row],[CUIT]],Lista_CUIT[#All],4,0)),"CUIT NO CARGADO")</f>
        <v>0</v>
      </c>
    </row>
    <row r="40" spans="2:18" hidden="1">
      <c r="B40" s="394">
        <v>45379</v>
      </c>
      <c r="C40" s="402">
        <v>1</v>
      </c>
      <c r="D40" s="395">
        <v>11</v>
      </c>
      <c r="E40" s="396">
        <v>30724</v>
      </c>
      <c r="F40" s="397">
        <v>30696131003</v>
      </c>
      <c r="G40" s="398" t="str">
        <f>IFERROR(IF(compras_mes3[[#This Row],[CUIT]]="","-",VLOOKUP(compras_mes3[[#This Row],[CUIT]],Lista_CUIT[#All],2,0)),"CUIT NO CARGADO")</f>
        <v>Petrolfe S.A.</v>
      </c>
      <c r="H40" s="399">
        <v>21397.1</v>
      </c>
      <c r="I40" s="400">
        <f>compras_mes3[[#This Row],[NETO GRAVADO]]*0.21</f>
        <v>4493.3909999999996</v>
      </c>
      <c r="J40" s="400"/>
      <c r="K40" s="400"/>
      <c r="L40" s="400"/>
      <c r="M40" s="400"/>
      <c r="N40" s="400"/>
      <c r="O40" s="400">
        <v>3120.53</v>
      </c>
      <c r="P40" s="384">
        <f>SUM(compras_mes3[[#This Row],[NETO GRAVADO]:[Otros / No Grav.]])</f>
        <v>29011.020999999997</v>
      </c>
      <c r="Q40" s="398" t="str">
        <f>IFERROR(IF(compras_mes3[[#This Row],[CUIT]]="","-",VLOOKUP(compras_mes3[[#This Row],[CUIT]],Lista_CUIT[#All],3,0)),"CUIT NO CARGADO")</f>
        <v>Combustible</v>
      </c>
      <c r="R40" s="401">
        <f>IFERROR(IF(compras_mes3[[#This Row],[CUIT]]="","-",VLOOKUP(compras_mes3[[#This Row],[CUIT]],Lista_CUIT[#All],4,0)),"CUIT NO CARGADO")</f>
        <v>0</v>
      </c>
    </row>
    <row r="41" spans="2:18" hidden="1">
      <c r="B41" s="394">
        <v>45381</v>
      </c>
      <c r="C41" s="402">
        <v>1</v>
      </c>
      <c r="D41" s="395">
        <v>12</v>
      </c>
      <c r="E41" s="396">
        <v>44289</v>
      </c>
      <c r="F41" s="397">
        <v>30696131003</v>
      </c>
      <c r="G41" s="398" t="str">
        <f>IFERROR(IF(compras_mes3[[#This Row],[CUIT]]="","-",VLOOKUP(compras_mes3[[#This Row],[CUIT]],Lista_CUIT[#All],2,0)),"CUIT NO CARGADO")</f>
        <v>Petrolfe S.A.</v>
      </c>
      <c r="H41" s="399">
        <v>94113.67</v>
      </c>
      <c r="I41" s="400">
        <f>compras_mes3[[#This Row],[NETO GRAVADO]]*0.21</f>
        <v>19763.870699999999</v>
      </c>
      <c r="J41" s="400"/>
      <c r="K41" s="400"/>
      <c r="L41" s="400"/>
      <c r="M41" s="400"/>
      <c r="N41" s="400"/>
      <c r="O41" s="400">
        <v>13725.42</v>
      </c>
      <c r="P41" s="384">
        <f>SUM(compras_mes3[[#This Row],[NETO GRAVADO]:[Otros / No Grav.]])</f>
        <v>127602.9607</v>
      </c>
      <c r="Q41" s="398" t="str">
        <f>IFERROR(IF(compras_mes3[[#This Row],[CUIT]]="","-",VLOOKUP(compras_mes3[[#This Row],[CUIT]],Lista_CUIT[#All],3,0)),"CUIT NO CARGADO")</f>
        <v>Combustible</v>
      </c>
      <c r="R41" s="401">
        <f>IFERROR(IF(compras_mes3[[#This Row],[CUIT]]="","-",VLOOKUP(compras_mes3[[#This Row],[CUIT]],Lista_CUIT[#All],4,0)),"CUIT NO CARGADO")</f>
        <v>0</v>
      </c>
    </row>
    <row r="42" spans="2:18" hidden="1">
      <c r="B42" s="350">
        <v>45366</v>
      </c>
      <c r="C42" s="351">
        <v>1</v>
      </c>
      <c r="D42" s="352">
        <v>6</v>
      </c>
      <c r="E42" s="353">
        <v>15874995</v>
      </c>
      <c r="F42" s="354">
        <v>30620177497</v>
      </c>
      <c r="G42" s="355" t="str">
        <f>IFERROR(IF(compras_mes3[[#This Row],[CUIT]]="","-",VLOOKUP(compras_mes3[[#This Row],[CUIT]],Lista_CUIT[#All],2,0)),"CUIT NO CARGADO")</f>
        <v>POSNET SRL</v>
      </c>
      <c r="H42" s="356">
        <v>16884</v>
      </c>
      <c r="I42" s="357">
        <f>compras_mes3[[#This Row],[NETO GRAVADO]]*0.21</f>
        <v>3545.64</v>
      </c>
      <c r="J42" s="357"/>
      <c r="K42" s="357"/>
      <c r="L42" s="357"/>
      <c r="M42" s="357"/>
      <c r="N42" s="357">
        <v>1519.56</v>
      </c>
      <c r="O42" s="357"/>
      <c r="P42" s="358">
        <f>SUM(compras_mes3[[#This Row],[NETO GRAVADO]:[Otros / No Grav.]])</f>
        <v>21949.200000000001</v>
      </c>
      <c r="Q42" s="355" t="str">
        <f>IFERROR(IF(compras_mes3[[#This Row],[CUIT]]="","-",VLOOKUP(compras_mes3[[#This Row],[CUIT]],Lista_CUIT[#All],3,0)),"CUIT NO CARGADO")</f>
        <v>Gastos Comercializacion</v>
      </c>
      <c r="R42" s="359">
        <f>IFERROR(IF(compras_mes3[[#This Row],[CUIT]]="","-",VLOOKUP(compras_mes3[[#This Row],[CUIT]],Lista_CUIT[#All],4,0)),"CUIT NO CARGADO")</f>
        <v>0</v>
      </c>
    </row>
    <row r="43" spans="2:18" hidden="1">
      <c r="B43" s="350">
        <v>45366</v>
      </c>
      <c r="C43" s="351">
        <v>1</v>
      </c>
      <c r="D43" s="352">
        <v>6</v>
      </c>
      <c r="E43" s="353">
        <v>15871793</v>
      </c>
      <c r="F43" s="354">
        <v>30620177497</v>
      </c>
      <c r="G43" s="355" t="str">
        <f>IFERROR(IF(compras_mes3[[#This Row],[CUIT]]="","-",VLOOKUP(compras_mes3[[#This Row],[CUIT]],Lista_CUIT[#All],2,0)),"CUIT NO CARGADO")</f>
        <v>POSNET SRL</v>
      </c>
      <c r="H43" s="356">
        <v>16884</v>
      </c>
      <c r="I43" s="357">
        <f>compras_mes3[[#This Row],[NETO GRAVADO]]*0.21</f>
        <v>3545.64</v>
      </c>
      <c r="J43" s="357"/>
      <c r="K43" s="357"/>
      <c r="L43" s="357"/>
      <c r="M43" s="357"/>
      <c r="N43" s="357">
        <v>1519.56</v>
      </c>
      <c r="O43" s="357"/>
      <c r="P43" s="358">
        <f>SUM(compras_mes3[[#This Row],[NETO GRAVADO]:[Otros / No Grav.]])</f>
        <v>21949.200000000001</v>
      </c>
      <c r="Q43" s="355" t="str">
        <f>IFERROR(IF(compras_mes3[[#This Row],[CUIT]]="","-",VLOOKUP(compras_mes3[[#This Row],[CUIT]],Lista_CUIT[#All],3,0)),"CUIT NO CARGADO")</f>
        <v>Gastos Comercializacion</v>
      </c>
      <c r="R43" s="359">
        <f>IFERROR(IF(compras_mes3[[#This Row],[CUIT]]="","-",VLOOKUP(compras_mes3[[#This Row],[CUIT]],Lista_CUIT[#All],4,0)),"CUIT NO CARGADO")</f>
        <v>0</v>
      </c>
    </row>
    <row r="44" spans="2:18" hidden="1">
      <c r="B44" s="350">
        <v>45366</v>
      </c>
      <c r="C44" s="351">
        <v>1</v>
      </c>
      <c r="D44" s="352">
        <v>6</v>
      </c>
      <c r="E44" s="353">
        <v>15885650</v>
      </c>
      <c r="F44" s="354">
        <v>30620177497</v>
      </c>
      <c r="G44" s="355" t="str">
        <f>IFERROR(IF(compras_mes3[[#This Row],[CUIT]]="","-",VLOOKUP(compras_mes3[[#This Row],[CUIT]],Lista_CUIT[#All],2,0)),"CUIT NO CARGADO")</f>
        <v>POSNET SRL</v>
      </c>
      <c r="H44" s="356">
        <v>50652</v>
      </c>
      <c r="I44" s="357">
        <f>compras_mes3[[#This Row],[NETO GRAVADO]]*0.21</f>
        <v>10636.92</v>
      </c>
      <c r="J44" s="357"/>
      <c r="K44" s="357"/>
      <c r="L44" s="357"/>
      <c r="M44" s="357"/>
      <c r="N44" s="357">
        <v>4558.68</v>
      </c>
      <c r="O44" s="357"/>
      <c r="P44" s="358">
        <f>SUM(compras_mes3[[#This Row],[NETO GRAVADO]:[Otros / No Grav.]])</f>
        <v>65847.600000000006</v>
      </c>
      <c r="Q44" s="355" t="str">
        <f>IFERROR(IF(compras_mes3[[#This Row],[CUIT]]="","-",VLOOKUP(compras_mes3[[#This Row],[CUIT]],Lista_CUIT[#All],3,0)),"CUIT NO CARGADO")</f>
        <v>Gastos Comercializacion</v>
      </c>
      <c r="R44" s="359">
        <f>IFERROR(IF(compras_mes3[[#This Row],[CUIT]]="","-",VLOOKUP(compras_mes3[[#This Row],[CUIT]],Lista_CUIT[#All],4,0)),"CUIT NO CARGADO")</f>
        <v>0</v>
      </c>
    </row>
    <row r="45" spans="2:18" hidden="1">
      <c r="B45" s="350">
        <v>45366</v>
      </c>
      <c r="C45" s="351">
        <v>1</v>
      </c>
      <c r="D45" s="352">
        <v>6</v>
      </c>
      <c r="E45" s="353">
        <v>15863918</v>
      </c>
      <c r="F45" s="354">
        <v>30620177497</v>
      </c>
      <c r="G45" s="355" t="str">
        <f>IFERROR(IF(compras_mes3[[#This Row],[CUIT]]="","-",VLOOKUP(compras_mes3[[#This Row],[CUIT]],Lista_CUIT[#All],2,0)),"CUIT NO CARGADO")</f>
        <v>POSNET SRL</v>
      </c>
      <c r="H45" s="356">
        <v>16884</v>
      </c>
      <c r="I45" s="357">
        <f>compras_mes3[[#This Row],[NETO GRAVADO]]*0.21</f>
        <v>3545.64</v>
      </c>
      <c r="J45" s="357"/>
      <c r="K45" s="357"/>
      <c r="L45" s="357"/>
      <c r="M45" s="357"/>
      <c r="N45" s="357"/>
      <c r="O45" s="357">
        <v>1519.56</v>
      </c>
      <c r="P45" s="358">
        <f>SUM(compras_mes3[[#This Row],[NETO GRAVADO]:[Otros / No Grav.]])</f>
        <v>21949.200000000001</v>
      </c>
      <c r="Q45" s="355" t="str">
        <f>IFERROR(IF(compras_mes3[[#This Row],[CUIT]]="","-",VLOOKUP(compras_mes3[[#This Row],[CUIT]],Lista_CUIT[#All],3,0)),"CUIT NO CARGADO")</f>
        <v>Gastos Comercializacion</v>
      </c>
      <c r="R45" s="359">
        <f>IFERROR(IF(compras_mes3[[#This Row],[CUIT]]="","-",VLOOKUP(compras_mes3[[#This Row],[CUIT]],Lista_CUIT[#All],4,0)),"CUIT NO CARGADO")</f>
        <v>0</v>
      </c>
    </row>
    <row r="46" spans="2:18" hidden="1">
      <c r="B46" s="394">
        <v>45382</v>
      </c>
      <c r="C46" s="377">
        <v>1</v>
      </c>
      <c r="D46" s="395">
        <v>11</v>
      </c>
      <c r="E46" s="396">
        <v>964035</v>
      </c>
      <c r="F46" s="397">
        <v>33709585229</v>
      </c>
      <c r="G46" s="398" t="str">
        <f>IFERROR(IF(compras_mes3[[#This Row],[CUIT]]="","-",VLOOKUP(compras_mes3[[#This Row],[CUIT]],Lista_CUIT[#All],2,0)),"CUIT NO CARGADO")</f>
        <v>GOOGLE ARGENTINA S.R.L.</v>
      </c>
      <c r="H46" s="399">
        <v>180334.77</v>
      </c>
      <c r="I46" s="400">
        <f>compras_mes3[[#This Row],[NETO GRAVADO]]*0.21</f>
        <v>37870.301699999996</v>
      </c>
      <c r="J46" s="400"/>
      <c r="K46" s="400"/>
      <c r="L46" s="400"/>
      <c r="M46" s="400"/>
      <c r="N46" s="400">
        <v>36937.06</v>
      </c>
      <c r="O46" s="400">
        <v>5410.04</v>
      </c>
      <c r="P46" s="384">
        <f>SUM(compras_mes3[[#This Row],[NETO GRAVADO]:[Otros / No Grav.]])</f>
        <v>260552.17169999998</v>
      </c>
      <c r="Q46" s="398" t="str">
        <f>IFERROR(IF(compras_mes3[[#This Row],[CUIT]]="","-",VLOOKUP(compras_mes3[[#This Row],[CUIT]],Lista_CUIT[#All],3,0)),"CUIT NO CARGADO")</f>
        <v>Gastos Comercializacion</v>
      </c>
      <c r="R46" s="401">
        <f>IFERROR(IF(compras_mes3[[#This Row],[CUIT]]="","-",VLOOKUP(compras_mes3[[#This Row],[CUIT]],Lista_CUIT[#All],4,0)),"CUIT NO CARGADO")</f>
        <v>0</v>
      </c>
    </row>
    <row r="47" spans="2:18" hidden="1">
      <c r="B47" s="394">
        <v>45382</v>
      </c>
      <c r="C47" s="377">
        <v>1</v>
      </c>
      <c r="D47" s="395">
        <v>6</v>
      </c>
      <c r="E47" s="396">
        <v>16036445</v>
      </c>
      <c r="F47" s="397">
        <v>30620177497</v>
      </c>
      <c r="G47" s="398" t="str">
        <f>IFERROR(IF(compras_mes3[[#This Row],[CUIT]]="","-",VLOOKUP(compras_mes3[[#This Row],[CUIT]],Lista_CUIT[#All],2,0)),"CUIT NO CARGADO")</f>
        <v>POSNET SRL</v>
      </c>
      <c r="H47" s="399">
        <v>0</v>
      </c>
      <c r="I47" s="400">
        <f>compras_mes3[[#This Row],[NETO GRAVADO]]*0.21</f>
        <v>0</v>
      </c>
      <c r="J47" s="400"/>
      <c r="K47" s="400"/>
      <c r="L47" s="400"/>
      <c r="M47" s="400"/>
      <c r="N47" s="400"/>
      <c r="O47" s="400"/>
      <c r="P47" s="384">
        <f>SUM(compras_mes3[[#This Row],[NETO GRAVADO]:[Otros / No Grav.]])</f>
        <v>0</v>
      </c>
      <c r="Q47" s="398" t="str">
        <f>IFERROR(IF(compras_mes3[[#This Row],[CUIT]]="","-",VLOOKUP(compras_mes3[[#This Row],[CUIT]],Lista_CUIT[#All],3,0)),"CUIT NO CARGADO")</f>
        <v>Gastos Comercializacion</v>
      </c>
      <c r="R47" s="401">
        <f>IFERROR(IF(compras_mes3[[#This Row],[CUIT]]="","-",VLOOKUP(compras_mes3[[#This Row],[CUIT]],Lista_CUIT[#All],4,0)),"CUIT NO CARGADO")</f>
        <v>0</v>
      </c>
    </row>
    <row r="48" spans="2:18" hidden="1">
      <c r="B48" s="376">
        <v>45357</v>
      </c>
      <c r="C48" s="377">
        <v>1</v>
      </c>
      <c r="D48" s="378">
        <v>4</v>
      </c>
      <c r="E48" s="379">
        <v>736578</v>
      </c>
      <c r="F48" s="380">
        <v>30716620634</v>
      </c>
      <c r="G48" s="381" t="str">
        <f>IFERROR(IF(compras_mes3[[#This Row],[CUIT]]="","-",VLOOKUP(compras_mes3[[#This Row],[CUIT]],Lista_CUIT[#All],2,0)),"CUIT NO CARGADO")</f>
        <v>FIRST LABEL S.R.L.</v>
      </c>
      <c r="H48" s="382">
        <v>32230.58</v>
      </c>
      <c r="I48" s="383">
        <f>compras_mes3[[#This Row],[NETO GRAVADO]]*0.21</f>
        <v>6768.4218000000001</v>
      </c>
      <c r="J48" s="383"/>
      <c r="K48" s="383"/>
      <c r="L48" s="383"/>
      <c r="M48" s="383"/>
      <c r="N48" s="383"/>
      <c r="O48" s="383">
        <v>2659.02</v>
      </c>
      <c r="P48" s="384">
        <f>SUM(compras_mes3[[#This Row],[NETO GRAVADO]:[Otros / No Grav.]])</f>
        <v>41658.021799999995</v>
      </c>
      <c r="Q48" s="381" t="str">
        <f>IFERROR(IF(compras_mes3[[#This Row],[CUIT]]="","-",VLOOKUP(compras_mes3[[#This Row],[CUIT]],Lista_CUIT[#All],3,0)),"CUIT NO CARGADO")</f>
        <v>Gastos Comercializacion</v>
      </c>
      <c r="R48" s="385">
        <f>IFERROR(IF(compras_mes3[[#This Row],[CUIT]]="","-",VLOOKUP(compras_mes3[[#This Row],[CUIT]],Lista_CUIT[#All],4,0)),"CUIT NO CARGADO")</f>
        <v>0</v>
      </c>
    </row>
    <row r="49" spans="2:18" hidden="1">
      <c r="B49" s="376">
        <v>45352</v>
      </c>
      <c r="C49" s="377">
        <v>1</v>
      </c>
      <c r="D49" s="378">
        <v>1</v>
      </c>
      <c r="E49" s="379">
        <v>681</v>
      </c>
      <c r="F49" s="380">
        <v>30715889486</v>
      </c>
      <c r="G49" s="381" t="str">
        <f>IFERROR(IF(compras_mes3[[#This Row],[CUIT]]="","-",VLOOKUP(compras_mes3[[#This Row],[CUIT]],Lista_CUIT[#All],2,0)),"CUIT NO CARGADO")</f>
        <v>EXPOESTETICA</v>
      </c>
      <c r="H49" s="382">
        <v>396000</v>
      </c>
      <c r="I49" s="383">
        <f>compras_mes3[[#This Row],[NETO GRAVADO]]*0.21</f>
        <v>83160</v>
      </c>
      <c r="J49" s="383"/>
      <c r="K49" s="383"/>
      <c r="L49" s="383"/>
      <c r="M49" s="383"/>
      <c r="N49" s="383"/>
      <c r="O49" s="383"/>
      <c r="P49" s="384">
        <f>SUM(compras_mes3[[#This Row],[NETO GRAVADO]:[Otros / No Grav.]])</f>
        <v>479160</v>
      </c>
      <c r="Q49" s="381" t="str">
        <f>IFERROR(IF(compras_mes3[[#This Row],[CUIT]]="","-",VLOOKUP(compras_mes3[[#This Row],[CUIT]],Lista_CUIT[#All],3,0)),"CUIT NO CARGADO")</f>
        <v>Gastos Comercializacion - Feria</v>
      </c>
      <c r="R49" s="385" t="str">
        <f>IFERROR(IF(compras_mes3[[#This Row],[CUIT]]="","-",VLOOKUP(compras_mes3[[#This Row],[CUIT]],Lista_CUIT[#All],4,0)),"CUIT NO CARGADO")</f>
        <v>BUENOS AIRES</v>
      </c>
    </row>
    <row r="50" spans="2:18" hidden="1">
      <c r="B50" s="376">
        <v>45352</v>
      </c>
      <c r="C50" s="377">
        <v>1</v>
      </c>
      <c r="D50" s="378">
        <v>14</v>
      </c>
      <c r="E50" s="379">
        <v>11480</v>
      </c>
      <c r="F50" s="380">
        <v>30715186256</v>
      </c>
      <c r="G50" s="381" t="str">
        <f>IFERROR(IF(compras_mes3[[#This Row],[CUIT]]="","-",VLOOKUP(compras_mes3[[#This Row],[CUIT]],Lista_CUIT[#All],2,0)),"CUIT NO CARGADO")</f>
        <v>FRIGORIFICO ALIMENTIC</v>
      </c>
      <c r="H50" s="382">
        <v>43571.07</v>
      </c>
      <c r="I50" s="383"/>
      <c r="J50" s="383"/>
      <c r="K50" s="383">
        <v>4574.93</v>
      </c>
      <c r="L50" s="383"/>
      <c r="M50" s="383"/>
      <c r="N50" s="383"/>
      <c r="O50" s="383"/>
      <c r="P50" s="384">
        <f>SUM(compras_mes3[[#This Row],[NETO GRAVADO]:[Otros / No Grav.]])</f>
        <v>48146</v>
      </c>
      <c r="Q50" s="381" t="str">
        <f>IFERROR(IF(compras_mes3[[#This Row],[CUIT]]="","-",VLOOKUP(compras_mes3[[#This Row],[CUIT]],Lista_CUIT[#All],3,0)),"CUIT NO CARGADO")</f>
        <v>Gastos Comercializacion - Feria</v>
      </c>
      <c r="R50" s="385">
        <f>IFERROR(IF(compras_mes3[[#This Row],[CUIT]]="","-",VLOOKUP(compras_mes3[[#This Row],[CUIT]],Lista_CUIT[#All],4,0)),"CUIT NO CARGADO")</f>
        <v>0</v>
      </c>
    </row>
    <row r="51" spans="2:18" hidden="1">
      <c r="B51" s="376">
        <v>45358</v>
      </c>
      <c r="C51" s="377">
        <v>1</v>
      </c>
      <c r="D51" s="378">
        <v>14</v>
      </c>
      <c r="E51" s="379">
        <v>11570</v>
      </c>
      <c r="F51" s="380">
        <v>30715186256</v>
      </c>
      <c r="G51" s="381" t="str">
        <f>IFERROR(IF(compras_mes3[[#This Row],[CUIT]]="","-",VLOOKUP(compras_mes3[[#This Row],[CUIT]],Lista_CUIT[#All],2,0)),"CUIT NO CARGADO")</f>
        <v>FRIGORIFICO ALIMENTIC</v>
      </c>
      <c r="H51" s="382">
        <v>16325.36</v>
      </c>
      <c r="I51" s="383">
        <v>728.92</v>
      </c>
      <c r="J51" s="383"/>
      <c r="K51" s="383">
        <v>1349.7</v>
      </c>
      <c r="L51" s="383"/>
      <c r="M51" s="383"/>
      <c r="N51" s="383"/>
      <c r="O51" s="383"/>
      <c r="P51" s="384">
        <f>SUM(compras_mes3[[#This Row],[NETO GRAVADO]:[Otros / No Grav.]])</f>
        <v>18403.98</v>
      </c>
      <c r="Q51" s="381" t="str">
        <f>IFERROR(IF(compras_mes3[[#This Row],[CUIT]]="","-",VLOOKUP(compras_mes3[[#This Row],[CUIT]],Lista_CUIT[#All],3,0)),"CUIT NO CARGADO")</f>
        <v>Gastos Comercializacion - Feria</v>
      </c>
      <c r="R51" s="385">
        <f>IFERROR(IF(compras_mes3[[#This Row],[CUIT]]="","-",VLOOKUP(compras_mes3[[#This Row],[CUIT]],Lista_CUIT[#All],4,0)),"CUIT NO CARGADO")</f>
        <v>0</v>
      </c>
    </row>
    <row r="52" spans="2:18" hidden="1">
      <c r="B52" s="376">
        <v>45370</v>
      </c>
      <c r="C52" s="377">
        <v>1</v>
      </c>
      <c r="D52" s="378">
        <v>14</v>
      </c>
      <c r="E52" s="379">
        <v>11717</v>
      </c>
      <c r="F52" s="380">
        <v>30715186256</v>
      </c>
      <c r="G52" s="381" t="str">
        <f>IFERROR(IF(compras_mes3[[#This Row],[CUIT]]="","-",VLOOKUP(compras_mes3[[#This Row],[CUIT]],Lista_CUIT[#All],2,0)),"CUIT NO CARGADO")</f>
        <v>FRIGORIFICO ALIMENTIC</v>
      </c>
      <c r="H52" s="382">
        <v>34959.85</v>
      </c>
      <c r="I52" s="383">
        <v>1732.76</v>
      </c>
      <c r="J52" s="383"/>
      <c r="K52" s="383">
        <v>2804.4</v>
      </c>
      <c r="L52" s="383"/>
      <c r="M52" s="383"/>
      <c r="N52" s="383"/>
      <c r="O52" s="383"/>
      <c r="P52" s="384">
        <f>SUM(compras_mes3[[#This Row],[NETO GRAVADO]:[Otros / No Grav.]])</f>
        <v>39497.01</v>
      </c>
      <c r="Q52" s="381" t="str">
        <f>IFERROR(IF(compras_mes3[[#This Row],[CUIT]]="","-",VLOOKUP(compras_mes3[[#This Row],[CUIT]],Lista_CUIT[#All],3,0)),"CUIT NO CARGADO")</f>
        <v>Gastos Comercializacion - Feria</v>
      </c>
      <c r="R52" s="385">
        <f>IFERROR(IF(compras_mes3[[#This Row],[CUIT]]="","-",VLOOKUP(compras_mes3[[#This Row],[CUIT]],Lista_CUIT[#All],4,0)),"CUIT NO CARGADO")</f>
        <v>0</v>
      </c>
    </row>
    <row r="53" spans="2:18" hidden="1">
      <c r="B53" s="376">
        <v>45353</v>
      </c>
      <c r="C53" s="377">
        <v>1</v>
      </c>
      <c r="D53" s="378">
        <v>5</v>
      </c>
      <c r="E53" s="379">
        <v>4247</v>
      </c>
      <c r="F53" s="380">
        <v>30714910694</v>
      </c>
      <c r="G53" s="381" t="str">
        <f>IFERROR(IF(compras_mes3[[#This Row],[CUIT]]="","-",VLOOKUP(compras_mes3[[#This Row],[CUIT]],Lista_CUIT[#All],2,0)),"CUIT NO CARGADO")</f>
        <v>GRUPO TRI&amp;CO S.A.</v>
      </c>
      <c r="H53" s="382">
        <v>24233.06</v>
      </c>
      <c r="I53" s="383">
        <f>compras_mes3[[#This Row],[NETO GRAVADO]]*0.21</f>
        <v>5088.9426000000003</v>
      </c>
      <c r="J53" s="383"/>
      <c r="K53" s="383"/>
      <c r="L53" s="383"/>
      <c r="M53" s="383"/>
      <c r="N53" s="383"/>
      <c r="O53" s="383"/>
      <c r="P53" s="384">
        <f>SUM(compras_mes3[[#This Row],[NETO GRAVADO]:[Otros / No Grav.]])</f>
        <v>29322.0026</v>
      </c>
      <c r="Q53" s="381" t="str">
        <f>IFERROR(IF(compras_mes3[[#This Row],[CUIT]]="","-",VLOOKUP(compras_mes3[[#This Row],[CUIT]],Lista_CUIT[#All],3,0)),"CUIT NO CARGADO")</f>
        <v>Gastos Limpieza</v>
      </c>
      <c r="R53" s="385">
        <f>IFERROR(IF(compras_mes3[[#This Row],[CUIT]]="","-",VLOOKUP(compras_mes3[[#This Row],[CUIT]],Lista_CUIT[#All],4,0)),"CUIT NO CARGADO")</f>
        <v>0</v>
      </c>
    </row>
    <row r="54" spans="2:18" hidden="1">
      <c r="B54" s="376">
        <v>45369</v>
      </c>
      <c r="C54" s="377">
        <v>1</v>
      </c>
      <c r="D54" s="378">
        <v>7</v>
      </c>
      <c r="E54" s="379">
        <v>13827</v>
      </c>
      <c r="F54" s="380">
        <v>30715124919</v>
      </c>
      <c r="G54" s="381" t="str">
        <f>IFERROR(IF(compras_mes3[[#This Row],[CUIT]]="","-",VLOOKUP(compras_mes3[[#This Row],[CUIT]],Lista_CUIT[#All],2,0)),"CUIT NO CARGADO")</f>
        <v>CLEAN LAB SRL</v>
      </c>
      <c r="H54" s="382">
        <v>8721.93</v>
      </c>
      <c r="I54" s="383">
        <f>compras_mes3[[#This Row],[NETO GRAVADO]]*0.21</f>
        <v>1831.6052999999999</v>
      </c>
      <c r="J54" s="383"/>
      <c r="K54" s="383"/>
      <c r="L54" s="383"/>
      <c r="M54" s="383"/>
      <c r="N54" s="383"/>
      <c r="O54" s="383"/>
      <c r="P54" s="384">
        <f>SUM(compras_mes3[[#This Row],[NETO GRAVADO]:[Otros / No Grav.]])</f>
        <v>10553.5353</v>
      </c>
      <c r="Q54" s="381" t="str">
        <f>IFERROR(IF(compras_mes3[[#This Row],[CUIT]]="","-",VLOOKUP(compras_mes3[[#This Row],[CUIT]],Lista_CUIT[#All],3,0)),"CUIT NO CARGADO")</f>
        <v>Gastos Limpieza</v>
      </c>
      <c r="R54" s="385">
        <f>IFERROR(IF(compras_mes3[[#This Row],[CUIT]]="","-",VLOOKUP(compras_mes3[[#This Row],[CUIT]],Lista_CUIT[#All],4,0)),"CUIT NO CARGADO")</f>
        <v>0</v>
      </c>
    </row>
    <row r="55" spans="2:18" hidden="1">
      <c r="B55" s="376">
        <v>45369</v>
      </c>
      <c r="C55" s="377">
        <v>1</v>
      </c>
      <c r="D55" s="378">
        <v>7</v>
      </c>
      <c r="E55" s="379">
        <v>13820</v>
      </c>
      <c r="F55" s="380">
        <v>30715124919</v>
      </c>
      <c r="G55" s="381" t="str">
        <f>IFERROR(IF(compras_mes3[[#This Row],[CUIT]]="","-",VLOOKUP(compras_mes3[[#This Row],[CUIT]],Lista_CUIT[#All],2,0)),"CUIT NO CARGADO")</f>
        <v>CLEAN LAB SRL</v>
      </c>
      <c r="H55" s="382">
        <v>110858.72</v>
      </c>
      <c r="I55" s="383">
        <f>compras_mes3[[#This Row],[NETO GRAVADO]]*0.21</f>
        <v>23280.331200000001</v>
      </c>
      <c r="J55" s="383"/>
      <c r="K55" s="383"/>
      <c r="L55" s="383"/>
      <c r="M55" s="383"/>
      <c r="N55" s="383"/>
      <c r="O55" s="383"/>
      <c r="P55" s="384">
        <f>SUM(compras_mes3[[#This Row],[NETO GRAVADO]:[Otros / No Grav.]])</f>
        <v>134139.05119999999</v>
      </c>
      <c r="Q55" s="381" t="str">
        <f>IFERROR(IF(compras_mes3[[#This Row],[CUIT]]="","-",VLOOKUP(compras_mes3[[#This Row],[CUIT]],Lista_CUIT[#All],3,0)),"CUIT NO CARGADO")</f>
        <v>Gastos Limpieza</v>
      </c>
      <c r="R55" s="385">
        <f>IFERROR(IF(compras_mes3[[#This Row],[CUIT]]="","-",VLOOKUP(compras_mes3[[#This Row],[CUIT]],Lista_CUIT[#All],4,0)),"CUIT NO CARGADO")</f>
        <v>0</v>
      </c>
    </row>
    <row r="56" spans="2:18" hidden="1">
      <c r="B56" s="376">
        <v>45369</v>
      </c>
      <c r="C56" s="377">
        <v>1</v>
      </c>
      <c r="D56" s="378">
        <v>7</v>
      </c>
      <c r="E56" s="379">
        <v>13817</v>
      </c>
      <c r="F56" s="380">
        <v>30715124919</v>
      </c>
      <c r="G56" s="381" t="str">
        <f>IFERROR(IF(compras_mes3[[#This Row],[CUIT]]="","-",VLOOKUP(compras_mes3[[#This Row],[CUIT]],Lista_CUIT[#All],2,0)),"CUIT NO CARGADO")</f>
        <v>CLEAN LAB SRL</v>
      </c>
      <c r="H56" s="382">
        <v>14885.94</v>
      </c>
      <c r="I56" s="383">
        <f>compras_mes3[[#This Row],[NETO GRAVADO]]*0.21</f>
        <v>3126.0473999999999</v>
      </c>
      <c r="J56" s="383"/>
      <c r="K56" s="383"/>
      <c r="L56" s="383"/>
      <c r="M56" s="383"/>
      <c r="N56" s="383"/>
      <c r="O56" s="383"/>
      <c r="P56" s="384">
        <f>SUM(compras_mes3[[#This Row],[NETO GRAVADO]:[Otros / No Grav.]])</f>
        <v>18011.987400000002</v>
      </c>
      <c r="Q56" s="381" t="str">
        <f>IFERROR(IF(compras_mes3[[#This Row],[CUIT]]="","-",VLOOKUP(compras_mes3[[#This Row],[CUIT]],Lista_CUIT[#All],3,0)),"CUIT NO CARGADO")</f>
        <v>Gastos Limpieza</v>
      </c>
      <c r="R56" s="385">
        <f>IFERROR(IF(compras_mes3[[#This Row],[CUIT]]="","-",VLOOKUP(compras_mes3[[#This Row],[CUIT]],Lista_CUIT[#All],4,0)),"CUIT NO CARGADO")</f>
        <v>0</v>
      </c>
    </row>
    <row r="57" spans="2:18" hidden="1">
      <c r="B57" s="376">
        <v>45369</v>
      </c>
      <c r="C57" s="377">
        <v>1</v>
      </c>
      <c r="D57" s="378">
        <v>7</v>
      </c>
      <c r="E57" s="379">
        <v>13819</v>
      </c>
      <c r="F57" s="380">
        <v>30715124919</v>
      </c>
      <c r="G57" s="381" t="str">
        <f>IFERROR(IF(compras_mes3[[#This Row],[CUIT]]="","-",VLOOKUP(compras_mes3[[#This Row],[CUIT]],Lista_CUIT[#All],2,0)),"CUIT NO CARGADO")</f>
        <v>CLEAN LAB SRL</v>
      </c>
      <c r="H57" s="382">
        <v>31890.94</v>
      </c>
      <c r="I57" s="383">
        <f>compras_mes3[[#This Row],[NETO GRAVADO]]*0.21</f>
        <v>6697.0973999999997</v>
      </c>
      <c r="J57" s="383"/>
      <c r="K57" s="383"/>
      <c r="L57" s="383"/>
      <c r="M57" s="383"/>
      <c r="N57" s="383"/>
      <c r="O57" s="383"/>
      <c r="P57" s="384">
        <f>SUM(compras_mes3[[#This Row],[NETO GRAVADO]:[Otros / No Grav.]])</f>
        <v>38588.037400000001</v>
      </c>
      <c r="Q57" s="381" t="str">
        <f>IFERROR(IF(compras_mes3[[#This Row],[CUIT]]="","-",VLOOKUP(compras_mes3[[#This Row],[CUIT]],Lista_CUIT[#All],3,0)),"CUIT NO CARGADO")</f>
        <v>Gastos Limpieza</v>
      </c>
      <c r="R57" s="385">
        <f>IFERROR(IF(compras_mes3[[#This Row],[CUIT]]="","-",VLOOKUP(compras_mes3[[#This Row],[CUIT]],Lista_CUIT[#All],4,0)),"CUIT NO CARGADO")</f>
        <v>0</v>
      </c>
    </row>
    <row r="58" spans="2:18" hidden="1">
      <c r="B58" s="376">
        <v>45369</v>
      </c>
      <c r="C58" s="377">
        <v>1</v>
      </c>
      <c r="D58" s="378">
        <v>7</v>
      </c>
      <c r="E58" s="379">
        <v>13818</v>
      </c>
      <c r="F58" s="380">
        <v>30715124919</v>
      </c>
      <c r="G58" s="381" t="str">
        <f>IFERROR(IF(compras_mes3[[#This Row],[CUIT]]="","-",VLOOKUP(compras_mes3[[#This Row],[CUIT]],Lista_CUIT[#All],2,0)),"CUIT NO CARGADO")</f>
        <v>CLEAN LAB SRL</v>
      </c>
      <c r="H58" s="382">
        <v>73347.81</v>
      </c>
      <c r="I58" s="383">
        <f>compras_mes3[[#This Row],[NETO GRAVADO]]*0.21</f>
        <v>15403.040099999998</v>
      </c>
      <c r="J58" s="383"/>
      <c r="K58" s="383"/>
      <c r="L58" s="383"/>
      <c r="M58" s="383"/>
      <c r="N58" s="383"/>
      <c r="O58" s="383"/>
      <c r="P58" s="384">
        <f>SUM(compras_mes3[[#This Row],[NETO GRAVADO]:[Otros / No Grav.]])</f>
        <v>88750.850099999996</v>
      </c>
      <c r="Q58" s="381" t="str">
        <f>IFERROR(IF(compras_mes3[[#This Row],[CUIT]]="","-",VLOOKUP(compras_mes3[[#This Row],[CUIT]],Lista_CUIT[#All],3,0)),"CUIT NO CARGADO")</f>
        <v>Gastos Limpieza</v>
      </c>
      <c r="R58" s="385">
        <f>IFERROR(IF(compras_mes3[[#This Row],[CUIT]]="","-",VLOOKUP(compras_mes3[[#This Row],[CUIT]],Lista_CUIT[#All],4,0)),"CUIT NO CARGADO")</f>
        <v>0</v>
      </c>
    </row>
    <row r="59" spans="2:18" hidden="1">
      <c r="B59" s="376">
        <v>45371</v>
      </c>
      <c r="C59" s="377">
        <v>1</v>
      </c>
      <c r="D59" s="378">
        <v>113</v>
      </c>
      <c r="E59" s="379">
        <v>3525268</v>
      </c>
      <c r="F59" s="380">
        <v>30577207190</v>
      </c>
      <c r="G59" s="381" t="str">
        <f>IFERROR(IF(compras_mes3[[#This Row],[CUIT]]="","-",VLOOKUP(compras_mes3[[#This Row],[CUIT]],Lista_CUIT[#All],2,0)),"CUIT NO CARGADO")</f>
        <v>COORDINACION ECOLOGICA AREA METROPOLITANA SOCIEDAD DEL ESTADO</v>
      </c>
      <c r="H59" s="382">
        <v>6249.59</v>
      </c>
      <c r="I59" s="383">
        <f>compras_mes3[[#This Row],[NETO GRAVADO]]*0.21</f>
        <v>1312.4139</v>
      </c>
      <c r="J59" s="383"/>
      <c r="K59" s="383"/>
      <c r="L59" s="383">
        <v>187.49</v>
      </c>
      <c r="M59" s="383"/>
      <c r="N59" s="383"/>
      <c r="O59" s="383"/>
      <c r="P59" s="384">
        <f>SUM(compras_mes3[[#This Row],[NETO GRAVADO]:[Otros / No Grav.]])</f>
        <v>7749.4938999999995</v>
      </c>
      <c r="Q59" s="381" t="str">
        <f>IFERROR(IF(compras_mes3[[#This Row],[CUIT]]="","-",VLOOKUP(compras_mes3[[#This Row],[CUIT]],Lista_CUIT[#All],3,0)),"CUIT NO CARGADO")</f>
        <v>Gastos Limpieza</v>
      </c>
      <c r="R59" s="385">
        <f>IFERROR(IF(compras_mes3[[#This Row],[CUIT]]="","-",VLOOKUP(compras_mes3[[#This Row],[CUIT]],Lista_CUIT[#All],4,0)),"CUIT NO CARGADO")</f>
        <v>0</v>
      </c>
    </row>
    <row r="60" spans="2:18" hidden="1">
      <c r="B60" s="376">
        <v>45374</v>
      </c>
      <c r="C60" s="377">
        <v>1</v>
      </c>
      <c r="D60" s="378">
        <v>7</v>
      </c>
      <c r="E60" s="379">
        <v>449</v>
      </c>
      <c r="F60" s="380">
        <v>20270614311</v>
      </c>
      <c r="G60" s="381" t="str">
        <f>IFERROR(IF(compras_mes3[[#This Row],[CUIT]]="","-",VLOOKUP(compras_mes3[[#This Row],[CUIT]],Lista_CUIT[#All],2,0)),"CUIT NO CARGADO")</f>
        <v>ROMERA WALTER LEONARDO</v>
      </c>
      <c r="H60" s="382">
        <v>1308413.3899999999</v>
      </c>
      <c r="I60" s="383">
        <f>compras_mes3[[#This Row],[NETO GRAVADO]]*0.21</f>
        <v>274766.81189999997</v>
      </c>
      <c r="J60" s="383"/>
      <c r="K60" s="383"/>
      <c r="L60" s="383"/>
      <c r="M60" s="383"/>
      <c r="N60" s="383"/>
      <c r="O60" s="383"/>
      <c r="P60" s="384">
        <f>SUM(compras_mes3[[#This Row],[NETO GRAVADO]:[Otros / No Grav.]])</f>
        <v>1583180.2018999998</v>
      </c>
      <c r="Q60" s="381" t="str">
        <f>IFERROR(IF(compras_mes3[[#This Row],[CUIT]]="","-",VLOOKUP(compras_mes3[[#This Row],[CUIT]],Lista_CUIT[#All],3,0)),"CUIT NO CARGADO")</f>
        <v>Gastos Limpieza</v>
      </c>
      <c r="R60" s="385">
        <f>IFERROR(IF(compras_mes3[[#This Row],[CUIT]]="","-",VLOOKUP(compras_mes3[[#This Row],[CUIT]],Lista_CUIT[#All],4,0)),"CUIT NO CARGADO")</f>
        <v>0</v>
      </c>
    </row>
    <row r="61" spans="2:18" hidden="1">
      <c r="B61" s="394">
        <v>45374</v>
      </c>
      <c r="C61" s="402">
        <v>3</v>
      </c>
      <c r="D61" s="395">
        <v>7</v>
      </c>
      <c r="E61" s="396">
        <v>20</v>
      </c>
      <c r="F61" s="397">
        <v>20270614311</v>
      </c>
      <c r="G61" s="398" t="str">
        <f>IFERROR(IF(compras_mes3[[#This Row],[CUIT]]="","-",VLOOKUP(compras_mes3[[#This Row],[CUIT]],Lista_CUIT[#All],2,0)),"CUIT NO CARGADO")</f>
        <v>ROMERA WALTER LEONARDO</v>
      </c>
      <c r="H61" s="399">
        <v>-247933.88</v>
      </c>
      <c r="I61" s="400">
        <f>compras_mes3[[#This Row],[NETO GRAVADO]]*0.21</f>
        <v>-52066.114799999996</v>
      </c>
      <c r="J61" s="400"/>
      <c r="K61" s="400"/>
      <c r="L61" s="400"/>
      <c r="M61" s="400"/>
      <c r="N61" s="400"/>
      <c r="O61" s="400"/>
      <c r="P61" s="384">
        <f>SUM(compras_mes3[[#This Row],[NETO GRAVADO]:[Otros / No Grav.]])</f>
        <v>-299999.99479999999</v>
      </c>
      <c r="Q61" s="398" t="str">
        <f>IFERROR(IF(compras_mes3[[#This Row],[CUIT]]="","-",VLOOKUP(compras_mes3[[#This Row],[CUIT]],Lista_CUIT[#All],3,0)),"CUIT NO CARGADO")</f>
        <v>Gastos Limpieza</v>
      </c>
      <c r="R61" s="401">
        <f>IFERROR(IF(compras_mes3[[#This Row],[CUIT]]="","-",VLOOKUP(compras_mes3[[#This Row],[CUIT]],Lista_CUIT[#All],4,0)),"CUIT NO CARGADO")</f>
        <v>0</v>
      </c>
    </row>
    <row r="62" spans="2:18" hidden="1">
      <c r="B62" s="394">
        <v>45377</v>
      </c>
      <c r="C62" s="377">
        <v>1</v>
      </c>
      <c r="D62" s="395">
        <v>31</v>
      </c>
      <c r="E62" s="396">
        <v>199708</v>
      </c>
      <c r="F62" s="397">
        <v>30710114176</v>
      </c>
      <c r="G62" s="398" t="str">
        <f>IFERROR(IF(compras_mes3[[#This Row],[CUIT]]="","-",VLOOKUP(compras_mes3[[#This Row],[CUIT]],Lista_CUIT[#All],2,0)),"CUIT NO CARGADO")</f>
        <v>SYMONDS SA.</v>
      </c>
      <c r="H62" s="399">
        <v>12313.22</v>
      </c>
      <c r="I62" s="400">
        <f>compras_mes3[[#This Row],[NETO GRAVADO]]*0.21</f>
        <v>2585.7761999999998</v>
      </c>
      <c r="J62" s="400"/>
      <c r="K62" s="400"/>
      <c r="L62" s="400"/>
      <c r="M62" s="400"/>
      <c r="N62" s="400"/>
      <c r="O62" s="400"/>
      <c r="P62" s="384">
        <f>SUM(compras_mes3[[#This Row],[NETO GRAVADO]:[Otros / No Grav.]])</f>
        <v>14898.9962</v>
      </c>
      <c r="Q62" s="45" t="s">
        <v>79</v>
      </c>
      <c r="R62" s="401">
        <f>IFERROR(IF(compras_mes3[[#This Row],[CUIT]]="","-",VLOOKUP(compras_mes3[[#This Row],[CUIT]],Lista_CUIT[#All],4,0)),"CUIT NO CARGADO")</f>
        <v>0</v>
      </c>
    </row>
    <row r="63" spans="2:18" hidden="1">
      <c r="B63" s="394">
        <v>45381</v>
      </c>
      <c r="C63" s="377">
        <v>1</v>
      </c>
      <c r="D63" s="395">
        <v>3</v>
      </c>
      <c r="E63" s="396">
        <v>4198</v>
      </c>
      <c r="F63" s="397">
        <v>30695993761</v>
      </c>
      <c r="G63" s="398" t="str">
        <f>IFERROR(IF(compras_mes3[[#This Row],[CUIT]]="","-",VLOOKUP(compras_mes3[[#This Row],[CUIT]],Lista_CUIT[#All],2,0)),"CUIT NO CARGADO")</f>
        <v>BOCCOLI JOSE Y BOCCOLI LILIANA SOCIEDAD DE HECHO</v>
      </c>
      <c r="H63" s="399">
        <v>34090.949999999997</v>
      </c>
      <c r="I63" s="400">
        <f>compras_mes3[[#This Row],[NETO GRAVADO]]*0.21</f>
        <v>7159.0994999999994</v>
      </c>
      <c r="J63" s="400"/>
      <c r="K63" s="400"/>
      <c r="L63" s="400"/>
      <c r="M63" s="400"/>
      <c r="N63" s="400"/>
      <c r="O63" s="400"/>
      <c r="P63" s="384">
        <f>SUM(compras_mes3[[#This Row],[NETO GRAVADO]:[Otros / No Grav.]])</f>
        <v>41250.049499999994</v>
      </c>
      <c r="Q63" s="45" t="s">
        <v>2687</v>
      </c>
      <c r="R63" s="401">
        <f>IFERROR(IF(compras_mes3[[#This Row],[CUIT]]="","-",VLOOKUP(compras_mes3[[#This Row],[CUIT]],Lista_CUIT[#All],4,0)),"CUIT NO CARGADO")</f>
        <v>0</v>
      </c>
    </row>
    <row r="64" spans="2:18" hidden="1">
      <c r="B64" s="376">
        <v>45357</v>
      </c>
      <c r="C64" s="377">
        <v>1</v>
      </c>
      <c r="D64" s="378">
        <v>21</v>
      </c>
      <c r="E64" s="379">
        <v>4544</v>
      </c>
      <c r="F64" s="380">
        <v>30707040900</v>
      </c>
      <c r="G64" s="381" t="str">
        <f>IFERROR(IF(compras_mes3[[#This Row],[CUIT]]="","-",VLOOKUP(compras_mes3[[#This Row],[CUIT]],Lista_CUIT[#All],2,0)),"CUIT NO CARGADO")</f>
        <v>TODOVISION S.A</v>
      </c>
      <c r="H64" s="382">
        <v>45153.88</v>
      </c>
      <c r="I64" s="383"/>
      <c r="J64" s="383"/>
      <c r="K64" s="383">
        <v>4741.16</v>
      </c>
      <c r="L64" s="383"/>
      <c r="M64" s="383"/>
      <c r="N64" s="383">
        <v>2709.23</v>
      </c>
      <c r="O64" s="383"/>
      <c r="P64" s="384">
        <f>SUM(compras_mes3[[#This Row],[NETO GRAVADO]:[Otros / No Grav.]])</f>
        <v>52604.27</v>
      </c>
      <c r="Q64" s="381" t="str">
        <f>IFERROR(IF(compras_mes3[[#This Row],[CUIT]]="","-",VLOOKUP(compras_mes3[[#This Row],[CUIT]],Lista_CUIT[#All],3,0)),"CUIT NO CARGADO")</f>
        <v>Gastos Oficina</v>
      </c>
      <c r="R64" s="385">
        <f>IFERROR(IF(compras_mes3[[#This Row],[CUIT]]="","-",VLOOKUP(compras_mes3[[#This Row],[CUIT]],Lista_CUIT[#All],4,0)),"CUIT NO CARGADO")</f>
        <v>0</v>
      </c>
    </row>
    <row r="65" spans="2:18" hidden="1">
      <c r="B65" s="376">
        <v>45365</v>
      </c>
      <c r="C65" s="377">
        <v>1</v>
      </c>
      <c r="D65" s="378">
        <v>2792</v>
      </c>
      <c r="E65" s="379">
        <v>62826</v>
      </c>
      <c r="F65" s="380">
        <v>30526874249</v>
      </c>
      <c r="G65" s="381" t="str">
        <f>IFERROR(IF(compras_mes3[[#This Row],[CUIT]]="","-",VLOOKUP(compras_mes3[[#This Row],[CUIT]],Lista_CUIT[#All],2,0)),"CUIT NO CARGADO")</f>
        <v>FRAVEGA S A C I E I</v>
      </c>
      <c r="H65" s="382">
        <v>642643.80000000005</v>
      </c>
      <c r="I65" s="383">
        <f>compras_mes3[[#This Row],[NETO GRAVADO]]*0.21</f>
        <v>134955.198</v>
      </c>
      <c r="J65" s="383"/>
      <c r="K65" s="383"/>
      <c r="L65" s="383"/>
      <c r="M65" s="383"/>
      <c r="N65" s="383"/>
      <c r="O65" s="383"/>
      <c r="P65" s="384">
        <f>SUM(compras_mes3[[#This Row],[NETO GRAVADO]:[Otros / No Grav.]])</f>
        <v>777598.99800000002</v>
      </c>
      <c r="Q65" s="381" t="str">
        <f>IFERROR(IF(compras_mes3[[#This Row],[CUIT]]="","-",VLOOKUP(compras_mes3[[#This Row],[CUIT]],Lista_CUIT[#All],3,0)),"CUIT NO CARGADO")</f>
        <v>Gastos Oficina</v>
      </c>
      <c r="R65" s="385">
        <f>IFERROR(IF(compras_mes3[[#This Row],[CUIT]]="","-",VLOOKUP(compras_mes3[[#This Row],[CUIT]],Lista_CUIT[#All],4,0)),"CUIT NO CARGADO")</f>
        <v>0</v>
      </c>
    </row>
    <row r="66" spans="2:18" hidden="1">
      <c r="B66" s="376">
        <v>45369</v>
      </c>
      <c r="C66" s="377">
        <v>1</v>
      </c>
      <c r="D66" s="378">
        <v>12</v>
      </c>
      <c r="E66" s="379">
        <v>34637</v>
      </c>
      <c r="F66" s="380">
        <v>30604942051</v>
      </c>
      <c r="G66" s="381" t="str">
        <f>IFERROR(IF(compras_mes3[[#This Row],[CUIT]]="","-",VLOOKUP(compras_mes3[[#This Row],[CUIT]],Lista_CUIT[#All],2,0)),"CUIT NO CARGADO")</f>
        <v>IMPORTADORA FOTOGRAFICA SOCIEDAD ANONIMA</v>
      </c>
      <c r="H66" s="382">
        <v>18138.29</v>
      </c>
      <c r="I66" s="383">
        <f>compras_mes3[[#This Row],[NETO GRAVADO]]*0.21</f>
        <v>3809.0409</v>
      </c>
      <c r="J66" s="383"/>
      <c r="K66" s="383"/>
      <c r="L66" s="383"/>
      <c r="M66" s="383"/>
      <c r="N66" s="383"/>
      <c r="O66" s="383"/>
      <c r="P66" s="384">
        <f>SUM(compras_mes3[[#This Row],[NETO GRAVADO]:[Otros / No Grav.]])</f>
        <v>21947.330900000001</v>
      </c>
      <c r="Q66" s="381" t="str">
        <f>IFERROR(IF(compras_mes3[[#This Row],[CUIT]]="","-",VLOOKUP(compras_mes3[[#This Row],[CUIT]],Lista_CUIT[#All],3,0)),"CUIT NO CARGADO")</f>
        <v>Gastos Oficina</v>
      </c>
      <c r="R66" s="385">
        <f>IFERROR(IF(compras_mes3[[#This Row],[CUIT]]="","-",VLOOKUP(compras_mes3[[#This Row],[CUIT]],Lista_CUIT[#All],4,0)),"CUIT NO CARGADO")</f>
        <v>0</v>
      </c>
    </row>
    <row r="67" spans="2:18" hidden="1">
      <c r="B67" s="376">
        <v>45358</v>
      </c>
      <c r="C67" s="377">
        <v>1</v>
      </c>
      <c r="D67" s="378">
        <v>2</v>
      </c>
      <c r="E67" s="379">
        <v>38745</v>
      </c>
      <c r="F67" s="380">
        <v>33714232199</v>
      </c>
      <c r="G67" s="381" t="str">
        <f>IFERROR(IF(compras_mes3[[#This Row],[CUIT]]="","-",VLOOKUP(compras_mes3[[#This Row],[CUIT]],Lista_CUIT[#All],2,0)),"CUIT NO CARGADO")</f>
        <v>NUAGE SYSTEMS S.A.</v>
      </c>
      <c r="H67" s="382">
        <v>320045.90000000002</v>
      </c>
      <c r="I67" s="383">
        <f>compras_mes3[[#This Row],[NETO GRAVADO]]*0.21</f>
        <v>67209.638999999996</v>
      </c>
      <c r="J67" s="383"/>
      <c r="K67" s="383"/>
      <c r="L67" s="383"/>
      <c r="M67" s="383"/>
      <c r="N67" s="383"/>
      <c r="O67" s="383"/>
      <c r="P67" s="384">
        <f>SUM(compras_mes3[[#This Row],[NETO GRAVADO]:[Otros / No Grav.]])</f>
        <v>387255.53899999999</v>
      </c>
      <c r="Q67" s="381" t="str">
        <f>IFERROR(IF(compras_mes3[[#This Row],[CUIT]]="","-",VLOOKUP(compras_mes3[[#This Row],[CUIT]],Lista_CUIT[#All],3,0)),"CUIT NO CARGADO")</f>
        <v>Gastos Oficina</v>
      </c>
      <c r="R67" s="385">
        <f>IFERROR(IF(compras_mes3[[#This Row],[CUIT]]="","-",VLOOKUP(compras_mes3[[#This Row],[CUIT]],Lista_CUIT[#All],4,0)),"CUIT NO CARGADO")</f>
        <v>0</v>
      </c>
    </row>
    <row r="68" spans="2:18" hidden="1">
      <c r="B68" s="376">
        <v>45352</v>
      </c>
      <c r="C68" s="377">
        <v>1</v>
      </c>
      <c r="D68" s="378">
        <v>2</v>
      </c>
      <c r="E68" s="379">
        <v>303</v>
      </c>
      <c r="F68" s="380">
        <v>27422248426</v>
      </c>
      <c r="G68" s="381" t="str">
        <f>IFERROR(IF(compras_mes3[[#This Row],[CUIT]]="","-",VLOOKUP(compras_mes3[[#This Row],[CUIT]],Lista_CUIT[#All],2,0)),"CUIT NO CARGADO")</f>
        <v>CARRERA VICTORIA</v>
      </c>
      <c r="H68" s="382">
        <v>49000.22</v>
      </c>
      <c r="I68" s="383">
        <f>compras_mes3[[#This Row],[NETO GRAVADO]]*0.21</f>
        <v>10290.046200000001</v>
      </c>
      <c r="J68" s="383"/>
      <c r="K68" s="383"/>
      <c r="L68" s="383"/>
      <c r="M68" s="383"/>
      <c r="N68" s="383"/>
      <c r="O68" s="383"/>
      <c r="P68" s="384">
        <f>SUM(compras_mes3[[#This Row],[NETO GRAVADO]:[Otros / No Grav.]])</f>
        <v>59290.266199999998</v>
      </c>
      <c r="Q68" s="381" t="str">
        <f>IFERROR(IF(compras_mes3[[#This Row],[CUIT]]="","-",VLOOKUP(compras_mes3[[#This Row],[CUIT]],Lista_CUIT[#All],3,0)),"CUIT NO CARGADO")</f>
        <v>Gastos Varios</v>
      </c>
      <c r="R68" s="385">
        <f>IFERROR(IF(compras_mes3[[#This Row],[CUIT]]="","-",VLOOKUP(compras_mes3[[#This Row],[CUIT]],Lista_CUIT[#All],4,0)),"CUIT NO CARGADO")</f>
        <v>0</v>
      </c>
    </row>
    <row r="69" spans="2:18" hidden="1">
      <c r="B69" s="376">
        <v>45352</v>
      </c>
      <c r="C69" s="377">
        <v>1</v>
      </c>
      <c r="D69" s="378">
        <v>2188</v>
      </c>
      <c r="E69" s="379">
        <v>113320</v>
      </c>
      <c r="F69" s="380">
        <v>30548083156</v>
      </c>
      <c r="G69" s="381" t="str">
        <f>IFERROR(IF(compras_mes3[[#This Row],[CUIT]]="","-",VLOOKUP(compras_mes3[[#This Row],[CUIT]],Lista_CUIT[#All],2,0)),"CUIT NO CARGADO")</f>
        <v>COTO CENTRO INTEGRAL DE COMERCIALIZACION SOCIEDAD ANONIMA</v>
      </c>
      <c r="H69" s="382">
        <v>50646.47</v>
      </c>
      <c r="I69" s="383">
        <v>7212.71</v>
      </c>
      <c r="J69" s="383"/>
      <c r="K69" s="383">
        <v>1711.52</v>
      </c>
      <c r="L69" s="383"/>
      <c r="M69" s="383"/>
      <c r="N69" s="383"/>
      <c r="O69" s="383">
        <v>3832.35</v>
      </c>
      <c r="P69" s="384">
        <f>SUM(compras_mes3[[#This Row],[NETO GRAVADO]:[Otros / No Grav.]])</f>
        <v>63403.049999999996</v>
      </c>
      <c r="Q69" s="381" t="str">
        <f>IFERROR(IF(compras_mes3[[#This Row],[CUIT]]="","-",VLOOKUP(compras_mes3[[#This Row],[CUIT]],Lista_CUIT[#All],3,0)),"CUIT NO CARGADO")</f>
        <v>Gastos Varios</v>
      </c>
      <c r="R69" s="385">
        <f>IFERROR(IF(compras_mes3[[#This Row],[CUIT]]="","-",VLOOKUP(compras_mes3[[#This Row],[CUIT]],Lista_CUIT[#All],4,0)),"CUIT NO CARGADO")</f>
        <v>0</v>
      </c>
    </row>
    <row r="70" spans="2:18" hidden="1">
      <c r="B70" s="376">
        <v>45352</v>
      </c>
      <c r="C70" s="377">
        <v>1</v>
      </c>
      <c r="D70" s="378">
        <v>1677</v>
      </c>
      <c r="E70" s="379">
        <v>38134</v>
      </c>
      <c r="F70" s="380">
        <v>30589621499</v>
      </c>
      <c r="G70" s="381" t="str">
        <f>IFERROR(IF(compras_mes3[[#This Row],[CUIT]]="","-",VLOOKUP(compras_mes3[[#This Row],[CUIT]],Lista_CUIT[#All],2,0)),"CUIT NO CARGADO")</f>
        <v>MAKRO SA</v>
      </c>
      <c r="H70" s="382">
        <v>112268.92</v>
      </c>
      <c r="I70" s="383">
        <v>22715.58</v>
      </c>
      <c r="J70" s="383"/>
      <c r="K70" s="383">
        <v>430.45</v>
      </c>
      <c r="L70" s="383">
        <v>3306.57</v>
      </c>
      <c r="M70" s="383"/>
      <c r="N70" s="383">
        <v>6736.14</v>
      </c>
      <c r="O70" s="383">
        <v>4852.05</v>
      </c>
      <c r="P70" s="384">
        <f>SUM(compras_mes3[[#This Row],[NETO GRAVADO]:[Otros / No Grav.]])</f>
        <v>150309.71000000002</v>
      </c>
      <c r="Q70" s="381" t="str">
        <f>IFERROR(IF(compras_mes3[[#This Row],[CUIT]]="","-",VLOOKUP(compras_mes3[[#This Row],[CUIT]],Lista_CUIT[#All],3,0)),"CUIT NO CARGADO")</f>
        <v>Gastos Varios</v>
      </c>
      <c r="R70" s="385">
        <f>IFERROR(IF(compras_mes3[[#This Row],[CUIT]]="","-",VLOOKUP(compras_mes3[[#This Row],[CUIT]],Lista_CUIT[#All],4,0)),"CUIT NO CARGADO")</f>
        <v>0</v>
      </c>
    </row>
    <row r="71" spans="2:18" hidden="1">
      <c r="B71" s="350">
        <v>45356</v>
      </c>
      <c r="C71" s="351">
        <v>1</v>
      </c>
      <c r="D71" s="352">
        <v>6</v>
      </c>
      <c r="E71" s="353">
        <v>7627</v>
      </c>
      <c r="F71" s="354">
        <v>27135996373</v>
      </c>
      <c r="G71" s="355" t="str">
        <f>IFERROR(IF(compras_mes3[[#This Row],[CUIT]]="","-",VLOOKUP(compras_mes3[[#This Row],[CUIT]],Lista_CUIT[#All],2,0)),"CUIT NO CARGADO")</f>
        <v>MARTIN CRISTINA BEATRIZ</v>
      </c>
      <c r="H71" s="356">
        <v>28347.119999999999</v>
      </c>
      <c r="I71" s="357">
        <f>compras_mes3[[#This Row],[NETO GRAVADO]]*0.21</f>
        <v>5952.8951999999999</v>
      </c>
      <c r="J71" s="357"/>
      <c r="K71" s="357"/>
      <c r="L71" s="357"/>
      <c r="M71" s="357"/>
      <c r="N71" s="357"/>
      <c r="O71" s="357"/>
      <c r="P71" s="358">
        <f>SUM(compras_mes3[[#This Row],[NETO GRAVADO]:[Otros / No Grav.]])</f>
        <v>34300.015200000002</v>
      </c>
      <c r="Q71" s="355" t="str">
        <f>IFERROR(IF(compras_mes3[[#This Row],[CUIT]]="","-",VLOOKUP(compras_mes3[[#This Row],[CUIT]],Lista_CUIT[#All],3,0)),"CUIT NO CARGADO")</f>
        <v>Gastos Varios</v>
      </c>
      <c r="R71" s="359">
        <f>IFERROR(IF(compras_mes3[[#This Row],[CUIT]]="","-",VLOOKUP(compras_mes3[[#This Row],[CUIT]],Lista_CUIT[#All],4,0)),"CUIT NO CARGADO")</f>
        <v>0</v>
      </c>
    </row>
    <row r="72" spans="2:18" hidden="1">
      <c r="B72" s="376">
        <v>45357</v>
      </c>
      <c r="C72" s="377">
        <v>1</v>
      </c>
      <c r="D72" s="378">
        <v>2188</v>
      </c>
      <c r="E72" s="379">
        <v>113777</v>
      </c>
      <c r="F72" s="380">
        <v>30548083156</v>
      </c>
      <c r="G72" s="381" t="str">
        <f>IFERROR(IF(compras_mes3[[#This Row],[CUIT]]="","-",VLOOKUP(compras_mes3[[#This Row],[CUIT]],Lista_CUIT[#All],2,0)),"CUIT NO CARGADO")</f>
        <v>COTO CENTRO INTEGRAL DE COMERCIALIZACION SOCIEDAD ANONIMA</v>
      </c>
      <c r="H72" s="382">
        <v>32000.18</v>
      </c>
      <c r="I72" s="383">
        <v>4717.3100000000004</v>
      </c>
      <c r="J72" s="383"/>
      <c r="K72" s="383">
        <v>1000.36</v>
      </c>
      <c r="L72" s="383"/>
      <c r="M72" s="383"/>
      <c r="N72" s="383"/>
      <c r="O72" s="383">
        <v>2191.9299999999998</v>
      </c>
      <c r="P72" s="384">
        <f>SUM(compras_mes3[[#This Row],[NETO GRAVADO]:[Otros / No Grav.]])</f>
        <v>39909.78</v>
      </c>
      <c r="Q72" s="381" t="str">
        <f>IFERROR(IF(compras_mes3[[#This Row],[CUIT]]="","-",VLOOKUP(compras_mes3[[#This Row],[CUIT]],Lista_CUIT[#All],3,0)),"CUIT NO CARGADO")</f>
        <v>Gastos Varios</v>
      </c>
      <c r="R72" s="385">
        <f>IFERROR(IF(compras_mes3[[#This Row],[CUIT]]="","-",VLOOKUP(compras_mes3[[#This Row],[CUIT]],Lista_CUIT[#All],4,0)),"CUIT NO CARGADO")</f>
        <v>0</v>
      </c>
    </row>
    <row r="73" spans="2:18" hidden="1">
      <c r="B73" s="394">
        <v>45357</v>
      </c>
      <c r="C73" s="402">
        <v>1</v>
      </c>
      <c r="D73" s="395">
        <v>8</v>
      </c>
      <c r="E73" s="396">
        <v>50</v>
      </c>
      <c r="F73" s="397">
        <v>20134664518</v>
      </c>
      <c r="G73" s="398" t="str">
        <f>IFERROR(IF(compras_mes3[[#This Row],[CUIT]]="","-",VLOOKUP(compras_mes3[[#This Row],[CUIT]],Lista_CUIT[#All],2,0)),"CUIT NO CARGADO")</f>
        <v>HOKAMA SERGIO ENRIQUE</v>
      </c>
      <c r="H73" s="399">
        <v>45231.37</v>
      </c>
      <c r="I73" s="400">
        <f>compras_mes3[[#This Row],[NETO GRAVADO]]*0.21</f>
        <v>9498.5877</v>
      </c>
      <c r="J73" s="400"/>
      <c r="K73" s="400"/>
      <c r="L73" s="400"/>
      <c r="M73" s="400"/>
      <c r="N73" s="400"/>
      <c r="O73" s="400"/>
      <c r="P73" s="403">
        <f>SUM(compras_mes3[[#This Row],[NETO GRAVADO]:[Otros / No Grav.]])</f>
        <v>54729.957699999999</v>
      </c>
      <c r="Q73" s="398" t="str">
        <f>IFERROR(IF(compras_mes3[[#This Row],[CUIT]]="","-",VLOOKUP(compras_mes3[[#This Row],[CUIT]],Lista_CUIT[#All],3,0)),"CUIT NO CARGADO")</f>
        <v>Gastos Varios</v>
      </c>
      <c r="R73" s="401" t="str">
        <f>IFERROR(IF(compras_mes3[[#This Row],[CUIT]]="","-",VLOOKUP(compras_mes3[[#This Row],[CUIT]],Lista_CUIT[#All],4,0)),"CUIT NO CARGADO")</f>
        <v>BUENOS AIRES</v>
      </c>
    </row>
    <row r="74" spans="2:18" hidden="1">
      <c r="B74" s="350">
        <v>45358</v>
      </c>
      <c r="C74" s="351">
        <v>1</v>
      </c>
      <c r="D74" s="352">
        <v>6</v>
      </c>
      <c r="E74" s="353">
        <v>7649</v>
      </c>
      <c r="F74" s="354">
        <v>27135996373</v>
      </c>
      <c r="G74" s="355" t="str">
        <f>IFERROR(IF(compras_mes3[[#This Row],[CUIT]]="","-",VLOOKUP(compras_mes3[[#This Row],[CUIT]],Lista_CUIT[#All],2,0)),"CUIT NO CARGADO")</f>
        <v>MARTIN CRISTINA BEATRIZ</v>
      </c>
      <c r="H74" s="356">
        <v>15157.02</v>
      </c>
      <c r="I74" s="357">
        <f>compras_mes3[[#This Row],[NETO GRAVADO]]*0.21</f>
        <v>3182.9742000000001</v>
      </c>
      <c r="J74" s="357"/>
      <c r="K74" s="357"/>
      <c r="L74" s="357"/>
      <c r="M74" s="357"/>
      <c r="N74" s="357"/>
      <c r="O74" s="357"/>
      <c r="P74" s="358">
        <f>SUM(compras_mes3[[#This Row],[NETO GRAVADO]:[Otros / No Grav.]])</f>
        <v>18339.994200000001</v>
      </c>
      <c r="Q74" s="355" t="str">
        <f>IFERROR(IF(compras_mes3[[#This Row],[CUIT]]="","-",VLOOKUP(compras_mes3[[#This Row],[CUIT]],Lista_CUIT[#All],3,0)),"CUIT NO CARGADO")</f>
        <v>Gastos Varios</v>
      </c>
      <c r="R74" s="359">
        <f>IFERROR(IF(compras_mes3[[#This Row],[CUIT]]="","-",VLOOKUP(compras_mes3[[#This Row],[CUIT]],Lista_CUIT[#All],4,0)),"CUIT NO CARGADO")</f>
        <v>0</v>
      </c>
    </row>
    <row r="75" spans="2:18" hidden="1">
      <c r="B75" s="350">
        <v>45358</v>
      </c>
      <c r="C75" s="351">
        <v>1</v>
      </c>
      <c r="D75" s="352">
        <v>6</v>
      </c>
      <c r="E75" s="353">
        <v>7650</v>
      </c>
      <c r="F75" s="354">
        <v>27135996373</v>
      </c>
      <c r="G75" s="355" t="str">
        <f>IFERROR(IF(compras_mes3[[#This Row],[CUIT]]="","-",VLOOKUP(compras_mes3[[#This Row],[CUIT]],Lista_CUIT[#All],2,0)),"CUIT NO CARGADO")</f>
        <v>MARTIN CRISTINA BEATRIZ</v>
      </c>
      <c r="H75" s="356">
        <v>14793.39</v>
      </c>
      <c r="I75" s="357">
        <f>compras_mes3[[#This Row],[NETO GRAVADO]]*0.21</f>
        <v>3106.6118999999999</v>
      </c>
      <c r="J75" s="357"/>
      <c r="K75" s="357"/>
      <c r="L75" s="357"/>
      <c r="M75" s="357"/>
      <c r="N75" s="357"/>
      <c r="O75" s="357"/>
      <c r="P75" s="358">
        <f>SUM(compras_mes3[[#This Row],[NETO GRAVADO]:[Otros / No Grav.]])</f>
        <v>17900.001899999999</v>
      </c>
      <c r="Q75" s="355" t="str">
        <f>IFERROR(IF(compras_mes3[[#This Row],[CUIT]]="","-",VLOOKUP(compras_mes3[[#This Row],[CUIT]],Lista_CUIT[#All],3,0)),"CUIT NO CARGADO")</f>
        <v>Gastos Varios</v>
      </c>
      <c r="R75" s="359">
        <f>IFERROR(IF(compras_mes3[[#This Row],[CUIT]]="","-",VLOOKUP(compras_mes3[[#This Row],[CUIT]],Lista_CUIT[#All],4,0)),"CUIT NO CARGADO")</f>
        <v>0</v>
      </c>
    </row>
    <row r="76" spans="2:18" hidden="1">
      <c r="B76" s="350">
        <v>45360</v>
      </c>
      <c r="C76" s="351">
        <v>1</v>
      </c>
      <c r="D76" s="352">
        <v>9</v>
      </c>
      <c r="E76" s="353">
        <v>685</v>
      </c>
      <c r="F76" s="354">
        <v>20134664518</v>
      </c>
      <c r="G76" s="355" t="str">
        <f>IFERROR(IF(compras_mes3[[#This Row],[CUIT]]="","-",VLOOKUP(compras_mes3[[#This Row],[CUIT]],Lista_CUIT[#All],2,0)),"CUIT NO CARGADO")</f>
        <v>HOKAMA SERGIO ENRIQUE</v>
      </c>
      <c r="H76" s="356">
        <v>31730.6</v>
      </c>
      <c r="I76" s="357">
        <f>compras_mes3[[#This Row],[NETO GRAVADO]]*0.21</f>
        <v>6663.4259999999995</v>
      </c>
      <c r="J76" s="357"/>
      <c r="K76" s="357"/>
      <c r="L76" s="357"/>
      <c r="M76" s="357"/>
      <c r="N76" s="357"/>
      <c r="O76" s="357"/>
      <c r="P76" s="358">
        <f>SUM(compras_mes3[[#This Row],[NETO GRAVADO]:[Otros / No Grav.]])</f>
        <v>38394.025999999998</v>
      </c>
      <c r="Q76" s="355" t="str">
        <f>IFERROR(IF(compras_mes3[[#This Row],[CUIT]]="","-",VLOOKUP(compras_mes3[[#This Row],[CUIT]],Lista_CUIT[#All],3,0)),"CUIT NO CARGADO")</f>
        <v>Gastos Varios</v>
      </c>
      <c r="R76" s="359" t="str">
        <f>IFERROR(IF(compras_mes3[[#This Row],[CUIT]]="","-",VLOOKUP(compras_mes3[[#This Row],[CUIT]],Lista_CUIT[#All],4,0)),"CUIT NO CARGADO")</f>
        <v>BUENOS AIRES</v>
      </c>
    </row>
    <row r="77" spans="2:18" hidden="1">
      <c r="B77" s="376">
        <v>45360</v>
      </c>
      <c r="C77" s="377">
        <v>1</v>
      </c>
      <c r="D77" s="378">
        <v>11</v>
      </c>
      <c r="E77" s="379">
        <v>991</v>
      </c>
      <c r="F77" s="380">
        <v>20249035433</v>
      </c>
      <c r="G77" s="381" t="str">
        <f>IFERROR(IF(compras_mes3[[#This Row],[CUIT]]="","-",VLOOKUP(compras_mes3[[#This Row],[CUIT]],Lista_CUIT[#All],2,0)),"CUIT NO CARGADO")</f>
        <v>CARLONI GERMAN JAVIER</v>
      </c>
      <c r="H77" s="382">
        <v>5661.16</v>
      </c>
      <c r="I77" s="383">
        <f>compras_mes3[[#This Row],[NETO GRAVADO]]*0.21</f>
        <v>1188.8435999999999</v>
      </c>
      <c r="J77" s="383"/>
      <c r="K77" s="383"/>
      <c r="L77" s="383"/>
      <c r="M77" s="383"/>
      <c r="N77" s="383"/>
      <c r="O77" s="383"/>
      <c r="P77" s="384">
        <f>SUM(compras_mes3[[#This Row],[NETO GRAVADO]:[Otros / No Grav.]])</f>
        <v>6850.0036</v>
      </c>
      <c r="Q77" s="381" t="str">
        <f>IFERROR(IF(compras_mes3[[#This Row],[CUIT]]="","-",VLOOKUP(compras_mes3[[#This Row],[CUIT]],Lista_CUIT[#All],3,0)),"CUIT NO CARGADO")</f>
        <v>Gastos Varios</v>
      </c>
      <c r="R77" s="385">
        <f>IFERROR(IF(compras_mes3[[#This Row],[CUIT]]="","-",VLOOKUP(compras_mes3[[#This Row],[CUIT]],Lista_CUIT[#All],4,0)),"CUIT NO CARGADO")</f>
        <v>0</v>
      </c>
    </row>
    <row r="78" spans="2:18" hidden="1">
      <c r="B78" s="376">
        <v>45360</v>
      </c>
      <c r="C78" s="377">
        <v>1</v>
      </c>
      <c r="D78" s="378">
        <v>2188</v>
      </c>
      <c r="E78" s="379">
        <v>114066</v>
      </c>
      <c r="F78" s="380">
        <v>30548083156</v>
      </c>
      <c r="G78" s="381" t="str">
        <f>IFERROR(IF(compras_mes3[[#This Row],[CUIT]]="","-",VLOOKUP(compras_mes3[[#This Row],[CUIT]],Lista_CUIT[#All],2,0)),"CUIT NO CARGADO")</f>
        <v>COTO CENTRO INTEGRAL DE COMERCIALIZACION SOCIEDAD ANONIMA</v>
      </c>
      <c r="H78" s="382">
        <v>8718.74</v>
      </c>
      <c r="I78" s="383">
        <v>1302.26</v>
      </c>
      <c r="J78" s="383"/>
      <c r="K78" s="383">
        <v>264.33999999999997</v>
      </c>
      <c r="L78" s="383"/>
      <c r="M78" s="383"/>
      <c r="N78" s="383"/>
      <c r="O78" s="383">
        <v>709.16</v>
      </c>
      <c r="P78" s="384">
        <f>SUM(compras_mes3[[#This Row],[NETO GRAVADO]:[Otros / No Grav.]])</f>
        <v>10994.5</v>
      </c>
      <c r="Q78" s="381" t="str">
        <f>IFERROR(IF(compras_mes3[[#This Row],[CUIT]]="","-",VLOOKUP(compras_mes3[[#This Row],[CUIT]],Lista_CUIT[#All],3,0)),"CUIT NO CARGADO")</f>
        <v>Gastos Varios</v>
      </c>
      <c r="R78" s="385">
        <f>IFERROR(IF(compras_mes3[[#This Row],[CUIT]]="","-",VLOOKUP(compras_mes3[[#This Row],[CUIT]],Lista_CUIT[#All],4,0)),"CUIT NO CARGADO")</f>
        <v>0</v>
      </c>
    </row>
    <row r="79" spans="2:18" hidden="1">
      <c r="B79" s="376">
        <v>45361</v>
      </c>
      <c r="C79" s="377">
        <v>1</v>
      </c>
      <c r="D79" s="378">
        <v>2199</v>
      </c>
      <c r="E79" s="379">
        <v>27792</v>
      </c>
      <c r="F79" s="380">
        <v>30548083156</v>
      </c>
      <c r="G79" s="381" t="str">
        <f>IFERROR(IF(compras_mes3[[#This Row],[CUIT]]="","-",VLOOKUP(compras_mes3[[#This Row],[CUIT]],Lista_CUIT[#All],2,0)),"CUIT NO CARGADO")</f>
        <v>COTO CENTRO INTEGRAL DE COMERCIALIZACION SOCIEDAD ANONIMA</v>
      </c>
      <c r="H79" s="382">
        <v>12730.8</v>
      </c>
      <c r="I79" s="383">
        <v>1832.46</v>
      </c>
      <c r="J79" s="383"/>
      <c r="K79" s="383">
        <v>420.51</v>
      </c>
      <c r="L79" s="383"/>
      <c r="M79" s="383"/>
      <c r="N79" s="383"/>
      <c r="O79" s="383">
        <v>1085.7</v>
      </c>
      <c r="P79" s="384">
        <f>SUM(compras_mes3[[#This Row],[NETO GRAVADO]:[Otros / No Grav.]])</f>
        <v>16069.47</v>
      </c>
      <c r="Q79" s="381" t="str">
        <f>IFERROR(IF(compras_mes3[[#This Row],[CUIT]]="","-",VLOOKUP(compras_mes3[[#This Row],[CUIT]],Lista_CUIT[#All],3,0)),"CUIT NO CARGADO")</f>
        <v>Gastos Varios</v>
      </c>
      <c r="R79" s="385">
        <f>IFERROR(IF(compras_mes3[[#This Row],[CUIT]]="","-",VLOOKUP(compras_mes3[[#This Row],[CUIT]],Lista_CUIT[#All],4,0)),"CUIT NO CARGADO")</f>
        <v>0</v>
      </c>
    </row>
    <row r="80" spans="2:18" hidden="1">
      <c r="B80" s="376">
        <v>45362</v>
      </c>
      <c r="C80" s="377">
        <v>1</v>
      </c>
      <c r="D80" s="378">
        <v>2215</v>
      </c>
      <c r="E80" s="379">
        <v>40825</v>
      </c>
      <c r="F80" s="380">
        <v>30548083156</v>
      </c>
      <c r="G80" s="381" t="str">
        <f>IFERROR(IF(compras_mes3[[#This Row],[CUIT]]="","-",VLOOKUP(compras_mes3[[#This Row],[CUIT]],Lista_CUIT[#All],2,0)),"CUIT NO CARGADO")</f>
        <v>COTO CENTRO INTEGRAL DE COMERCIALIZACION SOCIEDAD ANONIMA</v>
      </c>
      <c r="H80" s="382">
        <v>20832.97</v>
      </c>
      <c r="I80" s="383">
        <v>3046.81</v>
      </c>
      <c r="J80" s="383"/>
      <c r="K80" s="383">
        <v>664.05</v>
      </c>
      <c r="L80" s="383"/>
      <c r="M80" s="383"/>
      <c r="N80" s="383"/>
      <c r="O80" s="383">
        <v>1761.38</v>
      </c>
      <c r="P80" s="384">
        <f>SUM(compras_mes3[[#This Row],[NETO GRAVADO]:[Otros / No Grav.]])</f>
        <v>26305.210000000003</v>
      </c>
      <c r="Q80" s="381" t="str">
        <f>IFERROR(IF(compras_mes3[[#This Row],[CUIT]]="","-",VLOOKUP(compras_mes3[[#This Row],[CUIT]],Lista_CUIT[#All],3,0)),"CUIT NO CARGADO")</f>
        <v>Gastos Varios</v>
      </c>
      <c r="R80" s="385">
        <f>IFERROR(IF(compras_mes3[[#This Row],[CUIT]]="","-",VLOOKUP(compras_mes3[[#This Row],[CUIT]],Lista_CUIT[#All],4,0)),"CUIT NO CARGADO")</f>
        <v>0</v>
      </c>
    </row>
    <row r="81" spans="2:18" hidden="1">
      <c r="B81" s="376">
        <v>45363</v>
      </c>
      <c r="C81" s="377">
        <v>1</v>
      </c>
      <c r="D81" s="378">
        <v>2188</v>
      </c>
      <c r="E81" s="379">
        <v>114316</v>
      </c>
      <c r="F81" s="380">
        <v>30548083156</v>
      </c>
      <c r="G81" s="381" t="str">
        <f>IFERROR(IF(compras_mes3[[#This Row],[CUIT]]="","-",VLOOKUP(compras_mes3[[#This Row],[CUIT]],Lista_CUIT[#All],2,0)),"CUIT NO CARGADO")</f>
        <v>COTO CENTRO INTEGRAL DE COMERCIALIZACION SOCIEDAD ANONIMA</v>
      </c>
      <c r="H81" s="382">
        <v>18087.3</v>
      </c>
      <c r="I81" s="383">
        <v>3582.5</v>
      </c>
      <c r="J81" s="383"/>
      <c r="K81" s="383">
        <v>107.92</v>
      </c>
      <c r="L81" s="383"/>
      <c r="M81" s="383"/>
      <c r="N81" s="383"/>
      <c r="O81" s="383">
        <v>1505.1</v>
      </c>
      <c r="P81" s="384">
        <f>SUM(compras_mes3[[#This Row],[NETO GRAVADO]:[Otros / No Grav.]])</f>
        <v>23282.819999999996</v>
      </c>
      <c r="Q81" s="381" t="str">
        <f>IFERROR(IF(compras_mes3[[#This Row],[CUIT]]="","-",VLOOKUP(compras_mes3[[#This Row],[CUIT]],Lista_CUIT[#All],3,0)),"CUIT NO CARGADO")</f>
        <v>Gastos Varios</v>
      </c>
      <c r="R81" s="385">
        <f>IFERROR(IF(compras_mes3[[#This Row],[CUIT]]="","-",VLOOKUP(compras_mes3[[#This Row],[CUIT]],Lista_CUIT[#All],4,0)),"CUIT NO CARGADO")</f>
        <v>0</v>
      </c>
    </row>
    <row r="82" spans="2:18" hidden="1">
      <c r="B82" s="376">
        <v>45367</v>
      </c>
      <c r="C82" s="377">
        <v>1</v>
      </c>
      <c r="D82" s="378">
        <v>2188</v>
      </c>
      <c r="E82" s="379">
        <v>114686</v>
      </c>
      <c r="F82" s="380">
        <v>30548083156</v>
      </c>
      <c r="G82" s="381" t="str">
        <f>IFERROR(IF(compras_mes3[[#This Row],[CUIT]]="","-",VLOOKUP(compras_mes3[[#This Row],[CUIT]],Lista_CUIT[#All],2,0)),"CUIT NO CARGADO")</f>
        <v>COTO CENTRO INTEGRAL DE COMERCIALIZACION SOCIEDAD ANONIMA</v>
      </c>
      <c r="H82" s="382">
        <v>48075.02</v>
      </c>
      <c r="I82" s="383">
        <v>9154.92</v>
      </c>
      <c r="J82" s="383"/>
      <c r="K82" s="383">
        <v>470.42</v>
      </c>
      <c r="L82" s="383"/>
      <c r="M82" s="383"/>
      <c r="N82" s="383"/>
      <c r="O82" s="383">
        <v>4185.91</v>
      </c>
      <c r="P82" s="384">
        <f>SUM(compras_mes3[[#This Row],[NETO GRAVADO]:[Otros / No Grav.]])</f>
        <v>61886.26999999999</v>
      </c>
      <c r="Q82" s="381" t="str">
        <f>IFERROR(IF(compras_mes3[[#This Row],[CUIT]]="","-",VLOOKUP(compras_mes3[[#This Row],[CUIT]],Lista_CUIT[#All],3,0)),"CUIT NO CARGADO")</f>
        <v>Gastos Varios</v>
      </c>
      <c r="R82" s="385">
        <f>IFERROR(IF(compras_mes3[[#This Row],[CUIT]]="","-",VLOOKUP(compras_mes3[[#This Row],[CUIT]],Lista_CUIT[#All],4,0)),"CUIT NO CARGADO")</f>
        <v>0</v>
      </c>
    </row>
    <row r="83" spans="2:18" hidden="1">
      <c r="B83" s="376">
        <v>45367</v>
      </c>
      <c r="C83" s="377">
        <v>1</v>
      </c>
      <c r="D83" s="378">
        <v>3</v>
      </c>
      <c r="E83" s="379">
        <v>79</v>
      </c>
      <c r="F83" s="380">
        <v>33715993509</v>
      </c>
      <c r="G83" s="381" t="str">
        <f>IFERROR(IF(compras_mes3[[#This Row],[CUIT]]="","-",VLOOKUP(compras_mes3[[#This Row],[CUIT]],Lista_CUIT[#All],2,0)),"CUIT NO CARGADO")</f>
        <v>+Q NATURAL S.A.</v>
      </c>
      <c r="H83" s="382">
        <v>10867.77</v>
      </c>
      <c r="I83" s="383">
        <f>compras_mes3[[#This Row],[NETO GRAVADO]]*0.21</f>
        <v>2282.2316999999998</v>
      </c>
      <c r="J83" s="383"/>
      <c r="K83" s="383"/>
      <c r="L83" s="383"/>
      <c r="M83" s="383"/>
      <c r="N83" s="383"/>
      <c r="O83" s="383"/>
      <c r="P83" s="384">
        <f>SUM(compras_mes3[[#This Row],[NETO GRAVADO]:[Otros / No Grav.]])</f>
        <v>13150.001700000001</v>
      </c>
      <c r="Q83" s="381" t="str">
        <f>IFERROR(IF(compras_mes3[[#This Row],[CUIT]]="","-",VLOOKUP(compras_mes3[[#This Row],[CUIT]],Lista_CUIT[#All],3,0)),"CUIT NO CARGADO")</f>
        <v>Gastos Varios</v>
      </c>
      <c r="R83" s="385">
        <f>IFERROR(IF(compras_mes3[[#This Row],[CUIT]]="","-",VLOOKUP(compras_mes3[[#This Row],[CUIT]],Lista_CUIT[#All],4,0)),"CUIT NO CARGADO")</f>
        <v>0</v>
      </c>
    </row>
    <row r="84" spans="2:18" hidden="1">
      <c r="B84" s="376">
        <v>45367</v>
      </c>
      <c r="C84" s="377">
        <v>1</v>
      </c>
      <c r="D84" s="378">
        <v>6328</v>
      </c>
      <c r="E84" s="379">
        <v>872</v>
      </c>
      <c r="F84" s="380">
        <v>30638485733</v>
      </c>
      <c r="G84" s="381" t="str">
        <f>IFERROR(IF(compras_mes3[[#This Row],[CUIT]]="","-",VLOOKUP(compras_mes3[[#This Row],[CUIT]],Lista_CUIT[#All],2,0)),"CUIT NO CARGADO")</f>
        <v>DABRA SOCIEDAD ANONIMA</v>
      </c>
      <c r="H84" s="382">
        <v>82643.81</v>
      </c>
      <c r="I84" s="383">
        <f>compras_mes3[[#This Row],[NETO GRAVADO]]*0.21</f>
        <v>17355.200099999998</v>
      </c>
      <c r="J84" s="383"/>
      <c r="K84" s="383"/>
      <c r="L84" s="383"/>
      <c r="M84" s="383"/>
      <c r="N84" s="383">
        <v>4958.63</v>
      </c>
      <c r="O84" s="383"/>
      <c r="P84" s="384">
        <f>SUM(compras_mes3[[#This Row],[NETO GRAVADO]:[Otros / No Grav.]])</f>
        <v>104957.6401</v>
      </c>
      <c r="Q84" s="381" t="str">
        <f>IFERROR(IF(compras_mes3[[#This Row],[CUIT]]="","-",VLOOKUP(compras_mes3[[#This Row],[CUIT]],Lista_CUIT[#All],3,0)),"CUIT NO CARGADO")</f>
        <v>Gastos Varios</v>
      </c>
      <c r="R84" s="385">
        <f>IFERROR(IF(compras_mes3[[#This Row],[CUIT]]="","-",VLOOKUP(compras_mes3[[#This Row],[CUIT]],Lista_CUIT[#All],4,0)),"CUIT NO CARGADO")</f>
        <v>0</v>
      </c>
    </row>
    <row r="85" spans="2:18" hidden="1">
      <c r="B85" s="376">
        <v>45368</v>
      </c>
      <c r="C85" s="377">
        <v>1</v>
      </c>
      <c r="D85" s="378">
        <v>2199</v>
      </c>
      <c r="E85" s="379">
        <v>27936</v>
      </c>
      <c r="F85" s="380">
        <v>30548083156</v>
      </c>
      <c r="G85" s="381" t="str">
        <f>IFERROR(IF(compras_mes3[[#This Row],[CUIT]]="","-",VLOOKUP(compras_mes3[[#This Row],[CUIT]],Lista_CUIT[#All],2,0)),"CUIT NO CARGADO")</f>
        <v>COTO CENTRO INTEGRAL DE COMERCIALIZACION SOCIEDAD ANONIMA</v>
      </c>
      <c r="H85" s="382">
        <v>17337.990000000002</v>
      </c>
      <c r="I85" s="383">
        <v>1734.36</v>
      </c>
      <c r="J85" s="383"/>
      <c r="K85" s="383">
        <v>953.31</v>
      </c>
      <c r="L85" s="383"/>
      <c r="M85" s="383"/>
      <c r="N85" s="383"/>
      <c r="O85" s="383">
        <v>1090.83</v>
      </c>
      <c r="P85" s="384">
        <f>SUM(compras_mes3[[#This Row],[NETO GRAVADO]:[Otros / No Grav.]])</f>
        <v>21116.490000000005</v>
      </c>
      <c r="Q85" s="381" t="str">
        <f>IFERROR(IF(compras_mes3[[#This Row],[CUIT]]="","-",VLOOKUP(compras_mes3[[#This Row],[CUIT]],Lista_CUIT[#All],3,0)),"CUIT NO CARGADO")</f>
        <v>Gastos Varios</v>
      </c>
      <c r="R85" s="385">
        <f>IFERROR(IF(compras_mes3[[#This Row],[CUIT]]="","-",VLOOKUP(compras_mes3[[#This Row],[CUIT]],Lista_CUIT[#All],4,0)),"CUIT NO CARGADO")</f>
        <v>0</v>
      </c>
    </row>
    <row r="86" spans="2:18" hidden="1">
      <c r="B86" s="376">
        <v>45368</v>
      </c>
      <c r="C86" s="377">
        <v>1</v>
      </c>
      <c r="D86" s="378">
        <v>7</v>
      </c>
      <c r="E86" s="379">
        <v>2493</v>
      </c>
      <c r="F86" s="380">
        <v>20134664518</v>
      </c>
      <c r="G86" s="381" t="str">
        <f>IFERROR(IF(compras_mes3[[#This Row],[CUIT]]="","-",VLOOKUP(compras_mes3[[#This Row],[CUIT]],Lista_CUIT[#All],2,0)),"CUIT NO CARGADO")</f>
        <v>HOKAMA SERGIO ENRIQUE</v>
      </c>
      <c r="H86" s="382">
        <v>32458.25</v>
      </c>
      <c r="I86" s="383">
        <f>compras_mes3[[#This Row],[NETO GRAVADO]]*0.21</f>
        <v>6816.2325000000001</v>
      </c>
      <c r="J86" s="383"/>
      <c r="K86" s="383"/>
      <c r="L86" s="383"/>
      <c r="M86" s="383"/>
      <c r="N86" s="383"/>
      <c r="O86" s="383"/>
      <c r="P86" s="384">
        <f>SUM(compras_mes3[[#This Row],[NETO GRAVADO]:[Otros / No Grav.]])</f>
        <v>39274.482499999998</v>
      </c>
      <c r="Q86" s="381" t="str">
        <f>IFERROR(IF(compras_mes3[[#This Row],[CUIT]]="","-",VLOOKUP(compras_mes3[[#This Row],[CUIT]],Lista_CUIT[#All],3,0)),"CUIT NO CARGADO")</f>
        <v>Gastos Varios</v>
      </c>
      <c r="R86" s="385" t="str">
        <f>IFERROR(IF(compras_mes3[[#This Row],[CUIT]]="","-",VLOOKUP(compras_mes3[[#This Row],[CUIT]],Lista_CUIT[#All],4,0)),"CUIT NO CARGADO")</f>
        <v>BUENOS AIRES</v>
      </c>
    </row>
    <row r="87" spans="2:18" hidden="1">
      <c r="B87" s="376">
        <v>45369</v>
      </c>
      <c r="C87" s="377">
        <v>1</v>
      </c>
      <c r="D87" s="378">
        <v>2</v>
      </c>
      <c r="E87" s="379">
        <v>307</v>
      </c>
      <c r="F87" s="380">
        <v>27422248426</v>
      </c>
      <c r="G87" s="381" t="str">
        <f>IFERROR(IF(compras_mes3[[#This Row],[CUIT]]="","-",VLOOKUP(compras_mes3[[#This Row],[CUIT]],Lista_CUIT[#All],2,0)),"CUIT NO CARGADO")</f>
        <v>CARRERA VICTORIA</v>
      </c>
      <c r="H87" s="382">
        <v>32884.449999999997</v>
      </c>
      <c r="I87" s="383">
        <f>compras_mes3[[#This Row],[NETO GRAVADO]]*0.21</f>
        <v>6905.7344999999996</v>
      </c>
      <c r="J87" s="383"/>
      <c r="K87" s="383"/>
      <c r="L87" s="383"/>
      <c r="M87" s="383"/>
      <c r="N87" s="383"/>
      <c r="O87" s="383"/>
      <c r="P87" s="384">
        <f>SUM(compras_mes3[[#This Row],[NETO GRAVADO]:[Otros / No Grav.]])</f>
        <v>39790.184499999996</v>
      </c>
      <c r="Q87" s="381" t="str">
        <f>IFERROR(IF(compras_mes3[[#This Row],[CUIT]]="","-",VLOOKUP(compras_mes3[[#This Row],[CUIT]],Lista_CUIT[#All],3,0)),"CUIT NO CARGADO")</f>
        <v>Gastos Varios</v>
      </c>
      <c r="R87" s="385">
        <f>IFERROR(IF(compras_mes3[[#This Row],[CUIT]]="","-",VLOOKUP(compras_mes3[[#This Row],[CUIT]],Lista_CUIT[#All],4,0)),"CUIT NO CARGADO")</f>
        <v>0</v>
      </c>
    </row>
    <row r="88" spans="2:18" hidden="1">
      <c r="B88" s="376">
        <v>45370</v>
      </c>
      <c r="C88" s="377">
        <v>1</v>
      </c>
      <c r="D88" s="378">
        <v>50</v>
      </c>
      <c r="E88" s="379">
        <v>335513</v>
      </c>
      <c r="F88" s="380">
        <v>30610333822</v>
      </c>
      <c r="G88" s="381" t="str">
        <f>IFERROR(IF(compras_mes3[[#This Row],[CUIT]]="","-",VLOOKUP(compras_mes3[[#This Row],[CUIT]],Lista_CUIT[#All],2,0)),"CUIT NO CARGADO")</f>
        <v>MASIVOS S A</v>
      </c>
      <c r="H88" s="382">
        <v>12146.28</v>
      </c>
      <c r="I88" s="383">
        <f>compras_mes3[[#This Row],[NETO GRAVADO]]*0.21</f>
        <v>2550.7188000000001</v>
      </c>
      <c r="J88" s="383"/>
      <c r="K88" s="383"/>
      <c r="L88" s="383"/>
      <c r="M88" s="383"/>
      <c r="N88" s="383"/>
      <c r="O88" s="383"/>
      <c r="P88" s="384">
        <f>SUM(compras_mes3[[#This Row],[NETO GRAVADO]:[Otros / No Grav.]])</f>
        <v>14696.998800000001</v>
      </c>
      <c r="Q88" s="381" t="str">
        <f>IFERROR(IF(compras_mes3[[#This Row],[CUIT]]="","-",VLOOKUP(compras_mes3[[#This Row],[CUIT]],Lista_CUIT[#All],3,0)),"CUIT NO CARGADO")</f>
        <v>Gastos Varios</v>
      </c>
      <c r="R88" s="385">
        <f>IFERROR(IF(compras_mes3[[#This Row],[CUIT]]="","-",VLOOKUP(compras_mes3[[#This Row],[CUIT]],Lista_CUIT[#All],4,0)),"CUIT NO CARGADO")</f>
        <v>0</v>
      </c>
    </row>
    <row r="89" spans="2:18" hidden="1">
      <c r="B89" s="376">
        <v>45372</v>
      </c>
      <c r="C89" s="377">
        <v>1</v>
      </c>
      <c r="D89" s="378">
        <v>3</v>
      </c>
      <c r="E89" s="379">
        <v>21921</v>
      </c>
      <c r="F89" s="380">
        <v>30716944383</v>
      </c>
      <c r="G89" s="381" t="str">
        <f>IFERROR(IF(compras_mes3[[#This Row],[CUIT]]="","-",VLOOKUP(compras_mes3[[#This Row],[CUIT]],Lista_CUIT[#All],2,0)),"CUIT NO CARGADO")</f>
        <v>EXAHOME SRL</v>
      </c>
      <c r="H89" s="382">
        <v>63863.21</v>
      </c>
      <c r="I89" s="383">
        <f>compras_mes3[[#This Row],[NETO GRAVADO]]*0.21</f>
        <v>13411.274099999999</v>
      </c>
      <c r="J89" s="383"/>
      <c r="K89" s="383"/>
      <c r="L89" s="383"/>
      <c r="M89" s="383"/>
      <c r="N89" s="383"/>
      <c r="O89" s="383"/>
      <c r="P89" s="384">
        <f>SUM(compras_mes3[[#This Row],[NETO GRAVADO]:[Otros / No Grav.]])</f>
        <v>77274.484100000001</v>
      </c>
      <c r="Q89" s="381" t="str">
        <f>IFERROR(IF(compras_mes3[[#This Row],[CUIT]]="","-",VLOOKUP(compras_mes3[[#This Row],[CUIT]],Lista_CUIT[#All],3,0)),"CUIT NO CARGADO")</f>
        <v>Gastos Varios</v>
      </c>
      <c r="R89" s="385">
        <f>IFERROR(IF(compras_mes3[[#This Row],[CUIT]]="","-",VLOOKUP(compras_mes3[[#This Row],[CUIT]],Lista_CUIT[#All],4,0)),"CUIT NO CARGADO")</f>
        <v>0</v>
      </c>
    </row>
    <row r="90" spans="2:18" hidden="1">
      <c r="B90" s="376">
        <v>45372</v>
      </c>
      <c r="C90" s="377">
        <v>1</v>
      </c>
      <c r="D90" s="378">
        <v>1678</v>
      </c>
      <c r="E90" s="379">
        <v>34430</v>
      </c>
      <c r="F90" s="380">
        <v>30589621499</v>
      </c>
      <c r="G90" s="381" t="str">
        <f>IFERROR(IF(compras_mes3[[#This Row],[CUIT]]="","-",VLOOKUP(compras_mes3[[#This Row],[CUIT]],Lista_CUIT[#All],2,0)),"CUIT NO CARGADO")</f>
        <v>MAKRO SA</v>
      </c>
      <c r="H90" s="382">
        <v>78646.19</v>
      </c>
      <c r="I90" s="383">
        <v>16145.71</v>
      </c>
      <c r="J90" s="383"/>
      <c r="K90" s="383">
        <v>185</v>
      </c>
      <c r="L90" s="383">
        <v>2332.96</v>
      </c>
      <c r="M90" s="383"/>
      <c r="N90" s="383">
        <v>4718.7700000000004</v>
      </c>
      <c r="O90" s="383"/>
      <c r="P90" s="384">
        <f>SUM(compras_mes3[[#This Row],[NETO GRAVADO]:[Otros / No Grav.]])</f>
        <v>102028.63</v>
      </c>
      <c r="Q90" s="381" t="str">
        <f>IFERROR(IF(compras_mes3[[#This Row],[CUIT]]="","-",VLOOKUP(compras_mes3[[#This Row],[CUIT]],Lista_CUIT[#All],3,0)),"CUIT NO CARGADO")</f>
        <v>Gastos Varios</v>
      </c>
      <c r="R90" s="385">
        <f>IFERROR(IF(compras_mes3[[#This Row],[CUIT]]="","-",VLOOKUP(compras_mes3[[#This Row],[CUIT]],Lista_CUIT[#All],4,0)),"CUIT NO CARGADO")</f>
        <v>0</v>
      </c>
    </row>
    <row r="91" spans="2:18" hidden="1">
      <c r="B91" s="376">
        <v>45372</v>
      </c>
      <c r="C91" s="377">
        <v>1</v>
      </c>
      <c r="D91" s="378">
        <v>7</v>
      </c>
      <c r="E91" s="379">
        <v>2508</v>
      </c>
      <c r="F91" s="380">
        <v>20134664518</v>
      </c>
      <c r="G91" s="381" t="str">
        <f>IFERROR(IF(compras_mes3[[#This Row],[CUIT]]="","-",VLOOKUP(compras_mes3[[#This Row],[CUIT]],Lista_CUIT[#All],2,0)),"CUIT NO CARGADO")</f>
        <v>HOKAMA SERGIO ENRIQUE</v>
      </c>
      <c r="H91" s="382">
        <v>23044.82</v>
      </c>
      <c r="I91" s="383">
        <f>compras_mes3[[#This Row],[NETO GRAVADO]]*0.21</f>
        <v>4839.4121999999998</v>
      </c>
      <c r="J91" s="383"/>
      <c r="K91" s="383"/>
      <c r="L91" s="383"/>
      <c r="M91" s="383"/>
      <c r="N91" s="383"/>
      <c r="O91" s="383"/>
      <c r="P91" s="384">
        <f>SUM(compras_mes3[[#This Row],[NETO GRAVADO]:[Otros / No Grav.]])</f>
        <v>27884.232199999999</v>
      </c>
      <c r="Q91" s="381" t="str">
        <f>IFERROR(IF(compras_mes3[[#This Row],[CUIT]]="","-",VLOOKUP(compras_mes3[[#This Row],[CUIT]],Lista_CUIT[#All],3,0)),"CUIT NO CARGADO")</f>
        <v>Gastos Varios</v>
      </c>
      <c r="R91" s="385" t="str">
        <f>IFERROR(IF(compras_mes3[[#This Row],[CUIT]]="","-",VLOOKUP(compras_mes3[[#This Row],[CUIT]],Lista_CUIT[#All],4,0)),"CUIT NO CARGADO")</f>
        <v>BUENOS AIRES</v>
      </c>
    </row>
    <row r="92" spans="2:18" hidden="1">
      <c r="B92" s="376">
        <v>45373</v>
      </c>
      <c r="C92" s="377">
        <v>1</v>
      </c>
      <c r="D92" s="378">
        <v>4</v>
      </c>
      <c r="E92" s="379">
        <v>469</v>
      </c>
      <c r="F92" s="380">
        <v>20078298376</v>
      </c>
      <c r="G92" s="381" t="str">
        <f>IFERROR(IF(compras_mes3[[#This Row],[CUIT]]="","-",VLOOKUP(compras_mes3[[#This Row],[CUIT]],Lista_CUIT[#All],2,0)),"CUIT NO CARGADO")</f>
        <v>SUCESION DE FORNO OSCAR FELIX</v>
      </c>
      <c r="H92" s="382">
        <v>9917.3799999999992</v>
      </c>
      <c r="I92" s="383">
        <f>compras_mes3[[#This Row],[NETO GRAVADO]]*0.21</f>
        <v>2082.6497999999997</v>
      </c>
      <c r="J92" s="383"/>
      <c r="K92" s="383"/>
      <c r="L92" s="383"/>
      <c r="M92" s="383"/>
      <c r="N92" s="383"/>
      <c r="O92" s="383"/>
      <c r="P92" s="384">
        <f>SUM(compras_mes3[[#This Row],[NETO GRAVADO]:[Otros / No Grav.]])</f>
        <v>12000.029799999998</v>
      </c>
      <c r="Q92" s="381" t="str">
        <f>IFERROR(IF(compras_mes3[[#This Row],[CUIT]]="","-",VLOOKUP(compras_mes3[[#This Row],[CUIT]],Lista_CUIT[#All],3,0)),"CUIT NO CARGADO")</f>
        <v>Gastos Varios</v>
      </c>
      <c r="R92" s="385">
        <f>IFERROR(IF(compras_mes3[[#This Row],[CUIT]]="","-",VLOOKUP(compras_mes3[[#This Row],[CUIT]],Lista_CUIT[#All],4,0)),"CUIT NO CARGADO")</f>
        <v>0</v>
      </c>
    </row>
    <row r="93" spans="2:18" hidden="1">
      <c r="B93" s="376">
        <v>45374</v>
      </c>
      <c r="C93" s="377">
        <v>1</v>
      </c>
      <c r="D93" s="378">
        <v>2215</v>
      </c>
      <c r="E93" s="379">
        <v>41159</v>
      </c>
      <c r="F93" s="380">
        <v>30548083156</v>
      </c>
      <c r="G93" s="381" t="str">
        <f>IFERROR(IF(compras_mes3[[#This Row],[CUIT]]="","-",VLOOKUP(compras_mes3[[#This Row],[CUIT]],Lista_CUIT[#All],2,0)),"CUIT NO CARGADO")</f>
        <v>COTO CENTRO INTEGRAL DE COMERCIALIZACION SOCIEDAD ANONIMA</v>
      </c>
      <c r="H93" s="382">
        <v>15110.24</v>
      </c>
      <c r="I93" s="383"/>
      <c r="J93" s="383"/>
      <c r="K93" s="383">
        <v>1586.58</v>
      </c>
      <c r="L93" s="383"/>
      <c r="M93" s="383"/>
      <c r="N93" s="383"/>
      <c r="O93" s="383">
        <v>1065.27</v>
      </c>
      <c r="P93" s="384">
        <f>SUM(compras_mes3[[#This Row],[NETO GRAVADO]:[Otros / No Grav.]])</f>
        <v>17762.09</v>
      </c>
      <c r="Q93" s="381" t="str">
        <f>IFERROR(IF(compras_mes3[[#This Row],[CUIT]]="","-",VLOOKUP(compras_mes3[[#This Row],[CUIT]],Lista_CUIT[#All],3,0)),"CUIT NO CARGADO")</f>
        <v>Gastos Varios</v>
      </c>
      <c r="R93" s="385">
        <f>IFERROR(IF(compras_mes3[[#This Row],[CUIT]]="","-",VLOOKUP(compras_mes3[[#This Row],[CUIT]],Lista_CUIT[#All],4,0)),"CUIT NO CARGADO")</f>
        <v>0</v>
      </c>
    </row>
    <row r="94" spans="2:18" hidden="1">
      <c r="B94" s="376">
        <v>45374</v>
      </c>
      <c r="C94" s="377">
        <v>1</v>
      </c>
      <c r="D94" s="378">
        <v>7</v>
      </c>
      <c r="E94" s="379">
        <v>2524</v>
      </c>
      <c r="F94" s="380">
        <v>20134664518</v>
      </c>
      <c r="G94" s="381" t="str">
        <f>IFERROR(IF(compras_mes3[[#This Row],[CUIT]]="","-",VLOOKUP(compras_mes3[[#This Row],[CUIT]],Lista_CUIT[#All],2,0)),"CUIT NO CARGADO")</f>
        <v>HOKAMA SERGIO ENRIQUE</v>
      </c>
      <c r="H94" s="382">
        <v>7647.94</v>
      </c>
      <c r="I94" s="383">
        <f>compras_mes3[[#This Row],[NETO GRAVADO]]*0.21</f>
        <v>1606.0673999999999</v>
      </c>
      <c r="J94" s="383"/>
      <c r="K94" s="383"/>
      <c r="L94" s="383"/>
      <c r="M94" s="383"/>
      <c r="N94" s="383"/>
      <c r="O94" s="383"/>
      <c r="P94" s="384">
        <f>SUM(compras_mes3[[#This Row],[NETO GRAVADO]:[Otros / No Grav.]])</f>
        <v>9254.0073999999986</v>
      </c>
      <c r="Q94" s="381" t="str">
        <f>IFERROR(IF(compras_mes3[[#This Row],[CUIT]]="","-",VLOOKUP(compras_mes3[[#This Row],[CUIT]],Lista_CUIT[#All],3,0)),"CUIT NO CARGADO")</f>
        <v>Gastos Varios</v>
      </c>
      <c r="R94" s="385" t="str">
        <f>IFERROR(IF(compras_mes3[[#This Row],[CUIT]]="","-",VLOOKUP(compras_mes3[[#This Row],[CUIT]],Lista_CUIT[#All],4,0)),"CUIT NO CARGADO")</f>
        <v>BUENOS AIRES</v>
      </c>
    </row>
    <row r="95" spans="2:18" hidden="1">
      <c r="B95" s="376">
        <v>45375</v>
      </c>
      <c r="C95" s="377">
        <v>1</v>
      </c>
      <c r="D95" s="378">
        <v>2</v>
      </c>
      <c r="E95" s="379">
        <v>1954</v>
      </c>
      <c r="F95" s="380">
        <v>33718184989</v>
      </c>
      <c r="G95" s="381" t="str">
        <f>IFERROR(IF(compras_mes3[[#This Row],[CUIT]]="","-",VLOOKUP(compras_mes3[[#This Row],[CUIT]],Lista_CUIT[#All],2,0)),"CUIT NO CARGADO")</f>
        <v>DESSINS CARTELERIA S.R.L.</v>
      </c>
      <c r="H95" s="382">
        <v>35322.31</v>
      </c>
      <c r="I95" s="383">
        <f>compras_mes3[[#This Row],[NETO GRAVADO]]*0.21</f>
        <v>7417.6850999999988</v>
      </c>
      <c r="J95" s="383"/>
      <c r="K95" s="383"/>
      <c r="L95" s="383"/>
      <c r="M95" s="383"/>
      <c r="N95" s="383"/>
      <c r="O95" s="383"/>
      <c r="P95" s="384">
        <f>SUM(compras_mes3[[#This Row],[NETO GRAVADO]:[Otros / No Grav.]])</f>
        <v>42739.9951</v>
      </c>
      <c r="Q95" s="381" t="str">
        <f>IFERROR(IF(compras_mes3[[#This Row],[CUIT]]="","-",VLOOKUP(compras_mes3[[#This Row],[CUIT]],Lista_CUIT[#All],3,0)),"CUIT NO CARGADO")</f>
        <v>Gastos Varios</v>
      </c>
      <c r="R95" s="385">
        <f>IFERROR(IF(compras_mes3[[#This Row],[CUIT]]="","-",VLOOKUP(compras_mes3[[#This Row],[CUIT]],Lista_CUIT[#All],4,0)),"CUIT NO CARGADO")</f>
        <v>0</v>
      </c>
    </row>
    <row r="96" spans="2:18" hidden="1">
      <c r="B96" s="376">
        <v>45376</v>
      </c>
      <c r="C96" s="377">
        <v>1</v>
      </c>
      <c r="D96" s="378">
        <v>4</v>
      </c>
      <c r="E96" s="379">
        <v>471</v>
      </c>
      <c r="F96" s="380">
        <v>20078298376</v>
      </c>
      <c r="G96" s="381" t="str">
        <f>IFERROR(IF(compras_mes3[[#This Row],[CUIT]]="","-",VLOOKUP(compras_mes3[[#This Row],[CUIT]],Lista_CUIT[#All],2,0)),"CUIT NO CARGADO")</f>
        <v>SUCESION DE FORNO OSCAR FELIX</v>
      </c>
      <c r="H96" s="382">
        <v>6611.57</v>
      </c>
      <c r="I96" s="383">
        <f>compras_mes3[[#This Row],[NETO GRAVADO]]*0.21</f>
        <v>1388.4296999999999</v>
      </c>
      <c r="J96" s="383"/>
      <c r="K96" s="383"/>
      <c r="L96" s="383"/>
      <c r="M96" s="383"/>
      <c r="N96" s="383"/>
      <c r="O96" s="383"/>
      <c r="P96" s="384">
        <f>SUM(compras_mes3[[#This Row],[NETO GRAVADO]:[Otros / No Grav.]])</f>
        <v>7999.9996999999994</v>
      </c>
      <c r="Q96" s="381" t="str">
        <f>IFERROR(IF(compras_mes3[[#This Row],[CUIT]]="","-",VLOOKUP(compras_mes3[[#This Row],[CUIT]],Lista_CUIT[#All],3,0)),"CUIT NO CARGADO")</f>
        <v>Gastos Varios</v>
      </c>
      <c r="R96" s="385">
        <f>IFERROR(IF(compras_mes3[[#This Row],[CUIT]]="","-",VLOOKUP(compras_mes3[[#This Row],[CUIT]],Lista_CUIT[#All],4,0)),"CUIT NO CARGADO")</f>
        <v>0</v>
      </c>
    </row>
    <row r="97" spans="2:18" hidden="1">
      <c r="B97" s="394">
        <v>45377</v>
      </c>
      <c r="C97" s="377">
        <v>1</v>
      </c>
      <c r="D97" s="395">
        <v>2188</v>
      </c>
      <c r="E97" s="396">
        <v>115551</v>
      </c>
      <c r="F97" s="397">
        <v>30548083156</v>
      </c>
      <c r="G97" s="398" t="str">
        <f>IFERROR(IF(compras_mes3[[#This Row],[CUIT]]="","-",VLOOKUP(compras_mes3[[#This Row],[CUIT]],Lista_CUIT[#All],2,0)),"CUIT NO CARGADO")</f>
        <v>COTO CENTRO INTEGRAL DE COMERCIALIZACION SOCIEDAD ANONIMA</v>
      </c>
      <c r="H97" s="399">
        <v>45261.66</v>
      </c>
      <c r="I97" s="400">
        <v>7330.35</v>
      </c>
      <c r="J97" s="400"/>
      <c r="K97" s="400">
        <v>1087.3</v>
      </c>
      <c r="L97" s="400"/>
      <c r="M97" s="400"/>
      <c r="N97" s="400"/>
      <c r="O97" s="400">
        <v>3932</v>
      </c>
      <c r="P97" s="384">
        <f>SUM(compras_mes3[[#This Row],[NETO GRAVADO]:[Otros / No Grav.]])</f>
        <v>57611.310000000005</v>
      </c>
      <c r="Q97" s="398" t="str">
        <f>IFERROR(IF(compras_mes3[[#This Row],[CUIT]]="","-",VLOOKUP(compras_mes3[[#This Row],[CUIT]],Lista_CUIT[#All],3,0)),"CUIT NO CARGADO")</f>
        <v>Gastos Varios</v>
      </c>
      <c r="R97" s="401">
        <f>IFERROR(IF(compras_mes3[[#This Row],[CUIT]]="","-",VLOOKUP(compras_mes3[[#This Row],[CUIT]],Lista_CUIT[#All],4,0)),"CUIT NO CARGADO")</f>
        <v>0</v>
      </c>
    </row>
    <row r="98" spans="2:18" hidden="1">
      <c r="B98" s="394">
        <v>45378</v>
      </c>
      <c r="C98" s="377">
        <v>1</v>
      </c>
      <c r="D98" s="395">
        <v>3</v>
      </c>
      <c r="E98" s="396">
        <v>3093</v>
      </c>
      <c r="F98" s="397">
        <v>20959588016</v>
      </c>
      <c r="G98" s="398" t="str">
        <f>IFERROR(IF(compras_mes3[[#This Row],[CUIT]]="","-",VLOOKUP(compras_mes3[[#This Row],[CUIT]],Lista_CUIT[#All],2,0)),"CUIT NO CARGADO")</f>
        <v>ARISPE CAMACHO ENMANUEL ALEJANDRO</v>
      </c>
      <c r="H98" s="399">
        <v>11472.93</v>
      </c>
      <c r="I98" s="400">
        <f>compras_mes3[[#This Row],[NETO GRAVADO]]*0.21</f>
        <v>2409.3152999999998</v>
      </c>
      <c r="J98" s="400"/>
      <c r="K98" s="400"/>
      <c r="L98" s="400"/>
      <c r="M98" s="400"/>
      <c r="N98" s="400"/>
      <c r="O98" s="400"/>
      <c r="P98" s="384">
        <f>SUM(compras_mes3[[#This Row],[NETO GRAVADO]:[Otros / No Grav.]])</f>
        <v>13882.2453</v>
      </c>
      <c r="Q98" s="398" t="str">
        <f>IFERROR(IF(compras_mes3[[#This Row],[CUIT]]="","-",VLOOKUP(compras_mes3[[#This Row],[CUIT]],Lista_CUIT[#All],3,0)),"CUIT NO CARGADO")</f>
        <v>Gastos Varios</v>
      </c>
      <c r="R98" s="401">
        <f>IFERROR(IF(compras_mes3[[#This Row],[CUIT]]="","-",VLOOKUP(compras_mes3[[#This Row],[CUIT]],Lista_CUIT[#All],4,0)),"CUIT NO CARGADO")</f>
        <v>0</v>
      </c>
    </row>
    <row r="99" spans="2:18" hidden="1">
      <c r="B99" s="394">
        <v>45379</v>
      </c>
      <c r="C99" s="377">
        <v>1</v>
      </c>
      <c r="D99" s="395">
        <v>4</v>
      </c>
      <c r="E99" s="396">
        <v>472</v>
      </c>
      <c r="F99" s="397">
        <v>20078298376</v>
      </c>
      <c r="G99" s="398" t="str">
        <f>IFERROR(IF(compras_mes3[[#This Row],[CUIT]]="","-",VLOOKUP(compras_mes3[[#This Row],[CUIT]],Lista_CUIT[#All],2,0)),"CUIT NO CARGADO")</f>
        <v>SUCESION DE FORNO OSCAR FELIX</v>
      </c>
      <c r="H99" s="399">
        <v>49586.76</v>
      </c>
      <c r="I99" s="400">
        <f>compras_mes3[[#This Row],[NETO GRAVADO]]*0.21</f>
        <v>10413.2196</v>
      </c>
      <c r="J99" s="400"/>
      <c r="K99" s="400"/>
      <c r="L99" s="400"/>
      <c r="M99" s="400"/>
      <c r="N99" s="400"/>
      <c r="O99" s="400"/>
      <c r="P99" s="384">
        <f>SUM(compras_mes3[[#This Row],[NETO GRAVADO]:[Otros / No Grav.]])</f>
        <v>59999.979600000006</v>
      </c>
      <c r="Q99" s="398" t="str">
        <f>IFERROR(IF(compras_mes3[[#This Row],[CUIT]]="","-",VLOOKUP(compras_mes3[[#This Row],[CUIT]],Lista_CUIT[#All],3,0)),"CUIT NO CARGADO")</f>
        <v>Gastos Varios</v>
      </c>
      <c r="R99" s="401">
        <f>IFERROR(IF(compras_mes3[[#This Row],[CUIT]]="","-",VLOOKUP(compras_mes3[[#This Row],[CUIT]],Lista_CUIT[#All],4,0)),"CUIT NO CARGADO")</f>
        <v>0</v>
      </c>
    </row>
    <row r="100" spans="2:18" hidden="1">
      <c r="B100" s="394">
        <v>45380</v>
      </c>
      <c r="C100" s="377">
        <v>1</v>
      </c>
      <c r="D100" s="395">
        <v>27</v>
      </c>
      <c r="E100" s="396">
        <v>2272809</v>
      </c>
      <c r="F100" s="397">
        <v>30703088534</v>
      </c>
      <c r="G100" s="398" t="str">
        <f>IFERROR(IF(compras_mes3[[#This Row],[CUIT]]="","-",VLOOKUP(compras_mes3[[#This Row],[CUIT]],Lista_CUIT[#All],2,0)),"CUIT NO CARGADO")</f>
        <v>MERCADO LIBRE SRL</v>
      </c>
      <c r="H100" s="399">
        <v>646827.6</v>
      </c>
      <c r="I100" s="400">
        <f>compras_mes3[[#This Row],[NETO GRAVADO]]*0.21</f>
        <v>135833.796</v>
      </c>
      <c r="J100" s="400"/>
      <c r="K100" s="400"/>
      <c r="L100" s="400"/>
      <c r="M100" s="400"/>
      <c r="N100" s="400"/>
      <c r="O100" s="400">
        <v>64682.8</v>
      </c>
      <c r="P100" s="384">
        <f>SUM(compras_mes3[[#This Row],[NETO GRAVADO]:[Otros / No Grav.]])</f>
        <v>847344.196</v>
      </c>
      <c r="Q100" s="398" t="str">
        <f>IFERROR(IF(compras_mes3[[#This Row],[CUIT]]="","-",VLOOKUP(compras_mes3[[#This Row],[CUIT]],Lista_CUIT[#All],3,0)),"CUIT NO CARGADO")</f>
        <v>Gastos Varios</v>
      </c>
      <c r="R100" s="401" t="str">
        <f>IFERROR(IF(compras_mes3[[#This Row],[CUIT]]="","-",VLOOKUP(compras_mes3[[#This Row],[CUIT]],Lista_CUIT[#All],4,0)),"CUIT NO CARGADO")</f>
        <v>CABA</v>
      </c>
    </row>
    <row r="101" spans="2:18" hidden="1">
      <c r="B101" s="394">
        <v>45380</v>
      </c>
      <c r="C101" s="377">
        <v>1</v>
      </c>
      <c r="D101" s="395">
        <v>7</v>
      </c>
      <c r="E101" s="396">
        <v>2550</v>
      </c>
      <c r="F101" s="397">
        <v>20134664518</v>
      </c>
      <c r="G101" s="398" t="str">
        <f>IFERROR(IF(compras_mes3[[#This Row],[CUIT]]="","-",VLOOKUP(compras_mes3[[#This Row],[CUIT]],Lista_CUIT[#All],2,0)),"CUIT NO CARGADO")</f>
        <v>HOKAMA SERGIO ENRIQUE</v>
      </c>
      <c r="H101" s="399">
        <v>65534.95</v>
      </c>
      <c r="I101" s="400">
        <f>compras_mes3[[#This Row],[NETO GRAVADO]]*0.21</f>
        <v>13762.339499999998</v>
      </c>
      <c r="J101" s="400"/>
      <c r="K101" s="400"/>
      <c r="L101" s="400"/>
      <c r="M101" s="400"/>
      <c r="N101" s="400"/>
      <c r="O101" s="400"/>
      <c r="P101" s="384">
        <f>SUM(compras_mes3[[#This Row],[NETO GRAVADO]:[Otros / No Grav.]])</f>
        <v>79297.289499999999</v>
      </c>
      <c r="Q101" s="398" t="str">
        <f>IFERROR(IF(compras_mes3[[#This Row],[CUIT]]="","-",VLOOKUP(compras_mes3[[#This Row],[CUIT]],Lista_CUIT[#All],3,0)),"CUIT NO CARGADO")</f>
        <v>Gastos Varios</v>
      </c>
      <c r="R101" s="401" t="str">
        <f>IFERROR(IF(compras_mes3[[#This Row],[CUIT]]="","-",VLOOKUP(compras_mes3[[#This Row],[CUIT]],Lista_CUIT[#All],4,0)),"CUIT NO CARGADO")</f>
        <v>BUENOS AIRES</v>
      </c>
    </row>
    <row r="102" spans="2:18" hidden="1">
      <c r="B102" s="394">
        <v>45380</v>
      </c>
      <c r="C102" s="377">
        <v>1</v>
      </c>
      <c r="D102" s="395">
        <v>4</v>
      </c>
      <c r="E102" s="396">
        <v>800</v>
      </c>
      <c r="F102" s="397">
        <v>23329455319</v>
      </c>
      <c r="G102" s="398" t="str">
        <f>IFERROR(IF(compras_mes3[[#This Row],[CUIT]]="","-",VLOOKUP(compras_mes3[[#This Row],[CUIT]],Lista_CUIT[#All],2,0)),"CUIT NO CARGADO")</f>
        <v>REPETTO RAMIRO ANDRES</v>
      </c>
      <c r="H102" s="399">
        <v>8264.4599999999991</v>
      </c>
      <c r="I102" s="400">
        <f>compras_mes3[[#This Row],[NETO GRAVADO]]*0.21</f>
        <v>1735.5365999999997</v>
      </c>
      <c r="J102" s="400"/>
      <c r="K102" s="400"/>
      <c r="L102" s="400"/>
      <c r="M102" s="400"/>
      <c r="N102" s="400"/>
      <c r="O102" s="400"/>
      <c r="P102" s="384">
        <f>SUM(compras_mes3[[#This Row],[NETO GRAVADO]:[Otros / No Grav.]])</f>
        <v>9999.9965999999986</v>
      </c>
      <c r="Q102" s="398" t="str">
        <f>IFERROR(IF(compras_mes3[[#This Row],[CUIT]]="","-",VLOOKUP(compras_mes3[[#This Row],[CUIT]],Lista_CUIT[#All],3,0)),"CUIT NO CARGADO")</f>
        <v>Gastos Varios</v>
      </c>
      <c r="R102" s="401">
        <f>IFERROR(IF(compras_mes3[[#This Row],[CUIT]]="","-",VLOOKUP(compras_mes3[[#This Row],[CUIT]],Lista_CUIT[#All],4,0)),"CUIT NO CARGADO")</f>
        <v>0</v>
      </c>
    </row>
    <row r="103" spans="2:18" hidden="1">
      <c r="B103" s="394">
        <v>45380</v>
      </c>
      <c r="C103" s="402">
        <v>3</v>
      </c>
      <c r="D103" s="395">
        <v>27</v>
      </c>
      <c r="E103" s="396">
        <v>92705</v>
      </c>
      <c r="F103" s="397">
        <v>30703088534</v>
      </c>
      <c r="G103" s="398" t="str">
        <f>IFERROR(IF(compras_mes3[[#This Row],[CUIT]]="","-",VLOOKUP(compras_mes3[[#This Row],[CUIT]],Lista_CUIT[#All],2,0)),"CUIT NO CARGADO")</f>
        <v>MERCADO LIBRE SRL</v>
      </c>
      <c r="H103" s="399">
        <v>-323.11</v>
      </c>
      <c r="I103" s="400">
        <f>compras_mes3[[#This Row],[NETO GRAVADO]]*0.21</f>
        <v>-67.853099999999998</v>
      </c>
      <c r="J103" s="400"/>
      <c r="K103" s="400"/>
      <c r="L103" s="400"/>
      <c r="M103" s="400"/>
      <c r="N103" s="400"/>
      <c r="O103" s="400">
        <v>-12.92</v>
      </c>
      <c r="P103" s="384">
        <f>SUM(compras_mes3[[#This Row],[NETO GRAVADO]:[Otros / No Grav.]])</f>
        <v>-403.88310000000001</v>
      </c>
      <c r="Q103" s="398" t="str">
        <f>IFERROR(IF(compras_mes3[[#This Row],[CUIT]]="","-",VLOOKUP(compras_mes3[[#This Row],[CUIT]],Lista_CUIT[#All],3,0)),"CUIT NO CARGADO")</f>
        <v>Gastos Varios</v>
      </c>
      <c r="R103" s="401" t="str">
        <f>IFERROR(IF(compras_mes3[[#This Row],[CUIT]]="","-",VLOOKUP(compras_mes3[[#This Row],[CUIT]],Lista_CUIT[#All],4,0)),"CUIT NO CARGADO")</f>
        <v>CABA</v>
      </c>
    </row>
    <row r="104" spans="2:18" hidden="1">
      <c r="B104" s="394">
        <v>45381</v>
      </c>
      <c r="C104" s="377">
        <v>1</v>
      </c>
      <c r="D104" s="395">
        <v>4</v>
      </c>
      <c r="E104" s="396">
        <v>1564</v>
      </c>
      <c r="F104" s="397">
        <v>23177130079</v>
      </c>
      <c r="G104" s="398" t="str">
        <f>IFERROR(IF(compras_mes3[[#This Row],[CUIT]]="","-",VLOOKUP(compras_mes3[[#This Row],[CUIT]],Lista_CUIT[#All],2,0)),"CUIT NO CARGADO")</f>
        <v>NATALI HUGO ARIEL</v>
      </c>
      <c r="H104" s="399">
        <v>7024.79</v>
      </c>
      <c r="I104" s="400">
        <f>compras_mes3[[#This Row],[NETO GRAVADO]]*0.21</f>
        <v>1475.2058999999999</v>
      </c>
      <c r="J104" s="400"/>
      <c r="K104" s="400"/>
      <c r="L104" s="400"/>
      <c r="M104" s="400"/>
      <c r="N104" s="400"/>
      <c r="O104" s="400"/>
      <c r="P104" s="384">
        <f>SUM(compras_mes3[[#This Row],[NETO GRAVADO]:[Otros / No Grav.]])</f>
        <v>8499.9958999999999</v>
      </c>
      <c r="Q104" s="398" t="str">
        <f>IFERROR(IF(compras_mes3[[#This Row],[CUIT]]="","-",VLOOKUP(compras_mes3[[#This Row],[CUIT]],Lista_CUIT[#All],3,0)),"CUIT NO CARGADO")</f>
        <v>Gastos Varios</v>
      </c>
      <c r="R104" s="401">
        <f>IFERROR(IF(compras_mes3[[#This Row],[CUIT]]="","-",VLOOKUP(compras_mes3[[#This Row],[CUIT]],Lista_CUIT[#All],4,0)),"CUIT NO CARGADO")</f>
        <v>0</v>
      </c>
    </row>
    <row r="105" spans="2:18" hidden="1">
      <c r="B105" s="394">
        <v>45381</v>
      </c>
      <c r="C105" s="377">
        <v>1</v>
      </c>
      <c r="D105" s="395">
        <v>4</v>
      </c>
      <c r="E105" s="396">
        <v>804</v>
      </c>
      <c r="F105" s="397">
        <v>23329455319</v>
      </c>
      <c r="G105" s="398" t="str">
        <f>IFERROR(IF(compras_mes3[[#This Row],[CUIT]]="","-",VLOOKUP(compras_mes3[[#This Row],[CUIT]],Lista_CUIT[#All],2,0)),"CUIT NO CARGADO")</f>
        <v>REPETTO RAMIRO ANDRES</v>
      </c>
      <c r="H105" s="399">
        <v>22314.05</v>
      </c>
      <c r="I105" s="400">
        <f>compras_mes3[[#This Row],[NETO GRAVADO]]*0.21</f>
        <v>4685.9504999999999</v>
      </c>
      <c r="J105" s="400"/>
      <c r="K105" s="400"/>
      <c r="L105" s="400"/>
      <c r="M105" s="400"/>
      <c r="N105" s="400"/>
      <c r="O105" s="400"/>
      <c r="P105" s="384">
        <f>SUM(compras_mes3[[#This Row],[NETO GRAVADO]:[Otros / No Grav.]])</f>
        <v>27000.000499999998</v>
      </c>
      <c r="Q105" s="398" t="str">
        <f>IFERROR(IF(compras_mes3[[#This Row],[CUIT]]="","-",VLOOKUP(compras_mes3[[#This Row],[CUIT]],Lista_CUIT[#All],3,0)),"CUIT NO CARGADO")</f>
        <v>Gastos Varios</v>
      </c>
      <c r="R105" s="401">
        <f>IFERROR(IF(compras_mes3[[#This Row],[CUIT]]="","-",VLOOKUP(compras_mes3[[#This Row],[CUIT]],Lista_CUIT[#All],4,0)),"CUIT NO CARGADO")</f>
        <v>0</v>
      </c>
    </row>
    <row r="106" spans="2:18" hidden="1">
      <c r="B106" s="394">
        <v>45382</v>
      </c>
      <c r="C106" s="377">
        <v>1</v>
      </c>
      <c r="D106" s="395">
        <v>2199</v>
      </c>
      <c r="E106" s="396">
        <v>28258</v>
      </c>
      <c r="F106" s="397">
        <v>30548083156</v>
      </c>
      <c r="G106" s="398" t="str">
        <f>IFERROR(IF(compras_mes3[[#This Row],[CUIT]]="","-",VLOOKUP(compras_mes3[[#This Row],[CUIT]],Lista_CUIT[#All],2,0)),"CUIT NO CARGADO")</f>
        <v>COTO CENTRO INTEGRAL DE COMERCIALIZACION SOCIEDAD ANONIMA</v>
      </c>
      <c r="H106" s="399">
        <v>25021</v>
      </c>
      <c r="I106" s="400">
        <v>4231.78</v>
      </c>
      <c r="J106" s="400"/>
      <c r="K106" s="400">
        <v>511.32</v>
      </c>
      <c r="L106" s="400"/>
      <c r="M106" s="400"/>
      <c r="N106" s="400"/>
      <c r="O106" s="400">
        <v>2130.31</v>
      </c>
      <c r="P106" s="384">
        <f>SUM(compras_mes3[[#This Row],[NETO GRAVADO]:[Otros / No Grav.]])</f>
        <v>31894.41</v>
      </c>
      <c r="Q106" s="398" t="str">
        <f>IFERROR(IF(compras_mes3[[#This Row],[CUIT]]="","-",VLOOKUP(compras_mes3[[#This Row],[CUIT]],Lista_CUIT[#All],3,0)),"CUIT NO CARGADO")</f>
        <v>Gastos Varios</v>
      </c>
      <c r="R106" s="401">
        <f>IFERROR(IF(compras_mes3[[#This Row],[CUIT]]="","-",VLOOKUP(compras_mes3[[#This Row],[CUIT]],Lista_CUIT[#All],4,0)),"CUIT NO CARGADO")</f>
        <v>0</v>
      </c>
    </row>
    <row r="107" spans="2:18" hidden="1">
      <c r="B107" s="350">
        <v>45359</v>
      </c>
      <c r="C107" s="351">
        <v>1</v>
      </c>
      <c r="D107" s="352">
        <v>1</v>
      </c>
      <c r="E107" s="353">
        <v>50</v>
      </c>
      <c r="F107" s="354">
        <v>20134305283</v>
      </c>
      <c r="G107" s="355" t="str">
        <f>IFERROR(IF(compras_mes3[[#This Row],[CUIT]]="","-",VLOOKUP(compras_mes3[[#This Row],[CUIT]],Lista_CUIT[#All],2,0)),"CUIT NO CARGADO")</f>
        <v>CHIARA STELLA MARIO ROBERTO</v>
      </c>
      <c r="H107" s="356">
        <v>1130000</v>
      </c>
      <c r="I107" s="357">
        <f>compras_mes3[[#This Row],[NETO GRAVADO]]*0.21</f>
        <v>237300</v>
      </c>
      <c r="J107" s="357"/>
      <c r="K107" s="357"/>
      <c r="L107" s="357"/>
      <c r="M107" s="357"/>
      <c r="N107" s="357"/>
      <c r="O107" s="357"/>
      <c r="P107" s="358">
        <f>SUM(compras_mes3[[#This Row],[NETO GRAVADO]:[Otros / No Grav.]])</f>
        <v>1367300</v>
      </c>
      <c r="Q107" s="355" t="str">
        <f>IFERROR(IF(compras_mes3[[#This Row],[CUIT]]="","-",VLOOKUP(compras_mes3[[#This Row],[CUIT]],Lista_CUIT[#All],3,0)),"CUIT NO CARGADO")</f>
        <v>Honorarios Profesionales</v>
      </c>
      <c r="R107" s="359">
        <f>IFERROR(IF(compras_mes3[[#This Row],[CUIT]]="","-",VLOOKUP(compras_mes3[[#This Row],[CUIT]],Lista_CUIT[#All],4,0)),"CUIT NO CARGADO")</f>
        <v>0</v>
      </c>
    </row>
    <row r="108" spans="2:18" hidden="1">
      <c r="B108" s="350">
        <v>45359</v>
      </c>
      <c r="C108" s="351">
        <v>1</v>
      </c>
      <c r="D108" s="352">
        <v>1</v>
      </c>
      <c r="E108" s="353">
        <v>51</v>
      </c>
      <c r="F108" s="354">
        <v>20134305283</v>
      </c>
      <c r="G108" s="355" t="str">
        <f>IFERROR(IF(compras_mes3[[#This Row],[CUIT]]="","-",VLOOKUP(compras_mes3[[#This Row],[CUIT]],Lista_CUIT[#All],2,0)),"CUIT NO CARGADO")</f>
        <v>CHIARA STELLA MARIO ROBERTO</v>
      </c>
      <c r="H108" s="356">
        <v>40000</v>
      </c>
      <c r="I108" s="357">
        <f>compras_mes3[[#This Row],[NETO GRAVADO]]*0.21</f>
        <v>8400</v>
      </c>
      <c r="J108" s="357"/>
      <c r="K108" s="357"/>
      <c r="L108" s="357"/>
      <c r="M108" s="357"/>
      <c r="N108" s="357"/>
      <c r="O108" s="357"/>
      <c r="P108" s="358">
        <f>SUM(compras_mes3[[#This Row],[NETO GRAVADO]:[Otros / No Grav.]])</f>
        <v>48400</v>
      </c>
      <c r="Q108" s="355" t="str">
        <f>IFERROR(IF(compras_mes3[[#This Row],[CUIT]]="","-",VLOOKUP(compras_mes3[[#This Row],[CUIT]],Lista_CUIT[#All],3,0)),"CUIT NO CARGADO")</f>
        <v>Honorarios Profesionales</v>
      </c>
      <c r="R108" s="359">
        <f>IFERROR(IF(compras_mes3[[#This Row],[CUIT]]="","-",VLOOKUP(compras_mes3[[#This Row],[CUIT]],Lista_CUIT[#All],4,0)),"CUIT NO CARGADO")</f>
        <v>0</v>
      </c>
    </row>
    <row r="109" spans="2:18" hidden="1">
      <c r="B109" s="350">
        <v>45359</v>
      </c>
      <c r="C109" s="351">
        <v>1</v>
      </c>
      <c r="D109" s="352">
        <v>1</v>
      </c>
      <c r="E109" s="353">
        <v>49</v>
      </c>
      <c r="F109" s="354">
        <v>20134305283</v>
      </c>
      <c r="G109" s="355" t="str">
        <f>IFERROR(IF(compras_mes3[[#This Row],[CUIT]]="","-",VLOOKUP(compras_mes3[[#This Row],[CUIT]],Lista_CUIT[#All],2,0)),"CUIT NO CARGADO")</f>
        <v>CHIARA STELLA MARIO ROBERTO</v>
      </c>
      <c r="H109" s="356">
        <v>340000</v>
      </c>
      <c r="I109" s="357">
        <f>compras_mes3[[#This Row],[NETO GRAVADO]]*0.21</f>
        <v>71400</v>
      </c>
      <c r="J109" s="357"/>
      <c r="K109" s="357"/>
      <c r="L109" s="357"/>
      <c r="M109" s="357"/>
      <c r="N109" s="357"/>
      <c r="O109" s="357"/>
      <c r="P109" s="358">
        <f>SUM(compras_mes3[[#This Row],[NETO GRAVADO]:[Otros / No Grav.]])</f>
        <v>411400</v>
      </c>
      <c r="Q109" s="355" t="str">
        <f>IFERROR(IF(compras_mes3[[#This Row],[CUIT]]="","-",VLOOKUP(compras_mes3[[#This Row],[CUIT]],Lista_CUIT[#All],3,0)),"CUIT NO CARGADO")</f>
        <v>Honorarios Profesionales</v>
      </c>
      <c r="R109" s="359">
        <f>IFERROR(IF(compras_mes3[[#This Row],[CUIT]]="","-",VLOOKUP(compras_mes3[[#This Row],[CUIT]],Lista_CUIT[#All],4,0)),"CUIT NO CARGADO")</f>
        <v>0</v>
      </c>
    </row>
    <row r="110" spans="2:18" hidden="1">
      <c r="B110" s="376">
        <v>45370</v>
      </c>
      <c r="C110" s="377">
        <v>1</v>
      </c>
      <c r="D110" s="378">
        <v>7</v>
      </c>
      <c r="E110" s="379">
        <v>2830</v>
      </c>
      <c r="F110" s="380">
        <v>30715683446</v>
      </c>
      <c r="G110" s="381" t="str">
        <f>IFERROR(IF(compras_mes3[[#This Row],[CUIT]]="","-",VLOOKUP(compras_mes3[[#This Row],[CUIT]],Lista_CUIT[#All],2,0)),"CUIT NO CARGADO")</f>
        <v>CENTRAL MAYORISTA S R L</v>
      </c>
      <c r="H110" s="382">
        <v>4061.92</v>
      </c>
      <c r="I110" s="383">
        <f>compras_mes3[[#This Row],[NETO GRAVADO]]*0.21</f>
        <v>853.00319999999999</v>
      </c>
      <c r="J110" s="383"/>
      <c r="K110" s="383"/>
      <c r="L110" s="383"/>
      <c r="M110" s="383"/>
      <c r="N110" s="383"/>
      <c r="O110" s="383"/>
      <c r="P110" s="384">
        <f>SUM(compras_mes3[[#This Row],[NETO GRAVADO]:[Otros / No Grav.]])</f>
        <v>4914.9232000000002</v>
      </c>
      <c r="Q110" s="381" t="str">
        <f>IFERROR(IF(compras_mes3[[#This Row],[CUIT]]="","-",VLOOKUP(compras_mes3[[#This Row],[CUIT]],Lista_CUIT[#All],3,0)),"CUIT NO CARGADO")</f>
        <v>LIBRERÍA</v>
      </c>
      <c r="R110" s="385">
        <f>IFERROR(IF(compras_mes3[[#This Row],[CUIT]]="","-",VLOOKUP(compras_mes3[[#This Row],[CUIT]],Lista_CUIT[#All],4,0)),"CUIT NO CARGADO")</f>
        <v>0</v>
      </c>
    </row>
    <row r="111" spans="2:18" hidden="1">
      <c r="B111" s="376">
        <v>45356</v>
      </c>
      <c r="C111" s="377">
        <v>1</v>
      </c>
      <c r="D111" s="378">
        <v>4</v>
      </c>
      <c r="E111" s="379">
        <v>9724</v>
      </c>
      <c r="F111" s="380">
        <v>30694547903</v>
      </c>
      <c r="G111" s="381" t="str">
        <f>IFERROR(IF(compras_mes3[[#This Row],[CUIT]]="","-",VLOOKUP(compras_mes3[[#This Row],[CUIT]],Lista_CUIT[#All],2,0)),"CUIT NO CARGADO")</f>
        <v>MULTICAJAS S A</v>
      </c>
      <c r="H111" s="382">
        <v>544956</v>
      </c>
      <c r="I111" s="383">
        <f>compras_mes3[[#This Row],[NETO GRAVADO]]*0.21</f>
        <v>114440.76</v>
      </c>
      <c r="J111" s="383"/>
      <c r="K111" s="383"/>
      <c r="L111" s="383"/>
      <c r="M111" s="383"/>
      <c r="N111" s="383"/>
      <c r="O111" s="383"/>
      <c r="P111" s="384">
        <f>SUM(compras_mes3[[#This Row],[NETO GRAVADO]:[Otros / No Grav.]])</f>
        <v>659396.76</v>
      </c>
      <c r="Q111" s="381" t="str">
        <f>IFERROR(IF(compras_mes3[[#This Row],[CUIT]]="","-",VLOOKUP(compras_mes3[[#This Row],[CUIT]],Lista_CUIT[#All],3,0)),"CUIT NO CARGADO")</f>
        <v>LIBRERÍA</v>
      </c>
      <c r="R111" s="385">
        <f>IFERROR(IF(compras_mes3[[#This Row],[CUIT]]="","-",VLOOKUP(compras_mes3[[#This Row],[CUIT]],Lista_CUIT[#All],4,0)),"CUIT NO CARGADO")</f>
        <v>0</v>
      </c>
    </row>
    <row r="112" spans="2:18" hidden="1">
      <c r="B112" s="367">
        <v>45367</v>
      </c>
      <c r="C112" s="375">
        <v>1</v>
      </c>
      <c r="D112" s="368">
        <v>56</v>
      </c>
      <c r="E112" s="369">
        <v>4769</v>
      </c>
      <c r="F112" s="370">
        <v>30708560568</v>
      </c>
      <c r="G112" s="371" t="str">
        <f>IFERROR(IF(compras_mes3[[#This Row],[CUIT]]="","-",VLOOKUP(compras_mes3[[#This Row],[CUIT]],Lista_CUIT[#All],2,0)),"CUIT NO CARGADO")</f>
        <v>PINTURERIAS MINUTO SRL</v>
      </c>
      <c r="H112" s="372">
        <v>22147.48</v>
      </c>
      <c r="I112" s="373">
        <f>compras_mes3[[#This Row],[NETO GRAVADO]]*0.21</f>
        <v>4650.9708000000001</v>
      </c>
      <c r="J112" s="373"/>
      <c r="K112" s="373"/>
      <c r="L112" s="373"/>
      <c r="M112" s="373"/>
      <c r="N112" s="373"/>
      <c r="O112" s="373"/>
      <c r="P112" s="358">
        <f>SUM(compras_mes3[[#This Row],[NETO GRAVADO]:[Otros / No Grav.]])</f>
        <v>26798.450799999999</v>
      </c>
      <c r="Q112" s="371" t="str">
        <f>IFERROR(IF(compras_mes3[[#This Row],[CUIT]]="","-",VLOOKUP(compras_mes3[[#This Row],[CUIT]],Lista_CUIT[#All],3,0)),"CUIT NO CARGADO")</f>
        <v>Mantenimiento Locales</v>
      </c>
      <c r="R112" s="374">
        <f>IFERROR(IF(compras_mes3[[#This Row],[CUIT]]="","-",VLOOKUP(compras_mes3[[#This Row],[CUIT]],Lista_CUIT[#All],4,0)),"CUIT NO CARGADO")</f>
        <v>0</v>
      </c>
    </row>
    <row r="113" spans="2:18" hidden="1">
      <c r="B113" s="376">
        <v>45372</v>
      </c>
      <c r="C113" s="377">
        <v>1</v>
      </c>
      <c r="D113" s="378">
        <v>358</v>
      </c>
      <c r="E113" s="379">
        <v>22150</v>
      </c>
      <c r="F113" s="380">
        <v>30646512952</v>
      </c>
      <c r="G113" s="381" t="str">
        <f>IFERROR(IF(compras_mes3[[#This Row],[CUIT]]="","-",VLOOKUP(compras_mes3[[#This Row],[CUIT]],Lista_CUIT[#All],2,0)),"CUIT NO CARGADO")</f>
        <v xml:space="preserve">PINTURERIA REX </v>
      </c>
      <c r="H113" s="382">
        <v>10866.31</v>
      </c>
      <c r="I113" s="383">
        <f>compras_mes3[[#This Row],[NETO GRAVADO]]*0.21</f>
        <v>2281.9250999999999</v>
      </c>
      <c r="J113" s="383"/>
      <c r="K113" s="383"/>
      <c r="L113" s="383"/>
      <c r="M113" s="383"/>
      <c r="N113" s="383">
        <v>651.98</v>
      </c>
      <c r="O113" s="383"/>
      <c r="P113" s="384">
        <f>SUM(compras_mes3[[#This Row],[NETO GRAVADO]:[Otros / No Grav.]])</f>
        <v>13800.215099999999</v>
      </c>
      <c r="Q113" s="381" t="str">
        <f>IFERROR(IF(compras_mes3[[#This Row],[CUIT]]="","-",VLOOKUP(compras_mes3[[#This Row],[CUIT]],Lista_CUIT[#All],3,0)),"CUIT NO CARGADO")</f>
        <v>Mantenimiento Locales</v>
      </c>
      <c r="R113" s="385">
        <f>IFERROR(IF(compras_mes3[[#This Row],[CUIT]]="","-",VLOOKUP(compras_mes3[[#This Row],[CUIT]],Lista_CUIT[#All],4,0)),"CUIT NO CARGADO")</f>
        <v>0</v>
      </c>
    </row>
    <row r="114" spans="2:18" hidden="1">
      <c r="B114" s="350">
        <v>45352</v>
      </c>
      <c r="C114" s="351">
        <v>1</v>
      </c>
      <c r="D114" s="352">
        <v>4</v>
      </c>
      <c r="E114" s="353">
        <v>45451</v>
      </c>
      <c r="F114" s="354">
        <v>30709863076</v>
      </c>
      <c r="G114" s="355" t="str">
        <f>IFERROR(IF(compras_mes3[[#This Row],[CUIT]]="","-",VLOOKUP(compras_mes3[[#This Row],[CUIT]],Lista_CUIT[#All],2,0)),"CUIT NO CARGADO")</f>
        <v>INDUSTRIAS PLASTICOS SALTA S.R.L.</v>
      </c>
      <c r="H114" s="356">
        <v>944025</v>
      </c>
      <c r="I114" s="357">
        <f>compras_mes3[[#This Row],[NETO GRAVADO]]*0.21</f>
        <v>198245.25</v>
      </c>
      <c r="J114" s="357"/>
      <c r="K114" s="357"/>
      <c r="L114" s="357"/>
      <c r="M114" s="357"/>
      <c r="N114" s="357"/>
      <c r="O114" s="357"/>
      <c r="P114" s="358">
        <f>SUM(compras_mes3[[#This Row],[NETO GRAVADO]:[Otros / No Grav.]])</f>
        <v>1142270.25</v>
      </c>
      <c r="Q114" s="355" t="str">
        <f>IFERROR(IF(compras_mes3[[#This Row],[CUIT]]="","-",VLOOKUP(compras_mes3[[#This Row],[CUIT]],Lista_CUIT[#All],3,0)),"CUIT NO CARGADO")</f>
        <v>Materia Prima</v>
      </c>
      <c r="R114" s="359">
        <f>IFERROR(IF(compras_mes3[[#This Row],[CUIT]]="","-",VLOOKUP(compras_mes3[[#This Row],[CUIT]],Lista_CUIT[#All],4,0)),"CUIT NO CARGADO")</f>
        <v>0</v>
      </c>
    </row>
    <row r="115" spans="2:18" hidden="1">
      <c r="B115" s="376">
        <v>45362</v>
      </c>
      <c r="C115" s="377">
        <v>1</v>
      </c>
      <c r="D115" s="378">
        <v>11</v>
      </c>
      <c r="E115" s="379">
        <v>77513</v>
      </c>
      <c r="F115" s="380">
        <v>30534051049</v>
      </c>
      <c r="G115" s="381" t="str">
        <f>IFERROR(IF(compras_mes3[[#This Row],[CUIT]]="","-",VLOOKUP(compras_mes3[[#This Row],[CUIT]],Lista_CUIT[#All],2,0)),"CUIT NO CARGADO")</f>
        <v>PLIN METAL S A</v>
      </c>
      <c r="H115" s="382">
        <v>13338.6</v>
      </c>
      <c r="I115" s="383"/>
      <c r="J115" s="383"/>
      <c r="K115" s="383">
        <v>1400.55</v>
      </c>
      <c r="L115" s="383"/>
      <c r="M115" s="383"/>
      <c r="N115" s="383"/>
      <c r="O115" s="383"/>
      <c r="P115" s="384">
        <f>SUM(compras_mes3[[#This Row],[NETO GRAVADO]:[Otros / No Grav.]])</f>
        <v>14739.15</v>
      </c>
      <c r="Q115" s="381" t="str">
        <f>IFERROR(IF(compras_mes3[[#This Row],[CUIT]]="","-",VLOOKUP(compras_mes3[[#This Row],[CUIT]],Lista_CUIT[#All],3,0)),"CUIT NO CARGADO")</f>
        <v>Materia Prima</v>
      </c>
      <c r="R115" s="385">
        <f>IFERROR(IF(compras_mes3[[#This Row],[CUIT]]="","-",VLOOKUP(compras_mes3[[#This Row],[CUIT]],Lista_CUIT[#All],4,0)),"CUIT NO CARGADO")</f>
        <v>0</v>
      </c>
    </row>
    <row r="116" spans="2:18" hidden="1">
      <c r="B116" s="350">
        <v>45367</v>
      </c>
      <c r="C116" s="351">
        <v>1</v>
      </c>
      <c r="D116" s="352">
        <v>4</v>
      </c>
      <c r="E116" s="353">
        <v>19996</v>
      </c>
      <c r="F116" s="354">
        <v>30712162682</v>
      </c>
      <c r="G116" s="355" t="str">
        <f>IFERROR(IF(compras_mes3[[#This Row],[CUIT]]="","-",VLOOKUP(compras_mes3[[#This Row],[CUIT]],Lista_CUIT[#All],2,0)),"CUIT NO CARGADO")</f>
        <v>OBRAS ACUSTICAS SRL</v>
      </c>
      <c r="H116" s="356">
        <v>58361.72</v>
      </c>
      <c r="I116" s="357">
        <f>compras_mes3[[#This Row],[NETO GRAVADO]]*0.21</f>
        <v>12255.9612</v>
      </c>
      <c r="J116" s="357"/>
      <c r="K116" s="357"/>
      <c r="L116" s="357"/>
      <c r="M116" s="357"/>
      <c r="N116" s="357"/>
      <c r="O116" s="357"/>
      <c r="P116" s="358">
        <f>SUM(compras_mes3[[#This Row],[NETO GRAVADO]:[Otros / No Grav.]])</f>
        <v>70617.681200000006</v>
      </c>
      <c r="Q116" s="355" t="str">
        <f>IFERROR(IF(compras_mes3[[#This Row],[CUIT]]="","-",VLOOKUP(compras_mes3[[#This Row],[CUIT]],Lista_CUIT[#All],3,0)),"CUIT NO CARGADO")</f>
        <v>Materia Prima</v>
      </c>
      <c r="R116" s="359">
        <f>IFERROR(IF(compras_mes3[[#This Row],[CUIT]]="","-",VLOOKUP(compras_mes3[[#This Row],[CUIT]],Lista_CUIT[#All],4,0)),"CUIT NO CARGADO")</f>
        <v>0</v>
      </c>
    </row>
    <row r="117" spans="2:18" hidden="1">
      <c r="B117" s="376">
        <v>45370</v>
      </c>
      <c r="C117" s="377">
        <v>1</v>
      </c>
      <c r="D117" s="378">
        <v>4</v>
      </c>
      <c r="E117" s="379">
        <v>45604</v>
      </c>
      <c r="F117" s="380">
        <v>30709863076</v>
      </c>
      <c r="G117" s="381" t="str">
        <f>IFERROR(IF(compras_mes3[[#This Row],[CUIT]]="","-",VLOOKUP(compras_mes3[[#This Row],[CUIT]],Lista_CUIT[#All],2,0)),"CUIT NO CARGADO")</f>
        <v>INDUSTRIAS PLASTICOS SALTA S.R.L.</v>
      </c>
      <c r="H117" s="382">
        <v>5661.16</v>
      </c>
      <c r="I117" s="383">
        <f>compras_mes3[[#This Row],[NETO GRAVADO]]*0.21</f>
        <v>1188.8435999999999</v>
      </c>
      <c r="J117" s="383"/>
      <c r="K117" s="383"/>
      <c r="L117" s="383"/>
      <c r="M117" s="383"/>
      <c r="N117" s="383"/>
      <c r="O117" s="383"/>
      <c r="P117" s="384">
        <f>SUM(compras_mes3[[#This Row],[NETO GRAVADO]:[Otros / No Grav.]])</f>
        <v>6850.0036</v>
      </c>
      <c r="Q117" s="381" t="str">
        <f>IFERROR(IF(compras_mes3[[#This Row],[CUIT]]="","-",VLOOKUP(compras_mes3[[#This Row],[CUIT]],Lista_CUIT[#All],3,0)),"CUIT NO CARGADO")</f>
        <v>Materia Prima</v>
      </c>
      <c r="R117" s="385">
        <f>IFERROR(IF(compras_mes3[[#This Row],[CUIT]]="","-",VLOOKUP(compras_mes3[[#This Row],[CUIT]],Lista_CUIT[#All],4,0)),"CUIT NO CARGADO")</f>
        <v>0</v>
      </c>
    </row>
    <row r="118" spans="2:18" hidden="1">
      <c r="B118" s="376">
        <v>45372</v>
      </c>
      <c r="C118" s="377">
        <v>1</v>
      </c>
      <c r="D118" s="378">
        <v>4</v>
      </c>
      <c r="E118" s="379">
        <v>45614</v>
      </c>
      <c r="F118" s="380">
        <v>30709863076</v>
      </c>
      <c r="G118" s="381" t="str">
        <f>IFERROR(IF(compras_mes3[[#This Row],[CUIT]]="","-",VLOOKUP(compras_mes3[[#This Row],[CUIT]],Lista_CUIT[#All],2,0)),"CUIT NO CARGADO")</f>
        <v>INDUSTRIAS PLASTICOS SALTA S.R.L.</v>
      </c>
      <c r="H118" s="382">
        <v>2929390</v>
      </c>
      <c r="I118" s="383">
        <f>compras_mes3[[#This Row],[NETO GRAVADO]]*0.21</f>
        <v>615171.9</v>
      </c>
      <c r="J118" s="383"/>
      <c r="K118" s="383"/>
      <c r="L118" s="383"/>
      <c r="M118" s="383"/>
      <c r="N118" s="383"/>
      <c r="O118" s="383"/>
      <c r="P118" s="384">
        <f>SUM(compras_mes3[[#This Row],[NETO GRAVADO]:[Otros / No Grav.]])</f>
        <v>3544561.9</v>
      </c>
      <c r="Q118" s="381" t="str">
        <f>IFERROR(IF(compras_mes3[[#This Row],[CUIT]]="","-",VLOOKUP(compras_mes3[[#This Row],[CUIT]],Lista_CUIT[#All],3,0)),"CUIT NO CARGADO")</f>
        <v>Materia Prima</v>
      </c>
      <c r="R118" s="385">
        <f>IFERROR(IF(compras_mes3[[#This Row],[CUIT]]="","-",VLOOKUP(compras_mes3[[#This Row],[CUIT]],Lista_CUIT[#All],4,0)),"CUIT NO CARGADO")</f>
        <v>0</v>
      </c>
    </row>
    <row r="119" spans="2:18" hidden="1">
      <c r="B119" s="376">
        <v>45376</v>
      </c>
      <c r="C119" s="377">
        <v>1</v>
      </c>
      <c r="D119" s="378">
        <v>5</v>
      </c>
      <c r="E119" s="379">
        <v>4871</v>
      </c>
      <c r="F119" s="380">
        <v>20367393042</v>
      </c>
      <c r="G119" s="381" t="str">
        <f>IFERROR(IF(compras_mes3[[#This Row],[CUIT]]="","-",VLOOKUP(compras_mes3[[#This Row],[CUIT]],Lista_CUIT[#All],2,0)),"CUIT NO CARGADO")</f>
        <v>RITACCO RODRIGO</v>
      </c>
      <c r="H119" s="382">
        <v>244958.68</v>
      </c>
      <c r="I119" s="383">
        <f>compras_mes3[[#This Row],[NETO GRAVADO]]*0.21</f>
        <v>51441.322799999994</v>
      </c>
      <c r="J119" s="383"/>
      <c r="K119" s="383"/>
      <c r="L119" s="383"/>
      <c r="M119" s="383"/>
      <c r="N119" s="383"/>
      <c r="O119" s="383"/>
      <c r="P119" s="384">
        <f>SUM(compras_mes3[[#This Row],[NETO GRAVADO]:[Otros / No Grav.]])</f>
        <v>296400.00280000002</v>
      </c>
      <c r="Q119" s="381" t="str">
        <f>IFERROR(IF(compras_mes3[[#This Row],[CUIT]]="","-",VLOOKUP(compras_mes3[[#This Row],[CUIT]],Lista_CUIT[#All],3,0)),"CUIT NO CARGADO")</f>
        <v>Materia Prima</v>
      </c>
      <c r="R119" s="385">
        <f>IFERROR(IF(compras_mes3[[#This Row],[CUIT]]="","-",VLOOKUP(compras_mes3[[#This Row],[CUIT]],Lista_CUIT[#All],4,0)),"CUIT NO CARGADO")</f>
        <v>0</v>
      </c>
    </row>
    <row r="120" spans="2:18" hidden="1">
      <c r="B120" s="394">
        <v>45376</v>
      </c>
      <c r="C120" s="377">
        <v>1</v>
      </c>
      <c r="D120" s="395">
        <v>6</v>
      </c>
      <c r="E120" s="396">
        <v>24738</v>
      </c>
      <c r="F120" s="397">
        <v>33640878679</v>
      </c>
      <c r="G120" s="398" t="str">
        <f>IFERROR(IF(compras_mes3[[#This Row],[CUIT]]="","-",VLOOKUP(compras_mes3[[#This Row],[CUIT]],Lista_CUIT[#All],2,0)),"CUIT NO CARGADO")</f>
        <v>DHACAM S R L</v>
      </c>
      <c r="H120" s="399">
        <v>218680</v>
      </c>
      <c r="I120" s="400">
        <f>compras_mes3[[#This Row],[NETO GRAVADO]]*0.21</f>
        <v>45922.799999999996</v>
      </c>
      <c r="J120" s="400"/>
      <c r="K120" s="400"/>
      <c r="L120" s="400"/>
      <c r="M120" s="400"/>
      <c r="N120" s="400"/>
      <c r="O120" s="400"/>
      <c r="P120" s="384">
        <f>SUM(compras_mes3[[#This Row],[NETO GRAVADO]:[Otros / No Grav.]])</f>
        <v>264602.8</v>
      </c>
      <c r="Q120" s="398" t="str">
        <f>IFERROR(IF(compras_mes3[[#This Row],[CUIT]]="","-",VLOOKUP(compras_mes3[[#This Row],[CUIT]],Lista_CUIT[#All],3,0)),"CUIT NO CARGADO")</f>
        <v>Materia Prima</v>
      </c>
      <c r="R120" s="401">
        <f>IFERROR(IF(compras_mes3[[#This Row],[CUIT]]="","-",VLOOKUP(compras_mes3[[#This Row],[CUIT]],Lista_CUIT[#All],4,0)),"CUIT NO CARGADO")</f>
        <v>0</v>
      </c>
    </row>
    <row r="121" spans="2:18" hidden="1">
      <c r="B121" s="394">
        <v>45377</v>
      </c>
      <c r="C121" s="377">
        <v>1</v>
      </c>
      <c r="D121" s="395">
        <v>11</v>
      </c>
      <c r="E121" s="396">
        <v>77771</v>
      </c>
      <c r="F121" s="397">
        <v>30534051049</v>
      </c>
      <c r="G121" s="398" t="str">
        <f>IFERROR(IF(compras_mes3[[#This Row],[CUIT]]="","-",VLOOKUP(compras_mes3[[#This Row],[CUIT]],Lista_CUIT[#All],2,0)),"CUIT NO CARGADO")</f>
        <v>PLIN METAL S A</v>
      </c>
      <c r="H121" s="399">
        <v>90325.26</v>
      </c>
      <c r="I121" s="400">
        <f>compras_mes3[[#This Row],[NETO GRAVADO]]*0.21</f>
        <v>18968.304599999999</v>
      </c>
      <c r="J121" s="400"/>
      <c r="K121" s="400"/>
      <c r="L121" s="400"/>
      <c r="M121" s="400"/>
      <c r="N121" s="400"/>
      <c r="O121" s="400"/>
      <c r="P121" s="384">
        <f>SUM(compras_mes3[[#This Row],[NETO GRAVADO]:[Otros / No Grav.]])</f>
        <v>109293.5646</v>
      </c>
      <c r="Q121" s="398" t="str">
        <f>IFERROR(IF(compras_mes3[[#This Row],[CUIT]]="","-",VLOOKUP(compras_mes3[[#This Row],[CUIT]],Lista_CUIT[#All],3,0)),"CUIT NO CARGADO")</f>
        <v>Materia Prima</v>
      </c>
      <c r="R121" s="401">
        <f>IFERROR(IF(compras_mes3[[#This Row],[CUIT]]="","-",VLOOKUP(compras_mes3[[#This Row],[CUIT]],Lista_CUIT[#All],4,0)),"CUIT NO CARGADO")</f>
        <v>0</v>
      </c>
    </row>
    <row r="122" spans="2:18" hidden="1">
      <c r="B122" s="394">
        <v>45377</v>
      </c>
      <c r="C122" s="377">
        <v>1</v>
      </c>
      <c r="D122" s="395">
        <v>2</v>
      </c>
      <c r="E122" s="396">
        <v>1874</v>
      </c>
      <c r="F122" s="397">
        <v>30717140725</v>
      </c>
      <c r="G122" s="398" t="str">
        <f>IFERROR(IF(compras_mes3[[#This Row],[CUIT]]="","-",VLOOKUP(compras_mes3[[#This Row],[CUIT]],Lista_CUIT[#All],2,0)),"CUIT NO CARGADO")</f>
        <v>TODOSECO S.A.</v>
      </c>
      <c r="H122" s="399">
        <v>27850.45</v>
      </c>
      <c r="I122" s="400">
        <f>compras_mes3[[#This Row],[NETO GRAVADO]]*0.21</f>
        <v>5848.5945000000002</v>
      </c>
      <c r="J122" s="400"/>
      <c r="K122" s="400"/>
      <c r="L122" s="400"/>
      <c r="M122" s="400"/>
      <c r="N122" s="400"/>
      <c r="O122" s="400"/>
      <c r="P122" s="384">
        <f>SUM(compras_mes3[[#This Row],[NETO GRAVADO]:[Otros / No Grav.]])</f>
        <v>33699.044500000004</v>
      </c>
      <c r="Q122" s="398" t="str">
        <f>IFERROR(IF(compras_mes3[[#This Row],[CUIT]]="","-",VLOOKUP(compras_mes3[[#This Row],[CUIT]],Lista_CUIT[#All],3,0)),"CUIT NO CARGADO")</f>
        <v>Materia Prima</v>
      </c>
      <c r="R122" s="401">
        <f>IFERROR(IF(compras_mes3[[#This Row],[CUIT]]="","-",VLOOKUP(compras_mes3[[#This Row],[CUIT]],Lista_CUIT[#All],4,0)),"CUIT NO CARGADO")</f>
        <v>0</v>
      </c>
    </row>
    <row r="123" spans="2:18" hidden="1">
      <c r="B123" s="394">
        <v>45377</v>
      </c>
      <c r="C123" s="402">
        <v>3</v>
      </c>
      <c r="D123" s="395">
        <v>11</v>
      </c>
      <c r="E123" s="396">
        <v>25262</v>
      </c>
      <c r="F123" s="397">
        <v>30534051049</v>
      </c>
      <c r="G123" s="398" t="str">
        <f>IFERROR(IF(compras_mes3[[#This Row],[CUIT]]="","-",VLOOKUP(compras_mes3[[#This Row],[CUIT]],Lista_CUIT[#All],2,0)),"CUIT NO CARGADO")</f>
        <v>PLIN METAL S A</v>
      </c>
      <c r="H123" s="399">
        <v>-15054.21</v>
      </c>
      <c r="I123" s="400">
        <f>compras_mes3[[#This Row],[NETO GRAVADO]]*0.21</f>
        <v>-3161.3840999999998</v>
      </c>
      <c r="J123" s="400"/>
      <c r="K123" s="400"/>
      <c r="L123" s="400"/>
      <c r="M123" s="400"/>
      <c r="N123" s="400"/>
      <c r="O123" s="400"/>
      <c r="P123" s="384">
        <f>SUM(compras_mes3[[#This Row],[NETO GRAVADO]:[Otros / No Grav.]])</f>
        <v>-18215.594099999998</v>
      </c>
      <c r="Q123" s="398" t="str">
        <f>IFERROR(IF(compras_mes3[[#This Row],[CUIT]]="","-",VLOOKUP(compras_mes3[[#This Row],[CUIT]],Lista_CUIT[#All],3,0)),"CUIT NO CARGADO")</f>
        <v>Materia Prima</v>
      </c>
      <c r="R123" s="401">
        <f>IFERROR(IF(compras_mes3[[#This Row],[CUIT]]="","-",VLOOKUP(compras_mes3[[#This Row],[CUIT]],Lista_CUIT[#All],4,0)),"CUIT NO CARGADO")</f>
        <v>0</v>
      </c>
    </row>
    <row r="124" spans="2:18" hidden="1">
      <c r="B124" s="394">
        <v>45352</v>
      </c>
      <c r="C124" s="402">
        <v>1</v>
      </c>
      <c r="D124" s="395">
        <v>3</v>
      </c>
      <c r="E124" s="396">
        <v>10960</v>
      </c>
      <c r="F124" s="397">
        <v>30714946389</v>
      </c>
      <c r="G124" s="398" t="str">
        <f>IFERROR(IF(compras_mes3[[#This Row],[CUIT]]="","-",VLOOKUP(compras_mes3[[#This Row],[CUIT]],Lista_CUIT[#All],2,0)),"CUIT NO CARGADO")</f>
        <v>DESCARTABLES Y EMBALAJES SAN ISIDRO S.R.L.</v>
      </c>
      <c r="H124" s="399">
        <v>14851.24</v>
      </c>
      <c r="I124" s="400">
        <f>compras_mes3[[#This Row],[NETO GRAVADO]]*0.21</f>
        <v>3118.7603999999997</v>
      </c>
      <c r="J124" s="400"/>
      <c r="K124" s="400"/>
      <c r="L124" s="400"/>
      <c r="M124" s="400"/>
      <c r="N124" s="400"/>
      <c r="O124" s="400"/>
      <c r="P124" s="384">
        <f>SUM(compras_mes3[[#This Row],[NETO GRAVADO]:[Otros / No Grav.]])</f>
        <v>17970.000400000001</v>
      </c>
      <c r="Q124" s="398" t="str">
        <f>IFERROR(IF(compras_mes3[[#This Row],[CUIT]]="","-",VLOOKUP(compras_mes3[[#This Row],[CUIT]],Lista_CUIT[#All],3,0)),"CUIT NO CARGADO")</f>
        <v>Material de Empaque</v>
      </c>
      <c r="R124" s="401">
        <f>IFERROR(IF(compras_mes3[[#This Row],[CUIT]]="","-",VLOOKUP(compras_mes3[[#This Row],[CUIT]],Lista_CUIT[#All],4,0)),"CUIT NO CARGADO")</f>
        <v>0</v>
      </c>
    </row>
    <row r="125" spans="2:18" hidden="1">
      <c r="B125" s="376">
        <v>45358</v>
      </c>
      <c r="C125" s="377">
        <v>1</v>
      </c>
      <c r="D125" s="378">
        <v>1</v>
      </c>
      <c r="E125" s="379">
        <v>219</v>
      </c>
      <c r="F125" s="380">
        <v>20077604627</v>
      </c>
      <c r="G125" s="381" t="str">
        <f>IFERROR(IF(compras_mes3[[#This Row],[CUIT]]="","-",VLOOKUP(compras_mes3[[#This Row],[CUIT]],Lista_CUIT[#All],2,0)),"CUIT NO CARGADO")</f>
        <v>OCAÑO ENRIQUE</v>
      </c>
      <c r="H125" s="382">
        <v>2166168</v>
      </c>
      <c r="I125" s="383">
        <f>compras_mes3[[#This Row],[NETO GRAVADO]]*0.21</f>
        <v>454895.27999999997</v>
      </c>
      <c r="J125" s="383"/>
      <c r="K125" s="383"/>
      <c r="L125" s="383"/>
      <c r="M125" s="383"/>
      <c r="N125" s="383"/>
      <c r="O125" s="383"/>
      <c r="P125" s="384">
        <f>SUM(compras_mes3[[#This Row],[NETO GRAVADO]:[Otros / No Grav.]])</f>
        <v>2621063.2799999998</v>
      </c>
      <c r="Q125" s="381" t="str">
        <f>IFERROR(IF(compras_mes3[[#This Row],[CUIT]]="","-",VLOOKUP(compras_mes3[[#This Row],[CUIT]],Lista_CUIT[#All],3,0)),"CUIT NO CARGADO")</f>
        <v>Material de Empaque</v>
      </c>
      <c r="R125" s="385">
        <f>IFERROR(IF(compras_mes3[[#This Row],[CUIT]]="","-",VLOOKUP(compras_mes3[[#This Row],[CUIT]],Lista_CUIT[#All],4,0)),"CUIT NO CARGADO")</f>
        <v>0</v>
      </c>
    </row>
    <row r="126" spans="2:18" hidden="1">
      <c r="B126" s="376">
        <v>45362</v>
      </c>
      <c r="C126" s="377">
        <v>1</v>
      </c>
      <c r="D126" s="378">
        <v>2</v>
      </c>
      <c r="E126" s="379">
        <v>745</v>
      </c>
      <c r="F126" s="380">
        <v>20103069832</v>
      </c>
      <c r="G126" s="381" t="str">
        <f>IFERROR(IF(compras_mes3[[#This Row],[CUIT]]="","-",VLOOKUP(compras_mes3[[#This Row],[CUIT]],Lista_CUIT[#All],2,0)),"CUIT NO CARGADO")</f>
        <v>DE LUCA HECTOR RAFAEL FRANCI</v>
      </c>
      <c r="H126" s="382">
        <v>667200</v>
      </c>
      <c r="I126" s="383">
        <f>compras_mes3[[#This Row],[NETO GRAVADO]]*0.21</f>
        <v>140112</v>
      </c>
      <c r="J126" s="383"/>
      <c r="K126" s="383"/>
      <c r="L126" s="383"/>
      <c r="M126" s="383"/>
      <c r="N126" s="383"/>
      <c r="O126" s="383"/>
      <c r="P126" s="384">
        <f>SUM(compras_mes3[[#This Row],[NETO GRAVADO]:[Otros / No Grav.]])</f>
        <v>807312</v>
      </c>
      <c r="Q126" s="381" t="str">
        <f>IFERROR(IF(compras_mes3[[#This Row],[CUIT]]="","-",VLOOKUP(compras_mes3[[#This Row],[CUIT]],Lista_CUIT[#All],3,0)),"CUIT NO CARGADO")</f>
        <v>Material de Empaque</v>
      </c>
      <c r="R126" s="385">
        <f>IFERROR(IF(compras_mes3[[#This Row],[CUIT]]="","-",VLOOKUP(compras_mes3[[#This Row],[CUIT]],Lista_CUIT[#All],4,0)),"CUIT NO CARGADO")</f>
        <v>0</v>
      </c>
    </row>
    <row r="127" spans="2:18" hidden="1">
      <c r="B127" s="376">
        <v>45364</v>
      </c>
      <c r="C127" s="377">
        <v>1</v>
      </c>
      <c r="D127" s="378">
        <v>1</v>
      </c>
      <c r="E127" s="379">
        <v>221</v>
      </c>
      <c r="F127" s="380">
        <v>20077604627</v>
      </c>
      <c r="G127" s="381" t="str">
        <f>IFERROR(IF(compras_mes3[[#This Row],[CUIT]]="","-",VLOOKUP(compras_mes3[[#This Row],[CUIT]],Lista_CUIT[#All],2,0)),"CUIT NO CARGADO")</f>
        <v>OCAÑO ENRIQUE</v>
      </c>
      <c r="H127" s="382">
        <v>417240</v>
      </c>
      <c r="I127" s="383">
        <f>compras_mes3[[#This Row],[NETO GRAVADO]]*0.21</f>
        <v>87620.4</v>
      </c>
      <c r="J127" s="383"/>
      <c r="K127" s="383"/>
      <c r="L127" s="383"/>
      <c r="M127" s="383"/>
      <c r="N127" s="383"/>
      <c r="O127" s="383"/>
      <c r="P127" s="384">
        <f>SUM(compras_mes3[[#This Row],[NETO GRAVADO]:[Otros / No Grav.]])</f>
        <v>504860.4</v>
      </c>
      <c r="Q127" s="381" t="str">
        <f>IFERROR(IF(compras_mes3[[#This Row],[CUIT]]="","-",VLOOKUP(compras_mes3[[#This Row],[CUIT]],Lista_CUIT[#All],3,0)),"CUIT NO CARGADO")</f>
        <v>Material de Empaque</v>
      </c>
      <c r="R127" s="385">
        <f>IFERROR(IF(compras_mes3[[#This Row],[CUIT]]="","-",VLOOKUP(compras_mes3[[#This Row],[CUIT]],Lista_CUIT[#All],4,0)),"CUIT NO CARGADO")</f>
        <v>0</v>
      </c>
    </row>
    <row r="128" spans="2:18" hidden="1">
      <c r="B128" s="40">
        <v>45365</v>
      </c>
      <c r="C128" s="377">
        <v>1</v>
      </c>
      <c r="D128" s="42">
        <v>2</v>
      </c>
      <c r="E128" s="43">
        <v>1160</v>
      </c>
      <c r="F128" s="44">
        <v>20172319743</v>
      </c>
      <c r="G128" s="45" t="str">
        <f>IFERROR(IF(compras_mes3[[#This Row],[CUIT]]="","-",VLOOKUP(compras_mes3[[#This Row],[CUIT]],Lista_CUIT[#All],2,0)),"CUIT NO CARGADO")</f>
        <v>IACONIS SERGIO OMAR</v>
      </c>
      <c r="H128" s="46">
        <v>2964324.11</v>
      </c>
      <c r="I128" s="85">
        <f>compras_mes3[[#This Row],[NETO GRAVADO]]*0.21</f>
        <v>622508.06309999991</v>
      </c>
      <c r="J128" s="85"/>
      <c r="K128" s="85"/>
      <c r="L128" s="85"/>
      <c r="M128" s="85"/>
      <c r="N128" s="85"/>
      <c r="O128" s="85"/>
      <c r="P128" s="384">
        <f>SUM(compras_mes3[[#This Row],[NETO GRAVADO]:[Otros / No Grav.]])</f>
        <v>3586832.1730999998</v>
      </c>
      <c r="Q128" s="45" t="str">
        <f>IFERROR(IF(compras_mes3[[#This Row],[CUIT]]="","-",VLOOKUP(compras_mes3[[#This Row],[CUIT]],Lista_CUIT[#All],3,0)),"CUIT NO CARGADO")</f>
        <v>Material de Empaque</v>
      </c>
      <c r="R128" s="49">
        <f>IFERROR(IF(compras_mes3[[#This Row],[CUIT]]="","-",VLOOKUP(compras_mes3[[#This Row],[CUIT]],Lista_CUIT[#All],4,0)),"CUIT NO CARGADO")</f>
        <v>0</v>
      </c>
    </row>
    <row r="129" spans="2:18" hidden="1">
      <c r="B129" s="376">
        <v>45371</v>
      </c>
      <c r="C129" s="377">
        <v>1</v>
      </c>
      <c r="D129" s="378">
        <v>1</v>
      </c>
      <c r="E129" s="379">
        <v>224</v>
      </c>
      <c r="F129" s="380">
        <v>20077604627</v>
      </c>
      <c r="G129" s="381" t="str">
        <f>IFERROR(IF(compras_mes3[[#This Row],[CUIT]]="","-",VLOOKUP(compras_mes3[[#This Row],[CUIT]],Lista_CUIT[#All],2,0)),"CUIT NO CARGADO")</f>
        <v>OCAÑO ENRIQUE</v>
      </c>
      <c r="H129" s="382">
        <v>248895</v>
      </c>
      <c r="I129" s="383">
        <f>compras_mes3[[#This Row],[NETO GRAVADO]]*0.21</f>
        <v>52267.95</v>
      </c>
      <c r="J129" s="383"/>
      <c r="K129" s="383"/>
      <c r="L129" s="383"/>
      <c r="M129" s="383"/>
      <c r="N129" s="383"/>
      <c r="O129" s="383"/>
      <c r="P129" s="384">
        <f>SUM(compras_mes3[[#This Row],[NETO GRAVADO]:[Otros / No Grav.]])</f>
        <v>301162.95</v>
      </c>
      <c r="Q129" s="381" t="str">
        <f>IFERROR(IF(compras_mes3[[#This Row],[CUIT]]="","-",VLOOKUP(compras_mes3[[#This Row],[CUIT]],Lista_CUIT[#All],3,0)),"CUIT NO CARGADO")</f>
        <v>Material de Empaque</v>
      </c>
      <c r="R129" s="385">
        <f>IFERROR(IF(compras_mes3[[#This Row],[CUIT]]="","-",VLOOKUP(compras_mes3[[#This Row],[CUIT]],Lista_CUIT[#All],4,0)),"CUIT NO CARGADO")</f>
        <v>0</v>
      </c>
    </row>
    <row r="130" spans="2:18" hidden="1">
      <c r="B130" s="376">
        <v>45371</v>
      </c>
      <c r="C130" s="377">
        <v>1</v>
      </c>
      <c r="D130" s="378">
        <v>7</v>
      </c>
      <c r="E130" s="379">
        <v>11286</v>
      </c>
      <c r="F130" s="380">
        <v>30708017759</v>
      </c>
      <c r="G130" s="381" t="str">
        <f>IFERROR(IF(compras_mes3[[#This Row],[CUIT]]="","-",VLOOKUP(compras_mes3[[#This Row],[CUIT]],Lista_CUIT[#All],2,0)),"CUIT NO CARGADO")</f>
        <v>NEW  HIGH PACK  SA</v>
      </c>
      <c r="H130" s="382">
        <v>2846844</v>
      </c>
      <c r="I130" s="383">
        <f>compras_mes3[[#This Row],[NETO GRAVADO]]*0.21</f>
        <v>597837.24</v>
      </c>
      <c r="J130" s="383"/>
      <c r="K130" s="383"/>
      <c r="L130" s="383"/>
      <c r="M130" s="383"/>
      <c r="N130" s="383">
        <v>170810.64</v>
      </c>
      <c r="O130" s="383"/>
      <c r="P130" s="384">
        <f>SUM(compras_mes3[[#This Row],[NETO GRAVADO]:[Otros / No Grav.]])</f>
        <v>3615491.8800000004</v>
      </c>
      <c r="Q130" s="381" t="str">
        <f>IFERROR(IF(compras_mes3[[#This Row],[CUIT]]="","-",VLOOKUP(compras_mes3[[#This Row],[CUIT]],Lista_CUIT[#All],3,0)),"CUIT NO CARGADO")</f>
        <v>Material de Empaque</v>
      </c>
      <c r="R130" s="385">
        <f>IFERROR(IF(compras_mes3[[#This Row],[CUIT]]="","-",VLOOKUP(compras_mes3[[#This Row],[CUIT]],Lista_CUIT[#All],4,0)),"CUIT NO CARGADO")</f>
        <v>0</v>
      </c>
    </row>
    <row r="131" spans="2:18" hidden="1">
      <c r="B131" s="394">
        <v>45377</v>
      </c>
      <c r="C131" s="377">
        <v>1</v>
      </c>
      <c r="D131" s="395">
        <v>3</v>
      </c>
      <c r="E131" s="396">
        <v>2643</v>
      </c>
      <c r="F131" s="397">
        <v>30715296000</v>
      </c>
      <c r="G131" s="398" t="str">
        <f>IFERROR(IF(compras_mes3[[#This Row],[CUIT]]="","-",VLOOKUP(compras_mes3[[#This Row],[CUIT]],Lista_CUIT[#All],2,0)),"CUIT NO CARGADO")</f>
        <v>TUTTO CERAMICAS SRL</v>
      </c>
      <c r="H131" s="399">
        <v>67520.67</v>
      </c>
      <c r="I131" s="400">
        <f>compras_mes3[[#This Row],[NETO GRAVADO]]*0.21</f>
        <v>14179.340699999999</v>
      </c>
      <c r="J131" s="400"/>
      <c r="K131" s="400"/>
      <c r="L131" s="400"/>
      <c r="M131" s="400"/>
      <c r="N131" s="400"/>
      <c r="O131" s="400"/>
      <c r="P131" s="384">
        <f>SUM(compras_mes3[[#This Row],[NETO GRAVADO]:[Otros / No Grav.]])</f>
        <v>81700.010699999999</v>
      </c>
      <c r="Q131" s="398" t="str">
        <f>IFERROR(IF(compras_mes3[[#This Row],[CUIT]]="","-",VLOOKUP(compras_mes3[[#This Row],[CUIT]],Lista_CUIT[#All],3,0)),"CUIT NO CARGADO")</f>
        <v>Material de Empaque</v>
      </c>
      <c r="R131" s="401">
        <f>IFERROR(IF(compras_mes3[[#This Row],[CUIT]]="","-",VLOOKUP(compras_mes3[[#This Row],[CUIT]],Lista_CUIT[#All],4,0)),"CUIT NO CARGADO")</f>
        <v>0</v>
      </c>
    </row>
    <row r="132" spans="2:18" hidden="1">
      <c r="B132" s="394">
        <v>45379</v>
      </c>
      <c r="C132" s="377">
        <v>1</v>
      </c>
      <c r="D132" s="395">
        <v>1</v>
      </c>
      <c r="E132" s="396">
        <v>227</v>
      </c>
      <c r="F132" s="397">
        <v>20077604627</v>
      </c>
      <c r="G132" s="398" t="str">
        <f>IFERROR(IF(compras_mes3[[#This Row],[CUIT]]="","-",VLOOKUP(compras_mes3[[#This Row],[CUIT]],Lista_CUIT[#All],2,0)),"CUIT NO CARGADO")</f>
        <v>OCAÑO ENRIQUE</v>
      </c>
      <c r="H132" s="399">
        <v>2099251</v>
      </c>
      <c r="I132" s="400">
        <f>compras_mes3[[#This Row],[NETO GRAVADO]]*0.21</f>
        <v>440842.70999999996</v>
      </c>
      <c r="J132" s="400"/>
      <c r="K132" s="400"/>
      <c r="L132" s="400"/>
      <c r="M132" s="400"/>
      <c r="N132" s="400"/>
      <c r="O132" s="400"/>
      <c r="P132" s="384">
        <f>SUM(compras_mes3[[#This Row],[NETO GRAVADO]:[Otros / No Grav.]])</f>
        <v>2540093.71</v>
      </c>
      <c r="Q132" s="398" t="str">
        <f>IFERROR(IF(compras_mes3[[#This Row],[CUIT]]="","-",VLOOKUP(compras_mes3[[#This Row],[CUIT]],Lista_CUIT[#All],3,0)),"CUIT NO CARGADO")</f>
        <v>Material de Empaque</v>
      </c>
      <c r="R132" s="401">
        <f>IFERROR(IF(compras_mes3[[#This Row],[CUIT]]="","-",VLOOKUP(compras_mes3[[#This Row],[CUIT]],Lista_CUIT[#All],4,0)),"CUIT NO CARGADO")</f>
        <v>0</v>
      </c>
    </row>
    <row r="133" spans="2:18" hidden="1">
      <c r="B133" s="394">
        <v>45379</v>
      </c>
      <c r="C133" s="377">
        <v>1</v>
      </c>
      <c r="D133" s="395">
        <v>1</v>
      </c>
      <c r="E133" s="396">
        <v>226</v>
      </c>
      <c r="F133" s="397">
        <v>20077604627</v>
      </c>
      <c r="G133" s="398" t="str">
        <f>IFERROR(IF(compras_mes3[[#This Row],[CUIT]]="","-",VLOOKUP(compras_mes3[[#This Row],[CUIT]],Lista_CUIT[#All],2,0)),"CUIT NO CARGADO")</f>
        <v>OCAÑO ENRIQUE</v>
      </c>
      <c r="H133" s="399">
        <v>4777990</v>
      </c>
      <c r="I133" s="400">
        <f>compras_mes3[[#This Row],[NETO GRAVADO]]*0.21</f>
        <v>1003377.8999999999</v>
      </c>
      <c r="J133" s="400"/>
      <c r="K133" s="400"/>
      <c r="L133" s="400"/>
      <c r="M133" s="400"/>
      <c r="N133" s="400"/>
      <c r="O133" s="400"/>
      <c r="P133" s="384">
        <f>SUM(compras_mes3[[#This Row],[NETO GRAVADO]:[Otros / No Grav.]])</f>
        <v>5781367.9000000004</v>
      </c>
      <c r="Q133" s="398" t="str">
        <f>IFERROR(IF(compras_mes3[[#This Row],[CUIT]]="","-",VLOOKUP(compras_mes3[[#This Row],[CUIT]],Lista_CUIT[#All],3,0)),"CUIT NO CARGADO")</f>
        <v>Material de Empaque</v>
      </c>
      <c r="R133" s="401">
        <f>IFERROR(IF(compras_mes3[[#This Row],[CUIT]]="","-",VLOOKUP(compras_mes3[[#This Row],[CUIT]],Lista_CUIT[#All],4,0)),"CUIT NO CARGADO")</f>
        <v>0</v>
      </c>
    </row>
    <row r="134" spans="2:18" hidden="1">
      <c r="B134" s="347">
        <v>45355</v>
      </c>
      <c r="C134" s="351">
        <v>1</v>
      </c>
      <c r="D134" s="360">
        <v>629</v>
      </c>
      <c r="E134" s="361">
        <v>4935914</v>
      </c>
      <c r="F134" s="362">
        <v>30663498513</v>
      </c>
      <c r="G134" s="279" t="str">
        <f>IFERROR(IF(compras_mes3[[#This Row],[CUIT]]="","-",VLOOKUP(compras_mes3[[#This Row],[CUIT]],Lista_CUIT[#All],2,0)),"CUIT NO CARGADO")</f>
        <v>GRUPO CONCES. DEL OESTE SA</v>
      </c>
      <c r="H134" s="276">
        <v>7437.92</v>
      </c>
      <c r="I134" s="266">
        <f>compras_mes3[[#This Row],[NETO GRAVADO]]*0.21</f>
        <v>1561.9631999999999</v>
      </c>
      <c r="J134" s="266"/>
      <c r="K134" s="266"/>
      <c r="L134" s="266"/>
      <c r="M134" s="266"/>
      <c r="N134" s="266"/>
      <c r="O134" s="266"/>
      <c r="P134" s="358">
        <f>SUM(compras_mes3[[#This Row],[NETO GRAVADO]:[Otros / No Grav.]])</f>
        <v>8999.8832000000002</v>
      </c>
      <c r="Q134" s="279" t="str">
        <f>IFERROR(IF(compras_mes3[[#This Row],[CUIT]]="","-",VLOOKUP(compras_mes3[[#This Row],[CUIT]],Lista_CUIT[#All],3,0)),"CUIT NO CARGADO")</f>
        <v>Peajes</v>
      </c>
      <c r="R134" s="280">
        <f>IFERROR(IF(compras_mes3[[#This Row],[CUIT]]="","-",VLOOKUP(compras_mes3[[#This Row],[CUIT]],Lista_CUIT[#All],4,0)),"CUIT NO CARGADO")</f>
        <v>0</v>
      </c>
    </row>
    <row r="135" spans="2:18" hidden="1">
      <c r="B135" s="350">
        <v>45355</v>
      </c>
      <c r="C135" s="351">
        <v>1</v>
      </c>
      <c r="D135" s="352">
        <v>711</v>
      </c>
      <c r="E135" s="353">
        <v>5410724</v>
      </c>
      <c r="F135" s="354">
        <v>30677237119</v>
      </c>
      <c r="G135" s="355" t="str">
        <f>IFERROR(IF(compras_mes3[[#This Row],[CUIT]]="","-",VLOOKUP(compras_mes3[[#This Row],[CUIT]],Lista_CUIT[#All],2,0)),"CUIT NO CARGADO")</f>
        <v>AUTOPISTAS DEL SOL S A</v>
      </c>
      <c r="H135" s="356">
        <v>3140.46</v>
      </c>
      <c r="I135" s="357">
        <f>compras_mes3[[#This Row],[NETO GRAVADO]]*0.21</f>
        <v>659.49659999999994</v>
      </c>
      <c r="J135" s="357"/>
      <c r="K135" s="357"/>
      <c r="L135" s="357"/>
      <c r="M135" s="357"/>
      <c r="N135" s="357"/>
      <c r="O135" s="357">
        <v>94.21</v>
      </c>
      <c r="P135" s="358">
        <f>SUM(compras_mes3[[#This Row],[NETO GRAVADO]:[Otros / No Grav.]])</f>
        <v>3894.1666</v>
      </c>
      <c r="Q135" s="355" t="str">
        <f>IFERROR(IF(compras_mes3[[#This Row],[CUIT]]="","-",VLOOKUP(compras_mes3[[#This Row],[CUIT]],Lista_CUIT[#All],3,0)),"CUIT NO CARGADO")</f>
        <v>Peajes</v>
      </c>
      <c r="R135" s="359">
        <f>IFERROR(IF(compras_mes3[[#This Row],[CUIT]]="","-",VLOOKUP(compras_mes3[[#This Row],[CUIT]],Lista_CUIT[#All],4,0)),"CUIT NO CARGADO")</f>
        <v>0</v>
      </c>
    </row>
    <row r="136" spans="2:18" hidden="1">
      <c r="B136" s="363">
        <v>45355</v>
      </c>
      <c r="C136" s="351">
        <v>1</v>
      </c>
      <c r="D136" s="364">
        <v>5014</v>
      </c>
      <c r="E136" s="365">
        <v>587188</v>
      </c>
      <c r="F136" s="366">
        <v>30574876474</v>
      </c>
      <c r="G136" s="277" t="str">
        <f>IFERROR(IF(compras_mes3[[#This Row],[CUIT]]="","-",VLOOKUP(compras_mes3[[#This Row],[CUIT]],Lista_CUIT[#All],2,0)),"CUIT NO CARGADO")</f>
        <v>AUTOPISTAS URBANAS S A</v>
      </c>
      <c r="H136" s="264">
        <v>31344.7</v>
      </c>
      <c r="I136" s="265">
        <f>compras_mes3[[#This Row],[NETO GRAVADO]]*0.21</f>
        <v>6582.3869999999997</v>
      </c>
      <c r="J136" s="265"/>
      <c r="K136" s="265"/>
      <c r="L136" s="265"/>
      <c r="M136" s="265"/>
      <c r="N136" s="265"/>
      <c r="O136" s="265">
        <f>3134.46+940.33</f>
        <v>4074.79</v>
      </c>
      <c r="P136" s="358">
        <f>SUM(compras_mes3[[#This Row],[NETO GRAVADO]:[Otros / No Grav.]])</f>
        <v>42001.877</v>
      </c>
      <c r="Q136" s="277" t="str">
        <f>IFERROR(IF(compras_mes3[[#This Row],[CUIT]]="","-",VLOOKUP(compras_mes3[[#This Row],[CUIT]],Lista_CUIT[#All],3,0)),"CUIT NO CARGADO")</f>
        <v>Peajes</v>
      </c>
      <c r="R136" s="278">
        <f>IFERROR(IF(compras_mes3[[#This Row],[CUIT]]="","-",VLOOKUP(compras_mes3[[#This Row],[CUIT]],Lista_CUIT[#All],4,0)),"CUIT NO CARGADO")</f>
        <v>0</v>
      </c>
    </row>
    <row r="137" spans="2:18" hidden="1">
      <c r="B137" s="350">
        <v>45357</v>
      </c>
      <c r="C137" s="351">
        <v>1</v>
      </c>
      <c r="D137" s="352">
        <v>700</v>
      </c>
      <c r="E137" s="353">
        <v>1518520</v>
      </c>
      <c r="F137" s="354">
        <v>30715804812</v>
      </c>
      <c r="G137" s="355" t="str">
        <f>IFERROR(IF(compras_mes3[[#This Row],[CUIT]]="","-",VLOOKUP(compras_mes3[[#This Row],[CUIT]],Lista_CUIT[#All],2,0)),"CUIT NO CARGADO")</f>
        <v>CORREDORES VIALES SOCIEDAD ANONIMA</v>
      </c>
      <c r="H137" s="356">
        <v>206.61</v>
      </c>
      <c r="I137" s="357">
        <f>compras_mes3[[#This Row],[NETO GRAVADO]]*0.21</f>
        <v>43.388100000000001</v>
      </c>
      <c r="J137" s="357"/>
      <c r="K137" s="357"/>
      <c r="L137" s="357"/>
      <c r="M137" s="357"/>
      <c r="N137" s="357"/>
      <c r="O137" s="357"/>
      <c r="P137" s="358">
        <f>SUM(compras_mes3[[#This Row],[NETO GRAVADO]:[Otros / No Grav.]])</f>
        <v>249.99810000000002</v>
      </c>
      <c r="Q137" s="355" t="str">
        <f>IFERROR(IF(compras_mes3[[#This Row],[CUIT]]="","-",VLOOKUP(compras_mes3[[#This Row],[CUIT]],Lista_CUIT[#All],3,0)),"CUIT NO CARGADO")</f>
        <v>Peajes</v>
      </c>
      <c r="R137" s="359">
        <f>IFERROR(IF(compras_mes3[[#This Row],[CUIT]]="","-",VLOOKUP(compras_mes3[[#This Row],[CUIT]],Lista_CUIT[#All],4,0)),"CUIT NO CARGADO")</f>
        <v>0</v>
      </c>
    </row>
    <row r="138" spans="2:18" hidden="1">
      <c r="B138" s="350">
        <v>45364</v>
      </c>
      <c r="C138" s="351">
        <v>1</v>
      </c>
      <c r="D138" s="352">
        <v>7</v>
      </c>
      <c r="E138" s="353">
        <v>45934</v>
      </c>
      <c r="F138" s="354">
        <v>30714783129</v>
      </c>
      <c r="G138" s="355" t="str">
        <f>IFERROR(IF(compras_mes3[[#This Row],[CUIT]]="","-",VLOOKUP(compras_mes3[[#This Row],[CUIT]],Lista_CUIT[#All],2,0)),"CUIT NO CARGADO")</f>
        <v>UNIPASE S.A.</v>
      </c>
      <c r="H138" s="356">
        <v>3016.53</v>
      </c>
      <c r="I138" s="357">
        <f>compras_mes3[[#This Row],[NETO GRAVADO]]*0.21</f>
        <v>633.47130000000004</v>
      </c>
      <c r="J138" s="357"/>
      <c r="K138" s="357"/>
      <c r="L138" s="357"/>
      <c r="M138" s="357"/>
      <c r="N138" s="357"/>
      <c r="O138" s="357"/>
      <c r="P138" s="358">
        <f>SUM(compras_mes3[[#This Row],[NETO GRAVADO]:[Otros / No Grav.]])</f>
        <v>3650.0013000000004</v>
      </c>
      <c r="Q138" s="355" t="str">
        <f>IFERROR(IF(compras_mes3[[#This Row],[CUIT]]="","-",VLOOKUP(compras_mes3[[#This Row],[CUIT]],Lista_CUIT[#All],3,0)),"CUIT NO CARGADO")</f>
        <v>Peajes</v>
      </c>
      <c r="R138" s="359">
        <f>IFERROR(IF(compras_mes3[[#This Row],[CUIT]]="","-",VLOOKUP(compras_mes3[[#This Row],[CUIT]],Lista_CUIT[#All],4,0)),"CUIT NO CARGADO")</f>
        <v>0</v>
      </c>
    </row>
    <row r="139" spans="2:18" hidden="1">
      <c r="B139" s="350">
        <v>45365</v>
      </c>
      <c r="C139" s="351">
        <v>1</v>
      </c>
      <c r="D139" s="352">
        <v>503</v>
      </c>
      <c r="E139" s="353">
        <v>1243411</v>
      </c>
      <c r="F139" s="354">
        <v>30639935872</v>
      </c>
      <c r="G139" s="355" t="str">
        <f>IFERROR(IF(compras_mes3[[#This Row],[CUIT]]="","-",VLOOKUP(compras_mes3[[#This Row],[CUIT]],Lista_CUIT[#All],2,0)),"CUIT NO CARGADO")</f>
        <v>CAMINOS DEL RIO URUGUAY S A DE CONSTRUCCIONES Y CONCESIONES VIALES</v>
      </c>
      <c r="H139" s="356">
        <v>2396.6999999999998</v>
      </c>
      <c r="I139" s="357">
        <f>compras_mes3[[#This Row],[NETO GRAVADO]]*0.21</f>
        <v>503.30699999999996</v>
      </c>
      <c r="J139" s="357"/>
      <c r="K139" s="357"/>
      <c r="L139" s="357"/>
      <c r="M139" s="357"/>
      <c r="N139" s="357"/>
      <c r="O139" s="357">
        <v>143.80000000000001</v>
      </c>
      <c r="P139" s="358">
        <f>SUM(compras_mes3[[#This Row],[NETO GRAVADO]:[Otros / No Grav.]])</f>
        <v>3043.8069999999998</v>
      </c>
      <c r="Q139" s="355" t="str">
        <f>IFERROR(IF(compras_mes3[[#This Row],[CUIT]]="","-",VLOOKUP(compras_mes3[[#This Row],[CUIT]],Lista_CUIT[#All],3,0)),"CUIT NO CARGADO")</f>
        <v>Peajes</v>
      </c>
      <c r="R139" s="359">
        <f>IFERROR(IF(compras_mes3[[#This Row],[CUIT]]="","-",VLOOKUP(compras_mes3[[#This Row],[CUIT]],Lista_CUIT[#All],4,0)),"CUIT NO CARGADO")</f>
        <v>0</v>
      </c>
    </row>
    <row r="140" spans="2:18" hidden="1">
      <c r="B140" s="350">
        <v>45366</v>
      </c>
      <c r="C140" s="351">
        <v>1</v>
      </c>
      <c r="D140" s="352">
        <v>104</v>
      </c>
      <c r="E140" s="353">
        <v>5378341</v>
      </c>
      <c r="F140" s="354">
        <v>30715804812</v>
      </c>
      <c r="G140" s="355" t="str">
        <f>IFERROR(IF(compras_mes3[[#This Row],[CUIT]]="","-",VLOOKUP(compras_mes3[[#This Row],[CUIT]],Lista_CUIT[#All],2,0)),"CUIT NO CARGADO")</f>
        <v>CORREDORES VIALES SOCIEDAD ANONIMA</v>
      </c>
      <c r="H140" s="356">
        <v>495.87</v>
      </c>
      <c r="I140" s="357">
        <f>compras_mes3[[#This Row],[NETO GRAVADO]]*0.21</f>
        <v>104.1327</v>
      </c>
      <c r="J140" s="357"/>
      <c r="K140" s="357"/>
      <c r="L140" s="357"/>
      <c r="M140" s="357"/>
      <c r="N140" s="357">
        <v>29.75</v>
      </c>
      <c r="O140" s="357"/>
      <c r="P140" s="358">
        <f>SUM(compras_mes3[[#This Row],[NETO GRAVADO]:[Otros / No Grav.]])</f>
        <v>629.7527</v>
      </c>
      <c r="Q140" s="355" t="str">
        <f>IFERROR(IF(compras_mes3[[#This Row],[CUIT]]="","-",VLOOKUP(compras_mes3[[#This Row],[CUIT]],Lista_CUIT[#All],3,0)),"CUIT NO CARGADO")</f>
        <v>Peajes</v>
      </c>
      <c r="R140" s="359">
        <f>IFERROR(IF(compras_mes3[[#This Row],[CUIT]]="","-",VLOOKUP(compras_mes3[[#This Row],[CUIT]],Lista_CUIT[#All],4,0)),"CUIT NO CARGADO")</f>
        <v>0</v>
      </c>
    </row>
    <row r="141" spans="2:18" hidden="1">
      <c r="B141" s="350">
        <v>45368</v>
      </c>
      <c r="C141" s="351">
        <v>1</v>
      </c>
      <c r="D141" s="352">
        <v>711</v>
      </c>
      <c r="E141" s="353">
        <v>5466077</v>
      </c>
      <c r="F141" s="354">
        <v>30677237119</v>
      </c>
      <c r="G141" s="355" t="str">
        <f>IFERROR(IF(compras_mes3[[#This Row],[CUIT]]="","-",VLOOKUP(compras_mes3[[#This Row],[CUIT]],Lista_CUIT[#All],2,0)),"CUIT NO CARGADO")</f>
        <v>AUTOPISTAS DEL SOL S A</v>
      </c>
      <c r="H141" s="356">
        <v>8966.85</v>
      </c>
      <c r="I141" s="357">
        <f>compras_mes3[[#This Row],[NETO GRAVADO]]*0.21</f>
        <v>1883.0385000000001</v>
      </c>
      <c r="J141" s="357"/>
      <c r="K141" s="357"/>
      <c r="L141" s="357"/>
      <c r="M141" s="357"/>
      <c r="N141" s="357"/>
      <c r="O141" s="357">
        <v>269.01</v>
      </c>
      <c r="P141" s="358">
        <f>SUM(compras_mes3[[#This Row],[NETO GRAVADO]:[Otros / No Grav.]])</f>
        <v>11118.898500000001</v>
      </c>
      <c r="Q141" s="355" t="str">
        <f>IFERROR(IF(compras_mes3[[#This Row],[CUIT]]="","-",VLOOKUP(compras_mes3[[#This Row],[CUIT]],Lista_CUIT[#All],3,0)),"CUIT NO CARGADO")</f>
        <v>Peajes</v>
      </c>
      <c r="R141" s="359">
        <f>IFERROR(IF(compras_mes3[[#This Row],[CUIT]]="","-",VLOOKUP(compras_mes3[[#This Row],[CUIT]],Lista_CUIT[#All],4,0)),"CUIT NO CARGADO")</f>
        <v>0</v>
      </c>
    </row>
    <row r="142" spans="2:18" hidden="1">
      <c r="B142" s="376">
        <v>45368</v>
      </c>
      <c r="C142" s="377">
        <v>1</v>
      </c>
      <c r="D142" s="378">
        <v>629</v>
      </c>
      <c r="E142" s="379">
        <v>4972900</v>
      </c>
      <c r="F142" s="380">
        <v>30663498513</v>
      </c>
      <c r="G142" s="381" t="str">
        <f>IFERROR(IF(compras_mes3[[#This Row],[CUIT]]="","-",VLOOKUP(compras_mes3[[#This Row],[CUIT]],Lista_CUIT[#All],2,0)),"CUIT NO CARGADO")</f>
        <v>GRUPO CONCES. DEL OESTE SA</v>
      </c>
      <c r="H142" s="382">
        <v>9297.41</v>
      </c>
      <c r="I142" s="383">
        <f>compras_mes3[[#This Row],[NETO GRAVADO]]*0.21</f>
        <v>1952.4560999999999</v>
      </c>
      <c r="J142" s="383"/>
      <c r="K142" s="383"/>
      <c r="L142" s="383"/>
      <c r="M142" s="383"/>
      <c r="N142" s="383"/>
      <c r="O142" s="383"/>
      <c r="P142" s="384">
        <f>SUM(compras_mes3[[#This Row],[NETO GRAVADO]:[Otros / No Grav.]])</f>
        <v>11249.866099999999</v>
      </c>
      <c r="Q142" s="381" t="str">
        <f>IFERROR(IF(compras_mes3[[#This Row],[CUIT]]="","-",VLOOKUP(compras_mes3[[#This Row],[CUIT]],Lista_CUIT[#All],3,0)),"CUIT NO CARGADO")</f>
        <v>Peajes</v>
      </c>
      <c r="R142" s="385">
        <f>IFERROR(IF(compras_mes3[[#This Row],[CUIT]]="","-",VLOOKUP(compras_mes3[[#This Row],[CUIT]],Lista_CUIT[#All],4,0)),"CUIT NO CARGADO")</f>
        <v>0</v>
      </c>
    </row>
    <row r="143" spans="2:18" hidden="1">
      <c r="B143" s="376">
        <v>45369</v>
      </c>
      <c r="C143" s="377">
        <v>1</v>
      </c>
      <c r="D143" s="378">
        <v>5014</v>
      </c>
      <c r="E143" s="379">
        <v>597151</v>
      </c>
      <c r="F143" s="380">
        <v>30574876474</v>
      </c>
      <c r="G143" s="381" t="str">
        <f>IFERROR(IF(compras_mes3[[#This Row],[CUIT]]="","-",VLOOKUP(compras_mes3[[#This Row],[CUIT]],Lista_CUIT[#All],2,0)),"CUIT NO CARGADO")</f>
        <v>AUTOPISTAS URBANAS S A</v>
      </c>
      <c r="H143" s="382">
        <v>52305.77</v>
      </c>
      <c r="I143" s="383">
        <f>compras_mes3[[#This Row],[NETO GRAVADO]]*0.21</f>
        <v>10984.211699999998</v>
      </c>
      <c r="J143" s="383"/>
      <c r="K143" s="383"/>
      <c r="L143" s="383"/>
      <c r="M143" s="383"/>
      <c r="N143" s="383"/>
      <c r="O143" s="383">
        <f>1569.15+5230.55</f>
        <v>6799.7000000000007</v>
      </c>
      <c r="P143" s="384">
        <f>SUM(compras_mes3[[#This Row],[NETO GRAVADO]:[Otros / No Grav.]])</f>
        <v>70089.681700000001</v>
      </c>
      <c r="Q143" s="381" t="str">
        <f>IFERROR(IF(compras_mes3[[#This Row],[CUIT]]="","-",VLOOKUP(compras_mes3[[#This Row],[CUIT]],Lista_CUIT[#All],3,0)),"CUIT NO CARGADO")</f>
        <v>Peajes</v>
      </c>
      <c r="R143" s="385">
        <f>IFERROR(IF(compras_mes3[[#This Row],[CUIT]]="","-",VLOOKUP(compras_mes3[[#This Row],[CUIT]],Lista_CUIT[#All],4,0)),"CUIT NO CARGADO")</f>
        <v>0</v>
      </c>
    </row>
    <row r="144" spans="2:18" hidden="1">
      <c r="B144" s="376">
        <v>45372</v>
      </c>
      <c r="C144" s="377">
        <v>1</v>
      </c>
      <c r="D144" s="378">
        <v>700</v>
      </c>
      <c r="E144" s="379">
        <v>1548608</v>
      </c>
      <c r="F144" s="380">
        <v>30715804812</v>
      </c>
      <c r="G144" s="381" t="str">
        <f>IFERROR(IF(compras_mes3[[#This Row],[CUIT]]="","-",VLOOKUP(compras_mes3[[#This Row],[CUIT]],Lista_CUIT[#All],2,0)),"CUIT NO CARGADO")</f>
        <v>CORREDORES VIALES SOCIEDAD ANONIMA</v>
      </c>
      <c r="H144" s="382">
        <v>2396.6999999999998</v>
      </c>
      <c r="I144" s="383">
        <f>compras_mes3[[#This Row],[NETO GRAVADO]]*0.21</f>
        <v>503.30699999999996</v>
      </c>
      <c r="J144" s="383"/>
      <c r="K144" s="383"/>
      <c r="L144" s="383"/>
      <c r="M144" s="383"/>
      <c r="N144" s="383"/>
      <c r="O144" s="383"/>
      <c r="P144" s="384">
        <f>SUM(compras_mes3[[#This Row],[NETO GRAVADO]:[Otros / No Grav.]])</f>
        <v>2900.0069999999996</v>
      </c>
      <c r="Q144" s="381" t="str">
        <f>IFERROR(IF(compras_mes3[[#This Row],[CUIT]]="","-",VLOOKUP(compras_mes3[[#This Row],[CUIT]],Lista_CUIT[#All],3,0)),"CUIT NO CARGADO")</f>
        <v>Peajes</v>
      </c>
      <c r="R144" s="385">
        <f>IFERROR(IF(compras_mes3[[#This Row],[CUIT]]="","-",VLOOKUP(compras_mes3[[#This Row],[CUIT]],Lista_CUIT[#All],4,0)),"CUIT NO CARGADO")</f>
        <v>0</v>
      </c>
    </row>
    <row r="145" spans="2:18" hidden="1">
      <c r="B145" s="394">
        <v>45380</v>
      </c>
      <c r="C145" s="377">
        <v>1</v>
      </c>
      <c r="D145" s="395">
        <v>503</v>
      </c>
      <c r="E145" s="396">
        <v>1259298</v>
      </c>
      <c r="F145" s="397">
        <v>30639935872</v>
      </c>
      <c r="G145" s="398" t="str">
        <f>IFERROR(IF(compras_mes3[[#This Row],[CUIT]]="","-",VLOOKUP(compras_mes3[[#This Row],[CUIT]],Lista_CUIT[#All],2,0)),"CUIT NO CARGADO")</f>
        <v>CAMINOS DEL RIO URUGUAY S A DE CONSTRUCCIONES Y CONCESIONES VIALES</v>
      </c>
      <c r="H145" s="399">
        <v>454.55</v>
      </c>
      <c r="I145" s="400">
        <f>compras_mes3[[#This Row],[NETO GRAVADO]]*0.21</f>
        <v>95.455500000000001</v>
      </c>
      <c r="J145" s="400"/>
      <c r="K145" s="400"/>
      <c r="L145" s="400"/>
      <c r="M145" s="400"/>
      <c r="N145" s="400">
        <v>27.27</v>
      </c>
      <c r="O145" s="400"/>
      <c r="P145" s="384">
        <f>SUM(compras_mes3[[#This Row],[NETO GRAVADO]:[Otros / No Grav.]])</f>
        <v>577.27549999999997</v>
      </c>
      <c r="Q145" s="398" t="str">
        <f>IFERROR(IF(compras_mes3[[#This Row],[CUIT]]="","-",VLOOKUP(compras_mes3[[#This Row],[CUIT]],Lista_CUIT[#All],3,0)),"CUIT NO CARGADO")</f>
        <v>Peajes</v>
      </c>
      <c r="R145" s="401">
        <f>IFERROR(IF(compras_mes3[[#This Row],[CUIT]]="","-",VLOOKUP(compras_mes3[[#This Row],[CUIT]],Lista_CUIT[#All],4,0)),"CUIT NO CARGADO")</f>
        <v>0</v>
      </c>
    </row>
    <row r="146" spans="2:18" hidden="1">
      <c r="B146" s="394">
        <v>45382</v>
      </c>
      <c r="C146" s="377">
        <v>1</v>
      </c>
      <c r="D146" s="395">
        <v>50</v>
      </c>
      <c r="E146" s="396">
        <v>3543201</v>
      </c>
      <c r="F146" s="397">
        <v>30714112836</v>
      </c>
      <c r="G146" s="398" t="str">
        <f>IFERROR(IF(compras_mes3[[#This Row],[CUIT]]="","-",VLOOKUP(compras_mes3[[#This Row],[CUIT]],Lista_CUIT[#All],2,0)),"CUIT NO CARGADO")</f>
        <v>AUTOPISTAS DE BS AS</v>
      </c>
      <c r="H146" s="399">
        <v>20756.2</v>
      </c>
      <c r="I146" s="400">
        <f>compras_mes3[[#This Row],[NETO GRAVADO]]*0.21</f>
        <v>4358.8019999999997</v>
      </c>
      <c r="J146" s="400"/>
      <c r="K146" s="400"/>
      <c r="L146" s="400">
        <v>622.69000000000005</v>
      </c>
      <c r="M146" s="400"/>
      <c r="N146" s="400"/>
      <c r="O146" s="400"/>
      <c r="P146" s="384">
        <f>SUM(compras_mes3[[#This Row],[NETO GRAVADO]:[Otros / No Grav.]])</f>
        <v>25737.691999999999</v>
      </c>
      <c r="Q146" s="398" t="str">
        <f>IFERROR(IF(compras_mes3[[#This Row],[CUIT]]="","-",VLOOKUP(compras_mes3[[#This Row],[CUIT]],Lista_CUIT[#All],3,0)),"CUIT NO CARGADO")</f>
        <v>Peajes</v>
      </c>
      <c r="R146" s="401">
        <f>IFERROR(IF(compras_mes3[[#This Row],[CUIT]]="","-",VLOOKUP(compras_mes3[[#This Row],[CUIT]],Lista_CUIT[#All],4,0)),"CUIT NO CARGADO")</f>
        <v>0</v>
      </c>
    </row>
    <row r="147" spans="2:18" hidden="1">
      <c r="B147" s="350">
        <v>45352</v>
      </c>
      <c r="C147" s="351">
        <v>1</v>
      </c>
      <c r="D147" s="352">
        <v>6</v>
      </c>
      <c r="E147" s="353">
        <v>3021</v>
      </c>
      <c r="F147" s="354">
        <v>30574603788</v>
      </c>
      <c r="G147" s="355" t="str">
        <f>IFERROR(IF(compras_mes3[[#This Row],[CUIT]]="","-",VLOOKUP(compras_mes3[[#This Row],[CUIT]],Lista_CUIT[#All],2,0)),"CUIT NO CARGADO")</f>
        <v>CODAC SRL</v>
      </c>
      <c r="H147" s="356">
        <v>2338905</v>
      </c>
      <c r="I147" s="357">
        <f>compras_mes3[[#This Row],[NETO GRAVADO]]*0.21</f>
        <v>491170.05</v>
      </c>
      <c r="J147" s="357"/>
      <c r="K147" s="357"/>
      <c r="L147" s="357"/>
      <c r="M147" s="357"/>
      <c r="N147" s="357"/>
      <c r="O147" s="357"/>
      <c r="P147" s="358">
        <f>SUM(compras_mes3[[#This Row],[NETO GRAVADO]:[Otros / No Grav.]])</f>
        <v>2830075.05</v>
      </c>
      <c r="Q147" s="355" t="str">
        <f>IFERROR(IF(compras_mes3[[#This Row],[CUIT]]="","-",VLOOKUP(compras_mes3[[#This Row],[CUIT]],Lista_CUIT[#All],3,0)),"CUIT NO CARGADO")</f>
        <v>Productos Venta</v>
      </c>
      <c r="R147" s="359" t="str">
        <f>IFERROR(IF(compras_mes3[[#This Row],[CUIT]]="","-",VLOOKUP(compras_mes3[[#This Row],[CUIT]],Lista_CUIT[#All],4,0)),"CUIT NO CARGADO")</f>
        <v>BUENOS AIRES</v>
      </c>
    </row>
    <row r="148" spans="2:18" hidden="1">
      <c r="B148" s="376">
        <v>45358</v>
      </c>
      <c r="C148" s="377">
        <v>1</v>
      </c>
      <c r="D148" s="378">
        <v>6</v>
      </c>
      <c r="E148" s="379">
        <v>3031</v>
      </c>
      <c r="F148" s="380">
        <v>30574603788</v>
      </c>
      <c r="G148" s="381" t="str">
        <f>IFERROR(IF(compras_mes3[[#This Row],[CUIT]]="","-",VLOOKUP(compras_mes3[[#This Row],[CUIT]],Lista_CUIT[#All],2,0)),"CUIT NO CARGADO")</f>
        <v>CODAC SRL</v>
      </c>
      <c r="H148" s="382">
        <v>2972084</v>
      </c>
      <c r="I148" s="383">
        <f>compras_mes3[[#This Row],[NETO GRAVADO]]*0.21</f>
        <v>624137.64</v>
      </c>
      <c r="J148" s="383"/>
      <c r="K148" s="383"/>
      <c r="L148" s="383"/>
      <c r="M148" s="383"/>
      <c r="N148" s="383"/>
      <c r="O148" s="383"/>
      <c r="P148" s="384">
        <f>SUM(compras_mes3[[#This Row],[NETO GRAVADO]:[Otros / No Grav.]])</f>
        <v>3596221.64</v>
      </c>
      <c r="Q148" s="381" t="str">
        <f>IFERROR(IF(compras_mes3[[#This Row],[CUIT]]="","-",VLOOKUP(compras_mes3[[#This Row],[CUIT]],Lista_CUIT[#All],3,0)),"CUIT NO CARGADO")</f>
        <v>Productos Venta</v>
      </c>
      <c r="R148" s="385" t="str">
        <f>IFERROR(IF(compras_mes3[[#This Row],[CUIT]]="","-",VLOOKUP(compras_mes3[[#This Row],[CUIT]],Lista_CUIT[#All],4,0)),"CUIT NO CARGADO")</f>
        <v>BUENOS AIRES</v>
      </c>
    </row>
    <row r="149" spans="2:18" hidden="1">
      <c r="B149" s="350">
        <v>45364</v>
      </c>
      <c r="C149" s="351">
        <v>1</v>
      </c>
      <c r="D149" s="352">
        <v>2</v>
      </c>
      <c r="E149" s="353">
        <v>4379</v>
      </c>
      <c r="F149" s="354">
        <v>30717163296</v>
      </c>
      <c r="G149" s="355" t="str">
        <f>IFERROR(IF(compras_mes3[[#This Row],[CUIT]]="","-",VLOOKUP(compras_mes3[[#This Row],[CUIT]],Lista_CUIT[#All],2,0)),"CUIT NO CARGADO")</f>
        <v>LABORATORIOS COTTON FIELDS S.A.</v>
      </c>
      <c r="H149" s="356">
        <v>24793.39</v>
      </c>
      <c r="I149" s="357">
        <f>compras_mes3[[#This Row],[NETO GRAVADO]]*0.21</f>
        <v>5206.6118999999999</v>
      </c>
      <c r="J149" s="357"/>
      <c r="K149" s="357"/>
      <c r="L149" s="357"/>
      <c r="M149" s="357"/>
      <c r="N149" s="357"/>
      <c r="O149" s="357"/>
      <c r="P149" s="358">
        <f>SUM(compras_mes3[[#This Row],[NETO GRAVADO]:[Otros / No Grav.]])</f>
        <v>30000.001899999999</v>
      </c>
      <c r="Q149" s="355" t="str">
        <f>IFERROR(IF(compras_mes3[[#This Row],[CUIT]]="","-",VLOOKUP(compras_mes3[[#This Row],[CUIT]],Lista_CUIT[#All],3,0)),"CUIT NO CARGADO")</f>
        <v>Productos Venta</v>
      </c>
      <c r="R149" s="359">
        <f>IFERROR(IF(compras_mes3[[#This Row],[CUIT]]="","-",VLOOKUP(compras_mes3[[#This Row],[CUIT]],Lista_CUIT[#All],4,0)),"CUIT NO CARGADO")</f>
        <v>0</v>
      </c>
    </row>
    <row r="150" spans="2:18" hidden="1">
      <c r="B150" s="376">
        <v>45369</v>
      </c>
      <c r="C150" s="377">
        <v>1</v>
      </c>
      <c r="D150" s="378">
        <v>6</v>
      </c>
      <c r="E150" s="379">
        <v>3041</v>
      </c>
      <c r="F150" s="380">
        <v>30574603788</v>
      </c>
      <c r="G150" s="381" t="str">
        <f>IFERROR(IF(compras_mes3[[#This Row],[CUIT]]="","-",VLOOKUP(compras_mes3[[#This Row],[CUIT]],Lista_CUIT[#All],2,0)),"CUIT NO CARGADO")</f>
        <v>CODAC SRL</v>
      </c>
      <c r="H150" s="382">
        <v>2717596</v>
      </c>
      <c r="I150" s="383">
        <f>compras_mes3[[#This Row],[NETO GRAVADO]]*0.21</f>
        <v>570695.16</v>
      </c>
      <c r="J150" s="383"/>
      <c r="K150" s="383"/>
      <c r="L150" s="383"/>
      <c r="M150" s="383"/>
      <c r="N150" s="383"/>
      <c r="O150" s="383"/>
      <c r="P150" s="384">
        <f>SUM(compras_mes3[[#This Row],[NETO GRAVADO]:[Otros / No Grav.]])</f>
        <v>3288291.16</v>
      </c>
      <c r="Q150" s="381" t="str">
        <f>IFERROR(IF(compras_mes3[[#This Row],[CUIT]]="","-",VLOOKUP(compras_mes3[[#This Row],[CUIT]],Lista_CUIT[#All],3,0)),"CUIT NO CARGADO")</f>
        <v>Productos Venta</v>
      </c>
      <c r="R150" s="385" t="str">
        <f>IFERROR(IF(compras_mes3[[#This Row],[CUIT]]="","-",VLOOKUP(compras_mes3[[#This Row],[CUIT]],Lista_CUIT[#All],4,0)),"CUIT NO CARGADO")</f>
        <v>BUENOS AIRES</v>
      </c>
    </row>
    <row r="151" spans="2:18" hidden="1">
      <c r="B151" s="376">
        <v>45371</v>
      </c>
      <c r="C151" s="377">
        <v>1</v>
      </c>
      <c r="D151" s="378">
        <v>6</v>
      </c>
      <c r="E151" s="379">
        <v>3050</v>
      </c>
      <c r="F151" s="380">
        <v>30574603788</v>
      </c>
      <c r="G151" s="381" t="str">
        <f>IFERROR(IF(compras_mes3[[#This Row],[CUIT]]="","-",VLOOKUP(compras_mes3[[#This Row],[CUIT]],Lista_CUIT[#All],2,0)),"CUIT NO CARGADO")</f>
        <v>CODAC SRL</v>
      </c>
      <c r="H151" s="382">
        <v>3547670</v>
      </c>
      <c r="I151" s="383">
        <f>compras_mes3[[#This Row],[NETO GRAVADO]]*0.21</f>
        <v>745010.7</v>
      </c>
      <c r="J151" s="383"/>
      <c r="K151" s="383"/>
      <c r="L151" s="383"/>
      <c r="M151" s="383"/>
      <c r="N151" s="383"/>
      <c r="O151" s="383"/>
      <c r="P151" s="384">
        <f>SUM(compras_mes3[[#This Row],[NETO GRAVADO]:[Otros / No Grav.]])</f>
        <v>4292680.7</v>
      </c>
      <c r="Q151" s="381" t="str">
        <f>IFERROR(IF(compras_mes3[[#This Row],[CUIT]]="","-",VLOOKUP(compras_mes3[[#This Row],[CUIT]],Lista_CUIT[#All],3,0)),"CUIT NO CARGADO")</f>
        <v>Productos Venta</v>
      </c>
      <c r="R151" s="385" t="str">
        <f>IFERROR(IF(compras_mes3[[#This Row],[CUIT]]="","-",VLOOKUP(compras_mes3[[#This Row],[CUIT]],Lista_CUIT[#All],4,0)),"CUIT NO CARGADO")</f>
        <v>BUENOS AIRES</v>
      </c>
    </row>
    <row r="152" spans="2:18" hidden="1">
      <c r="B152" s="350">
        <v>45352</v>
      </c>
      <c r="C152" s="351">
        <v>1</v>
      </c>
      <c r="D152" s="352">
        <v>2</v>
      </c>
      <c r="E152" s="353">
        <v>3610</v>
      </c>
      <c r="F152" s="354">
        <v>30629863571</v>
      </c>
      <c r="G152" s="355" t="str">
        <f>IFERROR(IF(compras_mes3[[#This Row],[CUIT]]="","-",VLOOKUP(compras_mes3[[#This Row],[CUIT]],Lista_CUIT[#All],2,0)),"CUIT NO CARGADO")</f>
        <v>TECNIMAR S R L</v>
      </c>
      <c r="H152" s="356">
        <v>3523840.14</v>
      </c>
      <c r="I152" s="357">
        <f>compras_mes3[[#This Row],[NETO GRAVADO]]*0.21</f>
        <v>740006.42940000002</v>
      </c>
      <c r="J152" s="357"/>
      <c r="K152" s="357"/>
      <c r="L152" s="357"/>
      <c r="M152" s="357"/>
      <c r="N152" s="357"/>
      <c r="O152" s="357"/>
      <c r="P152" s="358">
        <f>SUM(compras_mes3[[#This Row],[NETO GRAVADO]:[Otros / No Grav.]])</f>
        <v>4263846.5694000004</v>
      </c>
      <c r="Q152" s="355" t="str">
        <f>IFERROR(IF(compras_mes3[[#This Row],[CUIT]]="","-",VLOOKUP(compras_mes3[[#This Row],[CUIT]],Lista_CUIT[#All],3,0)),"CUIT NO CARGADO")</f>
        <v>Productos Venta</v>
      </c>
      <c r="R152" s="359">
        <f>IFERROR(IF(compras_mes3[[#This Row],[CUIT]]="","-",VLOOKUP(compras_mes3[[#This Row],[CUIT]],Lista_CUIT[#All],4,0)),"CUIT NO CARGADO")</f>
        <v>0</v>
      </c>
    </row>
    <row r="153" spans="2:18" hidden="1">
      <c r="B153" s="350">
        <v>45355</v>
      </c>
      <c r="C153" s="351">
        <v>1</v>
      </c>
      <c r="D153" s="352">
        <v>2</v>
      </c>
      <c r="E153" s="353">
        <v>3611</v>
      </c>
      <c r="F153" s="354">
        <v>30629863571</v>
      </c>
      <c r="G153" s="355" t="str">
        <f>IFERROR(IF(compras_mes3[[#This Row],[CUIT]]="","-",VLOOKUP(compras_mes3[[#This Row],[CUIT]],Lista_CUIT[#All],2,0)),"CUIT NO CARGADO")</f>
        <v>TECNIMAR S R L</v>
      </c>
      <c r="H153" s="356">
        <v>3582357.1</v>
      </c>
      <c r="I153" s="357">
        <f>compras_mes3[[#This Row],[NETO GRAVADO]]*0.21</f>
        <v>752294.99100000004</v>
      </c>
      <c r="J153" s="357"/>
      <c r="K153" s="357"/>
      <c r="L153" s="357"/>
      <c r="M153" s="357"/>
      <c r="N153" s="357"/>
      <c r="O153" s="357"/>
      <c r="P153" s="358">
        <f>SUM(compras_mes3[[#This Row],[NETO GRAVADO]:[Otros / No Grav.]])</f>
        <v>4334652.091</v>
      </c>
      <c r="Q153" s="355" t="str">
        <f>IFERROR(IF(compras_mes3[[#This Row],[CUIT]]="","-",VLOOKUP(compras_mes3[[#This Row],[CUIT]],Lista_CUIT[#All],3,0)),"CUIT NO CARGADO")</f>
        <v>Productos Venta</v>
      </c>
      <c r="R153" s="359">
        <f>IFERROR(IF(compras_mes3[[#This Row],[CUIT]]="","-",VLOOKUP(compras_mes3[[#This Row],[CUIT]],Lista_CUIT[#All],4,0)),"CUIT NO CARGADO")</f>
        <v>0</v>
      </c>
    </row>
    <row r="154" spans="2:18" hidden="1">
      <c r="B154" s="350">
        <v>45356</v>
      </c>
      <c r="C154" s="351">
        <v>1</v>
      </c>
      <c r="D154" s="352">
        <v>1</v>
      </c>
      <c r="E154" s="353">
        <v>6</v>
      </c>
      <c r="F154" s="354">
        <v>30718189388</v>
      </c>
      <c r="G154" s="355" t="str">
        <f>IFERROR(IF(compras_mes3[[#This Row],[CUIT]]="","-",VLOOKUP(compras_mes3[[#This Row],[CUIT]],Lista_CUIT[#All],2,0)),"CUIT NO CARGADO")</f>
        <v>PICALI Y ASOCIADOS S.R.L.</v>
      </c>
      <c r="H154" s="356">
        <v>1052701</v>
      </c>
      <c r="I154" s="357">
        <f>compras_mes3[[#This Row],[NETO GRAVADO]]*0.21</f>
        <v>221067.21</v>
      </c>
      <c r="J154" s="357"/>
      <c r="K154" s="357"/>
      <c r="L154" s="357"/>
      <c r="M154" s="357"/>
      <c r="N154" s="357"/>
      <c r="O154" s="357"/>
      <c r="P154" s="358">
        <f>SUM(compras_mes3[[#This Row],[NETO GRAVADO]:[Otros / No Grav.]])</f>
        <v>1273768.21</v>
      </c>
      <c r="Q154" s="355" t="str">
        <f>IFERROR(IF(compras_mes3[[#This Row],[CUIT]]="","-",VLOOKUP(compras_mes3[[#This Row],[CUIT]],Lista_CUIT[#All],3,0)),"CUIT NO CARGADO")</f>
        <v>Productos Venta</v>
      </c>
      <c r="R154" s="359">
        <f>IFERROR(IF(compras_mes3[[#This Row],[CUIT]]="","-",VLOOKUP(compras_mes3[[#This Row],[CUIT]],Lista_CUIT[#All],4,0)),"CUIT NO CARGADO")</f>
        <v>0</v>
      </c>
    </row>
    <row r="155" spans="2:18" hidden="1">
      <c r="B155" s="376">
        <v>45357</v>
      </c>
      <c r="C155" s="377">
        <v>1</v>
      </c>
      <c r="D155" s="378">
        <v>2</v>
      </c>
      <c r="E155" s="379">
        <v>3612</v>
      </c>
      <c r="F155" s="380">
        <v>30629863571</v>
      </c>
      <c r="G155" s="381" t="str">
        <f>IFERROR(IF(compras_mes3[[#This Row],[CUIT]]="","-",VLOOKUP(compras_mes3[[#This Row],[CUIT]],Lista_CUIT[#All],2,0)),"CUIT NO CARGADO")</f>
        <v>TECNIMAR S R L</v>
      </c>
      <c r="H155" s="382">
        <v>1458315</v>
      </c>
      <c r="I155" s="383">
        <f>compras_mes3[[#This Row],[NETO GRAVADO]]*0.21</f>
        <v>306246.14999999997</v>
      </c>
      <c r="J155" s="383"/>
      <c r="K155" s="383"/>
      <c r="L155" s="383"/>
      <c r="M155" s="383"/>
      <c r="N155" s="383"/>
      <c r="O155" s="383"/>
      <c r="P155" s="384">
        <f>SUM(compras_mes3[[#This Row],[NETO GRAVADO]:[Otros / No Grav.]])</f>
        <v>1764561.15</v>
      </c>
      <c r="Q155" s="381" t="str">
        <f>IFERROR(IF(compras_mes3[[#This Row],[CUIT]]="","-",VLOOKUP(compras_mes3[[#This Row],[CUIT]],Lista_CUIT[#All],3,0)),"CUIT NO CARGADO")</f>
        <v>Productos Venta</v>
      </c>
      <c r="R155" s="385">
        <f>IFERROR(IF(compras_mes3[[#This Row],[CUIT]]="","-",VLOOKUP(compras_mes3[[#This Row],[CUIT]],Lista_CUIT[#All],4,0)),"CUIT NO CARGADO")</f>
        <v>0</v>
      </c>
    </row>
    <row r="156" spans="2:18" hidden="1">
      <c r="B156" s="376">
        <v>45358</v>
      </c>
      <c r="C156" s="377">
        <v>1</v>
      </c>
      <c r="D156" s="378">
        <v>2</v>
      </c>
      <c r="E156" s="379">
        <v>3616</v>
      </c>
      <c r="F156" s="380">
        <v>30629863571</v>
      </c>
      <c r="G156" s="381" t="str">
        <f>IFERROR(IF(compras_mes3[[#This Row],[CUIT]]="","-",VLOOKUP(compras_mes3[[#This Row],[CUIT]],Lista_CUIT[#All],2,0)),"CUIT NO CARGADO")</f>
        <v>TECNIMAR S R L</v>
      </c>
      <c r="H156" s="382">
        <v>757257.14</v>
      </c>
      <c r="I156" s="383">
        <f>compras_mes3[[#This Row],[NETO GRAVADO]]*0.21</f>
        <v>159023.9994</v>
      </c>
      <c r="J156" s="383"/>
      <c r="K156" s="383"/>
      <c r="L156" s="383"/>
      <c r="M156" s="383"/>
      <c r="N156" s="383"/>
      <c r="O156" s="383"/>
      <c r="P156" s="384">
        <f>SUM(compras_mes3[[#This Row],[NETO GRAVADO]:[Otros / No Grav.]])</f>
        <v>916281.13939999999</v>
      </c>
      <c r="Q156" s="381" t="str">
        <f>IFERROR(IF(compras_mes3[[#This Row],[CUIT]]="","-",VLOOKUP(compras_mes3[[#This Row],[CUIT]],Lista_CUIT[#All],3,0)),"CUIT NO CARGADO")</f>
        <v>Productos Venta</v>
      </c>
      <c r="R156" s="385">
        <f>IFERROR(IF(compras_mes3[[#This Row],[CUIT]]="","-",VLOOKUP(compras_mes3[[#This Row],[CUIT]],Lista_CUIT[#All],4,0)),"CUIT NO CARGADO")</f>
        <v>0</v>
      </c>
    </row>
    <row r="157" spans="2:18" hidden="1">
      <c r="B157" s="376">
        <v>45359</v>
      </c>
      <c r="C157" s="377">
        <v>1</v>
      </c>
      <c r="D157" s="378">
        <v>2</v>
      </c>
      <c r="E157" s="379">
        <v>3618</v>
      </c>
      <c r="F157" s="380">
        <v>30629863571</v>
      </c>
      <c r="G157" s="381" t="str">
        <f>IFERROR(IF(compras_mes3[[#This Row],[CUIT]]="","-",VLOOKUP(compras_mes3[[#This Row],[CUIT]],Lista_CUIT[#All],2,0)),"CUIT NO CARGADO")</f>
        <v>TECNIMAR S R L</v>
      </c>
      <c r="H157" s="382">
        <v>758112.9</v>
      </c>
      <c r="I157" s="383">
        <f>compras_mes3[[#This Row],[NETO GRAVADO]]*0.21</f>
        <v>159203.709</v>
      </c>
      <c r="J157" s="383"/>
      <c r="K157" s="383"/>
      <c r="L157" s="383"/>
      <c r="M157" s="383"/>
      <c r="N157" s="383"/>
      <c r="O157" s="383"/>
      <c r="P157" s="384">
        <f>SUM(compras_mes3[[#This Row],[NETO GRAVADO]:[Otros / No Grav.]])</f>
        <v>917316.60900000005</v>
      </c>
      <c r="Q157" s="381" t="str">
        <f>IFERROR(IF(compras_mes3[[#This Row],[CUIT]]="","-",VLOOKUP(compras_mes3[[#This Row],[CUIT]],Lista_CUIT[#All],3,0)),"CUIT NO CARGADO")</f>
        <v>Productos Venta</v>
      </c>
      <c r="R157" s="385">
        <f>IFERROR(IF(compras_mes3[[#This Row],[CUIT]]="","-",VLOOKUP(compras_mes3[[#This Row],[CUIT]],Lista_CUIT[#All],4,0)),"CUIT NO CARGADO")</f>
        <v>0</v>
      </c>
    </row>
    <row r="158" spans="2:18" hidden="1">
      <c r="B158" s="376">
        <v>45364</v>
      </c>
      <c r="C158" s="377">
        <v>1</v>
      </c>
      <c r="D158" s="378">
        <v>2</v>
      </c>
      <c r="E158" s="379">
        <v>3620</v>
      </c>
      <c r="F158" s="380">
        <v>30629863571</v>
      </c>
      <c r="G158" s="381" t="str">
        <f>IFERROR(IF(compras_mes3[[#This Row],[CUIT]]="","-",VLOOKUP(compras_mes3[[#This Row],[CUIT]],Lista_CUIT[#All],2,0)),"CUIT NO CARGADO")</f>
        <v>TECNIMAR S R L</v>
      </c>
      <c r="H158" s="382">
        <v>2217197.29</v>
      </c>
      <c r="I158" s="383">
        <f>compras_mes3[[#This Row],[NETO GRAVADO]]*0.21</f>
        <v>465611.43089999998</v>
      </c>
      <c r="J158" s="383"/>
      <c r="K158" s="383"/>
      <c r="L158" s="383"/>
      <c r="M158" s="383"/>
      <c r="N158" s="383"/>
      <c r="O158" s="383"/>
      <c r="P158" s="384">
        <f>SUM(compras_mes3[[#This Row],[NETO GRAVADO]:[Otros / No Grav.]])</f>
        <v>2682808.7209000001</v>
      </c>
      <c r="Q158" s="381" t="str">
        <f>IFERROR(IF(compras_mes3[[#This Row],[CUIT]]="","-",VLOOKUP(compras_mes3[[#This Row],[CUIT]],Lista_CUIT[#All],3,0)),"CUIT NO CARGADO")</f>
        <v>Productos Venta</v>
      </c>
      <c r="R158" s="385">
        <f>IFERROR(IF(compras_mes3[[#This Row],[CUIT]]="","-",VLOOKUP(compras_mes3[[#This Row],[CUIT]],Lista_CUIT[#All],4,0)),"CUIT NO CARGADO")</f>
        <v>0</v>
      </c>
    </row>
    <row r="159" spans="2:18" hidden="1">
      <c r="B159" s="376">
        <v>45366</v>
      </c>
      <c r="C159" s="377">
        <v>1</v>
      </c>
      <c r="D159" s="378">
        <v>2</v>
      </c>
      <c r="E159" s="379">
        <v>3622</v>
      </c>
      <c r="F159" s="380">
        <v>30629863571</v>
      </c>
      <c r="G159" s="381" t="str">
        <f>IFERROR(IF(compras_mes3[[#This Row],[CUIT]]="","-",VLOOKUP(compras_mes3[[#This Row],[CUIT]],Lista_CUIT[#All],2,0)),"CUIT NO CARGADO")</f>
        <v>TECNIMAR S R L</v>
      </c>
      <c r="H159" s="382">
        <v>6180771.3799999999</v>
      </c>
      <c r="I159" s="383">
        <f>compras_mes3[[#This Row],[NETO GRAVADO]]*0.21</f>
        <v>1297961.9897999999</v>
      </c>
      <c r="J159" s="383"/>
      <c r="K159" s="383"/>
      <c r="L159" s="383"/>
      <c r="M159" s="383"/>
      <c r="N159" s="383"/>
      <c r="O159" s="383"/>
      <c r="P159" s="384">
        <f>SUM(compras_mes3[[#This Row],[NETO GRAVADO]:[Otros / No Grav.]])</f>
        <v>7478733.3697999995</v>
      </c>
      <c r="Q159" s="381" t="str">
        <f>IFERROR(IF(compras_mes3[[#This Row],[CUIT]]="","-",VLOOKUP(compras_mes3[[#This Row],[CUIT]],Lista_CUIT[#All],3,0)),"CUIT NO CARGADO")</f>
        <v>Productos Venta</v>
      </c>
      <c r="R159" s="385">
        <f>IFERROR(IF(compras_mes3[[#This Row],[CUIT]]="","-",VLOOKUP(compras_mes3[[#This Row],[CUIT]],Lista_CUIT[#All],4,0)),"CUIT NO CARGADO")</f>
        <v>0</v>
      </c>
    </row>
    <row r="160" spans="2:18" hidden="1">
      <c r="B160" s="376">
        <v>45369</v>
      </c>
      <c r="C160" s="377">
        <v>1</v>
      </c>
      <c r="D160" s="378">
        <v>3</v>
      </c>
      <c r="E160" s="379">
        <v>6762</v>
      </c>
      <c r="F160" s="380">
        <v>30708006420</v>
      </c>
      <c r="G160" s="381" t="str">
        <f>IFERROR(IF(compras_mes3[[#This Row],[CUIT]]="","-",VLOOKUP(compras_mes3[[#This Row],[CUIT]],Lista_CUIT[#All],2,0)),"CUIT NO CARGADO")</f>
        <v>MEDILEA S.A.</v>
      </c>
      <c r="H160" s="382">
        <v>952000</v>
      </c>
      <c r="I160" s="383">
        <f>compras_mes3[[#This Row],[NETO GRAVADO]]*0.21</f>
        <v>199920</v>
      </c>
      <c r="J160" s="383"/>
      <c r="K160" s="383"/>
      <c r="L160" s="383"/>
      <c r="M160" s="383"/>
      <c r="N160" s="383"/>
      <c r="O160" s="383"/>
      <c r="P160" s="384">
        <f>SUM(compras_mes3[[#This Row],[NETO GRAVADO]:[Otros / No Grav.]])</f>
        <v>1151920</v>
      </c>
      <c r="Q160" s="381" t="str">
        <f>IFERROR(IF(compras_mes3[[#This Row],[CUIT]]="","-",VLOOKUP(compras_mes3[[#This Row],[CUIT]],Lista_CUIT[#All],3,0)),"CUIT NO CARGADO")</f>
        <v>Productos Venta</v>
      </c>
      <c r="R160" s="385">
        <f>IFERROR(IF(compras_mes3[[#This Row],[CUIT]]="","-",VLOOKUP(compras_mes3[[#This Row],[CUIT]],Lista_CUIT[#All],4,0)),"CUIT NO CARGADO")</f>
        <v>0</v>
      </c>
    </row>
    <row r="161" spans="2:18" hidden="1">
      <c r="B161" s="376">
        <v>45370</v>
      </c>
      <c r="C161" s="377">
        <v>1</v>
      </c>
      <c r="D161" s="378">
        <v>2</v>
      </c>
      <c r="E161" s="379">
        <v>3623</v>
      </c>
      <c r="F161" s="380">
        <v>30629863571</v>
      </c>
      <c r="G161" s="381" t="str">
        <f>IFERROR(IF(compras_mes3[[#This Row],[CUIT]]="","-",VLOOKUP(compras_mes3[[#This Row],[CUIT]],Lista_CUIT[#All],2,0)),"CUIT NO CARGADO")</f>
        <v>TECNIMAR S R L</v>
      </c>
      <c r="H161" s="382">
        <v>8050907.5199999996</v>
      </c>
      <c r="I161" s="383">
        <f>compras_mes3[[#This Row],[NETO GRAVADO]]*0.21</f>
        <v>1690690.5791999998</v>
      </c>
      <c r="J161" s="383"/>
      <c r="K161" s="383"/>
      <c r="L161" s="383"/>
      <c r="M161" s="383"/>
      <c r="N161" s="383"/>
      <c r="O161" s="383"/>
      <c r="P161" s="384">
        <f>SUM(compras_mes3[[#This Row],[NETO GRAVADO]:[Otros / No Grav.]])</f>
        <v>9741598.0991999991</v>
      </c>
      <c r="Q161" s="381" t="str">
        <f>IFERROR(IF(compras_mes3[[#This Row],[CUIT]]="","-",VLOOKUP(compras_mes3[[#This Row],[CUIT]],Lista_CUIT[#All],3,0)),"CUIT NO CARGADO")</f>
        <v>Productos Venta</v>
      </c>
      <c r="R161" s="385">
        <f>IFERROR(IF(compras_mes3[[#This Row],[CUIT]]="","-",VLOOKUP(compras_mes3[[#This Row],[CUIT]],Lista_CUIT[#All],4,0)),"CUIT NO CARGADO")</f>
        <v>0</v>
      </c>
    </row>
    <row r="162" spans="2:18" hidden="1">
      <c r="B162" s="376">
        <v>45371</v>
      </c>
      <c r="C162" s="377">
        <v>1</v>
      </c>
      <c r="D162" s="378">
        <v>2</v>
      </c>
      <c r="E162" s="379">
        <v>7564</v>
      </c>
      <c r="F162" s="380">
        <v>33714677239</v>
      </c>
      <c r="G162" s="381" t="str">
        <f>IFERROR(IF(compras_mes3[[#This Row],[CUIT]]="","-",VLOOKUP(compras_mes3[[#This Row],[CUIT]],Lista_CUIT[#All],2,0)),"CUIT NO CARGADO")</f>
        <v xml:space="preserve">BOMBAS VAPORIZADORAS </v>
      </c>
      <c r="H162" s="382">
        <v>3050250</v>
      </c>
      <c r="I162" s="383">
        <f>compras_mes3[[#This Row],[NETO GRAVADO]]*0.21</f>
        <v>640552.5</v>
      </c>
      <c r="J162" s="383"/>
      <c r="K162" s="383"/>
      <c r="L162" s="383"/>
      <c r="M162" s="383"/>
      <c r="N162" s="383"/>
      <c r="O162" s="383"/>
      <c r="P162" s="384">
        <f>SUM(compras_mes3[[#This Row],[NETO GRAVADO]:[Otros / No Grav.]])</f>
        <v>3690802.5</v>
      </c>
      <c r="Q162" s="381" t="str">
        <f>IFERROR(IF(compras_mes3[[#This Row],[CUIT]]="","-",VLOOKUP(compras_mes3[[#This Row],[CUIT]],Lista_CUIT[#All],3,0)),"CUIT NO CARGADO")</f>
        <v>Productos Venta</v>
      </c>
      <c r="R162" s="385">
        <f>IFERROR(IF(compras_mes3[[#This Row],[CUIT]]="","-",VLOOKUP(compras_mes3[[#This Row],[CUIT]],Lista_CUIT[#All],4,0)),"CUIT NO CARGADO")</f>
        <v>0</v>
      </c>
    </row>
    <row r="163" spans="2:18" hidden="1">
      <c r="B163" s="376">
        <v>45371</v>
      </c>
      <c r="C163" s="377">
        <v>1</v>
      </c>
      <c r="D163" s="378">
        <v>2</v>
      </c>
      <c r="E163" s="379">
        <v>3624</v>
      </c>
      <c r="F163" s="380">
        <v>30629863571</v>
      </c>
      <c r="G163" s="381" t="str">
        <f>IFERROR(IF(compras_mes3[[#This Row],[CUIT]]="","-",VLOOKUP(compras_mes3[[#This Row],[CUIT]],Lista_CUIT[#All],2,0)),"CUIT NO CARGADO")</f>
        <v>TECNIMAR S R L</v>
      </c>
      <c r="H163" s="382">
        <v>3267024.33</v>
      </c>
      <c r="I163" s="383">
        <f>compras_mes3[[#This Row],[NETO GRAVADO]]*0.21</f>
        <v>686075.10930000001</v>
      </c>
      <c r="J163" s="383"/>
      <c r="K163" s="383"/>
      <c r="L163" s="383"/>
      <c r="M163" s="383"/>
      <c r="N163" s="383"/>
      <c r="O163" s="383"/>
      <c r="P163" s="384">
        <f>SUM(compras_mes3[[#This Row],[NETO GRAVADO]:[Otros / No Grav.]])</f>
        <v>3953099.4393000002</v>
      </c>
      <c r="Q163" s="381" t="str">
        <f>IFERROR(IF(compras_mes3[[#This Row],[CUIT]]="","-",VLOOKUP(compras_mes3[[#This Row],[CUIT]],Lista_CUIT[#All],3,0)),"CUIT NO CARGADO")</f>
        <v>Productos Venta</v>
      </c>
      <c r="R163" s="385">
        <f>IFERROR(IF(compras_mes3[[#This Row],[CUIT]]="","-",VLOOKUP(compras_mes3[[#This Row],[CUIT]],Lista_CUIT[#All],4,0)),"CUIT NO CARGADO")</f>
        <v>0</v>
      </c>
    </row>
    <row r="164" spans="2:18" hidden="1">
      <c r="B164" s="376">
        <v>45372</v>
      </c>
      <c r="C164" s="377">
        <v>1</v>
      </c>
      <c r="D164" s="378">
        <v>2</v>
      </c>
      <c r="E164" s="379">
        <v>3626</v>
      </c>
      <c r="F164" s="380">
        <v>30629863571</v>
      </c>
      <c r="G164" s="381" t="str">
        <f>IFERROR(IF(compras_mes3[[#This Row],[CUIT]]="","-",VLOOKUP(compras_mes3[[#This Row],[CUIT]],Lista_CUIT[#All],2,0)),"CUIT NO CARGADO")</f>
        <v>TECNIMAR S R L</v>
      </c>
      <c r="H164" s="382">
        <v>7542761.0499999998</v>
      </c>
      <c r="I164" s="383">
        <f>compras_mes3[[#This Row],[NETO GRAVADO]]*0.21</f>
        <v>1583979.8204999999</v>
      </c>
      <c r="J164" s="383"/>
      <c r="K164" s="383"/>
      <c r="L164" s="383"/>
      <c r="M164" s="383"/>
      <c r="N164" s="383"/>
      <c r="O164" s="383"/>
      <c r="P164" s="384">
        <f>SUM(compras_mes3[[#This Row],[NETO GRAVADO]:[Otros / No Grav.]])</f>
        <v>9126740.8705000002</v>
      </c>
      <c r="Q164" s="381" t="str">
        <f>IFERROR(IF(compras_mes3[[#This Row],[CUIT]]="","-",VLOOKUP(compras_mes3[[#This Row],[CUIT]],Lista_CUIT[#All],3,0)),"CUIT NO CARGADO")</f>
        <v>Productos Venta</v>
      </c>
      <c r="R164" s="385">
        <f>IFERROR(IF(compras_mes3[[#This Row],[CUIT]]="","-",VLOOKUP(compras_mes3[[#This Row],[CUIT]],Lista_CUIT[#All],4,0)),"CUIT NO CARGADO")</f>
        <v>0</v>
      </c>
    </row>
    <row r="165" spans="2:18" hidden="1">
      <c r="B165" s="376">
        <v>45373</v>
      </c>
      <c r="C165" s="377">
        <v>1</v>
      </c>
      <c r="D165" s="378">
        <v>2</v>
      </c>
      <c r="E165" s="379">
        <v>3629</v>
      </c>
      <c r="F165" s="380">
        <v>30629863571</v>
      </c>
      <c r="G165" s="381" t="str">
        <f>IFERROR(IF(compras_mes3[[#This Row],[CUIT]]="","-",VLOOKUP(compras_mes3[[#This Row],[CUIT]],Lista_CUIT[#All],2,0)),"CUIT NO CARGADO")</f>
        <v>TECNIMAR S R L</v>
      </c>
      <c r="H165" s="382">
        <v>1495573.19</v>
      </c>
      <c r="I165" s="383">
        <f>compras_mes3[[#This Row],[NETO GRAVADO]]*0.21</f>
        <v>314070.36989999999</v>
      </c>
      <c r="J165" s="383"/>
      <c r="K165" s="383"/>
      <c r="L165" s="383"/>
      <c r="M165" s="383"/>
      <c r="N165" s="383"/>
      <c r="O165" s="383"/>
      <c r="P165" s="384">
        <f>SUM(compras_mes3[[#This Row],[NETO GRAVADO]:[Otros / No Grav.]])</f>
        <v>1809643.5599</v>
      </c>
      <c r="Q165" s="381" t="str">
        <f>IFERROR(IF(compras_mes3[[#This Row],[CUIT]]="","-",VLOOKUP(compras_mes3[[#This Row],[CUIT]],Lista_CUIT[#All],3,0)),"CUIT NO CARGADO")</f>
        <v>Productos Venta</v>
      </c>
      <c r="R165" s="385">
        <f>IFERROR(IF(compras_mes3[[#This Row],[CUIT]]="","-",VLOOKUP(compras_mes3[[#This Row],[CUIT]],Lista_CUIT[#All],4,0)),"CUIT NO CARGADO")</f>
        <v>0</v>
      </c>
    </row>
    <row r="166" spans="2:18" hidden="1">
      <c r="B166" s="394">
        <v>45376</v>
      </c>
      <c r="C166" s="377">
        <v>1</v>
      </c>
      <c r="D166" s="395">
        <v>2</v>
      </c>
      <c r="E166" s="396">
        <v>3630</v>
      </c>
      <c r="F166" s="397">
        <v>30629863571</v>
      </c>
      <c r="G166" s="398" t="str">
        <f>IFERROR(IF(compras_mes3[[#This Row],[CUIT]]="","-",VLOOKUP(compras_mes3[[#This Row],[CUIT]],Lista_CUIT[#All],2,0)),"CUIT NO CARGADO")</f>
        <v>TECNIMAR S R L</v>
      </c>
      <c r="H166" s="399">
        <v>1502101.1</v>
      </c>
      <c r="I166" s="400">
        <f>compras_mes3[[#This Row],[NETO GRAVADO]]*0.21</f>
        <v>315441.23100000003</v>
      </c>
      <c r="J166" s="400"/>
      <c r="K166" s="400"/>
      <c r="L166" s="400"/>
      <c r="M166" s="400"/>
      <c r="N166" s="400"/>
      <c r="O166" s="400"/>
      <c r="P166" s="384">
        <f>SUM(compras_mes3[[#This Row],[NETO GRAVADO]:[Otros / No Grav.]])</f>
        <v>1817542.3310000002</v>
      </c>
      <c r="Q166" s="398" t="str">
        <f>IFERROR(IF(compras_mes3[[#This Row],[CUIT]]="","-",VLOOKUP(compras_mes3[[#This Row],[CUIT]],Lista_CUIT[#All],3,0)),"CUIT NO CARGADO")</f>
        <v>Productos Venta</v>
      </c>
      <c r="R166" s="401">
        <f>IFERROR(IF(compras_mes3[[#This Row],[CUIT]]="","-",VLOOKUP(compras_mes3[[#This Row],[CUIT]],Lista_CUIT[#All],4,0)),"CUIT NO CARGADO")</f>
        <v>0</v>
      </c>
    </row>
    <row r="167" spans="2:18" hidden="1">
      <c r="B167" s="394">
        <v>45377</v>
      </c>
      <c r="C167" s="377">
        <v>1</v>
      </c>
      <c r="D167" s="395">
        <v>3</v>
      </c>
      <c r="E167" s="396">
        <v>6765</v>
      </c>
      <c r="F167" s="397">
        <v>30708006420</v>
      </c>
      <c r="G167" s="398" t="str">
        <f>IFERROR(IF(compras_mes3[[#This Row],[CUIT]]="","-",VLOOKUP(compras_mes3[[#This Row],[CUIT]],Lista_CUIT[#All],2,0)),"CUIT NO CARGADO")</f>
        <v>MEDILEA S.A.</v>
      </c>
      <c r="H167" s="399">
        <v>456800</v>
      </c>
      <c r="I167" s="400">
        <f>compras_mes3[[#This Row],[NETO GRAVADO]]*0.21</f>
        <v>95928</v>
      </c>
      <c r="J167" s="400"/>
      <c r="K167" s="400"/>
      <c r="L167" s="400"/>
      <c r="M167" s="400"/>
      <c r="N167" s="400"/>
      <c r="O167" s="400"/>
      <c r="P167" s="384">
        <f>SUM(compras_mes3[[#This Row],[NETO GRAVADO]:[Otros / No Grav.]])</f>
        <v>552728</v>
      </c>
      <c r="Q167" s="398" t="str">
        <f>IFERROR(IF(compras_mes3[[#This Row],[CUIT]]="","-",VLOOKUP(compras_mes3[[#This Row],[CUIT]],Lista_CUIT[#All],3,0)),"CUIT NO CARGADO")</f>
        <v>Productos Venta</v>
      </c>
      <c r="R167" s="401">
        <f>IFERROR(IF(compras_mes3[[#This Row],[CUIT]]="","-",VLOOKUP(compras_mes3[[#This Row],[CUIT]],Lista_CUIT[#All],4,0)),"CUIT NO CARGADO")</f>
        <v>0</v>
      </c>
    </row>
    <row r="168" spans="2:18" hidden="1">
      <c r="B168" s="394">
        <v>45377</v>
      </c>
      <c r="C168" s="377">
        <v>1</v>
      </c>
      <c r="D168" s="395">
        <v>2</v>
      </c>
      <c r="E168" s="396">
        <v>3632</v>
      </c>
      <c r="F168" s="397">
        <v>30629863571</v>
      </c>
      <c r="G168" s="398" t="str">
        <f>IFERROR(IF(compras_mes3[[#This Row],[CUIT]]="","-",VLOOKUP(compras_mes3[[#This Row],[CUIT]],Lista_CUIT[#All],2,0)),"CUIT NO CARGADO")</f>
        <v>TECNIMAR S R L</v>
      </c>
      <c r="H168" s="399">
        <v>102000</v>
      </c>
      <c r="I168" s="400">
        <f>compras_mes3[[#This Row],[NETO GRAVADO]]*0.21</f>
        <v>21420</v>
      </c>
      <c r="J168" s="400"/>
      <c r="K168" s="400"/>
      <c r="L168" s="400"/>
      <c r="M168" s="400"/>
      <c r="N168" s="400"/>
      <c r="O168" s="400"/>
      <c r="P168" s="384">
        <f>SUM(compras_mes3[[#This Row],[NETO GRAVADO]:[Otros / No Grav.]])</f>
        <v>123420</v>
      </c>
      <c r="Q168" s="398" t="str">
        <f>IFERROR(IF(compras_mes3[[#This Row],[CUIT]]="","-",VLOOKUP(compras_mes3[[#This Row],[CUIT]],Lista_CUIT[#All],3,0)),"CUIT NO CARGADO")</f>
        <v>Productos Venta</v>
      </c>
      <c r="R168" s="401">
        <f>IFERROR(IF(compras_mes3[[#This Row],[CUIT]]="","-",VLOOKUP(compras_mes3[[#This Row],[CUIT]],Lista_CUIT[#All],4,0)),"CUIT NO CARGADO")</f>
        <v>0</v>
      </c>
    </row>
    <row r="169" spans="2:18" hidden="1">
      <c r="B169" s="394">
        <v>45378</v>
      </c>
      <c r="C169" s="377">
        <v>1</v>
      </c>
      <c r="D169" s="395">
        <v>2</v>
      </c>
      <c r="E169" s="396">
        <v>3634</v>
      </c>
      <c r="F169" s="397">
        <v>30629863571</v>
      </c>
      <c r="G169" s="398" t="str">
        <f>IFERROR(IF(compras_mes3[[#This Row],[CUIT]]="","-",VLOOKUP(compras_mes3[[#This Row],[CUIT]],Lista_CUIT[#All],2,0)),"CUIT NO CARGADO")</f>
        <v>TECNIMAR S R L</v>
      </c>
      <c r="H169" s="399">
        <v>299700</v>
      </c>
      <c r="I169" s="400">
        <f>compras_mes3[[#This Row],[NETO GRAVADO]]*0.21</f>
        <v>62937</v>
      </c>
      <c r="J169" s="400"/>
      <c r="K169" s="400"/>
      <c r="L169" s="400"/>
      <c r="M169" s="400"/>
      <c r="N169" s="400"/>
      <c r="O169" s="400"/>
      <c r="P169" s="384">
        <f>SUM(compras_mes3[[#This Row],[NETO GRAVADO]:[Otros / No Grav.]])</f>
        <v>362637</v>
      </c>
      <c r="Q169" s="398" t="str">
        <f>IFERROR(IF(compras_mes3[[#This Row],[CUIT]]="","-",VLOOKUP(compras_mes3[[#This Row],[CUIT]],Lista_CUIT[#All],3,0)),"CUIT NO CARGADO")</f>
        <v>Productos Venta</v>
      </c>
      <c r="R169" s="401">
        <f>IFERROR(IF(compras_mes3[[#This Row],[CUIT]]="","-",VLOOKUP(compras_mes3[[#This Row],[CUIT]],Lista_CUIT[#All],4,0)),"CUIT NO CARGADO")</f>
        <v>0</v>
      </c>
    </row>
    <row r="170" spans="2:18" hidden="1">
      <c r="B170" s="394">
        <v>45369</v>
      </c>
      <c r="C170" s="402">
        <v>1</v>
      </c>
      <c r="D170" s="395">
        <v>9</v>
      </c>
      <c r="E170" s="396">
        <v>100</v>
      </c>
      <c r="F170" s="397">
        <v>30707997679</v>
      </c>
      <c r="G170" s="398" t="str">
        <f>IFERROR(IF(compras_mes3[[#This Row],[CUIT]]="","-",VLOOKUP(compras_mes3[[#This Row],[CUIT]],Lista_CUIT[#All],2,0)),"CUIT NO CARGADO")</f>
        <v>DENIM BLUE SRL</v>
      </c>
      <c r="H170" s="399">
        <v>29090.91</v>
      </c>
      <c r="I170" s="400">
        <f>compras_mes3[[#This Row],[NETO GRAVADO]]*0.21</f>
        <v>6109.0910999999996</v>
      </c>
      <c r="J170" s="400"/>
      <c r="K170" s="400"/>
      <c r="L170" s="400"/>
      <c r="M170" s="400"/>
      <c r="N170" s="400"/>
      <c r="O170" s="400"/>
      <c r="P170" s="403">
        <f>SUM(compras_mes3[[#This Row],[NETO GRAVADO]:[Otros / No Grav.]])</f>
        <v>35200.001100000001</v>
      </c>
      <c r="Q170" s="398" t="str">
        <f>IFERROR(IF(compras_mes3[[#This Row],[CUIT]]="","-",VLOOKUP(compras_mes3[[#This Row],[CUIT]],Lista_CUIT[#All],3,0)),"CUIT NO CARGADO")</f>
        <v>Gastos Varios</v>
      </c>
      <c r="R170" s="401">
        <f>IFERROR(IF(compras_mes3[[#This Row],[CUIT]]="","-",VLOOKUP(compras_mes3[[#This Row],[CUIT]],Lista_CUIT[#All],4,0)),"CUIT NO CARGADO")</f>
        <v>0</v>
      </c>
    </row>
    <row r="171" spans="2:18" hidden="1">
      <c r="B171" s="394">
        <v>45379</v>
      </c>
      <c r="C171" s="377">
        <v>1</v>
      </c>
      <c r="D171" s="395">
        <v>4</v>
      </c>
      <c r="E171" s="396">
        <v>23</v>
      </c>
      <c r="F171" s="397">
        <v>23934601289</v>
      </c>
      <c r="G171" s="398" t="str">
        <f>IFERROR(IF(compras_mes3[[#This Row],[CUIT]]="","-",VLOOKUP(compras_mes3[[#This Row],[CUIT]],Lista_CUIT[#All],2,0)),"CUIT NO CARGADO")</f>
        <v>DE PAOLA JOSE</v>
      </c>
      <c r="H171" s="399">
        <v>14876</v>
      </c>
      <c r="I171" s="400">
        <f>compras_mes3[[#This Row],[NETO GRAVADO]]*0.21</f>
        <v>3123.96</v>
      </c>
      <c r="J171" s="400"/>
      <c r="K171" s="400"/>
      <c r="L171" s="400"/>
      <c r="M171" s="400"/>
      <c r="N171" s="400"/>
      <c r="O171" s="400"/>
      <c r="P171" s="384">
        <f>SUM(compras_mes3[[#This Row],[NETO GRAVADO]:[Otros / No Grav.]])</f>
        <v>17999.96</v>
      </c>
      <c r="Q171" s="398" t="str">
        <f>IFERROR(IF(compras_mes3[[#This Row],[CUIT]]="","-",VLOOKUP(compras_mes3[[#This Row],[CUIT]],Lista_CUIT[#All],3,0)),"CUIT NO CARGADO")</f>
        <v>Gastos Varios</v>
      </c>
      <c r="R171" s="401">
        <f>IFERROR(IF(compras_mes3[[#This Row],[CUIT]]="","-",VLOOKUP(compras_mes3[[#This Row],[CUIT]],Lista_CUIT[#All],4,0)),"CUIT NO CARGADO")</f>
        <v>0</v>
      </c>
    </row>
    <row r="172" spans="2:18">
      <c r="B172" s="347">
        <v>45354</v>
      </c>
      <c r="C172" s="351">
        <v>1</v>
      </c>
      <c r="D172" s="360">
        <v>3099</v>
      </c>
      <c r="E172" s="361">
        <v>62230</v>
      </c>
      <c r="F172" s="362">
        <v>30678814357</v>
      </c>
      <c r="G172" s="279" t="str">
        <f>IFERROR(IF(compras_mes3[[#This Row],[CUIT]]="","-",VLOOKUP(compras_mes3[[#This Row],[CUIT]],Lista_CUIT[#All],2,0)),"CUIT NO CARGADO")</f>
        <v>TELEFONICA MOVILES ARG</v>
      </c>
      <c r="H172" s="276">
        <v>62823</v>
      </c>
      <c r="I172" s="266"/>
      <c r="J172" s="266">
        <v>16962.21</v>
      </c>
      <c r="K172" s="266"/>
      <c r="L172" s="266">
        <v>1884.69</v>
      </c>
      <c r="M172" s="266"/>
      <c r="N172" s="266">
        <v>3769.38</v>
      </c>
      <c r="O172" s="266"/>
      <c r="P172" s="358">
        <f>SUM(compras_mes3[[#This Row],[NETO GRAVADO]:[Otros / No Grav.]])</f>
        <v>85439.28</v>
      </c>
      <c r="Q172" s="279" t="str">
        <f>IFERROR(IF(compras_mes3[[#This Row],[CUIT]]="","-",VLOOKUP(compras_mes3[[#This Row],[CUIT]],Lista_CUIT[#All],3,0)),"CUIT NO CARGADO")</f>
        <v>Servicios Gas, Luz, etc.</v>
      </c>
      <c r="R172" s="280">
        <f>IFERROR(IF(compras_mes3[[#This Row],[CUIT]]="","-",VLOOKUP(compras_mes3[[#This Row],[CUIT]],Lista_CUIT[#All],4,0)),"CUIT NO CARGADO")</f>
        <v>0</v>
      </c>
    </row>
    <row r="173" spans="2:18">
      <c r="B173" s="350">
        <v>45357</v>
      </c>
      <c r="C173" s="351">
        <v>1</v>
      </c>
      <c r="D173" s="352">
        <v>63</v>
      </c>
      <c r="E173" s="353">
        <v>2748623</v>
      </c>
      <c r="F173" s="354">
        <v>30640897267</v>
      </c>
      <c r="G173" s="355" t="str">
        <f>IFERROR(IF(compras_mes3[[#This Row],[CUIT]]="","-",VLOOKUP(compras_mes3[[#This Row],[CUIT]],Lista_CUIT[#All],2,0)),"CUIT NO CARGADO")</f>
        <v>TELECENTRO S.A.</v>
      </c>
      <c r="H173" s="356">
        <v>35325.620000000003</v>
      </c>
      <c r="I173" s="357">
        <f>compras_mes3[[#This Row],[NETO GRAVADO]]*0.21</f>
        <v>7418.3802000000005</v>
      </c>
      <c r="J173" s="357"/>
      <c r="K173" s="357"/>
      <c r="L173" s="357">
        <v>1059.77</v>
      </c>
      <c r="M173" s="357"/>
      <c r="N173" s="357">
        <v>2119.54</v>
      </c>
      <c r="O173" s="357"/>
      <c r="P173" s="358">
        <f>SUM(compras_mes3[[#This Row],[NETO GRAVADO]:[Otros / No Grav.]])</f>
        <v>45923.3102</v>
      </c>
      <c r="Q173" s="355" t="str">
        <f>IFERROR(IF(compras_mes3[[#This Row],[CUIT]]="","-",VLOOKUP(compras_mes3[[#This Row],[CUIT]],Lista_CUIT[#All],3,0)),"CUIT NO CARGADO")</f>
        <v>Servicios Gas, Luz, etc.</v>
      </c>
      <c r="R173" s="359">
        <f>IFERROR(IF(compras_mes3[[#This Row],[CUIT]]="","-",VLOOKUP(compras_mes3[[#This Row],[CUIT]],Lista_CUIT[#All],4,0)),"CUIT NO CARGADO")</f>
        <v>0</v>
      </c>
    </row>
    <row r="174" spans="2:18">
      <c r="B174" s="376">
        <v>45357</v>
      </c>
      <c r="C174" s="377">
        <v>1</v>
      </c>
      <c r="D174" s="378">
        <v>3</v>
      </c>
      <c r="E174" s="379">
        <v>20156</v>
      </c>
      <c r="F174" s="380">
        <v>33707953549</v>
      </c>
      <c r="G174" s="381" t="str">
        <f>IFERROR(IF(compras_mes3[[#This Row],[CUIT]]="","-",VLOOKUP(compras_mes3[[#This Row],[CUIT]],Lista_CUIT[#All],2,0)),"CUIT NO CARGADO")</f>
        <v>TELESMART</v>
      </c>
      <c r="H174" s="382">
        <v>17000</v>
      </c>
      <c r="I174" s="383">
        <f>compras_mes3[[#This Row],[NETO GRAVADO]]*0.21</f>
        <v>3570</v>
      </c>
      <c r="J174" s="383"/>
      <c r="K174" s="383"/>
      <c r="L174" s="383"/>
      <c r="M174" s="383"/>
      <c r="N174" s="383"/>
      <c r="O174" s="383"/>
      <c r="P174" s="384">
        <f>SUM(compras_mes3[[#This Row],[NETO GRAVADO]:[Otros / No Grav.]])</f>
        <v>20570</v>
      </c>
      <c r="Q174" s="381" t="str">
        <f>IFERROR(IF(compras_mes3[[#This Row],[CUIT]]="","-",VLOOKUP(compras_mes3[[#This Row],[CUIT]],Lista_CUIT[#All],3,0)),"CUIT NO CARGADO")</f>
        <v>Servicios Gas, Luz, etc.</v>
      </c>
      <c r="R174" s="385">
        <f>IFERROR(IF(compras_mes3[[#This Row],[CUIT]]="","-",VLOOKUP(compras_mes3[[#This Row],[CUIT]],Lista_CUIT[#All],4,0)),"CUIT NO CARGADO")</f>
        <v>0</v>
      </c>
    </row>
    <row r="175" spans="2:18">
      <c r="B175" s="350">
        <v>45357</v>
      </c>
      <c r="C175" s="351">
        <v>1</v>
      </c>
      <c r="D175" s="352">
        <v>63</v>
      </c>
      <c r="E175" s="353">
        <v>2749369</v>
      </c>
      <c r="F175" s="354">
        <v>30640897267</v>
      </c>
      <c r="G175" s="355" t="str">
        <f>IFERROR(IF(compras_mes3[[#This Row],[CUIT]]="","-",VLOOKUP(compras_mes3[[#This Row],[CUIT]],Lista_CUIT[#All],2,0)),"CUIT NO CARGADO")</f>
        <v>TELECENTRO S.A.</v>
      </c>
      <c r="H175" s="356">
        <v>35325.620000000003</v>
      </c>
      <c r="I175" s="357">
        <f>compras_mes3[[#This Row],[NETO GRAVADO]]*0.21</f>
        <v>7418.3802000000005</v>
      </c>
      <c r="J175" s="357"/>
      <c r="K175" s="357"/>
      <c r="L175" s="357">
        <v>1059.71</v>
      </c>
      <c r="M175" s="357"/>
      <c r="N175" s="357">
        <v>2119.54</v>
      </c>
      <c r="O175" s="357"/>
      <c r="P175" s="358">
        <f>SUM(compras_mes3[[#This Row],[NETO GRAVADO]:[Otros / No Grav.]])</f>
        <v>45923.250200000002</v>
      </c>
      <c r="Q175" s="355" t="str">
        <f>IFERROR(IF(compras_mes3[[#This Row],[CUIT]]="","-",VLOOKUP(compras_mes3[[#This Row],[CUIT]],Lista_CUIT[#All],3,0)),"CUIT NO CARGADO")</f>
        <v>Servicios Gas, Luz, etc.</v>
      </c>
      <c r="R175" s="359">
        <f>IFERROR(IF(compras_mes3[[#This Row],[CUIT]]="","-",VLOOKUP(compras_mes3[[#This Row],[CUIT]],Lista_CUIT[#All],4,0)),"CUIT NO CARGADO")</f>
        <v>0</v>
      </c>
    </row>
    <row r="176" spans="2:18">
      <c r="B176" s="350">
        <v>45360</v>
      </c>
      <c r="C176" s="351">
        <v>1</v>
      </c>
      <c r="D176" s="352">
        <v>3101</v>
      </c>
      <c r="E176" s="353">
        <v>42677</v>
      </c>
      <c r="F176" s="354">
        <v>30678814357</v>
      </c>
      <c r="G176" s="355" t="str">
        <f>IFERROR(IF(compras_mes3[[#This Row],[CUIT]]="","-",VLOOKUP(compras_mes3[[#This Row],[CUIT]],Lista_CUIT[#All],2,0)),"CUIT NO CARGADO")</f>
        <v>TELEFONICA MOVILES ARG</v>
      </c>
      <c r="H176" s="356">
        <v>18539.060000000001</v>
      </c>
      <c r="I176" s="357"/>
      <c r="J176" s="357">
        <v>5005.55</v>
      </c>
      <c r="K176" s="357"/>
      <c r="L176" s="357">
        <v>556.16999999999996</v>
      </c>
      <c r="M176" s="357"/>
      <c r="N176" s="357">
        <v>1112.3399999999999</v>
      </c>
      <c r="O176" s="357"/>
      <c r="P176" s="358">
        <f>SUM(compras_mes3[[#This Row],[NETO GRAVADO]:[Otros / No Grav.]])</f>
        <v>25213.119999999999</v>
      </c>
      <c r="Q176" s="355" t="str">
        <f>IFERROR(IF(compras_mes3[[#This Row],[CUIT]]="","-",VLOOKUP(compras_mes3[[#This Row],[CUIT]],Lista_CUIT[#All],3,0)),"CUIT NO CARGADO")</f>
        <v>Servicios Gas, Luz, etc.</v>
      </c>
      <c r="R176" s="359">
        <f>IFERROR(IF(compras_mes3[[#This Row],[CUIT]]="","-",VLOOKUP(compras_mes3[[#This Row],[CUIT]],Lista_CUIT[#All],4,0)),"CUIT NO CARGADO")</f>
        <v>0</v>
      </c>
    </row>
    <row r="177" spans="2:18">
      <c r="B177" s="376">
        <v>45361</v>
      </c>
      <c r="C177" s="377">
        <v>1</v>
      </c>
      <c r="D177" s="378">
        <v>6364</v>
      </c>
      <c r="E177" s="379">
        <v>8182607</v>
      </c>
      <c r="F177" s="380">
        <v>30639453738</v>
      </c>
      <c r="G177" s="381" t="str">
        <f>IFERROR(IF(compras_mes3[[#This Row],[CUIT]]="","-",VLOOKUP(compras_mes3[[#This Row],[CUIT]],Lista_CUIT[#All],2,0)),"CUIT NO CARGADO")</f>
        <v>TELECOM ARG SA</v>
      </c>
      <c r="H177" s="382">
        <v>129138.48</v>
      </c>
      <c r="I177" s="383">
        <v>26946.54</v>
      </c>
      <c r="J177" s="383">
        <v>221.84</v>
      </c>
      <c r="K177" s="383"/>
      <c r="L177" s="383"/>
      <c r="M177" s="383"/>
      <c r="N177" s="383">
        <v>7136.45</v>
      </c>
      <c r="O177" s="383">
        <f>3874.15+42.39+14.15</f>
        <v>3930.69</v>
      </c>
      <c r="P177" s="384">
        <f>SUM(compras_mes3[[#This Row],[NETO GRAVADO]:[Otros / No Grav.]])</f>
        <v>167374</v>
      </c>
      <c r="Q177" s="381" t="str">
        <f>IFERROR(IF(compras_mes3[[#This Row],[CUIT]]="","-",VLOOKUP(compras_mes3[[#This Row],[CUIT]],Lista_CUIT[#All],3,0)),"CUIT NO CARGADO")</f>
        <v>Servicios Gas, Luz, etc.</v>
      </c>
      <c r="R177" s="385">
        <f>IFERROR(IF(compras_mes3[[#This Row],[CUIT]]="","-",VLOOKUP(compras_mes3[[#This Row],[CUIT]],Lista_CUIT[#All],4,0)),"CUIT NO CARGADO")</f>
        <v>0</v>
      </c>
    </row>
    <row r="178" spans="2:18">
      <c r="B178" s="350">
        <v>45366</v>
      </c>
      <c r="C178" s="351">
        <v>1</v>
      </c>
      <c r="D178" s="352">
        <v>4264</v>
      </c>
      <c r="E178" s="353">
        <v>3469120</v>
      </c>
      <c r="F178" s="354">
        <v>30639453738</v>
      </c>
      <c r="G178" s="355" t="str">
        <f>IFERROR(IF(compras_mes3[[#This Row],[CUIT]]="","-",VLOOKUP(compras_mes3[[#This Row],[CUIT]],Lista_CUIT[#All],2,0)),"CUIT NO CARGADO")</f>
        <v>TELECOM ARG SA</v>
      </c>
      <c r="H178" s="356">
        <v>52500</v>
      </c>
      <c r="I178" s="357">
        <f>compras_mes3[[#This Row],[NETO GRAVADO]]*0.21</f>
        <v>11025</v>
      </c>
      <c r="J178" s="357"/>
      <c r="K178" s="357"/>
      <c r="L178" s="357"/>
      <c r="M178" s="357"/>
      <c r="N178" s="357">
        <v>4725</v>
      </c>
      <c r="O178" s="357"/>
      <c r="P178" s="358">
        <f>SUM(compras_mes3[[#This Row],[NETO GRAVADO]:[Otros / No Grav.]])</f>
        <v>68250</v>
      </c>
      <c r="Q178" s="355" t="str">
        <f>IFERROR(IF(compras_mes3[[#This Row],[CUIT]]="","-",VLOOKUP(compras_mes3[[#This Row],[CUIT]],Lista_CUIT[#All],3,0)),"CUIT NO CARGADO")</f>
        <v>Servicios Gas, Luz, etc.</v>
      </c>
      <c r="R178" s="359">
        <f>IFERROR(IF(compras_mes3[[#This Row],[CUIT]]="","-",VLOOKUP(compras_mes3[[#This Row],[CUIT]],Lista_CUIT[#All],4,0)),"CUIT NO CARGADO")</f>
        <v>0</v>
      </c>
    </row>
    <row r="179" spans="2:18">
      <c r="B179" s="350">
        <v>45366</v>
      </c>
      <c r="C179" s="351">
        <v>1</v>
      </c>
      <c r="D179" s="352">
        <v>4264</v>
      </c>
      <c r="E179" s="353">
        <v>3518290</v>
      </c>
      <c r="F179" s="354">
        <v>30639453738</v>
      </c>
      <c r="G179" s="355" t="str">
        <f>IFERROR(IF(compras_mes3[[#This Row],[CUIT]]="","-",VLOOKUP(compras_mes3[[#This Row],[CUIT]],Lista_CUIT[#All],2,0)),"CUIT NO CARGADO")</f>
        <v>TELECOM ARG SA</v>
      </c>
      <c r="H179" s="356">
        <v>192500</v>
      </c>
      <c r="I179" s="357">
        <f>compras_mes3[[#This Row],[NETO GRAVADO]]*0.21</f>
        <v>40425</v>
      </c>
      <c r="J179" s="357"/>
      <c r="K179" s="357"/>
      <c r="L179" s="357"/>
      <c r="M179" s="357"/>
      <c r="N179" s="357">
        <v>17325</v>
      </c>
      <c r="O179" s="357"/>
      <c r="P179" s="358">
        <f>SUM(compras_mes3[[#This Row],[NETO GRAVADO]:[Otros / No Grav.]])</f>
        <v>250250</v>
      </c>
      <c r="Q179" s="355" t="str">
        <f>IFERROR(IF(compras_mes3[[#This Row],[CUIT]]="","-",VLOOKUP(compras_mes3[[#This Row],[CUIT]],Lista_CUIT[#All],3,0)),"CUIT NO CARGADO")</f>
        <v>Servicios Gas, Luz, etc.</v>
      </c>
      <c r="R179" s="359">
        <f>IFERROR(IF(compras_mes3[[#This Row],[CUIT]]="","-",VLOOKUP(compras_mes3[[#This Row],[CUIT]],Lista_CUIT[#All],4,0)),"CUIT NO CARGADO")</f>
        <v>0</v>
      </c>
    </row>
    <row r="180" spans="2:18">
      <c r="B180" s="350">
        <v>45366</v>
      </c>
      <c r="C180" s="351">
        <v>1</v>
      </c>
      <c r="D180" s="352">
        <v>4264</v>
      </c>
      <c r="E180" s="353">
        <v>3472570</v>
      </c>
      <c r="F180" s="354">
        <v>30639453738</v>
      </c>
      <c r="G180" s="355" t="str">
        <f>IFERROR(IF(compras_mes3[[#This Row],[CUIT]]="","-",VLOOKUP(compras_mes3[[#This Row],[CUIT]],Lista_CUIT[#All],2,0)),"CUIT NO CARGADO")</f>
        <v>TELECOM ARG SA</v>
      </c>
      <c r="H180" s="356">
        <v>39000</v>
      </c>
      <c r="I180" s="357">
        <f>compras_mes3[[#This Row],[NETO GRAVADO]]*0.21</f>
        <v>8190</v>
      </c>
      <c r="J180" s="357"/>
      <c r="K180" s="357"/>
      <c r="L180" s="357"/>
      <c r="M180" s="357"/>
      <c r="N180" s="357">
        <v>1170</v>
      </c>
      <c r="O180" s="357"/>
      <c r="P180" s="358">
        <f>SUM(compras_mes3[[#This Row],[NETO GRAVADO]:[Otros / No Grav.]])</f>
        <v>48360</v>
      </c>
      <c r="Q180" s="355" t="str">
        <f>IFERROR(IF(compras_mes3[[#This Row],[CUIT]]="","-",VLOOKUP(compras_mes3[[#This Row],[CUIT]],Lista_CUIT[#All],3,0)),"CUIT NO CARGADO")</f>
        <v>Servicios Gas, Luz, etc.</v>
      </c>
      <c r="R180" s="359">
        <f>IFERROR(IF(compras_mes3[[#This Row],[CUIT]]="","-",VLOOKUP(compras_mes3[[#This Row],[CUIT]],Lista_CUIT[#All],4,0)),"CUIT NO CARGADO")</f>
        <v>0</v>
      </c>
    </row>
    <row r="181" spans="2:18">
      <c r="B181" s="376">
        <v>45372</v>
      </c>
      <c r="C181" s="377">
        <v>1</v>
      </c>
      <c r="D181" s="378">
        <v>5</v>
      </c>
      <c r="E181" s="379">
        <v>2994043</v>
      </c>
      <c r="F181" s="380">
        <v>30702652975</v>
      </c>
      <c r="G181" s="381" t="str">
        <f>IFERROR(IF(compras_mes3[[#This Row],[CUIT]]="","-",VLOOKUP(compras_mes3[[#This Row],[CUIT]],Lista_CUIT[#All],2,0)),"CUIT NO CARGADO")</f>
        <v>NSS SA</v>
      </c>
      <c r="H181" s="382">
        <v>29075.68</v>
      </c>
      <c r="I181" s="383">
        <f>compras_mes3[[#This Row],[NETO GRAVADO]]*0.21</f>
        <v>6105.8927999999996</v>
      </c>
      <c r="J181" s="383"/>
      <c r="K181" s="383"/>
      <c r="L181" s="383"/>
      <c r="M181" s="383"/>
      <c r="N181" s="383">
        <v>1744.54</v>
      </c>
      <c r="O181" s="383"/>
      <c r="P181" s="384">
        <f>SUM(compras_mes3[[#This Row],[NETO GRAVADO]:[Otros / No Grav.]])</f>
        <v>36926.112800000003</v>
      </c>
      <c r="Q181" s="381" t="str">
        <f>IFERROR(IF(compras_mes3[[#This Row],[CUIT]]="","-",VLOOKUP(compras_mes3[[#This Row],[CUIT]],Lista_CUIT[#All],3,0)),"CUIT NO CARGADO")</f>
        <v>Servicios Gas, Luz, etc.</v>
      </c>
      <c r="R181" s="385">
        <f>IFERROR(IF(compras_mes3[[#This Row],[CUIT]]="","-",VLOOKUP(compras_mes3[[#This Row],[CUIT]],Lista_CUIT[#All],4,0)),"CUIT NO CARGADO")</f>
        <v>0</v>
      </c>
    </row>
    <row r="182" spans="2:18">
      <c r="B182" s="96" t="s">
        <v>103</v>
      </c>
      <c r="C182" s="96"/>
      <c r="D182" s="96"/>
      <c r="E182" s="96"/>
      <c r="F182" s="96"/>
      <c r="G182" s="97"/>
      <c r="H182" s="98">
        <f>SUBTOTAL(109,compras_mes3[NETO GRAVADO])</f>
        <v>611227.46000000008</v>
      </c>
      <c r="I182" s="98">
        <f>SUBTOTAL(109,compras_mes3[IVA 21 %])</f>
        <v>111099.19320000001</v>
      </c>
      <c r="J182" s="98">
        <f>SUBTOTAL(109,compras_mes3[IVA 27%])</f>
        <v>22189.599999999999</v>
      </c>
      <c r="K182" s="98">
        <f>SUBTOTAL(109,compras_mes3[IVA 10,5%])</f>
        <v>0</v>
      </c>
      <c r="L182" s="98">
        <f>SUBTOTAL(109,compras_mes3[PERC. IVA])</f>
        <v>4560.34</v>
      </c>
      <c r="M182" s="98">
        <f>SUBTOTAL(109,compras_mes3[PERC IIBB 
BS AS])</f>
        <v>0</v>
      </c>
      <c r="N182" s="98">
        <f>SUBTOTAL(109,compras_mes3[PERC. IIBB CABA])</f>
        <v>41221.79</v>
      </c>
      <c r="O182" s="98">
        <f>SUBTOTAL(109,compras_mes3[Otros / No Grav.])</f>
        <v>3930.69</v>
      </c>
      <c r="P182" s="98">
        <f>SUBTOTAL(109,compras_mes3[TOTAL])</f>
        <v>794229.07319999998</v>
      </c>
      <c r="Q182" s="97"/>
      <c r="R182" s="96"/>
    </row>
    <row r="183" spans="2:18" s="56" customFormat="1" ht="18.600000000000001" customHeight="1">
      <c r="B183" s="40"/>
      <c r="C183" s="41"/>
      <c r="D183" s="42"/>
      <c r="E183" s="43"/>
      <c r="F183" s="44"/>
      <c r="G183" s="45"/>
      <c r="H183" s="46"/>
      <c r="I183" s="47"/>
      <c r="J183" s="47"/>
      <c r="K183" s="47"/>
      <c r="L183" s="47"/>
      <c r="M183" s="47"/>
      <c r="N183" s="47"/>
      <c r="O183" s="47"/>
      <c r="P183" s="48"/>
      <c r="Q183" s="680"/>
      <c r="R183" s="49"/>
    </row>
    <row r="184" spans="2:18" ht="21">
      <c r="D184" s="712" t="s">
        <v>15</v>
      </c>
      <c r="E184" s="712"/>
      <c r="F184" s="712"/>
      <c r="G184" s="712"/>
      <c r="H184" s="712"/>
      <c r="I184" s="712"/>
      <c r="J184" s="712"/>
      <c r="K184" s="712"/>
      <c r="L184" s="712"/>
    </row>
    <row r="185" spans="2:18" ht="15.75">
      <c r="D185" s="73" t="s">
        <v>0</v>
      </c>
      <c r="E185" s="74" t="s">
        <v>26</v>
      </c>
      <c r="F185" s="74" t="s">
        <v>16</v>
      </c>
      <c r="G185" s="74" t="s">
        <v>5</v>
      </c>
      <c r="H185" s="74" t="s">
        <v>17</v>
      </c>
      <c r="I185" s="74" t="s">
        <v>7</v>
      </c>
      <c r="J185" s="75" t="s">
        <v>18</v>
      </c>
      <c r="K185" s="75" t="s">
        <v>19</v>
      </c>
      <c r="L185" s="76" t="s">
        <v>20</v>
      </c>
    </row>
    <row r="186" spans="2:18">
      <c r="D186" s="212">
        <v>45382</v>
      </c>
      <c r="E186" s="213">
        <v>31224424</v>
      </c>
      <c r="F186" t="s">
        <v>1882</v>
      </c>
      <c r="G186" s="215">
        <v>664.44</v>
      </c>
      <c r="H186" s="215">
        <f>extracto_banco_mes3[[#This Row],[NETO]]*0.21</f>
        <v>139.5324</v>
      </c>
      <c r="I186" s="215"/>
      <c r="J186" s="215"/>
      <c r="K186" s="404"/>
      <c r="L186" s="214"/>
    </row>
    <row r="187" spans="2:18">
      <c r="D187" s="212">
        <v>45378</v>
      </c>
      <c r="E187" s="213">
        <v>27101403</v>
      </c>
      <c r="F187" t="s">
        <v>115</v>
      </c>
      <c r="G187" s="215">
        <v>56876.5</v>
      </c>
      <c r="H187" s="215">
        <f>extracto_banco_mes3[[#This Row],[NETO]]*0.21</f>
        <v>11944.064999999999</v>
      </c>
      <c r="I187" s="215"/>
      <c r="J187" s="215">
        <v>2979.48</v>
      </c>
      <c r="K187" s="404">
        <v>1489.74</v>
      </c>
      <c r="L187" s="214"/>
    </row>
    <row r="188" spans="2:18" ht="15" customHeight="1">
      <c r="D188" s="212">
        <v>45382</v>
      </c>
      <c r="E188" s="213">
        <v>23456060</v>
      </c>
      <c r="F188" t="s">
        <v>2135</v>
      </c>
      <c r="G188" s="215">
        <v>113750</v>
      </c>
      <c r="H188" s="215">
        <f>extracto_banco_mes3[[#This Row],[NETO]]*0.21</f>
        <v>23887.5</v>
      </c>
      <c r="I188" s="215"/>
      <c r="J188" s="215"/>
      <c r="K188" s="404">
        <v>3412.5</v>
      </c>
      <c r="L188" s="214"/>
    </row>
    <row r="189" spans="2:18">
      <c r="D189" s="212">
        <v>45378</v>
      </c>
      <c r="E189" s="213">
        <v>27013393</v>
      </c>
      <c r="F189" t="s">
        <v>1583</v>
      </c>
      <c r="G189" s="215">
        <v>4391</v>
      </c>
      <c r="H189" s="215">
        <v>504</v>
      </c>
      <c r="I189" s="215">
        <v>209</v>
      </c>
      <c r="J189" s="215">
        <v>5282.75</v>
      </c>
      <c r="K189" s="404">
        <v>72</v>
      </c>
      <c r="L189" s="214"/>
    </row>
    <row r="190" spans="2:18">
      <c r="D190" s="212">
        <v>45381</v>
      </c>
      <c r="E190" s="213">
        <v>30982024</v>
      </c>
      <c r="F190" t="s">
        <v>2136</v>
      </c>
      <c r="G190" s="215">
        <v>496</v>
      </c>
      <c r="H190" s="215">
        <f>extracto_banco_mes3[[#This Row],[NETO]]*0.21</f>
        <v>104.16</v>
      </c>
      <c r="I190" s="215"/>
      <c r="J190" s="215">
        <v>4.12</v>
      </c>
      <c r="K190" s="404"/>
      <c r="L190" s="214"/>
    </row>
    <row r="191" spans="2:18">
      <c r="D191" s="212">
        <v>45382</v>
      </c>
      <c r="E191" s="213">
        <v>30302024</v>
      </c>
      <c r="F191" t="s">
        <v>116</v>
      </c>
      <c r="G191" s="215">
        <v>5625</v>
      </c>
      <c r="H191" s="215">
        <f>extracto_banco_mes3[[#This Row],[NETO]]*0.21</f>
        <v>1181.25</v>
      </c>
      <c r="I191" s="215"/>
      <c r="J191" s="215">
        <v>337.5</v>
      </c>
      <c r="K191" s="404">
        <v>168.75</v>
      </c>
      <c r="L191" s="214"/>
    </row>
    <row r="192" spans="2:18">
      <c r="D192" s="212">
        <v>45359</v>
      </c>
      <c r="E192" s="213">
        <v>80032024</v>
      </c>
      <c r="F192" t="s">
        <v>1928</v>
      </c>
      <c r="G192" s="215">
        <v>402.22</v>
      </c>
      <c r="H192" s="215">
        <f>extracto_banco_mes3[[#This Row],[NETO]]*0.21</f>
        <v>84.466200000000001</v>
      </c>
      <c r="I192" s="215"/>
      <c r="J192" s="215">
        <v>2244.39</v>
      </c>
      <c r="K192" s="404"/>
      <c r="L192" s="214"/>
    </row>
    <row r="193" spans="4:12">
      <c r="D193" s="212">
        <v>45378</v>
      </c>
      <c r="E193" s="213">
        <v>27032024</v>
      </c>
      <c r="F193" t="s">
        <v>1720</v>
      </c>
      <c r="G193" s="215">
        <v>898123</v>
      </c>
      <c r="H193" s="405">
        <v>50786.040899999985</v>
      </c>
      <c r="I193" s="215">
        <v>68910.559999999983</v>
      </c>
      <c r="J193" s="215">
        <v>270271.77999999997</v>
      </c>
      <c r="K193" s="404">
        <v>4413.1400000000003</v>
      </c>
      <c r="L193" s="214"/>
    </row>
    <row r="194" spans="4:12">
      <c r="D194" s="82" t="s">
        <v>103</v>
      </c>
      <c r="E194" s="80"/>
      <c r="F194" s="80"/>
      <c r="G194" s="675">
        <f>SUBTOTAL(109,extracto_banco_mes3[NETO])</f>
        <v>1080328.1599999999</v>
      </c>
      <c r="H194" s="675">
        <f>SUBTOTAL(109,extracto_banco_mes3[IVA 21%])</f>
        <v>88631.01449999999</v>
      </c>
      <c r="I194" s="675">
        <f>SUBTOTAL(109,extracto_banco_mes3[IVA 10,5%])</f>
        <v>69119.559999999983</v>
      </c>
      <c r="J194" s="675">
        <f>SUBTOTAL(109,extracto_banco_mes3[RET IIBB CABA])</f>
        <v>281120.01999999996</v>
      </c>
      <c r="K194" s="675">
        <f>SUBTOTAL(109,extracto_banco_mes3[PERC IVA])</f>
        <v>9556.130000000001</v>
      </c>
      <c r="L194" s="83">
        <f>SUBTOTAL(109,extracto_banco_mes3[PERC IIBB])</f>
        <v>0</v>
      </c>
    </row>
    <row r="195" spans="4:12">
      <c r="D195" s="197"/>
      <c r="E195" s="198"/>
      <c r="F195" s="198"/>
      <c r="H195" s="199"/>
      <c r="I195" s="349"/>
      <c r="J195" s="199"/>
      <c r="K195" s="199"/>
      <c r="L195" s="199"/>
    </row>
    <row r="196" spans="4:12" ht="21">
      <c r="D196" s="712" t="s">
        <v>25</v>
      </c>
      <c r="E196" s="712"/>
      <c r="F196" s="712"/>
      <c r="G196" s="712"/>
      <c r="H196" s="712"/>
      <c r="I196" s="712"/>
      <c r="J196" s="712"/>
      <c r="K196" s="712"/>
    </row>
    <row r="197" spans="4:12">
      <c r="D197" s="51" t="s">
        <v>0</v>
      </c>
      <c r="E197" s="51" t="s">
        <v>2</v>
      </c>
      <c r="F197" s="51" t="s">
        <v>74</v>
      </c>
      <c r="G197" s="51" t="s">
        <v>3</v>
      </c>
      <c r="H197" s="51" t="s">
        <v>4</v>
      </c>
      <c r="I197" s="52" t="s">
        <v>10</v>
      </c>
      <c r="J197" s="442" t="s">
        <v>13</v>
      </c>
      <c r="K197" s="51" t="s">
        <v>38</v>
      </c>
    </row>
    <row r="198" spans="4:12">
      <c r="D198" s="386">
        <v>45356</v>
      </c>
      <c r="E198" s="360">
        <v>2</v>
      </c>
      <c r="F198" s="361">
        <v>1462</v>
      </c>
      <c r="G198" s="387">
        <v>27203200523</v>
      </c>
      <c r="H198" s="388" t="str">
        <f>IFERROR(IF(factura_c_mes3[[#This Row],[CUIT]]="","-",VLOOKUP(factura_c_mes3[[#This Row],[CUIT]],Lista_CUIT[#All],2,0)),"CUIT NO CARGADO")</f>
        <v>NIEVE MARCELA SUSANA</v>
      </c>
      <c r="I198" s="389">
        <v>24000</v>
      </c>
      <c r="J198" s="676" t="str">
        <f>IFERROR(IF(factura_c_mes3[[#This Row],[CUIT]]="","-",VLOOKUP(factura_c_mes3[[#This Row],[CUIT]],Lista_CUIT[#All],3,0)),"CUIT NO CARGADO")</f>
        <v>Gastos Limpieza</v>
      </c>
      <c r="K198" s="390">
        <f>IFERROR(IF(factura_c_mes3[[#This Row],[CUIT]]="","-",VLOOKUP(factura_c_mes3[[#This Row],[CUIT]],Lista_CUIT[#All],4,0)),"CUIT NO CARGADO")</f>
        <v>0</v>
      </c>
    </row>
    <row r="199" spans="4:12">
      <c r="D199" s="50">
        <v>45356</v>
      </c>
      <c r="E199" s="42">
        <v>3</v>
      </c>
      <c r="F199" s="43">
        <v>290</v>
      </c>
      <c r="G199" s="200">
        <v>20226549758</v>
      </c>
      <c r="H199" s="201" t="str">
        <f>IFERROR(IF(factura_c_mes3[[#This Row],[CUIT]]="","-",VLOOKUP(factura_c_mes3[[#This Row],[CUIT]],Lista_CUIT[#All],2,0)),"CUIT NO CARGADO")</f>
        <v>JANEIRO VERONICA BELEN</v>
      </c>
      <c r="I199" s="202">
        <v>160000</v>
      </c>
      <c r="J199" s="677" t="str">
        <f>IFERROR(IF(factura_c_mes3[[#This Row],[CUIT]]="","-",VLOOKUP(factura_c_mes3[[#This Row],[CUIT]],Lista_CUIT[#All],3,0)),"CUIT NO CARGADO")</f>
        <v>Gastos Varios</v>
      </c>
      <c r="K199" s="203">
        <f>IFERROR(IF(factura_c_mes3[[#This Row],[CUIT]]="","-",VLOOKUP(factura_c_mes3[[#This Row],[CUIT]],Lista_CUIT[#All],4,0)),"CUIT NO CARGADO")</f>
        <v>0</v>
      </c>
    </row>
    <row r="200" spans="4:12">
      <c r="D200" s="50">
        <v>45366</v>
      </c>
      <c r="E200" s="42">
        <v>2</v>
      </c>
      <c r="F200" s="43">
        <v>4056</v>
      </c>
      <c r="G200" s="200">
        <v>20136536320</v>
      </c>
      <c r="H200" s="201" t="str">
        <f>IFERROR(IF(factura_c_mes3[[#This Row],[CUIT]]="","-",VLOOKUP(factura_c_mes3[[#This Row],[CUIT]],Lista_CUIT[#All],2,0)),"CUIT NO CARGADO")</f>
        <v>FONTENLA ERNESTO MARIO</v>
      </c>
      <c r="I200" s="202">
        <v>7800</v>
      </c>
      <c r="J200" s="677" t="str">
        <f>IFERROR(IF(factura_c_mes3[[#This Row],[CUIT]]="","-",VLOOKUP(factura_c_mes3[[#This Row],[CUIT]],Lista_CUIT[#All],3,0)),"CUIT NO CARGADO")</f>
        <v>Gastos Varios</v>
      </c>
      <c r="K200" s="203" t="str">
        <f>IFERROR(IF(factura_c_mes3[[#This Row],[CUIT]]="","-",VLOOKUP(factura_c_mes3[[#This Row],[CUIT]],Lista_CUIT[#All],4,0)),"CUIT NO CARGADO")</f>
        <v>CABA</v>
      </c>
    </row>
    <row r="201" spans="4:12">
      <c r="D201" s="50">
        <v>45368</v>
      </c>
      <c r="E201" s="42">
        <v>3</v>
      </c>
      <c r="F201" s="43">
        <v>948</v>
      </c>
      <c r="G201" s="200">
        <v>20173025557</v>
      </c>
      <c r="H201" s="201" t="str">
        <f>IFERROR(IF(factura_c_mes3[[#This Row],[CUIT]]="","-",VLOOKUP(factura_c_mes3[[#This Row],[CUIT]],Lista_CUIT[#All],2,0)),"CUIT NO CARGADO")</f>
        <v>MARAUDA HECTOR</v>
      </c>
      <c r="I201" s="202">
        <v>4500</v>
      </c>
      <c r="J201" s="677" t="str">
        <f>IFERROR(IF(factura_c_mes3[[#This Row],[CUIT]]="","-",VLOOKUP(factura_c_mes3[[#This Row],[CUIT]],Lista_CUIT[#All],3,0)),"CUIT NO CARGADO")</f>
        <v>Gastos Varios</v>
      </c>
      <c r="K201" s="203">
        <f>IFERROR(IF(factura_c_mes3[[#This Row],[CUIT]]="","-",VLOOKUP(factura_c_mes3[[#This Row],[CUIT]],Lista_CUIT[#All],4,0)),"CUIT NO CARGADO")</f>
        <v>0</v>
      </c>
    </row>
    <row r="202" spans="4:12" ht="18" customHeight="1">
      <c r="D202" s="50">
        <v>45369</v>
      </c>
      <c r="E202" s="42">
        <v>2</v>
      </c>
      <c r="F202" s="43">
        <v>4071</v>
      </c>
      <c r="G202" s="200">
        <v>20136536320</v>
      </c>
      <c r="H202" s="201" t="str">
        <f>IFERROR(IF(factura_c_mes3[[#This Row],[CUIT]]="","-",VLOOKUP(factura_c_mes3[[#This Row],[CUIT]],Lista_CUIT[#All],2,0)),"CUIT NO CARGADO")</f>
        <v>FONTENLA ERNESTO MARIO</v>
      </c>
      <c r="I202" s="202">
        <v>3300</v>
      </c>
      <c r="J202" s="677" t="str">
        <f>IFERROR(IF(factura_c_mes3[[#This Row],[CUIT]]="","-",VLOOKUP(factura_c_mes3[[#This Row],[CUIT]],Lista_CUIT[#All],3,0)),"CUIT NO CARGADO")</f>
        <v>Gastos Varios</v>
      </c>
      <c r="K202" s="203" t="str">
        <f>IFERROR(IF(factura_c_mes3[[#This Row],[CUIT]]="","-",VLOOKUP(factura_c_mes3[[#This Row],[CUIT]],Lista_CUIT[#All],4,0)),"CUIT NO CARGADO")</f>
        <v>CABA</v>
      </c>
    </row>
    <row r="203" spans="4:12" ht="18" customHeight="1">
      <c r="D203" s="386">
        <v>45352</v>
      </c>
      <c r="E203" s="360">
        <v>1</v>
      </c>
      <c r="F203" s="361">
        <v>12</v>
      </c>
      <c r="G203" s="387">
        <v>20394167216</v>
      </c>
      <c r="H203" s="388" t="str">
        <f>IFERROR(IF(factura_c_mes3[[#This Row],[CUIT]]="","-",VLOOKUP(factura_c_mes3[[#This Row],[CUIT]],Lista_CUIT[#All],2,0)),"CUIT NO CARGADO")</f>
        <v>CASTILLO SANTIAGO JESUS</v>
      </c>
      <c r="I203" s="389">
        <v>400000</v>
      </c>
      <c r="J203" s="676" t="str">
        <f>IFERROR(IF(factura_c_mes3[[#This Row],[CUIT]]="","-",VLOOKUP(factura_c_mes3[[#This Row],[CUIT]],Lista_CUIT[#All],3,0)),"CUIT NO CARGADO")</f>
        <v>Honorarios Administrativos</v>
      </c>
      <c r="K203" s="390">
        <f>IFERROR(IF(factura_c_mes3[[#This Row],[CUIT]]="","-",VLOOKUP(factura_c_mes3[[#This Row],[CUIT]],Lista_CUIT[#All],4,0)),"CUIT NO CARGADO")</f>
        <v>0</v>
      </c>
    </row>
    <row r="204" spans="4:12" ht="18" customHeight="1">
      <c r="D204" s="50">
        <v>45355</v>
      </c>
      <c r="E204" s="42">
        <v>3</v>
      </c>
      <c r="F204" s="43">
        <v>826</v>
      </c>
      <c r="G204" s="200">
        <v>20086277523</v>
      </c>
      <c r="H204" s="201" t="str">
        <f>IFERROR(IF(factura_c_mes3[[#This Row],[CUIT]]="","-",VLOOKUP(factura_c_mes3[[#This Row],[CUIT]],Lista_CUIT[#All],2,0)),"CUIT NO CARGADO")</f>
        <v>BOTINDARI JUAN CARLOS</v>
      </c>
      <c r="I204" s="202">
        <v>155000</v>
      </c>
      <c r="J204" s="677" t="str">
        <f>IFERROR(IF(factura_c_mes3[[#This Row],[CUIT]]="","-",VLOOKUP(factura_c_mes3[[#This Row],[CUIT]],Lista_CUIT[#All],3,0)),"CUIT NO CARGADO")</f>
        <v>Honorarios Contables</v>
      </c>
      <c r="K204" s="203">
        <f>IFERROR(IF(factura_c_mes3[[#This Row],[CUIT]]="","-",VLOOKUP(factura_c_mes3[[#This Row],[CUIT]],Lista_CUIT[#All],4,0)),"CUIT NO CARGADO")</f>
        <v>0</v>
      </c>
    </row>
    <row r="205" spans="4:12" ht="18" customHeight="1">
      <c r="D205" s="386">
        <v>45357</v>
      </c>
      <c r="E205" s="360">
        <v>2</v>
      </c>
      <c r="F205" s="361">
        <v>282</v>
      </c>
      <c r="G205" s="387">
        <v>23319210954</v>
      </c>
      <c r="H205" s="388" t="str">
        <f>IFERROR(IF(factura_c_mes3[[#This Row],[CUIT]]="","-",VLOOKUP(factura_c_mes3[[#This Row],[CUIT]],Lista_CUIT[#All],2,0)),"CUIT NO CARGADO")</f>
        <v>CAFFARATTI ROMINA PAOLA</v>
      </c>
      <c r="I205" s="389">
        <v>104000</v>
      </c>
      <c r="J205" s="676" t="str">
        <f>IFERROR(IF(factura_c_mes3[[#This Row],[CUIT]]="","-",VLOOKUP(factura_c_mes3[[#This Row],[CUIT]],Lista_CUIT[#All],3,0)),"CUIT NO CARGADO")</f>
        <v>Honorarios Contables</v>
      </c>
      <c r="K205" s="390">
        <f>IFERROR(IF(factura_c_mes3[[#This Row],[CUIT]]="","-",VLOOKUP(factura_c_mes3[[#This Row],[CUIT]],Lista_CUIT[#All],4,0)),"CUIT NO CARGADO")</f>
        <v>0</v>
      </c>
    </row>
    <row r="206" spans="4:12" ht="18" customHeight="1">
      <c r="D206" s="50">
        <v>45352</v>
      </c>
      <c r="E206" s="42">
        <v>3</v>
      </c>
      <c r="F206" s="43">
        <v>466</v>
      </c>
      <c r="G206" s="200">
        <v>20210551574</v>
      </c>
      <c r="H206" s="201" t="str">
        <f>IFERROR(IF(factura_c_mes3[[#This Row],[CUIT]]="","-",VLOOKUP(factura_c_mes3[[#This Row],[CUIT]],Lista_CUIT[#All],2,0)),"CUIT NO CARGADO")</f>
        <v>REUS JORGE DIEGO</v>
      </c>
      <c r="I206" s="202">
        <v>151500</v>
      </c>
      <c r="J206" s="677" t="str">
        <f>IFERROR(IF(factura_c_mes3[[#This Row],[CUIT]]="","-",VLOOKUP(factura_c_mes3[[#This Row],[CUIT]],Lista_CUIT[#All],3,0)),"CUIT NO CARGADO")</f>
        <v>Honorarios Legales</v>
      </c>
      <c r="K206" s="203">
        <f>IFERROR(IF(factura_c_mes3[[#This Row],[CUIT]]="","-",VLOOKUP(factura_c_mes3[[#This Row],[CUIT]],Lista_CUIT[#All],4,0)),"CUIT NO CARGADO")</f>
        <v>0</v>
      </c>
    </row>
    <row r="207" spans="4:12" ht="18" customHeight="1">
      <c r="D207" s="386">
        <v>45382</v>
      </c>
      <c r="E207" s="360">
        <v>4</v>
      </c>
      <c r="F207" s="361">
        <v>384</v>
      </c>
      <c r="G207" s="362">
        <v>23222942934</v>
      </c>
      <c r="H207" s="391" t="str">
        <f>IFERROR(IF(factura_c_mes3[[#This Row],[CUIT]]="","-",VLOOKUP(factura_c_mes3[[#This Row],[CUIT]],Lista_CUIT[#All],2,0)),"CUIT NO CARGADO")</f>
        <v>FIORI SILVIA LORENA</v>
      </c>
      <c r="I207" s="392">
        <v>69000</v>
      </c>
      <c r="J207" s="678" t="str">
        <f>IFERROR(IF(factura_c_mes3[[#This Row],[CUIT]]="","-",VLOOKUP(factura_c_mes3[[#This Row],[CUIT]],Lista_CUIT[#All],3,0)),"CUIT NO CARGADO")</f>
        <v>Honorarios Profesionales</v>
      </c>
      <c r="K207" s="393">
        <f>IFERROR(IF(factura_c_mes3[[#This Row],[CUIT]]="","-",VLOOKUP(factura_c_mes3[[#This Row],[CUIT]],Lista_CUIT[#All],4,0)),"CUIT NO CARGADO")</f>
        <v>0</v>
      </c>
    </row>
    <row r="208" spans="4:12" ht="18" customHeight="1">
      <c r="D208" s="50">
        <v>45357</v>
      </c>
      <c r="E208" s="42">
        <v>2</v>
      </c>
      <c r="F208" s="43">
        <v>336</v>
      </c>
      <c r="G208" s="200">
        <v>20300814094</v>
      </c>
      <c r="H208" s="201" t="str">
        <f>IFERROR(IF(factura_c_mes3[[#This Row],[CUIT]]="","-",VLOOKUP(factura_c_mes3[[#This Row],[CUIT]],Lista_CUIT[#All],2,0)),"CUIT NO CARGADO")</f>
        <v>FARRAPEIRA OSCAR MAXIMO</v>
      </c>
      <c r="I208" s="202">
        <v>827798</v>
      </c>
      <c r="J208" s="677" t="str">
        <f>IFERROR(IF(factura_c_mes3[[#This Row],[CUIT]]="","-",VLOOKUP(factura_c_mes3[[#This Row],[CUIT]],Lista_CUIT[#All],3,0)),"CUIT NO CARGADO")</f>
        <v>Material de Empaque</v>
      </c>
      <c r="K208" s="203">
        <f>IFERROR(IF(factura_c_mes3[[#This Row],[CUIT]]="","-",VLOOKUP(factura_c_mes3[[#This Row],[CUIT]],Lista_CUIT[#All],4,0)),"CUIT NO CARGADO")</f>
        <v>0</v>
      </c>
    </row>
    <row r="209" spans="2:13" ht="18" customHeight="1">
      <c r="D209" s="50">
        <v>45357</v>
      </c>
      <c r="E209" s="42">
        <v>1</v>
      </c>
      <c r="F209" s="43">
        <v>69</v>
      </c>
      <c r="G209" s="200">
        <v>20299505430</v>
      </c>
      <c r="H209" s="201" t="str">
        <f>IFERROR(IF(factura_c_mes3[[#This Row],[CUIT]]="","-",VLOOKUP(factura_c_mes3[[#This Row],[CUIT]],Lista_CUIT[#All],2,0)),"CUIT NO CARGADO")</f>
        <v>PRADO EMILIANO HERNAN</v>
      </c>
      <c r="I209" s="202">
        <v>710040</v>
      </c>
      <c r="J209" s="677" t="str">
        <f>IFERROR(IF(factura_c_mes3[[#This Row],[CUIT]]="","-",VLOOKUP(factura_c_mes3[[#This Row],[CUIT]],Lista_CUIT[#All],3,0)),"CUIT NO CARGADO")</f>
        <v>Material de Empaque</v>
      </c>
      <c r="K209" s="203">
        <f>IFERROR(IF(factura_c_mes3[[#This Row],[CUIT]]="","-",VLOOKUP(factura_c_mes3[[#This Row],[CUIT]],Lista_CUIT[#All],4,0)),"CUIT NO CARGADO")</f>
        <v>0</v>
      </c>
    </row>
    <row r="210" spans="2:13">
      <c r="D210" s="386">
        <v>45372</v>
      </c>
      <c r="E210" s="360">
        <v>8</v>
      </c>
      <c r="F210" s="361">
        <v>565</v>
      </c>
      <c r="G210" s="387">
        <v>27409592487</v>
      </c>
      <c r="H210" s="388" t="str">
        <f>IFERROR(IF(factura_c_mes3[[#This Row],[CUIT]]="","-",VLOOKUP(factura_c_mes3[[#This Row],[CUIT]],Lista_CUIT[#All],2,0)),"CUIT NO CARGADO")</f>
        <v>BAUDONE ANTONELLA AGOSTINA</v>
      </c>
      <c r="I210" s="389">
        <v>198450</v>
      </c>
      <c r="J210" s="676" t="str">
        <f>IFERROR(IF(factura_c_mes3[[#This Row],[CUIT]]="","-",VLOOKUP(factura_c_mes3[[#This Row],[CUIT]],Lista_CUIT[#All],3,0)),"CUIT NO CARGADO")</f>
        <v>Material de Empaque</v>
      </c>
      <c r="K210" s="390">
        <f>IFERROR(IF(factura_c_mes3[[#This Row],[CUIT]]="","-",VLOOKUP(factura_c_mes3[[#This Row],[CUIT]],Lista_CUIT[#All],4,0)),"CUIT NO CARGADO")</f>
        <v>0</v>
      </c>
    </row>
    <row r="211" spans="2:13">
      <c r="D211" s="50">
        <v>45376</v>
      </c>
      <c r="E211" s="42">
        <v>2</v>
      </c>
      <c r="F211" s="43">
        <v>339</v>
      </c>
      <c r="G211" s="44">
        <v>20300814094</v>
      </c>
      <c r="H211" s="53" t="str">
        <f>IFERROR(IF(factura_c_mes3[[#This Row],[CUIT]]="","-",VLOOKUP(factura_c_mes3[[#This Row],[CUIT]],Lista_CUIT[#All],2,0)),"CUIT NO CARGADO")</f>
        <v>FARRAPEIRA OSCAR MAXIMO</v>
      </c>
      <c r="I211" s="81">
        <v>485430</v>
      </c>
      <c r="J211" s="679" t="str">
        <f>IFERROR(IF(factura_c_mes3[[#This Row],[CUIT]]="","-",VLOOKUP(factura_c_mes3[[#This Row],[CUIT]],Lista_CUIT[#All],3,0)),"CUIT NO CARGADO")</f>
        <v>Material de Empaque</v>
      </c>
      <c r="K211" s="54">
        <f>IFERROR(IF(factura_c_mes3[[#This Row],[CUIT]]="","-",VLOOKUP(factura_c_mes3[[#This Row],[CUIT]],Lista_CUIT[#All],4,0)),"CUIT NO CARGADO")</f>
        <v>0</v>
      </c>
    </row>
    <row r="212" spans="2:13">
      <c r="D212" s="55" t="s">
        <v>103</v>
      </c>
      <c r="E212" s="55"/>
      <c r="F212" s="55"/>
      <c r="G212" s="55"/>
      <c r="H212" s="57"/>
      <c r="I212" s="58">
        <f>SUBTOTAL(109,factura_c_mes3[TOTAL])</f>
        <v>3300818</v>
      </c>
      <c r="J212" s="57"/>
      <c r="K212" s="55"/>
    </row>
    <row r="215" spans="2:13" ht="26.25">
      <c r="B215" s="720" t="s">
        <v>29</v>
      </c>
      <c r="C215" s="720"/>
      <c r="D215" s="720"/>
      <c r="E215" s="720"/>
      <c r="F215" s="720"/>
      <c r="G215" s="720"/>
      <c r="H215" s="720"/>
      <c r="I215" s="720"/>
      <c r="J215" s="720"/>
      <c r="K215" s="716">
        <f>N1</f>
        <v>44986</v>
      </c>
      <c r="L215" s="716"/>
      <c r="M215" s="716"/>
    </row>
    <row r="217" spans="2:13" ht="21">
      <c r="B217" s="713" t="s">
        <v>30</v>
      </c>
      <c r="C217" s="713"/>
    </row>
    <row r="218" spans="2:13" ht="15.75">
      <c r="B218" s="60" t="s">
        <v>0</v>
      </c>
      <c r="C218" s="61" t="s">
        <v>1</v>
      </c>
      <c r="D218" s="61" t="s">
        <v>21</v>
      </c>
      <c r="E218" s="61" t="s">
        <v>22</v>
      </c>
      <c r="F218" s="61" t="s">
        <v>3</v>
      </c>
      <c r="G218" s="61" t="s">
        <v>4</v>
      </c>
      <c r="H218" s="61" t="s">
        <v>23</v>
      </c>
      <c r="I218" s="61" t="s">
        <v>17</v>
      </c>
      <c r="J218" s="61" t="s">
        <v>7</v>
      </c>
      <c r="K218" s="61" t="s">
        <v>24</v>
      </c>
      <c r="L218" s="61" t="s">
        <v>10</v>
      </c>
      <c r="M218" s="62" t="s">
        <v>38</v>
      </c>
    </row>
    <row r="219" spans="2:13">
      <c r="B219" s="40"/>
      <c r="C219" s="41"/>
      <c r="D219" s="42"/>
      <c r="E219" s="43"/>
      <c r="F219" s="44"/>
      <c r="G219" s="99" t="str">
        <f>IFERROR(IF(venta_a_mes3[[#This Row],[CUIT]]="","-",VLOOKUP(venta_a_mes3[[#This Row],[CUIT]],Lista_CUIT[#All],2,0)),"CUIT NO CARGADO")</f>
        <v>-</v>
      </c>
      <c r="H219" s="100"/>
      <c r="I219" s="101">
        <f>venta_a_mes3[[#This Row],[IMPORTE NETO]]*0.21</f>
        <v>0</v>
      </c>
      <c r="J219" s="65"/>
      <c r="K219" s="65"/>
      <c r="L219" s="65">
        <f>SUM(venta_a_mes3[[#This Row],[IMPORTE NETO]:[EXENTO]])</f>
        <v>0</v>
      </c>
      <c r="M219" s="59"/>
    </row>
    <row r="220" spans="2:13">
      <c r="B220" s="109"/>
      <c r="C220" s="110"/>
      <c r="D220" s="111"/>
      <c r="E220" s="112"/>
      <c r="F220" s="113"/>
      <c r="G220" s="99" t="str">
        <f>IFERROR(IF(venta_a_mes3[[#This Row],[CUIT]]="","-",VLOOKUP(venta_a_mes3[[#This Row],[CUIT]],Lista_CUIT[#All],2,0)),"CUIT NO CARGADO")</f>
        <v>-</v>
      </c>
      <c r="H220" s="100"/>
      <c r="I220" s="101">
        <f>venta_a_mes3[[#This Row],[IMPORTE NETO]]*0.21</f>
        <v>0</v>
      </c>
      <c r="J220" s="65"/>
      <c r="K220" s="65"/>
      <c r="L220" s="65">
        <f>SUM(venta_a_mes3[[#This Row],[IMPORTE NETO]:[EXENTO]])</f>
        <v>0</v>
      </c>
      <c r="M220" s="59"/>
    </row>
    <row r="221" spans="2:13">
      <c r="B221" s="66" t="s">
        <v>103</v>
      </c>
      <c r="C221" s="67"/>
      <c r="D221" s="67"/>
      <c r="E221" s="67"/>
      <c r="F221" s="67"/>
      <c r="G221" s="67"/>
      <c r="H221" s="69">
        <f>SUBTOTAL(109,venta_a_mes3[IMPORTE NETO])</f>
        <v>0</v>
      </c>
      <c r="I221" s="70">
        <f>SUBTOTAL(109,venta_a_mes3[IVA 21%])</f>
        <v>0</v>
      </c>
      <c r="J221" s="71">
        <f>SUBTOTAL(109,venta_a_mes3[IVA 10,5%])</f>
        <v>0</v>
      </c>
      <c r="K221" s="71">
        <f>SUBTOTAL(109,venta_a_mes3[EXENTO])</f>
        <v>0</v>
      </c>
      <c r="L221" s="71">
        <f>SUBTOTAL(109,venta_a_mes3[TOTAL])</f>
        <v>0</v>
      </c>
      <c r="M221" s="68">
        <f>SUBTOTAL(103,venta_a_mes3[Provincia])</f>
        <v>0</v>
      </c>
    </row>
    <row r="224" spans="2:13" ht="21">
      <c r="B224" s="713" t="s">
        <v>31</v>
      </c>
      <c r="C224" s="713"/>
    </row>
    <row r="225" spans="2:13" ht="15.75">
      <c r="B225" s="60" t="s">
        <v>0</v>
      </c>
      <c r="C225" s="61" t="s">
        <v>1</v>
      </c>
      <c r="D225" s="61" t="s">
        <v>21</v>
      </c>
      <c r="E225" s="61" t="s">
        <v>22</v>
      </c>
      <c r="F225" s="61" t="s">
        <v>3</v>
      </c>
      <c r="G225" s="61" t="s">
        <v>4</v>
      </c>
      <c r="H225" s="61" t="s">
        <v>23</v>
      </c>
      <c r="I225" s="61" t="s">
        <v>17</v>
      </c>
      <c r="J225" s="61" t="s">
        <v>7</v>
      </c>
      <c r="K225" s="61" t="s">
        <v>24</v>
      </c>
      <c r="L225" s="61" t="s">
        <v>10</v>
      </c>
      <c r="M225" s="62" t="s">
        <v>38</v>
      </c>
    </row>
    <row r="226" spans="2:13">
      <c r="B226" s="40"/>
      <c r="C226" s="41"/>
      <c r="D226" s="42"/>
      <c r="E226" s="43"/>
      <c r="F226" s="44"/>
      <c r="G226" s="1" t="str">
        <f>IFERROR(IF(ventas_b_mes3[[#This Row],[CUIT]]="","-",VLOOKUP(ventas_b_mes3[[#This Row],[CUIT]],Lista_CUIT[#All],2,0)),"CUIT NO CARGADO")</f>
        <v>-</v>
      </c>
      <c r="H226" s="64"/>
      <c r="I226" s="64"/>
      <c r="J226" s="64"/>
      <c r="K226" s="64"/>
      <c r="L226" s="64">
        <f>SUM(ventas_b_mes3[[#This Row],[IMPORTE NETO]:[EXENTO]])</f>
        <v>0</v>
      </c>
      <c r="M226" s="59"/>
    </row>
    <row r="227" spans="2:13">
      <c r="B227" s="40"/>
      <c r="C227" s="41"/>
      <c r="D227" s="42"/>
      <c r="E227" s="43"/>
      <c r="F227" s="44"/>
      <c r="G227" s="1"/>
      <c r="H227" s="64"/>
      <c r="I227" s="64"/>
      <c r="J227" s="64"/>
      <c r="K227" s="64"/>
      <c r="L227" s="64">
        <f>SUM(ventas_b_mes3[[#This Row],[IMPORTE NETO]:[EXENTO]])</f>
        <v>0</v>
      </c>
      <c r="M227" s="59"/>
    </row>
    <row r="228" spans="2:13">
      <c r="B228" s="66" t="s">
        <v>103</v>
      </c>
      <c r="C228" s="67"/>
      <c r="D228" s="67"/>
      <c r="E228" s="67"/>
      <c r="F228" s="67"/>
      <c r="G228" s="67"/>
      <c r="H228" s="77">
        <f>SUBTOTAL(109,ventas_b_mes3[IMPORTE NETO])</f>
        <v>0</v>
      </c>
      <c r="I228" s="77">
        <f>SUBTOTAL(109,ventas_b_mes3[IVA 21%])</f>
        <v>0</v>
      </c>
      <c r="J228" s="78">
        <f>SUBTOTAL(109,ventas_b_mes3[IVA 10,5%])</f>
        <v>0</v>
      </c>
      <c r="K228" s="78">
        <f>SUBTOTAL(109,ventas_b_mes3[EXENTO])</f>
        <v>0</v>
      </c>
      <c r="L228" s="78">
        <f>SUBTOTAL(109,ventas_b_mes3[TOTAL])</f>
        <v>0</v>
      </c>
      <c r="M228" s="68">
        <f>SUBTOTAL(103,ventas_b_mes3[Provincia])</f>
        <v>0</v>
      </c>
    </row>
    <row r="235" spans="2:13" ht="15.75" thickBot="1"/>
    <row r="236" spans="2:13" ht="15.75" thickTop="1">
      <c r="C236" s="726" t="s">
        <v>66</v>
      </c>
      <c r="D236" s="726"/>
      <c r="E236" s="726"/>
      <c r="F236" s="726"/>
      <c r="G236" s="726"/>
      <c r="H236" s="32"/>
      <c r="I236" s="32"/>
      <c r="J236" s="32"/>
    </row>
    <row r="237" spans="2:13" ht="15.75">
      <c r="C237" s="114" t="s">
        <v>67</v>
      </c>
      <c r="D237" s="115" t="s">
        <v>68</v>
      </c>
      <c r="E237" s="115" t="s">
        <v>105</v>
      </c>
      <c r="F237" s="115" t="s">
        <v>3</v>
      </c>
      <c r="G237" s="115" t="s">
        <v>4</v>
      </c>
      <c r="H237" s="116" t="s">
        <v>69</v>
      </c>
      <c r="I237" s="116" t="s">
        <v>70</v>
      </c>
      <c r="J237" s="116" t="s">
        <v>71</v>
      </c>
      <c r="K237" s="116" t="s">
        <v>72</v>
      </c>
      <c r="L237" s="116" t="s">
        <v>73</v>
      </c>
    </row>
    <row r="238" spans="2:13">
      <c r="C238" s="117"/>
      <c r="D238" s="118"/>
      <c r="E238" s="118"/>
      <c r="F238" s="119"/>
      <c r="G238" s="53" t="str">
        <f>IFERROR(IF(Retenciones_mes3[[#This Row],[CUIT]]="","-",VLOOKUP(Retenciones_mes3[[#This Row],[CUIT]],Lista_CUIT[#All],2,0)),"CUIT NO CARGADO")</f>
        <v>-</v>
      </c>
      <c r="H238" s="120"/>
      <c r="I238" s="120"/>
      <c r="J238" s="120"/>
      <c r="K238" s="120"/>
      <c r="L238" s="120"/>
    </row>
    <row r="239" spans="2:13">
      <c r="C239" s="117"/>
      <c r="D239" s="118"/>
      <c r="E239" s="118"/>
      <c r="F239" s="119"/>
      <c r="G239" s="53" t="str">
        <f>IFERROR(IF(Retenciones_mes3[[#This Row],[CUIT]]="","-",VLOOKUP(Retenciones_mes3[[#This Row],[CUIT]],Lista_CUIT[#All],2,0)),"CUIT NO CARGADO")</f>
        <v>-</v>
      </c>
      <c r="H239" s="120"/>
      <c r="I239" s="120"/>
      <c r="J239" s="120"/>
      <c r="K239" s="120"/>
      <c r="L239" s="120"/>
    </row>
    <row r="240" spans="2:13">
      <c r="C240" s="117"/>
      <c r="D240" s="118"/>
      <c r="E240" s="118"/>
      <c r="F240" s="119"/>
      <c r="G240" s="53" t="str">
        <f>IFERROR(IF(Retenciones_mes3[[#This Row],[CUIT]]="","-",VLOOKUP(Retenciones_mes3[[#This Row],[CUIT]],Lista_CUIT[#All],2,0)),"CUIT NO CARGADO")</f>
        <v>-</v>
      </c>
      <c r="H240" s="120"/>
      <c r="I240" s="120"/>
      <c r="J240" s="120"/>
      <c r="K240" s="120"/>
      <c r="L240" s="120"/>
    </row>
    <row r="241" spans="3:14">
      <c r="C241" s="117"/>
      <c r="D241" s="118"/>
      <c r="E241" s="118"/>
      <c r="F241" s="119"/>
      <c r="G241" s="53" t="str">
        <f>IFERROR(IF(Retenciones_mes3[[#This Row],[CUIT]]="","-",VLOOKUP(Retenciones_mes3[[#This Row],[CUIT]],Lista_CUIT[#All],2,0)),"CUIT NO CARGADO")</f>
        <v>-</v>
      </c>
      <c r="H241" s="120"/>
      <c r="I241" s="120"/>
      <c r="J241" s="120"/>
      <c r="K241" s="120"/>
      <c r="L241" s="120"/>
    </row>
    <row r="242" spans="3:14">
      <c r="D242" s="118"/>
      <c r="E242" s="118"/>
      <c r="G242" s="53" t="str">
        <f>IFERROR(IF(Retenciones_mes3[[#This Row],[CUIT]]="","-",VLOOKUP(Retenciones_mes3[[#This Row],[CUIT]],Lista_CUIT[#All],2,0)),"CUIT NO CARGADO")</f>
        <v>-</v>
      </c>
    </row>
    <row r="243" spans="3:14">
      <c r="C243" s="33"/>
    </row>
    <row r="245" spans="3:14" ht="21">
      <c r="C245" s="713" t="s">
        <v>1711</v>
      </c>
      <c r="D245" s="713"/>
    </row>
    <row r="246" spans="3:14" ht="15.75">
      <c r="C246" s="60" t="s">
        <v>0</v>
      </c>
      <c r="D246" s="61" t="s">
        <v>1</v>
      </c>
      <c r="E246" s="61" t="s">
        <v>21</v>
      </c>
      <c r="F246" s="61" t="s">
        <v>22</v>
      </c>
      <c r="G246" s="61" t="s">
        <v>3</v>
      </c>
      <c r="H246" s="61" t="s">
        <v>4</v>
      </c>
      <c r="I246" s="61" t="s">
        <v>23</v>
      </c>
      <c r="J246" s="61" t="s">
        <v>17</v>
      </c>
      <c r="K246" s="61" t="s">
        <v>7</v>
      </c>
      <c r="L246" s="61" t="s">
        <v>24</v>
      </c>
      <c r="M246" s="61" t="s">
        <v>10</v>
      </c>
      <c r="N246" s="62" t="s">
        <v>38</v>
      </c>
    </row>
    <row r="247" spans="3:14">
      <c r="C247" s="40">
        <v>45005</v>
      </c>
      <c r="D247" s="41"/>
      <c r="E247" s="42">
        <v>2</v>
      </c>
      <c r="F247" s="43">
        <v>1434</v>
      </c>
      <c r="G247" s="44">
        <v>27220620587</v>
      </c>
      <c r="H247" s="99" t="str">
        <f>IFERROR(IF(venta_a_mes55253[[#This Row],[CUIT]]="","-",VLOOKUP(venta_a_mes55253[[#This Row],[CUIT]],Lista_CUIT[#All],2,0)),"CUIT NO CARGADO")</f>
        <v>SILVINA ZANON</v>
      </c>
      <c r="I247" s="100">
        <v>139378.5508</v>
      </c>
      <c r="J247" s="210"/>
      <c r="K247" s="65"/>
      <c r="L247" s="65"/>
      <c r="M247" s="211">
        <f>SUM(venta_a_mes55253[[#This Row],[IMPORTE NETO]:[EXENTO]])</f>
        <v>139378.5508</v>
      </c>
      <c r="N247" s="59"/>
    </row>
    <row r="248" spans="3:14">
      <c r="C248" s="40">
        <v>45005</v>
      </c>
      <c r="D248" s="41"/>
      <c r="E248" s="42">
        <v>2</v>
      </c>
      <c r="F248" s="43">
        <v>1435</v>
      </c>
      <c r="G248" s="44">
        <v>27220620587</v>
      </c>
      <c r="H248" s="99" t="str">
        <f>IFERROR(IF(venta_a_mes55253[[#This Row],[CUIT]]="","-",VLOOKUP(venta_a_mes55253[[#This Row],[CUIT]],Lista_CUIT[#All],2,0)),"CUIT NO CARGADO")</f>
        <v>SILVINA ZANON</v>
      </c>
      <c r="I248" s="100">
        <v>232938.70559999999</v>
      </c>
      <c r="J248" s="210"/>
      <c r="K248" s="65"/>
      <c r="L248" s="65"/>
      <c r="M248" s="211">
        <f>SUM(venta_a_mes55253[[#This Row],[IMPORTE NETO]:[EXENTO]])</f>
        <v>232938.70559999999</v>
      </c>
      <c r="N248" s="59"/>
    </row>
    <row r="249" spans="3:14">
      <c r="C249" s="40">
        <v>45005</v>
      </c>
      <c r="D249" s="41"/>
      <c r="E249" s="42">
        <v>2</v>
      </c>
      <c r="F249" s="43">
        <v>1436</v>
      </c>
      <c r="G249" s="44">
        <v>27220620587</v>
      </c>
      <c r="H249" s="99" t="str">
        <f>IFERROR(IF(venta_a_mes55253[[#This Row],[CUIT]]="","-",VLOOKUP(venta_a_mes55253[[#This Row],[CUIT]],Lista_CUIT[#All],2,0)),"CUIT NO CARGADO")</f>
        <v>SILVINA ZANON</v>
      </c>
      <c r="I249" s="100">
        <v>97289.1973</v>
      </c>
      <c r="J249" s="210"/>
      <c r="K249" s="65"/>
      <c r="L249" s="65"/>
      <c r="M249" s="211">
        <f>SUM(venta_a_mes55253[[#This Row],[IMPORTE NETO]:[EXENTO]])</f>
        <v>97289.1973</v>
      </c>
      <c r="N249" s="59"/>
    </row>
    <row r="250" spans="3:14">
      <c r="C250" s="40">
        <v>45005</v>
      </c>
      <c r="D250" s="41"/>
      <c r="E250" s="42">
        <v>2</v>
      </c>
      <c r="F250" s="43">
        <v>1437</v>
      </c>
      <c r="G250" s="44">
        <v>27220620587</v>
      </c>
      <c r="H250" s="99" t="str">
        <f>IFERROR(IF(venta_a_mes55253[[#This Row],[CUIT]]="","-",VLOOKUP(venta_a_mes55253[[#This Row],[CUIT]],Lista_CUIT[#All],2,0)),"CUIT NO CARGADO")</f>
        <v>SILVINA ZANON</v>
      </c>
      <c r="I250" s="100">
        <v>73443.8416</v>
      </c>
      <c r="J250" s="210"/>
      <c r="K250" s="65"/>
      <c r="L250" s="65"/>
      <c r="M250" s="211">
        <f>SUM(venta_a_mes55253[[#This Row],[IMPORTE NETO]:[EXENTO]])</f>
        <v>73443.8416</v>
      </c>
      <c r="N250" s="59"/>
    </row>
    <row r="251" spans="3:14">
      <c r="C251" s="204" t="s">
        <v>103</v>
      </c>
      <c r="D251" s="205"/>
      <c r="E251" s="205"/>
      <c r="F251" s="205"/>
      <c r="G251" s="205"/>
      <c r="H251" s="205"/>
      <c r="I251" s="206">
        <f>SUBTOTAL(109,venta_a_mes55253[IMPORTE NETO])</f>
        <v>543050.2953</v>
      </c>
      <c r="J251" s="207">
        <f>SUBTOTAL(109,venta_a_mes55253[IVA 21%])</f>
        <v>0</v>
      </c>
      <c r="K251" s="208">
        <f>SUBTOTAL(109,venta_a_mes55253[IVA 10,5%])</f>
        <v>0</v>
      </c>
      <c r="L251" s="208">
        <f>SUBTOTAL(109,venta_a_mes55253[EXENTO])</f>
        <v>0</v>
      </c>
      <c r="M251" s="208">
        <f>SUBTOTAL(109,venta_a_mes55253[TOTAL])</f>
        <v>543050.2953</v>
      </c>
      <c r="N251" s="209">
        <f>SUBTOTAL(103,venta_a_mes55253[Provincia])</f>
        <v>0</v>
      </c>
    </row>
  </sheetData>
  <mergeCells count="21">
    <mergeCell ref="D196:K196"/>
    <mergeCell ref="B215:J215"/>
    <mergeCell ref="K215:M215"/>
    <mergeCell ref="B217:C217"/>
    <mergeCell ref="C245:D245"/>
    <mergeCell ref="C236:G236"/>
    <mergeCell ref="B224:C224"/>
    <mergeCell ref="P4:R4"/>
    <mergeCell ref="D184:L184"/>
    <mergeCell ref="B1:F1"/>
    <mergeCell ref="G1:M1"/>
    <mergeCell ref="N1:R1"/>
    <mergeCell ref="B3:E3"/>
    <mergeCell ref="G3:H3"/>
    <mergeCell ref="J3:K3"/>
    <mergeCell ref="M3:N3"/>
    <mergeCell ref="P3:R3"/>
    <mergeCell ref="M4:N4"/>
    <mergeCell ref="B4:E4"/>
    <mergeCell ref="G4:H4"/>
    <mergeCell ref="J4:K4"/>
  </mergeCells>
  <dataValidations count="10">
    <dataValidation type="whole" allowBlank="1" showInputMessage="1" showErrorMessage="1" sqref="E247:E250 D226:D227 D219:D220 E198:E211 D9:D181">
      <formula1>1</formula1>
      <formula2>9999</formula2>
    </dataValidation>
    <dataValidation type="whole" allowBlank="1" showInputMessage="1" showErrorMessage="1" sqref="F247:F250 E226:E227 E219:E220 F198:F211 E9:E181">
      <formula1>1</formula1>
      <formula2>99999999</formula2>
    </dataValidation>
    <dataValidation type="whole" allowBlank="1" showInputMessage="1" showErrorMessage="1" sqref="G247:G250 F226:F227 F219:F220 G198:G211 F9:F181">
      <formula1>20000000000</formula1>
      <formula2>33999999999</formula2>
    </dataValidation>
    <dataValidation type="date" allowBlank="1" showInputMessage="1" showErrorMessage="1" sqref="C247:C250 B226:B227 D186:D193 B219:B220 B183 D198:D211 B9:B181">
      <formula1>40179</formula1>
      <formula2>TODAY()</formula2>
    </dataValidation>
    <dataValidation type="whole" allowBlank="1" showInputMessage="1" showErrorMessage="1" sqref="D247:D250 C183 C219:C220 C9:C181">
      <formula1>1</formula1>
      <formula2>3</formula2>
    </dataValidation>
    <dataValidation type="custom" allowBlank="1" showInputMessage="1" showErrorMessage="1" sqref="H219:K219 K249:L249 I249 I247 K247:L247">
      <formula1>IF($C219=3,H219&lt;0,H219&gt;=0)</formula1>
    </dataValidation>
    <dataValidation type="whole" allowBlank="1" showInputMessage="1" showErrorMessage="1" sqref="C226:C227">
      <formula1>6</formula1>
      <formula2>8</formula2>
    </dataValidation>
    <dataValidation type="custom" allowBlank="1" showInputMessage="1" showErrorMessage="1" sqref="L219">
      <formula1>IF($C9=3,L9&lt;0,L9&gt;=0)</formula1>
    </dataValidation>
    <dataValidation type="custom" allowBlank="1" showInputMessage="1" showErrorMessage="1" sqref="H226:L227">
      <formula1>IF($C226=8,H226&lt;0,H226&gt;=0)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1">
      <formula1>IF($C9=3,H9&lt;0,H9&gt;=0)</formula1>
    </dataValidation>
  </dataValidations>
  <pageMargins left="0.7" right="0.7" top="0.75" bottom="0.75" header="0.3" footer="0.3"/>
  <pageSetup paperSize="9" scale="42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0.79998168889431442"/>
    <pageSetUpPr fitToPage="1"/>
  </sheetPr>
  <dimension ref="A1:Z253"/>
  <sheetViews>
    <sheetView showGridLines="0" topLeftCell="C1" zoomScaleNormal="100" workbookViewId="0">
      <selection activeCell="M208" sqref="M208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9.85546875" customWidth="1"/>
    <col min="5" max="5" width="11" customWidth="1"/>
    <col min="6" max="6" width="28.42578125" customWidth="1"/>
    <col min="7" max="7" width="22.7109375" customWidth="1"/>
    <col min="8" max="8" width="24.7109375" customWidth="1"/>
    <col min="9" max="9" width="15.7109375" bestFit="1" customWidth="1"/>
    <col min="10" max="10" width="23.140625" customWidth="1"/>
    <col min="11" max="11" width="14.85546875" bestFit="1" customWidth="1"/>
    <col min="12" max="12" width="11.42578125" customWidth="1"/>
    <col min="13" max="13" width="14.7109375" bestFit="1" customWidth="1"/>
    <col min="14" max="14" width="13.5703125" customWidth="1"/>
    <col min="15" max="15" width="12.5703125" bestFit="1" customWidth="1"/>
    <col min="16" max="16" width="14.140625" customWidth="1"/>
    <col min="17" max="17" width="31.42578125" customWidth="1"/>
    <col min="18" max="18" width="14.7109375" bestFit="1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EDATE('Ene-24'!N1,3)</f>
        <v>45017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SUM(compras_mes4[[#Totals],[NETO GRAVADO]])+extracto_banco_mes4[[#Totals],[NETO]]</f>
        <v>3169423.1899999995</v>
      </c>
      <c r="C4" s="718"/>
      <c r="D4" s="718"/>
      <c r="E4" s="718"/>
      <c r="F4" s="39"/>
      <c r="G4" s="719">
        <f>compras_mes4[[#Totals],[IVA 21 %]]+compras_mes4[[#Totals],[IVA 27%]]+compras_mes4[[#Totals],[IVA 10,5%]]+extracto_banco_mes4[[#Totals],[IVA 21%]]+extracto_banco_mes4[[#Totals],[IVA 10,5%]]</f>
        <v>630973.80565000011</v>
      </c>
      <c r="H4" s="719"/>
      <c r="I4" s="39"/>
      <c r="J4" s="725">
        <f>venta_a_mes4[[#Totals],[IMPORTE NETO]]+ventas_b_mes4[[#Totals],[IMPORTE NETO]]</f>
        <v>0</v>
      </c>
      <c r="K4" s="725"/>
      <c r="L4" s="39"/>
      <c r="M4" s="725">
        <f>venta_a_mes4[[#Totals],[IVA 21%]]+venta_a_mes4[[#Totals],[IVA 10,5%]]+ventas_b_mes4[[#Totals],[IVA 21%]]+ventas_b_mes4[[#Totals],[IVA 10,5%]]</f>
        <v>0</v>
      </c>
      <c r="N4" s="725"/>
      <c r="O4" s="39"/>
      <c r="P4" s="721">
        <f>G4-M4</f>
        <v>630973.80565000011</v>
      </c>
      <c r="Q4" s="721"/>
      <c r="R4" s="721"/>
    </row>
    <row r="5" spans="1:26" ht="33" customHeight="1">
      <c r="P5" s="128"/>
    </row>
    <row r="6" spans="1:26" s="2" customFormat="1">
      <c r="B6" s="40"/>
      <c r="C6" s="41"/>
      <c r="D6" s="42"/>
      <c r="E6" s="43"/>
      <c r="F6" s="44"/>
      <c r="G6" s="45"/>
      <c r="H6" s="46"/>
      <c r="I6" s="47"/>
      <c r="J6" s="152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hidden="1">
      <c r="B8" s="40" t="s">
        <v>2163</v>
      </c>
      <c r="C8" s="41">
        <v>1</v>
      </c>
      <c r="D8" s="42">
        <v>1</v>
      </c>
      <c r="E8" s="43">
        <v>485</v>
      </c>
      <c r="F8" s="44">
        <v>20131206144</v>
      </c>
      <c r="G8" s="45" t="str">
        <f>IFERROR(IF(compras_mes4[[#This Row],[CUIT]]="","-",VLOOKUP(compras_mes4[[#This Row],[CUIT]],Lista_CUIT[#All],2,0)),"CUIT NO CARGADO")</f>
        <v>CHAMORRO MANUEL</v>
      </c>
      <c r="H8" s="46">
        <v>500000</v>
      </c>
      <c r="I8" s="85">
        <f>IF(compras_mes4[[#This Row],[NETO GRAVADO]]="","",compras_mes4[[#This Row],[NETO GRAVADO]]*0.21)</f>
        <v>105000</v>
      </c>
      <c r="J8" s="85"/>
      <c r="K8" s="85"/>
      <c r="L8" s="85"/>
      <c r="M8" s="85"/>
      <c r="N8" s="85"/>
      <c r="O8" s="85"/>
      <c r="P8" s="48">
        <f>SUM(compras_mes4[[#This Row],[NETO GRAVADO]:[Otros / No Grav.]])</f>
        <v>605000</v>
      </c>
      <c r="Q8" s="45" t="str">
        <f>IFERROR(IF(compras_mes4[[#This Row],[CUIT]]="","-",VLOOKUP(compras_mes4[[#This Row],[CUIT]],Lista_CUIT[#All],3,0)),"CUIT NO CARGADO")</f>
        <v>Alquiler</v>
      </c>
      <c r="R8" s="49">
        <f>IFERROR(IF(compras_mes4[[#This Row],[CUIT]]="","-",VLOOKUP(compras_mes4[[#This Row],[CUIT]],Lista_CUIT[#All],4,0)),"CUIT NO CARGADO")</f>
        <v>0</v>
      </c>
    </row>
    <row r="9" spans="1:26" hidden="1">
      <c r="B9" s="40" t="s">
        <v>2139</v>
      </c>
      <c r="C9" s="41">
        <v>1</v>
      </c>
      <c r="D9" s="42">
        <v>2</v>
      </c>
      <c r="E9" s="43">
        <v>255</v>
      </c>
      <c r="F9" s="44">
        <v>27309896063</v>
      </c>
      <c r="G9" s="45" t="str">
        <f>IFERROR(IF(compras_mes4[[#This Row],[CUIT]]="","-",VLOOKUP(compras_mes4[[#This Row],[CUIT]],Lista_CUIT[#All],2,0)),"CUIT NO CARGADO")</f>
        <v>BATTELLINI MARIA SOLEDAD</v>
      </c>
      <c r="H9" s="46">
        <v>550000</v>
      </c>
      <c r="I9" s="85">
        <f>IF(compras_mes4[[#This Row],[NETO GRAVADO]]="","",compras_mes4[[#This Row],[NETO GRAVADO]]*0.21)</f>
        <v>115500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665500</v>
      </c>
      <c r="Q9" s="45" t="str">
        <f>IFERROR(IF(compras_mes4[[#This Row],[CUIT]]="","-",VLOOKUP(compras_mes4[[#This Row],[CUIT]],Lista_CUIT[#All],3,0)),"CUIT NO CARGADO")</f>
        <v>Alquiler</v>
      </c>
      <c r="R9" s="49">
        <f>IFERROR(IF(compras_mes4[[#This Row],[CUIT]]="","-",VLOOKUP(compras_mes4[[#This Row],[CUIT]],Lista_CUIT[#All],4,0)),"CUIT NO CARGADO")</f>
        <v>0</v>
      </c>
    </row>
    <row r="10" spans="1:26" hidden="1">
      <c r="B10" s="40" t="s">
        <v>2141</v>
      </c>
      <c r="C10" s="41">
        <v>1</v>
      </c>
      <c r="D10" s="42">
        <v>1</v>
      </c>
      <c r="E10" s="43">
        <v>112</v>
      </c>
      <c r="F10" s="44">
        <v>30716010313</v>
      </c>
      <c r="G10" s="45" t="str">
        <f>IFERROR(IF(compras_mes4[[#This Row],[CUIT]]="","-",VLOOKUP(compras_mes4[[#This Row],[CUIT]],Lista_CUIT[#All],2,0)),"CUIT NO CARGADO")</f>
        <v>H UNO 1469 S.A.</v>
      </c>
      <c r="H10" s="46">
        <v>46000</v>
      </c>
      <c r="I10" s="85">
        <f>IF(compras_mes4[[#This Row],[NETO GRAVADO]]="","",compras_mes4[[#This Row],[NETO GRAVADO]]*0.21)</f>
        <v>9660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55660</v>
      </c>
      <c r="Q10" s="45" t="str">
        <f>IFERROR(IF(compras_mes4[[#This Row],[CUIT]]="","-",VLOOKUP(compras_mes4[[#This Row],[CUIT]],Lista_CUIT[#All],3,0)),"CUIT NO CARGADO")</f>
        <v>Alquiler</v>
      </c>
      <c r="R10" s="49">
        <f>IFERROR(IF(compras_mes4[[#This Row],[CUIT]]="","-",VLOOKUP(compras_mes4[[#This Row],[CUIT]],Lista_CUIT[#All],4,0)),"CUIT NO CARGADO")</f>
        <v>0</v>
      </c>
    </row>
    <row r="11" spans="1:26" hidden="1">
      <c r="B11" s="40" t="s">
        <v>2163</v>
      </c>
      <c r="C11" s="41">
        <v>1</v>
      </c>
      <c r="D11" s="42">
        <v>8250</v>
      </c>
      <c r="E11" s="43">
        <v>7792</v>
      </c>
      <c r="F11" s="44">
        <v>30678774495</v>
      </c>
      <c r="G11" s="45" t="str">
        <f>IFERROR(IF(compras_mes4[[#This Row],[CUIT]]="","-",VLOOKUP(compras_mes4[[#This Row],[CUIT]],Lista_CUIT[#All],2,0)),"CUIT NO CARGADO")</f>
        <v>OPER. DE EST. DE SERV. SA</v>
      </c>
      <c r="H11" s="46">
        <v>4466.38</v>
      </c>
      <c r="I11" s="85">
        <f>IF(compras_mes4[[#This Row],[NETO GRAVADO]]="","",compras_mes4[[#This Row],[NETO GRAVADO]]*0.21)</f>
        <v>937.93979999999999</v>
      </c>
      <c r="J11" s="85"/>
      <c r="K11" s="85"/>
      <c r="L11" s="85"/>
      <c r="M11" s="85"/>
      <c r="N11" s="85"/>
      <c r="O11" s="85">
        <v>595.67999999999995</v>
      </c>
      <c r="P11" s="48">
        <f>SUM(compras_mes4[[#This Row],[NETO GRAVADO]:[Otros / No Grav.]])</f>
        <v>5999.9998000000005</v>
      </c>
      <c r="Q11" s="45" t="str">
        <f>IFERROR(IF(compras_mes4[[#This Row],[CUIT]]="","-",VLOOKUP(compras_mes4[[#This Row],[CUIT]],Lista_CUIT[#All],3,0)),"CUIT NO CARGADO")</f>
        <v>Combustible</v>
      </c>
      <c r="R11" s="49">
        <f>IFERROR(IF(compras_mes4[[#This Row],[CUIT]]="","-",VLOOKUP(compras_mes4[[#This Row],[CUIT]],Lista_CUIT[#All],4,0)),"CUIT NO CARGADO")</f>
        <v>0</v>
      </c>
    </row>
    <row r="12" spans="1:26" hidden="1">
      <c r="B12" s="406" t="s">
        <v>2163</v>
      </c>
      <c r="C12" s="41">
        <v>1</v>
      </c>
      <c r="D12" s="407">
        <v>12</v>
      </c>
      <c r="E12" s="408">
        <v>44354</v>
      </c>
      <c r="F12" s="409">
        <v>30696131003</v>
      </c>
      <c r="G12" s="410" t="str">
        <f>IFERROR(IF(compras_mes4[[#This Row],[CUIT]]="","-",VLOOKUP(compras_mes4[[#This Row],[CUIT]],Lista_CUIT[#All],2,0)),"CUIT NO CARGADO")</f>
        <v>Petrolfe S.A.</v>
      </c>
      <c r="H12" s="411">
        <v>4205.29</v>
      </c>
      <c r="I12" s="85">
        <f>IF(compras_mes4[[#This Row],[NETO GRAVADO]]="","",compras_mes4[[#This Row],[NETO GRAVADO]]*0.21)</f>
        <v>883.11090000000002</v>
      </c>
      <c r="J12" s="412"/>
      <c r="K12" s="412"/>
      <c r="L12" s="412"/>
      <c r="M12" s="412"/>
      <c r="N12" s="412"/>
      <c r="O12" s="412">
        <v>1636.96</v>
      </c>
      <c r="P12" s="413">
        <f>SUM(compras_mes4[[#This Row],[NETO GRAVADO]:[Otros / No Grav.]])</f>
        <v>6725.3608999999997</v>
      </c>
      <c r="Q12" s="410" t="str">
        <f>IFERROR(IF(compras_mes4[[#This Row],[CUIT]]="","-",VLOOKUP(compras_mes4[[#This Row],[CUIT]],Lista_CUIT[#All],3,0)),"CUIT NO CARGADO")</f>
        <v>Combustible</v>
      </c>
      <c r="R12" s="414">
        <f>IFERROR(IF(compras_mes4[[#This Row],[CUIT]]="","-",VLOOKUP(compras_mes4[[#This Row],[CUIT]],Lista_CUIT[#All],4,0)),"CUIT NO CARGADO")</f>
        <v>0</v>
      </c>
    </row>
    <row r="13" spans="1:26" hidden="1">
      <c r="B13" s="406" t="s">
        <v>2139</v>
      </c>
      <c r="C13" s="41">
        <v>1</v>
      </c>
      <c r="D13" s="407">
        <v>17</v>
      </c>
      <c r="E13" s="408">
        <v>6075</v>
      </c>
      <c r="F13" s="409">
        <v>30707841105</v>
      </c>
      <c r="G13" s="410" t="str">
        <f>IFERROR(IF(compras_mes4[[#This Row],[CUIT]]="","-",VLOOKUP(compras_mes4[[#This Row],[CUIT]],Lista_CUIT[#All],2,0)),"CUIT NO CARGADO")</f>
        <v>PETRO ARG SRL</v>
      </c>
      <c r="H13" s="411">
        <v>23851.86</v>
      </c>
      <c r="I13" s="85">
        <f>IF(compras_mes4[[#This Row],[NETO GRAVADO]]="","",compras_mes4[[#This Row],[NETO GRAVADO]]*0.21)</f>
        <v>5008.8905999999997</v>
      </c>
      <c r="J13" s="412"/>
      <c r="K13" s="412"/>
      <c r="L13" s="412"/>
      <c r="M13" s="412"/>
      <c r="N13" s="412"/>
      <c r="O13" s="412">
        <v>8280.68</v>
      </c>
      <c r="P13" s="413">
        <f>SUM(compras_mes4[[#This Row],[NETO GRAVADO]:[Otros / No Grav.]])</f>
        <v>37141.4306</v>
      </c>
      <c r="Q13" s="410" t="str">
        <f>IFERROR(IF(compras_mes4[[#This Row],[CUIT]]="","-",VLOOKUP(compras_mes4[[#This Row],[CUIT]],Lista_CUIT[#All],3,0)),"CUIT NO CARGADO")</f>
        <v>Combustible</v>
      </c>
      <c r="R13" s="414">
        <f>IFERROR(IF(compras_mes4[[#This Row],[CUIT]]="","-",VLOOKUP(compras_mes4[[#This Row],[CUIT]],Lista_CUIT[#All],4,0)),"CUIT NO CARGADO")</f>
        <v>0</v>
      </c>
    </row>
    <row r="14" spans="1:26" s="56" customFormat="1" ht="18.600000000000001" hidden="1" customHeight="1">
      <c r="B14" s="89" t="s">
        <v>2139</v>
      </c>
      <c r="C14" s="41">
        <v>1</v>
      </c>
      <c r="D14" s="91">
        <v>6850</v>
      </c>
      <c r="E14" s="92">
        <v>20718</v>
      </c>
      <c r="F14" s="93">
        <v>30678774495</v>
      </c>
      <c r="G14" s="94" t="str">
        <f>IFERROR(IF(compras_mes4[[#This Row],[CUIT]]="","-",VLOOKUP(compras_mes4[[#This Row],[CUIT]],Lista_CUIT[#All],2,0)),"CUIT NO CARGADO")</f>
        <v>OPER. DE EST. DE SERV. SA</v>
      </c>
      <c r="H14" s="95">
        <v>5782.14</v>
      </c>
      <c r="I14" s="85">
        <f>IF(compras_mes4[[#This Row],[NETO GRAVADO]]="","",compras_mes4[[#This Row],[NETO GRAVADO]]*0.21)</f>
        <v>1214.2493999999999</v>
      </c>
      <c r="J14" s="86"/>
      <c r="K14" s="86"/>
      <c r="L14" s="86"/>
      <c r="M14" s="86"/>
      <c r="N14" s="86"/>
      <c r="O14" s="86">
        <v>1003.66</v>
      </c>
      <c r="P14" s="87">
        <f>SUM(compras_mes4[[#This Row],[NETO GRAVADO]:[Otros / No Grav.]])</f>
        <v>8000.0493999999999</v>
      </c>
      <c r="Q14" s="94" t="str">
        <f>IFERROR(IF(compras_mes4[[#This Row],[CUIT]]="","-",VLOOKUP(compras_mes4[[#This Row],[CUIT]],Lista_CUIT[#All],3,0)),"CUIT NO CARGADO")</f>
        <v>Combustible</v>
      </c>
      <c r="R14" s="88">
        <f>IFERROR(IF(compras_mes4[[#This Row],[CUIT]]="","-",VLOOKUP(compras_mes4[[#This Row],[CUIT]],Lista_CUIT[#All],4,0)),"CUIT NO CARGADO")</f>
        <v>0</v>
      </c>
    </row>
    <row r="15" spans="1:26" hidden="1">
      <c r="B15" s="406" t="s">
        <v>2164</v>
      </c>
      <c r="C15" s="41">
        <v>1</v>
      </c>
      <c r="D15" s="407">
        <v>12</v>
      </c>
      <c r="E15" s="408">
        <v>44516</v>
      </c>
      <c r="F15" s="409">
        <v>30696131003</v>
      </c>
      <c r="G15" s="410" t="str">
        <f>IFERROR(IF(compras_mes4[[#This Row],[CUIT]]="","-",VLOOKUP(compras_mes4[[#This Row],[CUIT]],Lista_CUIT[#All],2,0)),"CUIT NO CARGADO")</f>
        <v>Petrolfe S.A.</v>
      </c>
      <c r="H15" s="411">
        <v>108711.52</v>
      </c>
      <c r="I15" s="85">
        <f>IF(compras_mes4[[#This Row],[NETO GRAVADO]]="","",compras_mes4[[#This Row],[NETO GRAVADO]]*0.21)</f>
        <v>22829.4192</v>
      </c>
      <c r="J15" s="412"/>
      <c r="K15" s="412"/>
      <c r="L15" s="412"/>
      <c r="M15" s="412"/>
      <c r="N15" s="412"/>
      <c r="O15" s="412">
        <v>36570.14</v>
      </c>
      <c r="P15" s="413">
        <f>SUM(compras_mes4[[#This Row],[NETO GRAVADO]:[Otros / No Grav.]])</f>
        <v>168111.07919999998</v>
      </c>
      <c r="Q15" s="410" t="str">
        <f>IFERROR(IF(compras_mes4[[#This Row],[CUIT]]="","-",VLOOKUP(compras_mes4[[#This Row],[CUIT]],Lista_CUIT[#All],3,0)),"CUIT NO CARGADO")</f>
        <v>Combustible</v>
      </c>
      <c r="R15" s="414">
        <f>IFERROR(IF(compras_mes4[[#This Row],[CUIT]]="","-",VLOOKUP(compras_mes4[[#This Row],[CUIT]],Lista_CUIT[#All],4,0)),"CUIT NO CARGADO")</f>
        <v>0</v>
      </c>
    </row>
    <row r="16" spans="1:26" hidden="1">
      <c r="B16" s="40" t="s">
        <v>2146</v>
      </c>
      <c r="C16" s="41">
        <v>1</v>
      </c>
      <c r="D16" s="42">
        <v>6852</v>
      </c>
      <c r="E16" s="43">
        <v>23550</v>
      </c>
      <c r="F16" s="44">
        <v>30678774495</v>
      </c>
      <c r="G16" s="45" t="str">
        <f>IFERROR(IF(compras_mes4[[#This Row],[CUIT]]="","-",VLOOKUP(compras_mes4[[#This Row],[CUIT]],Lista_CUIT[#All],2,0)),"CUIT NO CARGADO")</f>
        <v>OPER. DE EST. DE SERV. SA</v>
      </c>
      <c r="H16" s="46">
        <v>24159.06</v>
      </c>
      <c r="I16" s="85">
        <f>IF(compras_mes4[[#This Row],[NETO GRAVADO]]="","",compras_mes4[[#This Row],[NETO GRAVADO]]*0.21)</f>
        <v>5073.4026000000003</v>
      </c>
      <c r="J16" s="85"/>
      <c r="K16" s="85"/>
      <c r="L16" s="85"/>
      <c r="M16" s="85"/>
      <c r="N16" s="85"/>
      <c r="O16" s="85">
        <v>4193.51</v>
      </c>
      <c r="P16" s="48">
        <f>SUM(compras_mes4[[#This Row],[NETO GRAVADO]:[Otros / No Grav.]])</f>
        <v>33425.972600000001</v>
      </c>
      <c r="Q16" s="45" t="str">
        <f>IFERROR(IF(compras_mes4[[#This Row],[CUIT]]="","-",VLOOKUP(compras_mes4[[#This Row],[CUIT]],Lista_CUIT[#All],3,0)),"CUIT NO CARGADO")</f>
        <v>Combustible</v>
      </c>
      <c r="R16" s="49">
        <f>IFERROR(IF(compras_mes4[[#This Row],[CUIT]]="","-",VLOOKUP(compras_mes4[[#This Row],[CUIT]],Lista_CUIT[#All],4,0)),"CUIT NO CARGADO")</f>
        <v>0</v>
      </c>
    </row>
    <row r="17" spans="2:18" hidden="1">
      <c r="B17" s="406" t="s">
        <v>2148</v>
      </c>
      <c r="C17" s="41">
        <v>1</v>
      </c>
      <c r="D17" s="407">
        <v>12</v>
      </c>
      <c r="E17" s="408">
        <v>44721</v>
      </c>
      <c r="F17" s="409">
        <v>30696131003</v>
      </c>
      <c r="G17" s="410" t="str">
        <f>IFERROR(IF(compras_mes4[[#This Row],[CUIT]]="","-",VLOOKUP(compras_mes4[[#This Row],[CUIT]],Lista_CUIT[#All],2,0)),"CUIT NO CARGADO")</f>
        <v>Petrolfe S.A.</v>
      </c>
      <c r="H17" s="411">
        <v>132863.95000000001</v>
      </c>
      <c r="I17" s="85">
        <f>IF(compras_mes4[[#This Row],[NETO GRAVADO]]="","",compras_mes4[[#This Row],[NETO GRAVADO]]*0.21)</f>
        <v>27901.429500000002</v>
      </c>
      <c r="J17" s="412"/>
      <c r="K17" s="412"/>
      <c r="L17" s="412"/>
      <c r="M17" s="412"/>
      <c r="N17" s="412"/>
      <c r="O17" s="412">
        <v>43847.360000000001</v>
      </c>
      <c r="P17" s="413">
        <f>SUM(compras_mes4[[#This Row],[NETO GRAVADO]:[Otros / No Grav.]])</f>
        <v>204612.73950000003</v>
      </c>
      <c r="Q17" s="410" t="str">
        <f>IFERROR(IF(compras_mes4[[#This Row],[CUIT]]="","-",VLOOKUP(compras_mes4[[#This Row],[CUIT]],Lista_CUIT[#All],3,0)),"CUIT NO CARGADO")</f>
        <v>Combustible</v>
      </c>
      <c r="R17" s="414">
        <f>IFERROR(IF(compras_mes4[[#This Row],[CUIT]]="","-",VLOOKUP(compras_mes4[[#This Row],[CUIT]],Lista_CUIT[#All],4,0)),"CUIT NO CARGADO")</f>
        <v>0</v>
      </c>
    </row>
    <row r="18" spans="2:18" ht="14.45" hidden="1" customHeight="1">
      <c r="B18" s="406" t="s">
        <v>2165</v>
      </c>
      <c r="C18" s="41">
        <v>1</v>
      </c>
      <c r="D18" s="407">
        <v>13</v>
      </c>
      <c r="E18" s="408">
        <v>84467</v>
      </c>
      <c r="F18" s="409">
        <v>30707841105</v>
      </c>
      <c r="G18" s="410" t="str">
        <f>IFERROR(IF(compras_mes4[[#This Row],[CUIT]]="","-",VLOOKUP(compras_mes4[[#This Row],[CUIT]],Lista_CUIT[#All],2,0)),"CUIT NO CARGADO")</f>
        <v>PETRO ARG SRL</v>
      </c>
      <c r="H18" s="411">
        <v>10841.43</v>
      </c>
      <c r="I18" s="85">
        <f>IF(compras_mes4[[#This Row],[NETO GRAVADO]]="","",compras_mes4[[#This Row],[NETO GRAVADO]]*0.21)</f>
        <v>2276.7003</v>
      </c>
      <c r="J18" s="412"/>
      <c r="K18" s="412"/>
      <c r="L18" s="412"/>
      <c r="M18" s="412"/>
      <c r="N18" s="412"/>
      <c r="O18" s="412">
        <v>3763.7</v>
      </c>
      <c r="P18" s="413">
        <f>SUM(compras_mes4[[#This Row],[NETO GRAVADO]:[Otros / No Grav.]])</f>
        <v>16881.830300000001</v>
      </c>
      <c r="Q18" s="410" t="str">
        <f>IFERROR(IF(compras_mes4[[#This Row],[CUIT]]="","-",VLOOKUP(compras_mes4[[#This Row],[CUIT]],Lista_CUIT[#All],3,0)),"CUIT NO CARGADO")</f>
        <v>Combustible</v>
      </c>
      <c r="R18" s="414">
        <f>IFERROR(IF(compras_mes4[[#This Row],[CUIT]]="","-",VLOOKUP(compras_mes4[[#This Row],[CUIT]],Lista_CUIT[#All],4,0)),"CUIT NO CARGADO")</f>
        <v>0</v>
      </c>
    </row>
    <row r="19" spans="2:18" ht="14.45" hidden="1" customHeight="1">
      <c r="B19" s="406" t="s">
        <v>2167</v>
      </c>
      <c r="C19" s="41">
        <v>1</v>
      </c>
      <c r="D19" s="407">
        <v>12</v>
      </c>
      <c r="E19" s="408">
        <v>44947</v>
      </c>
      <c r="F19" s="409">
        <v>30696131003</v>
      </c>
      <c r="G19" s="410" t="str">
        <f>IFERROR(IF(compras_mes4[[#This Row],[CUIT]]="","-",VLOOKUP(compras_mes4[[#This Row],[CUIT]],Lista_CUIT[#All],2,0)),"CUIT NO CARGADO")</f>
        <v>Petrolfe S.A.</v>
      </c>
      <c r="H19" s="411">
        <v>107467.43</v>
      </c>
      <c r="I19" s="85">
        <f>IF(compras_mes4[[#This Row],[NETO GRAVADO]]="","",compras_mes4[[#This Row],[NETO GRAVADO]]*0.21)</f>
        <v>22568.160299999996</v>
      </c>
      <c r="J19" s="412"/>
      <c r="K19" s="412"/>
      <c r="L19" s="412"/>
      <c r="M19" s="412"/>
      <c r="N19" s="412"/>
      <c r="O19" s="412">
        <v>41640.699999999997</v>
      </c>
      <c r="P19" s="413">
        <f>SUM(compras_mes4[[#This Row],[NETO GRAVADO]:[Otros / No Grav.]])</f>
        <v>171676.29029999999</v>
      </c>
      <c r="Q19" s="410" t="str">
        <f>IFERROR(IF(compras_mes4[[#This Row],[CUIT]]="","-",VLOOKUP(compras_mes4[[#This Row],[CUIT]],Lista_CUIT[#All],3,0)),"CUIT NO CARGADO")</f>
        <v>Combustible</v>
      </c>
      <c r="R19" s="414">
        <f>IFERROR(IF(compras_mes4[[#This Row],[CUIT]]="","-",VLOOKUP(compras_mes4[[#This Row],[CUIT]],Lista_CUIT[#All],4,0)),"CUIT NO CARGADO")</f>
        <v>0</v>
      </c>
    </row>
    <row r="20" spans="2:18" ht="14.45" hidden="1" customHeight="1">
      <c r="B20" s="40" t="s">
        <v>2153</v>
      </c>
      <c r="C20" s="41">
        <v>1</v>
      </c>
      <c r="D20" s="42">
        <v>9178</v>
      </c>
      <c r="E20" s="43">
        <v>23478</v>
      </c>
      <c r="F20" s="44">
        <v>30678774495</v>
      </c>
      <c r="G20" s="45" t="str">
        <f>IFERROR(IF(compras_mes4[[#This Row],[CUIT]]="","-",VLOOKUP(compras_mes4[[#This Row],[CUIT]],Lista_CUIT[#All],2,0)),"CUIT NO CARGADO")</f>
        <v>OPER. DE EST. DE SERV. SA</v>
      </c>
      <c r="H20" s="46">
        <v>21084.76</v>
      </c>
      <c r="I20" s="85">
        <f>IF(compras_mes4[[#This Row],[NETO GRAVADO]]="","",compras_mes4[[#This Row],[NETO GRAVADO]]*0.21)</f>
        <v>4427.7995999999994</v>
      </c>
      <c r="J20" s="85"/>
      <c r="K20" s="85"/>
      <c r="L20" s="85"/>
      <c r="M20" s="85"/>
      <c r="N20" s="85"/>
      <c r="O20" s="85">
        <v>3994.46</v>
      </c>
      <c r="P20" s="48">
        <f>SUM(compras_mes4[[#This Row],[NETO GRAVADO]:[Otros / No Grav.]])</f>
        <v>29507.019599999996</v>
      </c>
      <c r="Q20" s="45" t="str">
        <f>IFERROR(IF(compras_mes4[[#This Row],[CUIT]]="","-",VLOOKUP(compras_mes4[[#This Row],[CUIT]],Lista_CUIT[#All],3,0)),"CUIT NO CARGADO")</f>
        <v>Combustible</v>
      </c>
      <c r="R20" s="49">
        <f>IFERROR(IF(compras_mes4[[#This Row],[CUIT]]="","-",VLOOKUP(compras_mes4[[#This Row],[CUIT]],Lista_CUIT[#All],4,0)),"CUIT NO CARGADO")</f>
        <v>0</v>
      </c>
    </row>
    <row r="21" spans="2:18" ht="14.45" hidden="1" customHeight="1">
      <c r="B21" s="406" t="s">
        <v>2155</v>
      </c>
      <c r="C21" s="41">
        <v>1</v>
      </c>
      <c r="D21" s="407">
        <v>12</v>
      </c>
      <c r="E21" s="408">
        <v>45199</v>
      </c>
      <c r="F21" s="409">
        <v>30696131003</v>
      </c>
      <c r="G21" s="410" t="str">
        <f>IFERROR(IF(compras_mes4[[#This Row],[CUIT]]="","-",VLOOKUP(compras_mes4[[#This Row],[CUIT]],Lista_CUIT[#All],2,0)),"CUIT NO CARGADO")</f>
        <v>Petrolfe S.A.</v>
      </c>
      <c r="H21" s="411">
        <v>102150.95</v>
      </c>
      <c r="I21" s="85">
        <f>IF(compras_mes4[[#This Row],[NETO GRAVADO]]="","",compras_mes4[[#This Row],[NETO GRAVADO]]*0.21)</f>
        <v>21451.699499999999</v>
      </c>
      <c r="J21" s="412"/>
      <c r="K21" s="412"/>
      <c r="L21" s="412"/>
      <c r="M21" s="412"/>
      <c r="N21" s="412"/>
      <c r="O21" s="412">
        <v>35272.660000000003</v>
      </c>
      <c r="P21" s="413">
        <f>SUM(compras_mes4[[#This Row],[NETO GRAVADO]:[Otros / No Grav.]])</f>
        <v>158875.3095</v>
      </c>
      <c r="Q21" s="410" t="str">
        <f>IFERROR(IF(compras_mes4[[#This Row],[CUIT]]="","-",VLOOKUP(compras_mes4[[#This Row],[CUIT]],Lista_CUIT[#All],3,0)),"CUIT NO CARGADO")</f>
        <v>Combustible</v>
      </c>
      <c r="R21" s="414">
        <f>IFERROR(IF(compras_mes4[[#This Row],[CUIT]]="","-",VLOOKUP(compras_mes4[[#This Row],[CUIT]],Lista_CUIT[#All],4,0)),"CUIT NO CARGADO")</f>
        <v>0</v>
      </c>
    </row>
    <row r="22" spans="2:18" ht="14.45" hidden="1" customHeight="1">
      <c r="B22" s="40" t="s">
        <v>2156</v>
      </c>
      <c r="C22" s="41">
        <v>1</v>
      </c>
      <c r="D22" s="42">
        <v>6852</v>
      </c>
      <c r="E22" s="43">
        <v>23854</v>
      </c>
      <c r="F22" s="44">
        <v>30678774495</v>
      </c>
      <c r="G22" s="45" t="str">
        <f>IFERROR(IF(compras_mes4[[#This Row],[CUIT]]="","-",VLOOKUP(compras_mes4[[#This Row],[CUIT]],Lista_CUIT[#All],2,0)),"CUIT NO CARGADO")</f>
        <v>OPER. DE EST. DE SERV. SA</v>
      </c>
      <c r="H22" s="46">
        <v>6504.85</v>
      </c>
      <c r="I22" s="85">
        <f>IF(compras_mes4[[#This Row],[NETO GRAVADO]]="","",compras_mes4[[#This Row],[NETO GRAVADO]]*0.21)</f>
        <v>1366.0185000000001</v>
      </c>
      <c r="J22" s="85"/>
      <c r="K22" s="85"/>
      <c r="L22" s="85"/>
      <c r="M22" s="85"/>
      <c r="N22" s="85"/>
      <c r="O22" s="85">
        <v>1129.1099999999999</v>
      </c>
      <c r="P22" s="48">
        <f>SUM(compras_mes4[[#This Row],[NETO GRAVADO]:[Otros / No Grav.]])</f>
        <v>8999.9785000000011</v>
      </c>
      <c r="Q22" s="45" t="str">
        <f>IFERROR(IF(compras_mes4[[#This Row],[CUIT]]="","-",VLOOKUP(compras_mes4[[#This Row],[CUIT]],Lista_CUIT[#All],3,0)),"CUIT NO CARGADO")</f>
        <v>Combustible</v>
      </c>
      <c r="R22" s="49">
        <f>IFERROR(IF(compras_mes4[[#This Row],[CUIT]]="","-",VLOOKUP(compras_mes4[[#This Row],[CUIT]],Lista_CUIT[#All],4,0)),"CUIT NO CARGADO")</f>
        <v>0</v>
      </c>
    </row>
    <row r="23" spans="2:18" ht="14.45" hidden="1" customHeight="1">
      <c r="B23" s="40" t="s">
        <v>2147</v>
      </c>
      <c r="C23" s="41">
        <v>1</v>
      </c>
      <c r="D23" s="42">
        <v>301</v>
      </c>
      <c r="E23" s="43">
        <v>78667</v>
      </c>
      <c r="F23" s="44">
        <v>30686978350</v>
      </c>
      <c r="G23" s="45" t="str">
        <f>IFERROR(IF(compras_mes4[[#This Row],[CUIT]]="","-",VLOOKUP(compras_mes4[[#This Row],[CUIT]],Lista_CUIT[#All],2,0)),"CUIT NO CARGADO")</f>
        <v>SPEED BUSINESS S. A.</v>
      </c>
      <c r="H23" s="46">
        <v>16570.25</v>
      </c>
      <c r="I23" s="85">
        <f>IF(compras_mes4[[#This Row],[NETO GRAVADO]]="","",compras_mes4[[#This Row],[NETO GRAVADO]]*0.21)</f>
        <v>3479.7525000000001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20050.002499999999</v>
      </c>
      <c r="Q23" s="45" t="s">
        <v>2687</v>
      </c>
      <c r="R23" s="49">
        <f>IFERROR(IF(compras_mes4[[#This Row],[CUIT]]="","-",VLOOKUP(compras_mes4[[#This Row],[CUIT]],Lista_CUIT[#All],4,0)),"CUIT NO CARGADO")</f>
        <v>0</v>
      </c>
    </row>
    <row r="24" spans="2:18" ht="14.45" hidden="1" customHeight="1">
      <c r="B24" s="40" t="s">
        <v>2165</v>
      </c>
      <c r="C24" s="41">
        <v>1</v>
      </c>
      <c r="D24" s="42">
        <v>6</v>
      </c>
      <c r="E24" s="43">
        <v>16145475</v>
      </c>
      <c r="F24" s="44">
        <v>30620177497</v>
      </c>
      <c r="G24" s="45" t="str">
        <f>IFERROR(IF(compras_mes4[[#This Row],[CUIT]]="","-",VLOOKUP(compras_mes4[[#This Row],[CUIT]],Lista_CUIT[#All],2,0)),"CUIT NO CARGADO")</f>
        <v>POSNET SRL</v>
      </c>
      <c r="H24" s="46">
        <v>19112.689999999999</v>
      </c>
      <c r="I24" s="85">
        <f>IF(compras_mes4[[#This Row],[NETO GRAVADO]]="","",compras_mes4[[#This Row],[NETO GRAVADO]]*0.21)</f>
        <v>4013.6648999999998</v>
      </c>
      <c r="J24" s="85"/>
      <c r="K24" s="85"/>
      <c r="L24" s="85"/>
      <c r="M24" s="85"/>
      <c r="N24" s="85">
        <v>1720.14</v>
      </c>
      <c r="O24" s="85"/>
      <c r="P24" s="48">
        <f>SUM(compras_mes4[[#This Row],[NETO GRAVADO]:[Otros / No Grav.]])</f>
        <v>24846.494899999998</v>
      </c>
      <c r="Q24" s="45" t="str">
        <f>IFERROR(IF(compras_mes4[[#This Row],[CUIT]]="","-",VLOOKUP(compras_mes4[[#This Row],[CUIT]],Lista_CUIT[#All],3,0)),"CUIT NO CARGADO")</f>
        <v>Gastos Comercializacion</v>
      </c>
      <c r="R24" s="49">
        <f>IFERROR(IF(compras_mes4[[#This Row],[CUIT]]="","-",VLOOKUP(compras_mes4[[#This Row],[CUIT]],Lista_CUIT[#All],4,0)),"CUIT NO CARGADO")</f>
        <v>0</v>
      </c>
    </row>
    <row r="25" spans="2:18" ht="14.45" hidden="1" customHeight="1">
      <c r="B25" s="40" t="s">
        <v>2165</v>
      </c>
      <c r="C25" s="41">
        <v>1</v>
      </c>
      <c r="D25" s="42">
        <v>6</v>
      </c>
      <c r="E25" s="43">
        <v>16145482</v>
      </c>
      <c r="F25" s="44">
        <v>30620177497</v>
      </c>
      <c r="G25" s="45" t="str">
        <f>IFERROR(IF(compras_mes4[[#This Row],[CUIT]]="","-",VLOOKUP(compras_mes4[[#This Row],[CUIT]],Lista_CUIT[#All],2,0)),"CUIT NO CARGADO")</f>
        <v>POSNET SRL</v>
      </c>
      <c r="H25" s="46">
        <v>19112.689999999999</v>
      </c>
      <c r="I25" s="85">
        <f>IF(compras_mes4[[#This Row],[NETO GRAVADO]]="","",compras_mes4[[#This Row],[NETO GRAVADO]]*0.21)</f>
        <v>4013.6648999999998</v>
      </c>
      <c r="J25" s="85"/>
      <c r="K25" s="85"/>
      <c r="L25" s="85"/>
      <c r="M25" s="85"/>
      <c r="N25" s="85">
        <v>1720.14</v>
      </c>
      <c r="O25" s="85"/>
      <c r="P25" s="48">
        <f>SUM(compras_mes4[[#This Row],[NETO GRAVADO]:[Otros / No Grav.]])</f>
        <v>24846.494899999998</v>
      </c>
      <c r="Q25" s="45" t="str">
        <f>IFERROR(IF(compras_mes4[[#This Row],[CUIT]]="","-",VLOOKUP(compras_mes4[[#This Row],[CUIT]],Lista_CUIT[#All],3,0)),"CUIT NO CARGADO")</f>
        <v>Gastos Comercializacion</v>
      </c>
      <c r="R25" s="49">
        <f>IFERROR(IF(compras_mes4[[#This Row],[CUIT]]="","-",VLOOKUP(compras_mes4[[#This Row],[CUIT]],Lista_CUIT[#All],4,0)),"CUIT NO CARGADO")</f>
        <v>0</v>
      </c>
    </row>
    <row r="26" spans="2:18" ht="14.45" hidden="1" customHeight="1">
      <c r="B26" s="40" t="s">
        <v>2165</v>
      </c>
      <c r="C26" s="41">
        <v>1</v>
      </c>
      <c r="D26" s="42">
        <v>6</v>
      </c>
      <c r="E26" s="43">
        <v>16145499</v>
      </c>
      <c r="F26" s="44">
        <v>30620177497</v>
      </c>
      <c r="G26" s="45" t="str">
        <f>IFERROR(IF(compras_mes4[[#This Row],[CUIT]]="","-",VLOOKUP(compras_mes4[[#This Row],[CUIT]],Lista_CUIT[#All],2,0)),"CUIT NO CARGADO")</f>
        <v>POSNET SRL</v>
      </c>
      <c r="H26" s="46">
        <v>19112.689999999999</v>
      </c>
      <c r="I26" s="85">
        <f>IF(compras_mes4[[#This Row],[NETO GRAVADO]]="","",compras_mes4[[#This Row],[NETO GRAVADO]]*0.21)</f>
        <v>4013.6648999999998</v>
      </c>
      <c r="J26" s="85"/>
      <c r="K26" s="85"/>
      <c r="L26" s="85"/>
      <c r="M26" s="85"/>
      <c r="N26" s="85">
        <v>1720.14</v>
      </c>
      <c r="O26" s="85"/>
      <c r="P26" s="48">
        <f>SUM(compras_mes4[[#This Row],[NETO GRAVADO]:[Otros / No Grav.]])</f>
        <v>24846.494899999998</v>
      </c>
      <c r="Q26" s="45" t="str">
        <f>IFERROR(IF(compras_mes4[[#This Row],[CUIT]]="","-",VLOOKUP(compras_mes4[[#This Row],[CUIT]],Lista_CUIT[#All],3,0)),"CUIT NO CARGADO")</f>
        <v>Gastos Comercializacion</v>
      </c>
      <c r="R26" s="49">
        <f>IFERROR(IF(compras_mes4[[#This Row],[CUIT]]="","-",VLOOKUP(compras_mes4[[#This Row],[CUIT]],Lista_CUIT[#All],4,0)),"CUIT NO CARGADO")</f>
        <v>0</v>
      </c>
    </row>
    <row r="27" spans="2:18" ht="14.45" hidden="1" customHeight="1">
      <c r="B27" s="40" t="s">
        <v>2165</v>
      </c>
      <c r="C27" s="41">
        <v>1</v>
      </c>
      <c r="D27" s="42">
        <v>6</v>
      </c>
      <c r="E27" s="43">
        <v>16145548</v>
      </c>
      <c r="F27" s="44">
        <v>30620177497</v>
      </c>
      <c r="G27" s="45" t="str">
        <f>IFERROR(IF(compras_mes4[[#This Row],[CUIT]]="","-",VLOOKUP(compras_mes4[[#This Row],[CUIT]],Lista_CUIT[#All],2,0)),"CUIT NO CARGADO")</f>
        <v>POSNET SRL</v>
      </c>
      <c r="H27" s="46">
        <v>57338.07</v>
      </c>
      <c r="I27" s="85">
        <f>IF(compras_mes4[[#This Row],[NETO GRAVADO]]="","",compras_mes4[[#This Row],[NETO GRAVADO]]*0.21)</f>
        <v>12040.994699999999</v>
      </c>
      <c r="J27" s="85"/>
      <c r="K27" s="85"/>
      <c r="L27" s="85"/>
      <c r="M27" s="85"/>
      <c r="N27" s="85">
        <v>5160.42</v>
      </c>
      <c r="O27" s="85"/>
      <c r="P27" s="48">
        <f>SUM(compras_mes4[[#This Row],[NETO GRAVADO]:[Otros / No Grav.]])</f>
        <v>74539.484700000001</v>
      </c>
      <c r="Q27" s="45" t="str">
        <f>IFERROR(IF(compras_mes4[[#This Row],[CUIT]]="","-",VLOOKUP(compras_mes4[[#This Row],[CUIT]],Lista_CUIT[#All],3,0)),"CUIT NO CARGADO")</f>
        <v>Gastos Comercializacion</v>
      </c>
      <c r="R27" s="49">
        <f>IFERROR(IF(compras_mes4[[#This Row],[CUIT]]="","-",VLOOKUP(compras_mes4[[#This Row],[CUIT]],Lista_CUIT[#All],4,0)),"CUIT NO CARGADO")</f>
        <v>0</v>
      </c>
    </row>
    <row r="28" spans="2:18" ht="14.45" hidden="1" customHeight="1">
      <c r="B28" s="406" t="s">
        <v>2157</v>
      </c>
      <c r="C28" s="41">
        <v>3</v>
      </c>
      <c r="D28" s="407">
        <v>11</v>
      </c>
      <c r="E28" s="408">
        <v>719887</v>
      </c>
      <c r="F28" s="409">
        <v>33709585229</v>
      </c>
      <c r="G28" s="410" t="str">
        <f>IFERROR(IF(compras_mes4[[#This Row],[CUIT]]="","-",VLOOKUP(compras_mes4[[#This Row],[CUIT]],Lista_CUIT[#All],2,0)),"CUIT NO CARGADO")</f>
        <v>GOOGLE ARGENTINA S.R.L.</v>
      </c>
      <c r="H28" s="411">
        <v>-102.28</v>
      </c>
      <c r="I28" s="85">
        <f>IF(compras_mes4[[#This Row],[NETO GRAVADO]]="","",compras_mes4[[#This Row],[NETO GRAVADO]]*0.21)</f>
        <v>-21.4788</v>
      </c>
      <c r="J28" s="412"/>
      <c r="K28" s="412"/>
      <c r="L28" s="412"/>
      <c r="M28" s="412"/>
      <c r="N28" s="412">
        <v>-11.47</v>
      </c>
      <c r="O28" s="412"/>
      <c r="P28" s="413">
        <f>SUM(compras_mes4[[#This Row],[NETO GRAVADO]:[Otros / No Grav.]])</f>
        <v>-135.22880000000001</v>
      </c>
      <c r="Q28" s="410" t="str">
        <f>IFERROR(IF(compras_mes4[[#This Row],[CUIT]]="","-",VLOOKUP(compras_mes4[[#This Row],[CUIT]],Lista_CUIT[#All],3,0)),"CUIT NO CARGADO")</f>
        <v>Gastos Comercializacion</v>
      </c>
      <c r="R28" s="414">
        <f>IFERROR(IF(compras_mes4[[#This Row],[CUIT]]="","-",VLOOKUP(compras_mes4[[#This Row],[CUIT]],Lista_CUIT[#All],4,0)),"CUIT NO CARGADO")</f>
        <v>0</v>
      </c>
    </row>
    <row r="29" spans="2:18" ht="14.45" hidden="1" customHeight="1">
      <c r="B29" s="406" t="s">
        <v>2157</v>
      </c>
      <c r="C29" s="41">
        <v>1</v>
      </c>
      <c r="D29" s="407">
        <v>11</v>
      </c>
      <c r="E29" s="408">
        <v>980749</v>
      </c>
      <c r="F29" s="409">
        <v>33709585229</v>
      </c>
      <c r="G29" s="410" t="str">
        <f>IFERROR(IF(compras_mes4[[#This Row],[CUIT]]="","-",VLOOKUP(compras_mes4[[#This Row],[CUIT]],Lista_CUIT[#All],2,0)),"CUIT NO CARGADO")</f>
        <v>GOOGLE ARGENTINA S.R.L.</v>
      </c>
      <c r="H29" s="411">
        <v>175006.83</v>
      </c>
      <c r="I29" s="85">
        <f>IF(compras_mes4[[#This Row],[NETO GRAVADO]]="","",compras_mes4[[#This Row],[NETO GRAVADO]]*0.21)</f>
        <v>36751.434299999994</v>
      </c>
      <c r="J29" s="412"/>
      <c r="K29" s="412"/>
      <c r="L29" s="412"/>
      <c r="M29" s="412"/>
      <c r="N29" s="412">
        <v>35845.78</v>
      </c>
      <c r="O29" s="412">
        <v>5250.2</v>
      </c>
      <c r="P29" s="413">
        <f>SUM(compras_mes4[[#This Row],[NETO GRAVADO]:[Otros / No Grav.]])</f>
        <v>252854.24429999999</v>
      </c>
      <c r="Q29" s="410" t="str">
        <f>IFERROR(IF(compras_mes4[[#This Row],[CUIT]]="","-",VLOOKUP(compras_mes4[[#This Row],[CUIT]],Lista_CUIT[#All],3,0)),"CUIT NO CARGADO")</f>
        <v>Gastos Comercializacion</v>
      </c>
      <c r="R29" s="414">
        <f>IFERROR(IF(compras_mes4[[#This Row],[CUIT]]="","-",VLOOKUP(compras_mes4[[#This Row],[CUIT]],Lista_CUIT[#All],4,0)),"CUIT NO CARGADO")</f>
        <v>0</v>
      </c>
    </row>
    <row r="30" spans="2:18" ht="14.45" hidden="1" customHeight="1">
      <c r="B30" s="40" t="s">
        <v>2157</v>
      </c>
      <c r="C30" s="41">
        <v>1</v>
      </c>
      <c r="D30" s="42">
        <v>6</v>
      </c>
      <c r="E30" s="43">
        <v>16327168</v>
      </c>
      <c r="F30" s="44">
        <v>30620177497</v>
      </c>
      <c r="G30" s="45" t="str">
        <f>IFERROR(IF(compras_mes4[[#This Row],[CUIT]]="","-",VLOOKUP(compras_mes4[[#This Row],[CUIT]],Lista_CUIT[#All],2,0)),"CUIT NO CARGADO")</f>
        <v>POSNET SRL</v>
      </c>
      <c r="H30" s="46">
        <v>0</v>
      </c>
      <c r="I30" s="85">
        <f>IF(compras_mes4[[#This Row],[NETO GRAVADO]]="","",compras_mes4[[#This Row],[NETO GRAVADO]]*0.21)</f>
        <v>0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0</v>
      </c>
      <c r="Q30" s="45" t="str">
        <f>IFERROR(IF(compras_mes4[[#This Row],[CUIT]]="","-",VLOOKUP(compras_mes4[[#This Row],[CUIT]],Lista_CUIT[#All],3,0)),"CUIT NO CARGADO")</f>
        <v>Gastos Comercializacion</v>
      </c>
      <c r="R30" s="49">
        <f>IFERROR(IF(compras_mes4[[#This Row],[CUIT]]="","-",VLOOKUP(compras_mes4[[#This Row],[CUIT]],Lista_CUIT[#All],4,0)),"CUIT NO CARGADO")</f>
        <v>0</v>
      </c>
    </row>
    <row r="31" spans="2:18" ht="14.45" hidden="1" customHeight="1">
      <c r="B31" s="89" t="s">
        <v>2138</v>
      </c>
      <c r="C31" s="41">
        <v>1</v>
      </c>
      <c r="D31" s="91">
        <v>1</v>
      </c>
      <c r="E31" s="92">
        <v>705</v>
      </c>
      <c r="F31" s="93">
        <v>30715889486</v>
      </c>
      <c r="G31" s="94" t="str">
        <f>IFERROR(IF(compras_mes4[[#This Row],[CUIT]]="","-",VLOOKUP(compras_mes4[[#This Row],[CUIT]],Lista_CUIT[#All],2,0)),"CUIT NO CARGADO")</f>
        <v>EXPOESTETICA</v>
      </c>
      <c r="H31" s="95">
        <v>396000</v>
      </c>
      <c r="I31" s="85">
        <f>IF(compras_mes4[[#This Row],[NETO GRAVADO]]="","",compras_mes4[[#This Row],[NETO GRAVADO]]*0.21)</f>
        <v>83160</v>
      </c>
      <c r="J31" s="86"/>
      <c r="K31" s="86"/>
      <c r="L31" s="86"/>
      <c r="M31" s="86"/>
      <c r="N31" s="86"/>
      <c r="O31" s="86"/>
      <c r="P31" s="87">
        <f>SUM(compras_mes4[[#This Row],[NETO GRAVADO]:[Otros / No Grav.]])</f>
        <v>479160</v>
      </c>
      <c r="Q31" s="94" t="str">
        <f>IFERROR(IF(compras_mes4[[#This Row],[CUIT]]="","-",VLOOKUP(compras_mes4[[#This Row],[CUIT]],Lista_CUIT[#All],3,0)),"CUIT NO CARGADO")</f>
        <v>Gastos Comercializacion - Feria</v>
      </c>
      <c r="R31" s="88" t="str">
        <f>IFERROR(IF(compras_mes4[[#This Row],[CUIT]]="","-",VLOOKUP(compras_mes4[[#This Row],[CUIT]],Lista_CUIT[#All],4,0)),"CUIT NO CARGADO")</f>
        <v>BUENOS AIRES</v>
      </c>
    </row>
    <row r="32" spans="2:18" ht="14.45" hidden="1" customHeight="1">
      <c r="B32" s="40" t="s">
        <v>2140</v>
      </c>
      <c r="C32" s="41">
        <v>1</v>
      </c>
      <c r="D32" s="42">
        <v>14</v>
      </c>
      <c r="E32" s="43">
        <v>11887</v>
      </c>
      <c r="F32" s="44">
        <v>30715186256</v>
      </c>
      <c r="G32" s="45" t="str">
        <f>IFERROR(IF(compras_mes4[[#This Row],[CUIT]]="","-",VLOOKUP(compras_mes4[[#This Row],[CUIT]],Lista_CUIT[#All],2,0)),"CUIT NO CARGADO")</f>
        <v>FRIGORIFICO ALIMENTIC</v>
      </c>
      <c r="H32" s="46">
        <v>18780.27</v>
      </c>
      <c r="I32" s="85">
        <v>1728.59</v>
      </c>
      <c r="J32" s="85"/>
      <c r="K32" s="85">
        <v>1107.6300000000001</v>
      </c>
      <c r="L32" s="85"/>
      <c r="M32" s="85"/>
      <c r="N32" s="85"/>
      <c r="O32" s="85"/>
      <c r="P32" s="48">
        <f>SUM(compras_mes4[[#This Row],[NETO GRAVADO]:[Otros / No Grav.]])</f>
        <v>21616.49</v>
      </c>
      <c r="Q32" s="45" t="str">
        <f>IFERROR(IF(compras_mes4[[#This Row],[CUIT]]="","-",VLOOKUP(compras_mes4[[#This Row],[CUIT]],Lista_CUIT[#All],3,0)),"CUIT NO CARGADO")</f>
        <v>Gastos Comercializacion - Feria</v>
      </c>
      <c r="R32" s="49">
        <f>IFERROR(IF(compras_mes4[[#This Row],[CUIT]]="","-",VLOOKUP(compras_mes4[[#This Row],[CUIT]],Lista_CUIT[#All],4,0)),"CUIT NO CARGADO")</f>
        <v>0</v>
      </c>
    </row>
    <row r="33" spans="2:18" ht="14.45" hidden="1" customHeight="1">
      <c r="B33" s="40" t="s">
        <v>2146</v>
      </c>
      <c r="C33" s="41">
        <v>1</v>
      </c>
      <c r="D33" s="42">
        <v>14</v>
      </c>
      <c r="E33" s="43">
        <v>11970</v>
      </c>
      <c r="F33" s="44">
        <v>30715186256</v>
      </c>
      <c r="G33" s="45" t="str">
        <f>IFERROR(IF(compras_mes4[[#This Row],[CUIT]]="","-",VLOOKUP(compras_mes4[[#This Row],[CUIT]],Lista_CUIT[#All],2,0)),"CUIT NO CARGADO")</f>
        <v>FRIGORIFICO ALIMENTIC</v>
      </c>
      <c r="H33" s="46">
        <v>37309.86</v>
      </c>
      <c r="I33" s="85">
        <v>1877.16</v>
      </c>
      <c r="J33" s="85"/>
      <c r="K33" s="85">
        <v>2978.96</v>
      </c>
      <c r="L33" s="85"/>
      <c r="M33" s="85"/>
      <c r="N33" s="85"/>
      <c r="O33" s="85"/>
      <c r="P33" s="48">
        <f>SUM(compras_mes4[[#This Row],[NETO GRAVADO]:[Otros / No Grav.]])</f>
        <v>42165.98</v>
      </c>
      <c r="Q33" s="45" t="str">
        <f>IFERROR(IF(compras_mes4[[#This Row],[CUIT]]="","-",VLOOKUP(compras_mes4[[#This Row],[CUIT]],Lista_CUIT[#All],3,0)),"CUIT NO CARGADO")</f>
        <v>Gastos Comercializacion - Feria</v>
      </c>
      <c r="R33" s="49">
        <f>IFERROR(IF(compras_mes4[[#This Row],[CUIT]]="","-",VLOOKUP(compras_mes4[[#This Row],[CUIT]],Lista_CUIT[#All],4,0)),"CUIT NO CARGADO")</f>
        <v>0</v>
      </c>
    </row>
    <row r="34" spans="2:18" ht="14.45" hidden="1" customHeight="1">
      <c r="B34" s="40" t="s">
        <v>2150</v>
      </c>
      <c r="C34" s="41">
        <v>1</v>
      </c>
      <c r="D34" s="42">
        <v>14</v>
      </c>
      <c r="E34" s="43">
        <v>12040</v>
      </c>
      <c r="F34" s="44">
        <v>30715186256</v>
      </c>
      <c r="G34" s="45" t="str">
        <f>IFERROR(IF(compras_mes4[[#This Row],[CUIT]]="","-",VLOOKUP(compras_mes4[[#This Row],[CUIT]],Lista_CUIT[#All],2,0)),"CUIT NO CARGADO")</f>
        <v>FRIGORIFICO ALIMENTIC</v>
      </c>
      <c r="H34" s="46">
        <v>42395.34</v>
      </c>
      <c r="I34" s="85">
        <v>746.28</v>
      </c>
      <c r="J34" s="85"/>
      <c r="K34" s="85">
        <v>4078.37</v>
      </c>
      <c r="L34" s="85"/>
      <c r="M34" s="85"/>
      <c r="N34" s="85"/>
      <c r="O34" s="85"/>
      <c r="P34" s="48">
        <f>SUM(compras_mes4[[#This Row],[NETO GRAVADO]:[Otros / No Grav.]])</f>
        <v>47219.99</v>
      </c>
      <c r="Q34" s="45" t="str">
        <f>IFERROR(IF(compras_mes4[[#This Row],[CUIT]]="","-",VLOOKUP(compras_mes4[[#This Row],[CUIT]],Lista_CUIT[#All],3,0)),"CUIT NO CARGADO")</f>
        <v>Gastos Comercializacion - Feria</v>
      </c>
      <c r="R34" s="49">
        <f>IFERROR(IF(compras_mes4[[#This Row],[CUIT]]="","-",VLOOKUP(compras_mes4[[#This Row],[CUIT]],Lista_CUIT[#All],4,0)),"CUIT NO CARGADO")</f>
        <v>0</v>
      </c>
    </row>
    <row r="35" spans="2:18" ht="14.45" hidden="1" customHeight="1">
      <c r="B35" s="40" t="s">
        <v>2159</v>
      </c>
      <c r="C35" s="41">
        <v>1</v>
      </c>
      <c r="D35" s="42">
        <v>6</v>
      </c>
      <c r="E35" s="43">
        <v>520</v>
      </c>
      <c r="F35" s="44">
        <v>30614617388</v>
      </c>
      <c r="G35" s="45" t="str">
        <f>IFERROR(IF(compras_mes4[[#This Row],[CUIT]]="","-",VLOOKUP(compras_mes4[[#This Row],[CUIT]],Lista_CUIT[#All],2,0)),"CUIT NO CARGADO")</f>
        <v>EXPO MADERA DE ALMENDRO JORGE MAGLIO PEDRO MAGLIO GREGORIO</v>
      </c>
      <c r="H35" s="46">
        <v>36363.64</v>
      </c>
      <c r="I35" s="85">
        <f>IF(compras_mes4[[#This Row],[NETO GRAVADO]]="","",compras_mes4[[#This Row],[NETO GRAVADO]]*0.21)</f>
        <v>7636.3643999999995</v>
      </c>
      <c r="J35" s="85"/>
      <c r="K35" s="85"/>
      <c r="L35" s="85"/>
      <c r="M35" s="85"/>
      <c r="N35" s="85"/>
      <c r="O35" s="85"/>
      <c r="P35" s="48">
        <f>SUM(compras_mes4[[#This Row],[NETO GRAVADO]:[Otros / No Grav.]])</f>
        <v>44000.004399999998</v>
      </c>
      <c r="Q35" s="45" t="str">
        <f>IFERROR(IF(compras_mes4[[#This Row],[CUIT]]="","-",VLOOKUP(compras_mes4[[#This Row],[CUIT]],Lista_CUIT[#All],3,0)),"CUIT NO CARGADO")</f>
        <v>Gastos Comercializacion - Feria</v>
      </c>
      <c r="R35" s="49">
        <f>IFERROR(IF(compras_mes4[[#This Row],[CUIT]]="","-",VLOOKUP(compras_mes4[[#This Row],[CUIT]],Lista_CUIT[#All],4,0)),"CUIT NO CARGADO")</f>
        <v>0</v>
      </c>
    </row>
    <row r="36" spans="2:18" ht="14.45" hidden="1" customHeight="1">
      <c r="B36" s="40" t="s">
        <v>2159</v>
      </c>
      <c r="C36" s="41">
        <v>1</v>
      </c>
      <c r="D36" s="42">
        <v>6</v>
      </c>
      <c r="E36" s="43">
        <v>521</v>
      </c>
      <c r="F36" s="44">
        <v>30614617388</v>
      </c>
      <c r="G36" s="45" t="str">
        <f>IFERROR(IF(compras_mes4[[#This Row],[CUIT]]="","-",VLOOKUP(compras_mes4[[#This Row],[CUIT]],Lista_CUIT[#All],2,0)),"CUIT NO CARGADO")</f>
        <v>EXPO MADERA DE ALMENDRO JORGE MAGLIO PEDRO MAGLIO GREGORIO</v>
      </c>
      <c r="H36" s="46">
        <v>36363.64</v>
      </c>
      <c r="I36" s="85">
        <f>IF(compras_mes4[[#This Row],[NETO GRAVADO]]="","",compras_mes4[[#This Row],[NETO GRAVADO]]*0.21)</f>
        <v>7636.3643999999995</v>
      </c>
      <c r="J36" s="85"/>
      <c r="K36" s="85"/>
      <c r="L36" s="85"/>
      <c r="M36" s="85"/>
      <c r="N36" s="85"/>
      <c r="O36" s="85"/>
      <c r="P36" s="48">
        <f>SUM(compras_mes4[[#This Row],[NETO GRAVADO]:[Otros / No Grav.]])</f>
        <v>44000.004399999998</v>
      </c>
      <c r="Q36" s="45" t="str">
        <f>IFERROR(IF(compras_mes4[[#This Row],[CUIT]]="","-",VLOOKUP(compras_mes4[[#This Row],[CUIT]],Lista_CUIT[#All],3,0)),"CUIT NO CARGADO")</f>
        <v>Gastos Comercializacion - Feria</v>
      </c>
      <c r="R36" s="49">
        <f>IFERROR(IF(compras_mes4[[#This Row],[CUIT]]="","-",VLOOKUP(compras_mes4[[#This Row],[CUIT]],Lista_CUIT[#All],4,0)),"CUIT NO CARGADO")</f>
        <v>0</v>
      </c>
    </row>
    <row r="37" spans="2:18" ht="14.45" hidden="1" customHeight="1">
      <c r="B37" s="40" t="s">
        <v>2155</v>
      </c>
      <c r="C37" s="41">
        <v>1</v>
      </c>
      <c r="D37" s="42">
        <v>14</v>
      </c>
      <c r="E37" s="43">
        <v>12177</v>
      </c>
      <c r="F37" s="44">
        <v>30715186256</v>
      </c>
      <c r="G37" s="45" t="str">
        <f>IFERROR(IF(compras_mes4[[#This Row],[CUIT]]="","-",VLOOKUP(compras_mes4[[#This Row],[CUIT]],Lista_CUIT[#All],2,0)),"CUIT NO CARGADO")</f>
        <v>FRIGORIFICO ALIMENTIC</v>
      </c>
      <c r="H37" s="46">
        <v>53780.97</v>
      </c>
      <c r="I37" s="85"/>
      <c r="J37" s="85"/>
      <c r="K37" s="85">
        <f>compras_mes4[[#This Row],[NETO GRAVADO]]*0.105</f>
        <v>5647.0018499999996</v>
      </c>
      <c r="L37" s="85"/>
      <c r="M37" s="85"/>
      <c r="N37" s="85"/>
      <c r="O37" s="85"/>
      <c r="P37" s="48">
        <f>SUM(compras_mes4[[#This Row],[NETO GRAVADO]:[Otros / No Grav.]])</f>
        <v>59427.971850000002</v>
      </c>
      <c r="Q37" s="45" t="str">
        <f>IFERROR(IF(compras_mes4[[#This Row],[CUIT]]="","-",VLOOKUP(compras_mes4[[#This Row],[CUIT]],Lista_CUIT[#All],3,0)),"CUIT NO CARGADO")</f>
        <v>Gastos Comercializacion - Feria</v>
      </c>
      <c r="R37" s="49">
        <f>IFERROR(IF(compras_mes4[[#This Row],[CUIT]]="","-",VLOOKUP(compras_mes4[[#This Row],[CUIT]],Lista_CUIT[#All],4,0)),"CUIT NO CARGADO")</f>
        <v>0</v>
      </c>
    </row>
    <row r="38" spans="2:18" ht="14.45" hidden="1" customHeight="1">
      <c r="B38" s="406" t="s">
        <v>2146</v>
      </c>
      <c r="C38" s="41">
        <v>3</v>
      </c>
      <c r="D38" s="407">
        <v>7</v>
      </c>
      <c r="E38" s="408">
        <v>21</v>
      </c>
      <c r="F38" s="409">
        <v>20270614311</v>
      </c>
      <c r="G38" s="410" t="str">
        <f>IFERROR(IF(compras_mes4[[#This Row],[CUIT]]="","-",VLOOKUP(compras_mes4[[#This Row],[CUIT]],Lista_CUIT[#All],2,0)),"CUIT NO CARGADO")</f>
        <v>ROMERA WALTER LEONARDO</v>
      </c>
      <c r="H38" s="411">
        <v>-1060479.51</v>
      </c>
      <c r="I38" s="85">
        <f>IF(compras_mes4[[#This Row],[NETO GRAVADO]]="","",compras_mes4[[#This Row],[NETO GRAVADO]]*0.21)</f>
        <v>-222700.69709999999</v>
      </c>
      <c r="J38" s="412"/>
      <c r="K38" s="412"/>
      <c r="L38" s="412"/>
      <c r="M38" s="412"/>
      <c r="N38" s="412"/>
      <c r="O38" s="412"/>
      <c r="P38" s="413">
        <f>SUM(compras_mes4[[#This Row],[NETO GRAVADO]:[Otros / No Grav.]])</f>
        <v>-1283180.2071</v>
      </c>
      <c r="Q38" s="410" t="str">
        <f>IFERROR(IF(compras_mes4[[#This Row],[CUIT]]="","-",VLOOKUP(compras_mes4[[#This Row],[CUIT]],Lista_CUIT[#All],3,0)),"CUIT NO CARGADO")</f>
        <v>Gastos Limpieza</v>
      </c>
      <c r="R38" s="414">
        <f>IFERROR(IF(compras_mes4[[#This Row],[CUIT]]="","-",VLOOKUP(compras_mes4[[#This Row],[CUIT]],Lista_CUIT[#All],4,0)),"CUIT NO CARGADO")</f>
        <v>0</v>
      </c>
    </row>
    <row r="39" spans="2:18" ht="14.45" hidden="1" customHeight="1">
      <c r="B39" s="40" t="s">
        <v>2150</v>
      </c>
      <c r="C39" s="41">
        <v>1</v>
      </c>
      <c r="D39" s="42">
        <v>113</v>
      </c>
      <c r="E39" s="43">
        <v>3557402</v>
      </c>
      <c r="F39" s="44">
        <v>30577207190</v>
      </c>
      <c r="G39" s="45" t="str">
        <f>IFERROR(IF(compras_mes4[[#This Row],[CUIT]]="","-",VLOOKUP(compras_mes4[[#This Row],[CUIT]],Lista_CUIT[#All],2,0)),"CUIT NO CARGADO")</f>
        <v>COORDINACION ECOLOGICA AREA METROPOLITANA SOCIEDAD DEL ESTADO</v>
      </c>
      <c r="H39" s="46">
        <v>5299.17</v>
      </c>
      <c r="I39" s="85">
        <f>IF(compras_mes4[[#This Row],[NETO GRAVADO]]="","",compras_mes4[[#This Row],[NETO GRAVADO]]*0.21)</f>
        <v>1112.8256999999999</v>
      </c>
      <c r="J39" s="85"/>
      <c r="K39" s="85"/>
      <c r="L39" s="85">
        <v>158.97999999999999</v>
      </c>
      <c r="M39" s="85"/>
      <c r="N39" s="85"/>
      <c r="O39" s="85"/>
      <c r="P39" s="48">
        <f>SUM(compras_mes4[[#This Row],[NETO GRAVADO]:[Otros / No Grav.]])</f>
        <v>6570.9756999999991</v>
      </c>
      <c r="Q39" s="45" t="str">
        <f>IFERROR(IF(compras_mes4[[#This Row],[CUIT]]="","-",VLOOKUP(compras_mes4[[#This Row],[CUIT]],Lista_CUIT[#All],3,0)),"CUIT NO CARGADO")</f>
        <v>Gastos Limpieza</v>
      </c>
      <c r="R39" s="49">
        <f>IFERROR(IF(compras_mes4[[#This Row],[CUIT]]="","-",VLOOKUP(compras_mes4[[#This Row],[CUIT]],Lista_CUIT[#All],4,0)),"CUIT NO CARGADO")</f>
        <v>0</v>
      </c>
    </row>
    <row r="40" spans="2:18" ht="14.45" hidden="1" customHeight="1">
      <c r="B40" s="40" t="s">
        <v>2166</v>
      </c>
      <c r="C40" s="41">
        <v>1</v>
      </c>
      <c r="D40" s="42">
        <v>7</v>
      </c>
      <c r="E40" s="43">
        <v>14616</v>
      </c>
      <c r="F40" s="44">
        <v>30715124919</v>
      </c>
      <c r="G40" s="45" t="str">
        <f>IFERROR(IF(compras_mes4[[#This Row],[CUIT]]="","-",VLOOKUP(compras_mes4[[#This Row],[CUIT]],Lista_CUIT[#All],2,0)),"CUIT NO CARGADO")</f>
        <v>CLEAN LAB SRL</v>
      </c>
      <c r="H40" s="46">
        <v>23260.78</v>
      </c>
      <c r="I40" s="85">
        <f>IF(compras_mes4[[#This Row],[NETO GRAVADO]]="","",compras_mes4[[#This Row],[NETO GRAVADO]]*0.21)</f>
        <v>4884.7637999999997</v>
      </c>
      <c r="J40" s="85"/>
      <c r="K40" s="85"/>
      <c r="L40" s="85"/>
      <c r="M40" s="85"/>
      <c r="N40" s="85"/>
      <c r="O40" s="85"/>
      <c r="P40" s="48">
        <f>SUM(compras_mes4[[#This Row],[NETO GRAVADO]:[Otros / No Grav.]])</f>
        <v>28145.543799999999</v>
      </c>
      <c r="Q40" s="45" t="str">
        <f>IFERROR(IF(compras_mes4[[#This Row],[CUIT]]="","-",VLOOKUP(compras_mes4[[#This Row],[CUIT]],Lista_CUIT[#All],3,0)),"CUIT NO CARGADO")</f>
        <v>Gastos Limpieza</v>
      </c>
      <c r="R40" s="49">
        <f>IFERROR(IF(compras_mes4[[#This Row],[CUIT]]="","-",VLOOKUP(compras_mes4[[#This Row],[CUIT]],Lista_CUIT[#All],4,0)),"CUIT NO CARGADO")</f>
        <v>0</v>
      </c>
    </row>
    <row r="41" spans="2:18" ht="14.45" hidden="1" customHeight="1">
      <c r="B41" s="406" t="s">
        <v>2166</v>
      </c>
      <c r="C41" s="41">
        <v>1</v>
      </c>
      <c r="D41" s="407">
        <v>7</v>
      </c>
      <c r="E41" s="408">
        <v>14617</v>
      </c>
      <c r="F41" s="409">
        <v>30715124919</v>
      </c>
      <c r="G41" s="410" t="str">
        <f>IFERROR(IF(compras_mes4[[#This Row],[CUIT]]="","-",VLOOKUP(compras_mes4[[#This Row],[CUIT]],Lista_CUIT[#All],2,0)),"CUIT NO CARGADO")</f>
        <v>CLEAN LAB SRL</v>
      </c>
      <c r="H41" s="411">
        <v>50260.31</v>
      </c>
      <c r="I41" s="85">
        <f>IF(compras_mes4[[#This Row],[NETO GRAVADO]]="","",compras_mes4[[#This Row],[NETO GRAVADO]]*0.21)</f>
        <v>10554.665099999998</v>
      </c>
      <c r="J41" s="412"/>
      <c r="K41" s="412"/>
      <c r="L41" s="412"/>
      <c r="M41" s="412"/>
      <c r="N41" s="412"/>
      <c r="O41" s="412"/>
      <c r="P41" s="413">
        <f>SUM(compras_mes4[[#This Row],[NETO GRAVADO]:[Otros / No Grav.]])</f>
        <v>60814.975099999996</v>
      </c>
      <c r="Q41" s="410" t="str">
        <f>IFERROR(IF(compras_mes4[[#This Row],[CUIT]]="","-",VLOOKUP(compras_mes4[[#This Row],[CUIT]],Lista_CUIT[#All],3,0)),"CUIT NO CARGADO")</f>
        <v>Gastos Limpieza</v>
      </c>
      <c r="R41" s="414">
        <f>IFERROR(IF(compras_mes4[[#This Row],[CUIT]]="","-",VLOOKUP(compras_mes4[[#This Row],[CUIT]],Lista_CUIT[#All],4,0)),"CUIT NO CARGADO")</f>
        <v>0</v>
      </c>
    </row>
    <row r="42" spans="2:18" ht="14.45" hidden="1" customHeight="1">
      <c r="B42" s="406" t="s">
        <v>2168</v>
      </c>
      <c r="C42" s="41">
        <v>1</v>
      </c>
      <c r="D42" s="407">
        <v>7</v>
      </c>
      <c r="E42" s="408">
        <v>14627</v>
      </c>
      <c r="F42" s="409">
        <v>30715124919</v>
      </c>
      <c r="G42" s="410" t="str">
        <f>IFERROR(IF(compras_mes4[[#This Row],[CUIT]]="","-",VLOOKUP(compras_mes4[[#This Row],[CUIT]],Lista_CUIT[#All],2,0)),"CUIT NO CARGADO")</f>
        <v>CLEAN LAB SRL</v>
      </c>
      <c r="H42" s="411">
        <v>29107.439999999999</v>
      </c>
      <c r="I42" s="85">
        <f>IF(compras_mes4[[#This Row],[NETO GRAVADO]]="","",compras_mes4[[#This Row],[NETO GRAVADO]]*0.21)</f>
        <v>6112.5623999999998</v>
      </c>
      <c r="J42" s="412"/>
      <c r="K42" s="412"/>
      <c r="L42" s="412"/>
      <c r="M42" s="412"/>
      <c r="N42" s="412"/>
      <c r="O42" s="412"/>
      <c r="P42" s="413">
        <f>SUM(compras_mes4[[#This Row],[NETO GRAVADO]:[Otros / No Grav.]])</f>
        <v>35220.002399999998</v>
      </c>
      <c r="Q42" s="410" t="str">
        <f>IFERROR(IF(compras_mes4[[#This Row],[CUIT]]="","-",VLOOKUP(compras_mes4[[#This Row],[CUIT]],Lista_CUIT[#All],3,0)),"CUIT NO CARGADO")</f>
        <v>Gastos Limpieza</v>
      </c>
      <c r="R42" s="414">
        <f>IFERROR(IF(compras_mes4[[#This Row],[CUIT]]="","-",VLOOKUP(compras_mes4[[#This Row],[CUIT]],Lista_CUIT[#All],4,0)),"CUIT NO CARGADO")</f>
        <v>0</v>
      </c>
    </row>
    <row r="43" spans="2:18" ht="14.45" hidden="1" customHeight="1">
      <c r="B43" s="40" t="s">
        <v>2168</v>
      </c>
      <c r="C43" s="41">
        <v>1</v>
      </c>
      <c r="D43" s="42">
        <v>7</v>
      </c>
      <c r="E43" s="43">
        <v>14628</v>
      </c>
      <c r="F43" s="44">
        <v>30715124919</v>
      </c>
      <c r="G43" s="45" t="str">
        <f>IFERROR(IF(compras_mes4[[#This Row],[CUIT]]="","-",VLOOKUP(compras_mes4[[#This Row],[CUIT]],Lista_CUIT[#All],2,0)),"CUIT NO CARGADO")</f>
        <v>CLEAN LAB SRL</v>
      </c>
      <c r="H43" s="46">
        <v>43583.82</v>
      </c>
      <c r="I43" s="85">
        <f>IF(compras_mes4[[#This Row],[NETO GRAVADO]]="","",compras_mes4[[#This Row],[NETO GRAVADO]]*0.21)</f>
        <v>9152.6021999999994</v>
      </c>
      <c r="J43" s="85"/>
      <c r="K43" s="85"/>
      <c r="L43" s="85"/>
      <c r="M43" s="85"/>
      <c r="N43" s="85"/>
      <c r="O43" s="85"/>
      <c r="P43" s="48">
        <f>SUM(compras_mes4[[#This Row],[NETO GRAVADO]:[Otros / No Grav.]])</f>
        <v>52736.422200000001</v>
      </c>
      <c r="Q43" s="45" t="str">
        <f>IFERROR(IF(compras_mes4[[#This Row],[CUIT]]="","-",VLOOKUP(compras_mes4[[#This Row],[CUIT]],Lista_CUIT[#All],3,0)),"CUIT NO CARGADO")</f>
        <v>Gastos Limpieza</v>
      </c>
      <c r="R43" s="49">
        <f>IFERROR(IF(compras_mes4[[#This Row],[CUIT]]="","-",VLOOKUP(compras_mes4[[#This Row],[CUIT]],Lista_CUIT[#All],4,0)),"CUIT NO CARGADO")</f>
        <v>0</v>
      </c>
    </row>
    <row r="44" spans="2:18" ht="14.45" hidden="1" customHeight="1">
      <c r="B44" s="40" t="s">
        <v>2168</v>
      </c>
      <c r="C44" s="41">
        <v>1</v>
      </c>
      <c r="D44" s="42">
        <v>7</v>
      </c>
      <c r="E44" s="43">
        <v>14629</v>
      </c>
      <c r="F44" s="44">
        <v>30715124919</v>
      </c>
      <c r="G44" s="45" t="str">
        <f>IFERROR(IF(compras_mes4[[#This Row],[CUIT]]="","-",VLOOKUP(compras_mes4[[#This Row],[CUIT]],Lista_CUIT[#All],2,0)),"CUIT NO CARGADO")</f>
        <v>CLEAN LAB SRL</v>
      </c>
      <c r="H44" s="46">
        <v>42011.47</v>
      </c>
      <c r="I44" s="85">
        <f>IF(compras_mes4[[#This Row],[NETO GRAVADO]]="","",compras_mes4[[#This Row],[NETO GRAVADO]]*0.21)</f>
        <v>8822.4087</v>
      </c>
      <c r="J44" s="85"/>
      <c r="K44" s="85"/>
      <c r="L44" s="85"/>
      <c r="M44" s="85"/>
      <c r="N44" s="85"/>
      <c r="O44" s="85"/>
      <c r="P44" s="48">
        <f>SUM(compras_mes4[[#This Row],[NETO GRAVADO]:[Otros / No Grav.]])</f>
        <v>50833.878700000001</v>
      </c>
      <c r="Q44" s="45" t="str">
        <f>IFERROR(IF(compras_mes4[[#This Row],[CUIT]]="","-",VLOOKUP(compras_mes4[[#This Row],[CUIT]],Lista_CUIT[#All],3,0)),"CUIT NO CARGADO")</f>
        <v>Gastos Limpieza</v>
      </c>
      <c r="R44" s="49">
        <f>IFERROR(IF(compras_mes4[[#This Row],[CUIT]]="","-",VLOOKUP(compras_mes4[[#This Row],[CUIT]],Lista_CUIT[#All],4,0)),"CUIT NO CARGADO")</f>
        <v>0</v>
      </c>
    </row>
    <row r="45" spans="2:18" ht="14.45" hidden="1" customHeight="1">
      <c r="B45" s="40" t="s">
        <v>2168</v>
      </c>
      <c r="C45" s="41">
        <v>1</v>
      </c>
      <c r="D45" s="42">
        <v>7</v>
      </c>
      <c r="E45" s="43">
        <v>14630</v>
      </c>
      <c r="F45" s="44">
        <v>30715124919</v>
      </c>
      <c r="G45" s="45" t="str">
        <f>IFERROR(IF(compras_mes4[[#This Row],[CUIT]]="","-",VLOOKUP(compras_mes4[[#This Row],[CUIT]],Lista_CUIT[#All],2,0)),"CUIT NO CARGADO")</f>
        <v>CLEAN LAB SRL</v>
      </c>
      <c r="H45" s="46">
        <v>109917.4</v>
      </c>
      <c r="I45" s="85">
        <f>IF(compras_mes4[[#This Row],[NETO GRAVADO]]="","",compras_mes4[[#This Row],[NETO GRAVADO]]*0.21)</f>
        <v>23082.653999999999</v>
      </c>
      <c r="J45" s="85"/>
      <c r="K45" s="85"/>
      <c r="L45" s="85"/>
      <c r="M45" s="85"/>
      <c r="N45" s="85"/>
      <c r="O45" s="85"/>
      <c r="P45" s="48">
        <f>SUM(compras_mes4[[#This Row],[NETO GRAVADO]:[Otros / No Grav.]])</f>
        <v>133000.054</v>
      </c>
      <c r="Q45" s="45" t="str">
        <f>IFERROR(IF(compras_mes4[[#This Row],[CUIT]]="","-",VLOOKUP(compras_mes4[[#This Row],[CUIT]],Lista_CUIT[#All],3,0)),"CUIT NO CARGADO")</f>
        <v>Gastos Limpieza</v>
      </c>
      <c r="R45" s="49">
        <f>IFERROR(IF(compras_mes4[[#This Row],[CUIT]]="","-",VLOOKUP(compras_mes4[[#This Row],[CUIT]],Lista_CUIT[#All],4,0)),"CUIT NO CARGADO")</f>
        <v>0</v>
      </c>
    </row>
    <row r="46" spans="2:18" ht="14.45" hidden="1" customHeight="1">
      <c r="B46" s="40" t="s">
        <v>2147</v>
      </c>
      <c r="C46" s="41">
        <v>1</v>
      </c>
      <c r="D46" s="42">
        <v>3</v>
      </c>
      <c r="E46" s="43">
        <v>4215</v>
      </c>
      <c r="F46" s="44">
        <v>30695993761</v>
      </c>
      <c r="G46" s="45" t="str">
        <f>IFERROR(IF(compras_mes4[[#This Row],[CUIT]]="","-",VLOOKUP(compras_mes4[[#This Row],[CUIT]],Lista_CUIT[#All],2,0)),"CUIT NO CARGADO")</f>
        <v>BOCCOLI JOSE Y BOCCOLI LILIANA SOCIEDAD DE HECHO</v>
      </c>
      <c r="H46" s="46">
        <v>52066.1</v>
      </c>
      <c r="I46" s="85">
        <f>IF(compras_mes4[[#This Row],[NETO GRAVADO]]="","",compras_mes4[[#This Row],[NETO GRAVADO]]*0.21)</f>
        <v>10933.880999999999</v>
      </c>
      <c r="J46" s="85"/>
      <c r="K46" s="85"/>
      <c r="L46" s="85"/>
      <c r="M46" s="85"/>
      <c r="N46" s="85"/>
      <c r="O46" s="85"/>
      <c r="P46" s="48">
        <f>SUM(compras_mes4[[#This Row],[NETO GRAVADO]:[Otros / No Grav.]])</f>
        <v>62999.981</v>
      </c>
      <c r="Q46" s="45" t="s">
        <v>2687</v>
      </c>
      <c r="R46" s="49">
        <f>IFERROR(IF(compras_mes4[[#This Row],[CUIT]]="","-",VLOOKUP(compras_mes4[[#This Row],[CUIT]],Lista_CUIT[#All],4,0)),"CUIT NO CARGADO")</f>
        <v>0</v>
      </c>
    </row>
    <row r="47" spans="2:18" ht="14.45" hidden="1" customHeight="1">
      <c r="B47" s="40" t="s">
        <v>2151</v>
      </c>
      <c r="C47" s="41">
        <v>1</v>
      </c>
      <c r="D47" s="42">
        <v>1001</v>
      </c>
      <c r="E47" s="43">
        <v>36733</v>
      </c>
      <c r="F47" s="44">
        <v>30715393251</v>
      </c>
      <c r="G47" s="45" t="str">
        <f>IFERROR(IF(compras_mes4[[#This Row],[CUIT]]="","-",VLOOKUP(compras_mes4[[#This Row],[CUIT]],Lista_CUIT[#All],2,0)),"CUIT NO CARGADO")</f>
        <v>OMNICHANNEL S.A.</v>
      </c>
      <c r="H47" s="46">
        <v>112038.91</v>
      </c>
      <c r="I47" s="85"/>
      <c r="J47" s="85"/>
      <c r="K47" s="85">
        <f>compras_mes4[[#This Row],[NETO GRAVADO]]*0.105</f>
        <v>11764.08555</v>
      </c>
      <c r="L47" s="85"/>
      <c r="M47" s="85"/>
      <c r="N47" s="85"/>
      <c r="O47" s="85"/>
      <c r="P47" s="48">
        <f>SUM(compras_mes4[[#This Row],[NETO GRAVADO]:[Otros / No Grav.]])</f>
        <v>123802.99555000001</v>
      </c>
      <c r="Q47" s="45" t="str">
        <f>IFERROR(IF(compras_mes4[[#This Row],[CUIT]]="","-",VLOOKUP(compras_mes4[[#This Row],[CUIT]],Lista_CUIT[#All],3,0)),"CUIT NO CARGADO")</f>
        <v>Gastos Oficina</v>
      </c>
      <c r="R47" s="49">
        <f>IFERROR(IF(compras_mes4[[#This Row],[CUIT]]="","-",VLOOKUP(compras_mes4[[#This Row],[CUIT]],Lista_CUIT[#All],4,0)),"CUIT NO CARGADO")</f>
        <v>0</v>
      </c>
    </row>
    <row r="48" spans="2:18" ht="14.45" hidden="1" customHeight="1">
      <c r="B48" s="40" t="s">
        <v>2142</v>
      </c>
      <c r="C48" s="41">
        <v>1</v>
      </c>
      <c r="D48" s="42">
        <v>1313</v>
      </c>
      <c r="E48" s="43">
        <v>1149</v>
      </c>
      <c r="F48" s="44">
        <v>30639057999</v>
      </c>
      <c r="G48" s="45" t="str">
        <f>IFERROR(IF(compras_mes4[[#This Row],[CUIT]]="","-",VLOOKUP(compras_mes4[[#This Row],[CUIT]],Lista_CUIT[#All],2,0)),"CUIT NO CARGADO")</f>
        <v>LA OPTICA S.A.</v>
      </c>
      <c r="H48" s="46">
        <v>120330.58</v>
      </c>
      <c r="I48" s="85">
        <f>IF(compras_mes4[[#This Row],[NETO GRAVADO]]="","",compras_mes4[[#This Row],[NETO GRAVADO]]*0.21)</f>
        <v>25269.4218</v>
      </c>
      <c r="J48" s="85"/>
      <c r="K48" s="85"/>
      <c r="L48" s="85"/>
      <c r="M48" s="85"/>
      <c r="N48" s="85"/>
      <c r="O48" s="85"/>
      <c r="P48" s="48">
        <f>SUM(compras_mes4[[#This Row],[NETO GRAVADO]:[Otros / No Grav.]])</f>
        <v>145600.0018</v>
      </c>
      <c r="Q48" s="45" t="s">
        <v>2687</v>
      </c>
      <c r="R48" s="49">
        <f>IFERROR(IF(compras_mes4[[#This Row],[CUIT]]="","-",VLOOKUP(compras_mes4[[#This Row],[CUIT]],Lista_CUIT[#All],4,0)),"CUIT NO CARGADO")</f>
        <v>0</v>
      </c>
    </row>
    <row r="49" spans="2:18" ht="14.45" customHeight="1">
      <c r="B49" s="40" t="s">
        <v>2163</v>
      </c>
      <c r="C49" s="41">
        <v>1</v>
      </c>
      <c r="D49" s="42">
        <v>2215</v>
      </c>
      <c r="E49" s="43">
        <v>41455</v>
      </c>
      <c r="F49" s="44">
        <v>30548083156</v>
      </c>
      <c r="G49" s="45" t="str">
        <f>IFERROR(IF(compras_mes4[[#This Row],[CUIT]]="","-",VLOOKUP(compras_mes4[[#This Row],[CUIT]],Lista_CUIT[#All],2,0)),"CUIT NO CARGADO")</f>
        <v>COTO CENTRO INTEGRAL DE COMERCIALIZACION SOCIEDAD ANONIMA</v>
      </c>
      <c r="H49" s="46">
        <v>43149.26</v>
      </c>
      <c r="I49" s="85">
        <v>8575.83</v>
      </c>
      <c r="J49" s="85"/>
      <c r="K49" s="85">
        <v>242.76</v>
      </c>
      <c r="L49" s="85"/>
      <c r="M49" s="85"/>
      <c r="N49" s="85"/>
      <c r="O49" s="85">
        <v>3758.15</v>
      </c>
      <c r="P49" s="87">
        <f>SUM(compras_mes4[[#This Row],[NETO GRAVADO]:[Otros / No Grav.]])</f>
        <v>55726.000000000007</v>
      </c>
      <c r="Q49" s="45" t="str">
        <f>IFERROR(IF(compras_mes4[[#This Row],[CUIT]]="","-",VLOOKUP(compras_mes4[[#This Row],[CUIT]],Lista_CUIT[#All],3,0)),"CUIT NO CARGADO")</f>
        <v>Gastos Varios</v>
      </c>
      <c r="R49" s="49">
        <f>IFERROR(IF(compras_mes4[[#This Row],[CUIT]]="","-",VLOOKUP(compras_mes4[[#This Row],[CUIT]],Lista_CUIT[#All],4,0)),"CUIT NO CARGADO")</f>
        <v>0</v>
      </c>
    </row>
    <row r="50" spans="2:18" ht="14.45" customHeight="1">
      <c r="B50" s="89" t="s">
        <v>2139</v>
      </c>
      <c r="C50" s="41">
        <v>1</v>
      </c>
      <c r="D50" s="91">
        <v>2188</v>
      </c>
      <c r="E50" s="92">
        <v>116102</v>
      </c>
      <c r="F50" s="93">
        <v>30548083156</v>
      </c>
      <c r="G50" s="94" t="str">
        <f>IFERROR(IF(compras_mes4[[#This Row],[CUIT]]="","-",VLOOKUP(compras_mes4[[#This Row],[CUIT]],Lista_CUIT[#All],2,0)),"CUIT NO CARGADO")</f>
        <v>COTO CENTRO INTEGRAL DE COMERCIALIZACION SOCIEDAD ANONIMA</v>
      </c>
      <c r="H50" s="95">
        <v>33209.51</v>
      </c>
      <c r="I50" s="85">
        <v>4661.57</v>
      </c>
      <c r="J50" s="86"/>
      <c r="K50" s="86">
        <v>1156.21</v>
      </c>
      <c r="L50" s="86"/>
      <c r="M50" s="86"/>
      <c r="N50" s="86"/>
      <c r="O50" s="86">
        <v>2288.1799999999998</v>
      </c>
      <c r="P50" s="87">
        <f>SUM(compras_mes4[[#This Row],[NETO GRAVADO]:[Otros / No Grav.]])</f>
        <v>41315.47</v>
      </c>
      <c r="Q50" s="94" t="str">
        <f>IFERROR(IF(compras_mes4[[#This Row],[CUIT]]="","-",VLOOKUP(compras_mes4[[#This Row],[CUIT]],Lista_CUIT[#All],3,0)),"CUIT NO CARGADO")</f>
        <v>Gastos Varios</v>
      </c>
      <c r="R50" s="88">
        <f>IFERROR(IF(compras_mes4[[#This Row],[CUIT]]="","-",VLOOKUP(compras_mes4[[#This Row],[CUIT]],Lista_CUIT[#All],4,0)),"CUIT NO CARGADO")</f>
        <v>0</v>
      </c>
    </row>
    <row r="51" spans="2:18" ht="14.45" customHeight="1">
      <c r="B51" s="40" t="s">
        <v>2140</v>
      </c>
      <c r="C51" s="41">
        <v>1</v>
      </c>
      <c r="D51" s="42">
        <v>3</v>
      </c>
      <c r="E51" s="43">
        <v>22578</v>
      </c>
      <c r="F51" s="44">
        <v>30716944383</v>
      </c>
      <c r="G51" s="45" t="str">
        <f>IFERROR(IF(compras_mes4[[#This Row],[CUIT]]="","-",VLOOKUP(compras_mes4[[#This Row],[CUIT]],Lista_CUIT[#All],2,0)),"CUIT NO CARGADO")</f>
        <v>EXAHOME SRL</v>
      </c>
      <c r="H51" s="46">
        <v>65945.7</v>
      </c>
      <c r="I51" s="85">
        <f>IF(compras_mes4[[#This Row],[NETO GRAVADO]]="","",compras_mes4[[#This Row],[NETO GRAVADO]]*0.21)</f>
        <v>13848.597</v>
      </c>
      <c r="J51" s="85"/>
      <c r="K51" s="85"/>
      <c r="L51" s="85"/>
      <c r="M51" s="85"/>
      <c r="N51" s="85"/>
      <c r="O51" s="85"/>
      <c r="P51" s="48">
        <f>SUM(compras_mes4[[#This Row],[NETO GRAVADO]:[Otros / No Grav.]])</f>
        <v>79794.296999999991</v>
      </c>
      <c r="Q51" s="45" t="str">
        <f>IFERROR(IF(compras_mes4[[#This Row],[CUIT]]="","-",VLOOKUP(compras_mes4[[#This Row],[CUIT]],Lista_CUIT[#All],3,0)),"CUIT NO CARGADO")</f>
        <v>Gastos Varios</v>
      </c>
      <c r="R51" s="49">
        <f>IFERROR(IF(compras_mes4[[#This Row],[CUIT]]="","-",VLOOKUP(compras_mes4[[#This Row],[CUIT]],Lista_CUIT[#All],4,0)),"CUIT NO CARGADO")</f>
        <v>0</v>
      </c>
    </row>
    <row r="52" spans="2:18" ht="14.45" customHeight="1">
      <c r="B52" s="40" t="s">
        <v>2164</v>
      </c>
      <c r="C52" s="41">
        <v>1</v>
      </c>
      <c r="D52" s="42">
        <v>11047</v>
      </c>
      <c r="E52" s="43">
        <v>466</v>
      </c>
      <c r="F52" s="44">
        <v>30590360763</v>
      </c>
      <c r="G52" s="45" t="str">
        <f>IFERROR(IF(compras_mes4[[#This Row],[CUIT]]="","-",VLOOKUP(compras_mes4[[#This Row],[CUIT]],Lista_CUIT[#All],2,0)),"CUIT NO CARGADO")</f>
        <v>CENCOSUD S.A</v>
      </c>
      <c r="H52" s="46">
        <v>14394.83</v>
      </c>
      <c r="I52" s="85">
        <f>IF(compras_mes4[[#This Row],[NETO GRAVADO]]="","",compras_mes4[[#This Row],[NETO GRAVADO]]*0.21)</f>
        <v>3022.9142999999999</v>
      </c>
      <c r="J52" s="85"/>
      <c r="K52" s="85"/>
      <c r="L52" s="85">
        <v>431.84</v>
      </c>
      <c r="M52" s="85"/>
      <c r="N52" s="85"/>
      <c r="O52" s="85">
        <v>863.69</v>
      </c>
      <c r="P52" s="48">
        <f>SUM(compras_mes4[[#This Row],[NETO GRAVADO]:[Otros / No Grav.]])</f>
        <v>18713.274299999997</v>
      </c>
      <c r="Q52" s="45" t="str">
        <f>IFERROR(IF(compras_mes4[[#This Row],[CUIT]]="","-",VLOOKUP(compras_mes4[[#This Row],[CUIT]],Lista_CUIT[#All],3,0)),"CUIT NO CARGADO")</f>
        <v>Gastos Varios</v>
      </c>
      <c r="R52" s="49">
        <f>IFERROR(IF(compras_mes4[[#This Row],[CUIT]]="","-",VLOOKUP(compras_mes4[[#This Row],[CUIT]],Lista_CUIT[#All],4,0)),"CUIT NO CARGADO")</f>
        <v>0</v>
      </c>
    </row>
    <row r="53" spans="2:18" ht="14.45" customHeight="1">
      <c r="B53" s="40" t="s">
        <v>2164</v>
      </c>
      <c r="C53" s="41">
        <v>1</v>
      </c>
      <c r="D53" s="42">
        <v>9</v>
      </c>
      <c r="E53" s="43">
        <v>762</v>
      </c>
      <c r="F53" s="44">
        <v>20134664518</v>
      </c>
      <c r="G53" s="45" t="str">
        <f>IFERROR(IF(compras_mes4[[#This Row],[CUIT]]="","-",VLOOKUP(compras_mes4[[#This Row],[CUIT]],Lista_CUIT[#All],2,0)),"CUIT NO CARGADO")</f>
        <v>HOKAMA SERGIO ENRIQUE</v>
      </c>
      <c r="H53" s="46">
        <v>16794.21</v>
      </c>
      <c r="I53" s="85">
        <f>IF(compras_mes4[[#This Row],[NETO GRAVADO]]="","",compras_mes4[[#This Row],[NETO GRAVADO]]*0.21)</f>
        <v>3526.7840999999999</v>
      </c>
      <c r="J53" s="85"/>
      <c r="K53" s="85"/>
      <c r="L53" s="85"/>
      <c r="M53" s="85"/>
      <c r="N53" s="85"/>
      <c r="O53" s="85"/>
      <c r="P53" s="48">
        <f>SUM(compras_mes4[[#This Row],[NETO GRAVADO]:[Otros / No Grav.]])</f>
        <v>20320.9941</v>
      </c>
      <c r="Q53" s="45" t="str">
        <f>IFERROR(IF(compras_mes4[[#This Row],[CUIT]]="","-",VLOOKUP(compras_mes4[[#This Row],[CUIT]],Lista_CUIT[#All],3,0)),"CUIT NO CARGADO")</f>
        <v>Gastos Varios</v>
      </c>
      <c r="R53" s="49" t="str">
        <f>IFERROR(IF(compras_mes4[[#This Row],[CUIT]]="","-",VLOOKUP(compras_mes4[[#This Row],[CUIT]],Lista_CUIT[#All],4,0)),"CUIT NO CARGADO")</f>
        <v>BUENOS AIRES</v>
      </c>
    </row>
    <row r="54" spans="2:18" ht="14.45" customHeight="1">
      <c r="B54" s="40" t="s">
        <v>2143</v>
      </c>
      <c r="C54" s="41">
        <v>1</v>
      </c>
      <c r="D54" s="42">
        <v>2</v>
      </c>
      <c r="E54" s="43">
        <v>149</v>
      </c>
      <c r="F54" s="44">
        <v>30717924548</v>
      </c>
      <c r="G54" s="45" t="str">
        <f>IFERROR(IF(compras_mes4[[#This Row],[CUIT]]="","-",VLOOKUP(compras_mes4[[#This Row],[CUIT]],Lista_CUIT[#All],2,0)),"CUIT NO CARGADO")</f>
        <v>GRUPO LEDUFT SA</v>
      </c>
      <c r="H54" s="46">
        <v>44793.39</v>
      </c>
      <c r="I54" s="85">
        <f>IF(compras_mes4[[#This Row],[NETO GRAVADO]]="","",compras_mes4[[#This Row],[NETO GRAVADO]]*0.21)</f>
        <v>9406.6118999999999</v>
      </c>
      <c r="J54" s="85"/>
      <c r="K54" s="85"/>
      <c r="L54" s="85"/>
      <c r="M54" s="85"/>
      <c r="N54" s="85"/>
      <c r="O54" s="85"/>
      <c r="P54" s="48">
        <f>SUM(compras_mes4[[#This Row],[NETO GRAVADO]:[Otros / No Grav.]])</f>
        <v>54200.001900000003</v>
      </c>
      <c r="Q54" s="45" t="str">
        <f>IFERROR(IF(compras_mes4[[#This Row],[CUIT]]="","-",VLOOKUP(compras_mes4[[#This Row],[CUIT]],Lista_CUIT[#All],3,0)),"CUIT NO CARGADO")</f>
        <v>Gastos Varios</v>
      </c>
      <c r="R54" s="49">
        <f>IFERROR(IF(compras_mes4[[#This Row],[CUIT]]="","-",VLOOKUP(compras_mes4[[#This Row],[CUIT]],Lista_CUIT[#All],4,0)),"CUIT NO CARGADO")</f>
        <v>0</v>
      </c>
    </row>
    <row r="55" spans="2:18" ht="14.45" customHeight="1">
      <c r="B55" s="40" t="s">
        <v>2144</v>
      </c>
      <c r="C55" s="41">
        <v>1</v>
      </c>
      <c r="D55" s="42">
        <v>8289</v>
      </c>
      <c r="E55" s="43">
        <v>6287</v>
      </c>
      <c r="F55" s="44">
        <v>30590360763</v>
      </c>
      <c r="G55" s="45" t="str">
        <f>IFERROR(IF(compras_mes4[[#This Row],[CUIT]]="","-",VLOOKUP(compras_mes4[[#This Row],[CUIT]],Lista_CUIT[#All],2,0)),"CUIT NO CARGADO")</f>
        <v>CENCOSUD S.A</v>
      </c>
      <c r="H55" s="46">
        <v>134545.45000000001</v>
      </c>
      <c r="I55" s="85">
        <f>IF(compras_mes4[[#This Row],[NETO GRAVADO]]="","",compras_mes4[[#This Row],[NETO GRAVADO]]*0.21)</f>
        <v>28254.5445</v>
      </c>
      <c r="J55" s="85"/>
      <c r="K55" s="85"/>
      <c r="L55" s="85">
        <v>4036.36</v>
      </c>
      <c r="M55" s="85"/>
      <c r="N55" s="85">
        <v>8072.73</v>
      </c>
      <c r="O55" s="85"/>
      <c r="P55" s="48">
        <f>SUM(compras_mes4[[#This Row],[NETO GRAVADO]:[Otros / No Grav.]])</f>
        <v>174909.0845</v>
      </c>
      <c r="Q55" s="45" t="str">
        <f>IFERROR(IF(compras_mes4[[#This Row],[CUIT]]="","-",VLOOKUP(compras_mes4[[#This Row],[CUIT]],Lista_CUIT[#All],3,0)),"CUIT NO CARGADO")</f>
        <v>Gastos Varios</v>
      </c>
      <c r="R55" s="49">
        <f>IFERROR(IF(compras_mes4[[#This Row],[CUIT]]="","-",VLOOKUP(compras_mes4[[#This Row],[CUIT]],Lista_CUIT[#All],4,0)),"CUIT NO CARGADO")</f>
        <v>0</v>
      </c>
    </row>
    <row r="56" spans="2:18" ht="14.45" customHeight="1">
      <c r="B56" s="40" t="s">
        <v>2144</v>
      </c>
      <c r="C56" s="41">
        <v>1</v>
      </c>
      <c r="D56" s="42">
        <v>2188</v>
      </c>
      <c r="E56" s="43">
        <v>116632</v>
      </c>
      <c r="F56" s="44">
        <v>30548083156</v>
      </c>
      <c r="G56" s="45" t="str">
        <f>IFERROR(IF(compras_mes4[[#This Row],[CUIT]]="","-",VLOOKUP(compras_mes4[[#This Row],[CUIT]],Lista_CUIT[#All],2,0)),"CUIT NO CARGADO")</f>
        <v>COTO CENTRO INTEGRAL DE COMERCIALIZACION SOCIEDAD ANONIMA</v>
      </c>
      <c r="H56" s="46">
        <v>75464.67</v>
      </c>
      <c r="I56" s="85">
        <v>13380.26</v>
      </c>
      <c r="J56" s="85"/>
      <c r="K56" s="85">
        <v>1233.6600000000001</v>
      </c>
      <c r="L56" s="85"/>
      <c r="M56" s="85"/>
      <c r="N56" s="85"/>
      <c r="O56" s="85">
        <v>5946.83</v>
      </c>
      <c r="P56" s="48">
        <f>SUM(compras_mes4[[#This Row],[NETO GRAVADO]:[Otros / No Grav.]])</f>
        <v>96025.42</v>
      </c>
      <c r="Q56" s="45" t="str">
        <f>IFERROR(IF(compras_mes4[[#This Row],[CUIT]]="","-",VLOOKUP(compras_mes4[[#This Row],[CUIT]],Lista_CUIT[#All],3,0)),"CUIT NO CARGADO")</f>
        <v>Gastos Varios</v>
      </c>
      <c r="R56" s="49">
        <f>IFERROR(IF(compras_mes4[[#This Row],[CUIT]]="","-",VLOOKUP(compras_mes4[[#This Row],[CUIT]],Lista_CUIT[#All],4,0)),"CUIT NO CARGADO")</f>
        <v>0</v>
      </c>
    </row>
    <row r="57" spans="2:18" ht="14.45" customHeight="1">
      <c r="B57" s="40" t="s">
        <v>2145</v>
      </c>
      <c r="C57" s="41">
        <v>1</v>
      </c>
      <c r="D57" s="42">
        <v>1678</v>
      </c>
      <c r="E57" s="43">
        <v>35941</v>
      </c>
      <c r="F57" s="44">
        <v>30589621499</v>
      </c>
      <c r="G57" s="45" t="str">
        <f>IFERROR(IF(compras_mes4[[#This Row],[CUIT]]="","-",VLOOKUP(compras_mes4[[#This Row],[CUIT]],Lista_CUIT[#All],2,0)),"CUIT NO CARGADO")</f>
        <v>MAKRO SA</v>
      </c>
      <c r="H57" s="46">
        <v>44685.52</v>
      </c>
      <c r="I57" s="85">
        <f>IF(compras_mes4[[#This Row],[NETO GRAVADO]]="","",compras_mes4[[#This Row],[NETO GRAVADO]]*0.21)</f>
        <v>9383.9591999999993</v>
      </c>
      <c r="J57" s="85"/>
      <c r="K57" s="85"/>
      <c r="L57" s="85">
        <v>1340.57</v>
      </c>
      <c r="M57" s="85"/>
      <c r="N57" s="85">
        <v>2681.13</v>
      </c>
      <c r="O57" s="85"/>
      <c r="P57" s="48">
        <f>SUM(compras_mes4[[#This Row],[NETO GRAVADO]:[Otros / No Grav.]])</f>
        <v>58091.179199999991</v>
      </c>
      <c r="Q57" s="45" t="str">
        <f>IFERROR(IF(compras_mes4[[#This Row],[CUIT]]="","-",VLOOKUP(compras_mes4[[#This Row],[CUIT]],Lista_CUIT[#All],3,0)),"CUIT NO CARGADO")</f>
        <v>Gastos Varios</v>
      </c>
      <c r="R57" s="49">
        <f>IFERROR(IF(compras_mes4[[#This Row],[CUIT]]="","-",VLOOKUP(compras_mes4[[#This Row],[CUIT]],Lista_CUIT[#All],4,0)),"CUIT NO CARGADO")</f>
        <v>0</v>
      </c>
    </row>
    <row r="58" spans="2:18">
      <c r="B58" s="40" t="s">
        <v>2146</v>
      </c>
      <c r="C58" s="41">
        <v>1</v>
      </c>
      <c r="D58" s="42">
        <v>9</v>
      </c>
      <c r="E58" s="43">
        <v>781</v>
      </c>
      <c r="F58" s="44">
        <v>20134664518</v>
      </c>
      <c r="G58" s="45" t="str">
        <f>IFERROR(IF(compras_mes4[[#This Row],[CUIT]]="","-",VLOOKUP(compras_mes4[[#This Row],[CUIT]],Lista_CUIT[#All],2,0)),"CUIT NO CARGADO")</f>
        <v>HOKAMA SERGIO ENRIQUE</v>
      </c>
      <c r="H58" s="46">
        <v>39465.26</v>
      </c>
      <c r="I58" s="85">
        <f>IF(compras_mes4[[#This Row],[NETO GRAVADO]]="","",compras_mes4[[#This Row],[NETO GRAVADO]]*0.21)</f>
        <v>8287.7046000000009</v>
      </c>
      <c r="J58" s="85"/>
      <c r="K58" s="85"/>
      <c r="L58" s="85"/>
      <c r="M58" s="85"/>
      <c r="N58" s="85"/>
      <c r="O58" s="85"/>
      <c r="P58" s="48">
        <f>SUM(compras_mes4[[#This Row],[NETO GRAVADO]:[Otros / No Grav.]])</f>
        <v>47752.964600000007</v>
      </c>
      <c r="Q58" s="45" t="str">
        <f>IFERROR(IF(compras_mes4[[#This Row],[CUIT]]="","-",VLOOKUP(compras_mes4[[#This Row],[CUIT]],Lista_CUIT[#All],3,0)),"CUIT NO CARGADO")</f>
        <v>Gastos Varios</v>
      </c>
      <c r="R58" s="49" t="str">
        <f>IFERROR(IF(compras_mes4[[#This Row],[CUIT]]="","-",VLOOKUP(compras_mes4[[#This Row],[CUIT]],Lista_CUIT[#All],4,0)),"CUIT NO CARGADO")</f>
        <v>BUENOS AIRES</v>
      </c>
    </row>
    <row r="59" spans="2:18">
      <c r="B59" s="40" t="s">
        <v>2147</v>
      </c>
      <c r="C59" s="41">
        <v>1</v>
      </c>
      <c r="D59" s="42">
        <v>3</v>
      </c>
      <c r="E59" s="43">
        <v>2014</v>
      </c>
      <c r="F59" s="44">
        <v>30715168673</v>
      </c>
      <c r="G59" s="45" t="str">
        <f>IFERROR(IF(compras_mes4[[#This Row],[CUIT]]="","-",VLOOKUP(compras_mes4[[#This Row],[CUIT]],Lista_CUIT[#All],2,0)),"CUIT NO CARGADO")</f>
        <v>BL8 SOLUCIONES</v>
      </c>
      <c r="H59" s="46">
        <v>147933.88</v>
      </c>
      <c r="I59" s="85">
        <f>IF(compras_mes4[[#This Row],[NETO GRAVADO]]="","",compras_mes4[[#This Row],[NETO GRAVADO]]*0.21)</f>
        <v>31066.114799999999</v>
      </c>
      <c r="J59" s="85"/>
      <c r="K59" s="85"/>
      <c r="L59" s="85"/>
      <c r="M59" s="85"/>
      <c r="N59" s="85"/>
      <c r="O59" s="85"/>
      <c r="P59" s="48">
        <f>SUM(compras_mes4[[#This Row],[NETO GRAVADO]:[Otros / No Grav.]])</f>
        <v>178999.99480000001</v>
      </c>
      <c r="Q59" s="45" t="str">
        <f>IFERROR(IF(compras_mes4[[#This Row],[CUIT]]="","-",VLOOKUP(compras_mes4[[#This Row],[CUIT]],Lista_CUIT[#All],3,0)),"CUIT NO CARGADO")</f>
        <v>Gastos Varios</v>
      </c>
      <c r="R59" s="49">
        <f>IFERROR(IF(compras_mes4[[#This Row],[CUIT]]="","-",VLOOKUP(compras_mes4[[#This Row],[CUIT]],Lista_CUIT[#All],4,0)),"CUIT NO CARGADO")</f>
        <v>0</v>
      </c>
    </row>
    <row r="60" spans="2:18" ht="14.45" customHeight="1">
      <c r="B60" s="40" t="s">
        <v>2148</v>
      </c>
      <c r="C60" s="41">
        <v>1</v>
      </c>
      <c r="D60" s="42">
        <v>7</v>
      </c>
      <c r="E60" s="43">
        <v>2592</v>
      </c>
      <c r="F60" s="44">
        <v>20134664518</v>
      </c>
      <c r="G60" s="45" t="str">
        <f>IFERROR(IF(compras_mes4[[#This Row],[CUIT]]="","-",VLOOKUP(compras_mes4[[#This Row],[CUIT]],Lista_CUIT[#All],2,0)),"CUIT NO CARGADO")</f>
        <v>HOKAMA SERGIO ENRIQUE</v>
      </c>
      <c r="H60" s="46">
        <v>30292.74</v>
      </c>
      <c r="I60" s="85">
        <f>IF(compras_mes4[[#This Row],[NETO GRAVADO]]="","",compras_mes4[[#This Row],[NETO GRAVADO]]*0.21)</f>
        <v>6361.4754000000003</v>
      </c>
      <c r="J60" s="85"/>
      <c r="K60" s="85"/>
      <c r="L60" s="85"/>
      <c r="M60" s="85"/>
      <c r="N60" s="85"/>
      <c r="O60" s="85"/>
      <c r="P60" s="48">
        <f>SUM(compras_mes4[[#This Row],[NETO GRAVADO]:[Otros / No Grav.]])</f>
        <v>36654.215400000001</v>
      </c>
      <c r="Q60" s="45" t="str">
        <f>IFERROR(IF(compras_mes4[[#This Row],[CUIT]]="","-",VLOOKUP(compras_mes4[[#This Row],[CUIT]],Lista_CUIT[#All],3,0)),"CUIT NO CARGADO")</f>
        <v>Gastos Varios</v>
      </c>
      <c r="R60" s="49" t="str">
        <f>IFERROR(IF(compras_mes4[[#This Row],[CUIT]]="","-",VLOOKUP(compras_mes4[[#This Row],[CUIT]],Lista_CUIT[#All],4,0)),"CUIT NO CARGADO")</f>
        <v>BUENOS AIRES</v>
      </c>
    </row>
    <row r="61" spans="2:18" ht="14.45" customHeight="1">
      <c r="B61" s="40" t="s">
        <v>2148</v>
      </c>
      <c r="C61" s="41">
        <v>1</v>
      </c>
      <c r="D61" s="42">
        <v>5</v>
      </c>
      <c r="E61" s="43">
        <v>49069</v>
      </c>
      <c r="F61" s="44">
        <v>20316849823</v>
      </c>
      <c r="G61" s="45" t="str">
        <f>IFERROR(IF(compras_mes4[[#This Row],[CUIT]]="","-",VLOOKUP(compras_mes4[[#This Row],[CUIT]],Lista_CUIT[#All],2,0)),"CUIT NO CARGADO")</f>
        <v>SPENA FERNANDO ARIEL</v>
      </c>
      <c r="H61" s="46">
        <v>83402.48</v>
      </c>
      <c r="I61" s="85">
        <f>IF(compras_mes4[[#This Row],[NETO GRAVADO]]="","",compras_mes4[[#This Row],[NETO GRAVADO]]*0.21)</f>
        <v>17514.520799999998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100917.00079999999</v>
      </c>
      <c r="Q61" s="45" t="str">
        <f>IFERROR(IF(compras_mes4[[#This Row],[CUIT]]="","-",VLOOKUP(compras_mes4[[#This Row],[CUIT]],Lista_CUIT[#All],3,0)),"CUIT NO CARGADO")</f>
        <v>Gastos Varios</v>
      </c>
      <c r="R61" s="49">
        <f>IFERROR(IF(compras_mes4[[#This Row],[CUIT]]="","-",VLOOKUP(compras_mes4[[#This Row],[CUIT]],Lista_CUIT[#All],4,0)),"CUIT NO CARGADO")</f>
        <v>0</v>
      </c>
    </row>
    <row r="62" spans="2:18" ht="15" customHeight="1">
      <c r="B62" s="40" t="s">
        <v>2158</v>
      </c>
      <c r="C62" s="41">
        <v>1</v>
      </c>
      <c r="D62" s="42">
        <v>5</v>
      </c>
      <c r="E62" s="43">
        <v>1149</v>
      </c>
      <c r="F62" s="44">
        <v>23224326459</v>
      </c>
      <c r="G62" s="45" t="str">
        <f>IFERROR(IF(compras_mes4[[#This Row],[CUIT]]="","-",VLOOKUP(compras_mes4[[#This Row],[CUIT]],Lista_CUIT[#All],2,0)),"CUIT NO CARGADO")</f>
        <v>RODRIGUEZ ALBERTO DANIEL</v>
      </c>
      <c r="H62" s="46">
        <v>51370.45</v>
      </c>
      <c r="I62" s="85">
        <f>IF(compras_mes4[[#This Row],[NETO GRAVADO]]="","",compras_mes4[[#This Row],[NETO GRAVADO]]*0.21)</f>
        <v>10787.794499999998</v>
      </c>
      <c r="J62" s="85"/>
      <c r="K62" s="85"/>
      <c r="L62" s="85"/>
      <c r="M62" s="85"/>
      <c r="N62" s="85"/>
      <c r="O62" s="85"/>
      <c r="P62" s="48">
        <f>SUM(compras_mes4[[#This Row],[NETO GRAVADO]:[Otros / No Grav.]])</f>
        <v>62158.244499999993</v>
      </c>
      <c r="Q62" s="45" t="str">
        <f>IFERROR(IF(compras_mes4[[#This Row],[CUIT]]="","-",VLOOKUP(compras_mes4[[#This Row],[CUIT]],Lista_CUIT[#All],3,0)),"CUIT NO CARGADO")</f>
        <v>Gastos Varios</v>
      </c>
      <c r="R62" s="49">
        <f>IFERROR(IF(compras_mes4[[#This Row],[CUIT]]="","-",VLOOKUP(compras_mes4[[#This Row],[CUIT]],Lista_CUIT[#All],4,0)),"CUIT NO CARGADO")</f>
        <v>0</v>
      </c>
    </row>
    <row r="63" spans="2:18" ht="15" customHeight="1">
      <c r="B63" s="40" t="s">
        <v>2158</v>
      </c>
      <c r="C63" s="41">
        <v>1</v>
      </c>
      <c r="D63" s="42">
        <v>2188</v>
      </c>
      <c r="E63" s="43">
        <v>117263</v>
      </c>
      <c r="F63" s="44">
        <v>30548083156</v>
      </c>
      <c r="G63" s="45" t="str">
        <f>IFERROR(IF(compras_mes4[[#This Row],[CUIT]]="","-",VLOOKUP(compras_mes4[[#This Row],[CUIT]],Lista_CUIT[#All],2,0)),"CUIT NO CARGADO")</f>
        <v>COTO CENTRO INTEGRAL DE COMERCIALIZACION SOCIEDAD ANONIMA</v>
      </c>
      <c r="H63" s="46">
        <v>59355.76</v>
      </c>
      <c r="I63" s="85">
        <v>8483.4500000000007</v>
      </c>
      <c r="J63" s="85"/>
      <c r="K63" s="85">
        <v>1990.63</v>
      </c>
      <c r="L63" s="85"/>
      <c r="M63" s="85"/>
      <c r="N63" s="85"/>
      <c r="O63" s="85">
        <v>4599.45</v>
      </c>
      <c r="P63" s="48">
        <f>SUM(compras_mes4[[#This Row],[NETO GRAVADO]:[Otros / No Grav.]])</f>
        <v>74429.290000000008</v>
      </c>
      <c r="Q63" s="45" t="str">
        <f>IFERROR(IF(compras_mes4[[#This Row],[CUIT]]="","-",VLOOKUP(compras_mes4[[#This Row],[CUIT]],Lista_CUIT[#All],3,0)),"CUIT NO CARGADO")</f>
        <v>Gastos Varios</v>
      </c>
      <c r="R63" s="49">
        <f>IFERROR(IF(compras_mes4[[#This Row],[CUIT]]="","-",VLOOKUP(compras_mes4[[#This Row],[CUIT]],Lista_CUIT[#All],4,0)),"CUIT NO CARGADO")</f>
        <v>0</v>
      </c>
    </row>
    <row r="64" spans="2:18" ht="15" customHeight="1">
      <c r="B64" s="40" t="s">
        <v>2159</v>
      </c>
      <c r="C64" s="41">
        <v>1</v>
      </c>
      <c r="D64" s="42">
        <v>1001</v>
      </c>
      <c r="E64" s="43">
        <v>4573</v>
      </c>
      <c r="F64" s="44">
        <v>30712289046</v>
      </c>
      <c r="G64" s="45" t="str">
        <f>IFERROR(IF(compras_mes4[[#This Row],[CUIT]]="","-",VLOOKUP(compras_mes4[[#This Row],[CUIT]],Lista_CUIT[#All],2,0)),"CUIT NO CARGADO")</f>
        <v>IMPIERI PIÑEIRO RIZZO Y ASOC SA</v>
      </c>
      <c r="H64" s="46">
        <v>6443.45</v>
      </c>
      <c r="I64" s="85">
        <f>IF(compras_mes4[[#This Row],[NETO GRAVADO]]="","",compras_mes4[[#This Row],[NETO GRAVADO]]*0.21)</f>
        <v>1353.1244999999999</v>
      </c>
      <c r="J64" s="85"/>
      <c r="K64" s="85"/>
      <c r="L64" s="85"/>
      <c r="M64" s="85"/>
      <c r="N64" s="85"/>
      <c r="O64" s="85">
        <v>1204.44</v>
      </c>
      <c r="P64" s="48">
        <f>SUM(compras_mes4[[#This Row],[NETO GRAVADO]:[Otros / No Grav.]])</f>
        <v>9001.0144999999993</v>
      </c>
      <c r="Q64" s="45" t="str">
        <f>IFERROR(IF(compras_mes4[[#This Row],[CUIT]]="","-",VLOOKUP(compras_mes4[[#This Row],[CUIT]],Lista_CUIT[#All],3,0)),"CUIT NO CARGADO")</f>
        <v>Gastos Varios</v>
      </c>
      <c r="R64" s="49">
        <f>IFERROR(IF(compras_mes4[[#This Row],[CUIT]]="","-",VLOOKUP(compras_mes4[[#This Row],[CUIT]],Lista_CUIT[#All],4,0)),"CUIT NO CARGADO")</f>
        <v>0</v>
      </c>
    </row>
    <row r="65" spans="2:18" ht="15" customHeight="1">
      <c r="B65" s="40" t="s">
        <v>2159</v>
      </c>
      <c r="C65" s="41">
        <v>1</v>
      </c>
      <c r="D65" s="42">
        <v>8263</v>
      </c>
      <c r="E65" s="43">
        <v>9908</v>
      </c>
      <c r="F65" s="44">
        <v>30590360763</v>
      </c>
      <c r="G65" s="45" t="str">
        <f>IFERROR(IF(compras_mes4[[#This Row],[CUIT]]="","-",VLOOKUP(compras_mes4[[#This Row],[CUIT]],Lista_CUIT[#All],2,0)),"CUIT NO CARGADO")</f>
        <v>CENCOSUD S.A</v>
      </c>
      <c r="H65" s="46">
        <v>106165.29</v>
      </c>
      <c r="I65" s="85">
        <f>IF(compras_mes4[[#This Row],[NETO GRAVADO]]="","",compras_mes4[[#This Row],[NETO GRAVADO]]*0.21)</f>
        <v>22294.710899999998</v>
      </c>
      <c r="J65" s="85"/>
      <c r="K65" s="85"/>
      <c r="L65" s="85">
        <v>3184.96</v>
      </c>
      <c r="M65" s="85"/>
      <c r="N65" s="85">
        <v>6369.92</v>
      </c>
      <c r="O65" s="85"/>
      <c r="P65" s="48">
        <f>SUM(compras_mes4[[#This Row],[NETO GRAVADO]:[Otros / No Grav.]])</f>
        <v>138014.88089999999</v>
      </c>
      <c r="Q65" s="45" t="str">
        <f>IFERROR(IF(compras_mes4[[#This Row],[CUIT]]="","-",VLOOKUP(compras_mes4[[#This Row],[CUIT]],Lista_CUIT[#All],3,0)),"CUIT NO CARGADO")</f>
        <v>Gastos Varios</v>
      </c>
      <c r="R65" s="49">
        <f>IFERROR(IF(compras_mes4[[#This Row],[CUIT]]="","-",VLOOKUP(compras_mes4[[#This Row],[CUIT]],Lista_CUIT[#All],4,0)),"CUIT NO CARGADO")</f>
        <v>0</v>
      </c>
    </row>
    <row r="66" spans="2:18" ht="15" customHeight="1">
      <c r="B66" s="40" t="s">
        <v>2159</v>
      </c>
      <c r="C66" s="41">
        <v>1</v>
      </c>
      <c r="D66" s="42">
        <v>8263</v>
      </c>
      <c r="E66" s="43">
        <v>9909</v>
      </c>
      <c r="F66" s="44">
        <v>30590360763</v>
      </c>
      <c r="G66" s="45" t="str">
        <f>IFERROR(IF(compras_mes4[[#This Row],[CUIT]]="","-",VLOOKUP(compras_mes4[[#This Row],[CUIT]],Lista_CUIT[#All],2,0)),"CUIT NO CARGADO")</f>
        <v>CENCOSUD S.A</v>
      </c>
      <c r="H66" s="46">
        <v>71735.539999999994</v>
      </c>
      <c r="I66" s="85">
        <f>IF(compras_mes4[[#This Row],[NETO GRAVADO]]="","",compras_mes4[[#This Row],[NETO GRAVADO]]*0.21)</f>
        <v>15064.463399999999</v>
      </c>
      <c r="J66" s="85"/>
      <c r="K66" s="85"/>
      <c r="L66" s="85">
        <v>2152.0700000000002</v>
      </c>
      <c r="M66" s="85"/>
      <c r="N66" s="85">
        <v>4304.13</v>
      </c>
      <c r="O66" s="85"/>
      <c r="P66" s="48">
        <f>SUM(compras_mes4[[#This Row],[NETO GRAVADO]:[Otros / No Grav.]])</f>
        <v>93256.203399999999</v>
      </c>
      <c r="Q66" s="45" t="str">
        <f>IFERROR(IF(compras_mes4[[#This Row],[CUIT]]="","-",VLOOKUP(compras_mes4[[#This Row],[CUIT]],Lista_CUIT[#All],3,0)),"CUIT NO CARGADO")</f>
        <v>Gastos Varios</v>
      </c>
      <c r="R66" s="49">
        <f>IFERROR(IF(compras_mes4[[#This Row],[CUIT]]="","-",VLOOKUP(compras_mes4[[#This Row],[CUIT]],Lista_CUIT[#All],4,0)),"CUIT NO CARGADO")</f>
        <v>0</v>
      </c>
    </row>
    <row r="67" spans="2:18">
      <c r="B67" s="40" t="s">
        <v>2159</v>
      </c>
      <c r="C67" s="41">
        <v>1</v>
      </c>
      <c r="D67" s="42">
        <v>8263</v>
      </c>
      <c r="E67" s="43">
        <v>9910</v>
      </c>
      <c r="F67" s="44">
        <v>30590360763</v>
      </c>
      <c r="G67" s="45" t="str">
        <f>IFERROR(IF(compras_mes4[[#This Row],[CUIT]]="","-",VLOOKUP(compras_mes4[[#This Row],[CUIT]],Lista_CUIT[#All],2,0)),"CUIT NO CARGADO")</f>
        <v>CENCOSUD S.A</v>
      </c>
      <c r="H67" s="46">
        <v>18504.13</v>
      </c>
      <c r="I67" s="85">
        <f>IF(compras_mes4[[#This Row],[NETO GRAVADO]]="","",compras_mes4[[#This Row],[NETO GRAVADO]]*0.21)</f>
        <v>3885.8672999999999</v>
      </c>
      <c r="J67" s="85"/>
      <c r="K67" s="85"/>
      <c r="L67" s="85">
        <v>555.12</v>
      </c>
      <c r="M67" s="85"/>
      <c r="N67" s="85">
        <v>1110.25</v>
      </c>
      <c r="O67" s="85"/>
      <c r="P67" s="48">
        <f>SUM(compras_mes4[[#This Row],[NETO GRAVADO]:[Otros / No Grav.]])</f>
        <v>24055.367300000002</v>
      </c>
      <c r="Q67" s="45" t="str">
        <f>IFERROR(IF(compras_mes4[[#This Row],[CUIT]]="","-",VLOOKUP(compras_mes4[[#This Row],[CUIT]],Lista_CUIT[#All],3,0)),"CUIT NO CARGADO")</f>
        <v>Gastos Varios</v>
      </c>
      <c r="R67" s="49">
        <f>IFERROR(IF(compras_mes4[[#This Row],[CUIT]]="","-",VLOOKUP(compras_mes4[[#This Row],[CUIT]],Lista_CUIT[#All],4,0)),"CUIT NO CARGADO")</f>
        <v>0</v>
      </c>
    </row>
    <row r="68" spans="2:18">
      <c r="B68" s="40" t="s">
        <v>2159</v>
      </c>
      <c r="C68" s="41">
        <v>1</v>
      </c>
      <c r="D68" s="42">
        <v>2084</v>
      </c>
      <c r="E68" s="43">
        <v>21704</v>
      </c>
      <c r="F68" s="44">
        <v>30548083156</v>
      </c>
      <c r="G68" s="45" t="str">
        <f>IFERROR(IF(compras_mes4[[#This Row],[CUIT]]="","-",VLOOKUP(compras_mes4[[#This Row],[CUIT]],Lista_CUIT[#All],2,0)),"CUIT NO CARGADO")</f>
        <v>COTO CENTRO INTEGRAL DE COMERCIALIZACION SOCIEDAD ANONIMA</v>
      </c>
      <c r="H68" s="46">
        <v>22631.61</v>
      </c>
      <c r="I68" s="85">
        <f>IF(compras_mes4[[#This Row],[NETO GRAVADO]]="","",compras_mes4[[#This Row],[NETO GRAVADO]]*0.21)</f>
        <v>4752.6381000000001</v>
      </c>
      <c r="J68" s="85"/>
      <c r="K68" s="85"/>
      <c r="L68" s="85"/>
      <c r="M68" s="85"/>
      <c r="N68" s="85"/>
      <c r="O68" s="85">
        <v>2036.85</v>
      </c>
      <c r="P68" s="48">
        <f>SUM(compras_mes4[[#This Row],[NETO GRAVADO]:[Otros / No Grav.]])</f>
        <v>29421.098099999999</v>
      </c>
      <c r="Q68" s="45" t="str">
        <f>IFERROR(IF(compras_mes4[[#This Row],[CUIT]]="","-",VLOOKUP(compras_mes4[[#This Row],[CUIT]],Lista_CUIT[#All],3,0)),"CUIT NO CARGADO")</f>
        <v>Gastos Varios</v>
      </c>
      <c r="R68" s="49">
        <f>IFERROR(IF(compras_mes4[[#This Row],[CUIT]]="","-",VLOOKUP(compras_mes4[[#This Row],[CUIT]],Lista_CUIT[#All],4,0)),"CUIT NO CARGADO")</f>
        <v>0</v>
      </c>
    </row>
    <row r="69" spans="2:18">
      <c r="B69" s="40" t="s">
        <v>2166</v>
      </c>
      <c r="C69" s="41">
        <v>1</v>
      </c>
      <c r="D69" s="42">
        <v>8</v>
      </c>
      <c r="E69" s="43">
        <v>1438</v>
      </c>
      <c r="F69" s="44">
        <v>20277381908</v>
      </c>
      <c r="G69" s="45" t="str">
        <f>IFERROR(IF(compras_mes4[[#This Row],[CUIT]]="","-",VLOOKUP(compras_mes4[[#This Row],[CUIT]],Lista_CUIT[#All],2,0)),"CUIT NO CARGADO")</f>
        <v>ALONSO RODRIGO JAVIER</v>
      </c>
      <c r="H69" s="46">
        <v>13355.37</v>
      </c>
      <c r="I69" s="85">
        <f>IF(compras_mes4[[#This Row],[NETO GRAVADO]]="","",compras_mes4[[#This Row],[NETO GRAVADO]]*0.21)</f>
        <v>2804.6277</v>
      </c>
      <c r="J69" s="85"/>
      <c r="K69" s="85"/>
      <c r="L69" s="85"/>
      <c r="M69" s="85"/>
      <c r="N69" s="85"/>
      <c r="O69" s="85"/>
      <c r="P69" s="48">
        <f>SUM(compras_mes4[[#This Row],[NETO GRAVADO]:[Otros / No Grav.]])</f>
        <v>16159.9977</v>
      </c>
      <c r="Q69" s="45" t="str">
        <f>IFERROR(IF(compras_mes4[[#This Row],[CUIT]]="","-",VLOOKUP(compras_mes4[[#This Row],[CUIT]],Lista_CUIT[#All],3,0)),"CUIT NO CARGADO")</f>
        <v>Gastos Varios</v>
      </c>
      <c r="R69" s="49">
        <f>IFERROR(IF(compras_mes4[[#This Row],[CUIT]]="","-",VLOOKUP(compras_mes4[[#This Row],[CUIT]],Lista_CUIT[#All],4,0)),"CUIT NO CARGADO")</f>
        <v>0</v>
      </c>
    </row>
    <row r="70" spans="2:18">
      <c r="B70" s="40" t="s">
        <v>2166</v>
      </c>
      <c r="C70" s="41">
        <v>1</v>
      </c>
      <c r="D70" s="42">
        <v>1677</v>
      </c>
      <c r="E70" s="43">
        <v>41605</v>
      </c>
      <c r="F70" s="44">
        <v>30589621499</v>
      </c>
      <c r="G70" s="45" t="str">
        <f>IFERROR(IF(compras_mes4[[#This Row],[CUIT]]="","-",VLOOKUP(compras_mes4[[#This Row],[CUIT]],Lista_CUIT[#All],2,0)),"CUIT NO CARGADO")</f>
        <v>MAKRO SA</v>
      </c>
      <c r="H70" s="46">
        <v>69238.17</v>
      </c>
      <c r="I70" s="85">
        <v>14218.56</v>
      </c>
      <c r="J70" s="85"/>
      <c r="K70" s="85">
        <v>160.72999999999999</v>
      </c>
      <c r="L70" s="85">
        <v>2054.1799999999998</v>
      </c>
      <c r="M70" s="85"/>
      <c r="N70" s="85">
        <v>4154.29</v>
      </c>
      <c r="O70" s="85"/>
      <c r="P70" s="48">
        <f>SUM(compras_mes4[[#This Row],[NETO GRAVADO]:[Otros / No Grav.]])</f>
        <v>89825.929999999978</v>
      </c>
      <c r="Q70" s="45" t="str">
        <f>IFERROR(IF(compras_mes4[[#This Row],[CUIT]]="","-",VLOOKUP(compras_mes4[[#This Row],[CUIT]],Lista_CUIT[#All],3,0)),"CUIT NO CARGADO")</f>
        <v>Gastos Varios</v>
      </c>
      <c r="R70" s="49">
        <f>IFERROR(IF(compras_mes4[[#This Row],[CUIT]]="","-",VLOOKUP(compras_mes4[[#This Row],[CUIT]],Lista_CUIT[#All],4,0)),"CUIT NO CARGADO")</f>
        <v>0</v>
      </c>
    </row>
    <row r="71" spans="2:18">
      <c r="B71" s="40" t="s">
        <v>2167</v>
      </c>
      <c r="C71" s="41">
        <v>1</v>
      </c>
      <c r="D71" s="42">
        <v>9</v>
      </c>
      <c r="E71" s="43">
        <v>823</v>
      </c>
      <c r="F71" s="44">
        <v>20134664518</v>
      </c>
      <c r="G71" s="45" t="str">
        <f>IFERROR(IF(compras_mes4[[#This Row],[CUIT]]="","-",VLOOKUP(compras_mes4[[#This Row],[CUIT]],Lista_CUIT[#All],2,0)),"CUIT NO CARGADO")</f>
        <v>HOKAMA SERGIO ENRIQUE</v>
      </c>
      <c r="H71" s="46">
        <v>15791.73</v>
      </c>
      <c r="I71" s="85">
        <f>IF(compras_mes4[[#This Row],[NETO GRAVADO]]="","",compras_mes4[[#This Row],[NETO GRAVADO]]*0.21)</f>
        <v>3316.2632999999996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19107.993299999998</v>
      </c>
      <c r="Q71" s="45" t="str">
        <f>IFERROR(IF(compras_mes4[[#This Row],[CUIT]]="","-",VLOOKUP(compras_mes4[[#This Row],[CUIT]],Lista_CUIT[#All],3,0)),"CUIT NO CARGADO")</f>
        <v>Gastos Varios</v>
      </c>
      <c r="R71" s="49" t="str">
        <f>IFERROR(IF(compras_mes4[[#This Row],[CUIT]]="","-",VLOOKUP(compras_mes4[[#This Row],[CUIT]],Lista_CUIT[#All],4,0)),"CUIT NO CARGADO")</f>
        <v>BUENOS AIRES</v>
      </c>
    </row>
    <row r="72" spans="2:18">
      <c r="B72" s="40" t="s">
        <v>2167</v>
      </c>
      <c r="C72" s="41">
        <v>1</v>
      </c>
      <c r="D72" s="42">
        <v>4</v>
      </c>
      <c r="E72" s="43">
        <v>6608</v>
      </c>
      <c r="F72" s="44">
        <v>23224326459</v>
      </c>
      <c r="G72" s="45" t="str">
        <f>IFERROR(IF(compras_mes4[[#This Row],[CUIT]]="","-",VLOOKUP(compras_mes4[[#This Row],[CUIT]],Lista_CUIT[#All],2,0)),"CUIT NO CARGADO")</f>
        <v>RODRIGUEZ ALBERTO DANIEL</v>
      </c>
      <c r="H72" s="46">
        <v>26395.83</v>
      </c>
      <c r="I72" s="85">
        <f>IF(compras_mes4[[#This Row],[NETO GRAVADO]]="","",compras_mes4[[#This Row],[NETO GRAVADO]]*0.21)</f>
        <v>5543.1243000000004</v>
      </c>
      <c r="J72" s="85"/>
      <c r="K72" s="85"/>
      <c r="L72" s="85"/>
      <c r="M72" s="85"/>
      <c r="N72" s="85"/>
      <c r="O72" s="85"/>
      <c r="P72" s="48">
        <f>SUM(compras_mes4[[#This Row],[NETO GRAVADO]:[Otros / No Grav.]])</f>
        <v>31938.954300000001</v>
      </c>
      <c r="Q72" s="45" t="str">
        <f>IFERROR(IF(compras_mes4[[#This Row],[CUIT]]="","-",VLOOKUP(compras_mes4[[#This Row],[CUIT]],Lista_CUIT[#All],3,0)),"CUIT NO CARGADO")</f>
        <v>Gastos Varios</v>
      </c>
      <c r="R72" s="49">
        <f>IFERROR(IF(compras_mes4[[#This Row],[CUIT]]="","-",VLOOKUP(compras_mes4[[#This Row],[CUIT]],Lista_CUIT[#All],4,0)),"CUIT NO CARGADO")</f>
        <v>0</v>
      </c>
    </row>
    <row r="73" spans="2:18">
      <c r="B73" s="40" t="s">
        <v>2167</v>
      </c>
      <c r="C73" s="41">
        <v>1</v>
      </c>
      <c r="D73" s="42">
        <v>2199</v>
      </c>
      <c r="E73" s="43">
        <v>28659</v>
      </c>
      <c r="F73" s="44">
        <v>30548083156</v>
      </c>
      <c r="G73" s="45" t="str">
        <f>IFERROR(IF(compras_mes4[[#This Row],[CUIT]]="","-",VLOOKUP(compras_mes4[[#This Row],[CUIT]],Lista_CUIT[#All],2,0)),"CUIT NO CARGADO")</f>
        <v>COTO CENTRO INTEGRAL DE COMERCIALIZACION SOCIEDAD ANONIMA</v>
      </c>
      <c r="H73" s="46">
        <v>34213.480000000003</v>
      </c>
      <c r="I73" s="85">
        <v>3928.08</v>
      </c>
      <c r="J73" s="85"/>
      <c r="K73" s="85">
        <v>1628.37</v>
      </c>
      <c r="L73" s="85"/>
      <c r="M73" s="85"/>
      <c r="N73" s="85"/>
      <c r="O73" s="85">
        <v>2434.7399999999998</v>
      </c>
      <c r="P73" s="48">
        <f>SUM(compras_mes4[[#This Row],[NETO GRAVADO]:[Otros / No Grav.]])</f>
        <v>42204.670000000006</v>
      </c>
      <c r="Q73" s="45" t="str">
        <f>IFERROR(IF(compras_mes4[[#This Row],[CUIT]]="","-",VLOOKUP(compras_mes4[[#This Row],[CUIT]],Lista_CUIT[#All],3,0)),"CUIT NO CARGADO")</f>
        <v>Gastos Varios</v>
      </c>
      <c r="R73" s="49">
        <f>IFERROR(IF(compras_mes4[[#This Row],[CUIT]]="","-",VLOOKUP(compras_mes4[[#This Row],[CUIT]],Lista_CUIT[#All],4,0)),"CUIT NO CARGADO")</f>
        <v>0</v>
      </c>
    </row>
    <row r="74" spans="2:18">
      <c r="B74" s="40" t="s">
        <v>2167</v>
      </c>
      <c r="C74" s="41">
        <v>1</v>
      </c>
      <c r="D74" s="42">
        <v>5</v>
      </c>
      <c r="E74" s="43">
        <v>49882</v>
      </c>
      <c r="F74" s="44">
        <v>20316849823</v>
      </c>
      <c r="G74" s="45" t="str">
        <f>IFERROR(IF(compras_mes4[[#This Row],[CUIT]]="","-",VLOOKUP(compras_mes4[[#This Row],[CUIT]],Lista_CUIT[#All],2,0)),"CUIT NO CARGADO")</f>
        <v>SPENA FERNANDO ARIEL</v>
      </c>
      <c r="H74" s="46">
        <v>7670.25</v>
      </c>
      <c r="I74" s="85">
        <f>IF(compras_mes4[[#This Row],[NETO GRAVADO]]="","",compras_mes4[[#This Row],[NETO GRAVADO]]*0.21)</f>
        <v>1610.7524999999998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9281.0025000000005</v>
      </c>
      <c r="Q74" s="45" t="str">
        <f>IFERROR(IF(compras_mes4[[#This Row],[CUIT]]="","-",VLOOKUP(compras_mes4[[#This Row],[CUIT]],Lista_CUIT[#All],3,0)),"CUIT NO CARGADO")</f>
        <v>Gastos Varios</v>
      </c>
      <c r="R74" s="49">
        <f>IFERROR(IF(compras_mes4[[#This Row],[CUIT]]="","-",VLOOKUP(compras_mes4[[#This Row],[CUIT]],Lista_CUIT[#All],4,0)),"CUIT NO CARGADO")</f>
        <v>0</v>
      </c>
    </row>
    <row r="75" spans="2:18">
      <c r="B75" s="40" t="s">
        <v>2151</v>
      </c>
      <c r="C75" s="41">
        <v>1</v>
      </c>
      <c r="D75" s="42">
        <v>6</v>
      </c>
      <c r="E75" s="43">
        <v>5097</v>
      </c>
      <c r="F75" s="44">
        <v>30708482680</v>
      </c>
      <c r="G75" s="45" t="str">
        <f>IFERROR(IF(compras_mes4[[#This Row],[CUIT]]="","-",VLOOKUP(compras_mes4[[#This Row],[CUIT]],Lista_CUIT[#All],2,0)),"CUIT NO CARGADO")</f>
        <v>MIL RUEDAS SRL</v>
      </c>
      <c r="H75" s="46">
        <v>3305.8</v>
      </c>
      <c r="I75" s="85">
        <f>IF(compras_mes4[[#This Row],[NETO GRAVADO]]="","",compras_mes4[[#This Row],[NETO GRAVADO]]*0.21)</f>
        <v>694.21799999999996</v>
      </c>
      <c r="J75" s="85"/>
      <c r="K75" s="85"/>
      <c r="L75" s="85"/>
      <c r="M75" s="85"/>
      <c r="N75" s="85"/>
      <c r="O75" s="85"/>
      <c r="P75" s="48">
        <f>SUM(compras_mes4[[#This Row],[NETO GRAVADO]:[Otros / No Grav.]])</f>
        <v>4000.018</v>
      </c>
      <c r="Q75" s="45" t="str">
        <f>IFERROR(IF(compras_mes4[[#This Row],[CUIT]]="","-",VLOOKUP(compras_mes4[[#This Row],[CUIT]],Lista_CUIT[#All],3,0)),"CUIT NO CARGADO")</f>
        <v>Gastos Varios</v>
      </c>
      <c r="R75" s="49">
        <f>IFERROR(IF(compras_mes4[[#This Row],[CUIT]]="","-",VLOOKUP(compras_mes4[[#This Row],[CUIT]],Lista_CUIT[#All],4,0)),"CUIT NO CARGADO")</f>
        <v>0</v>
      </c>
    </row>
    <row r="76" spans="2:18">
      <c r="B76" s="40" t="s">
        <v>2152</v>
      </c>
      <c r="C76" s="41">
        <v>1</v>
      </c>
      <c r="D76" s="42">
        <v>9</v>
      </c>
      <c r="E76" s="43">
        <v>837</v>
      </c>
      <c r="F76" s="44">
        <v>20134664518</v>
      </c>
      <c r="G76" s="45" t="str">
        <f>IFERROR(IF(compras_mes4[[#This Row],[CUIT]]="","-",VLOOKUP(compras_mes4[[#This Row],[CUIT]],Lista_CUIT[#All],2,0)),"CUIT NO CARGADO")</f>
        <v>HOKAMA SERGIO ENRIQUE</v>
      </c>
      <c r="H76" s="46">
        <v>23911.16</v>
      </c>
      <c r="I76" s="85">
        <f>IF(compras_mes4[[#This Row],[NETO GRAVADO]]="","",compras_mes4[[#This Row],[NETO GRAVADO]]*0.21)</f>
        <v>5021.3436000000002</v>
      </c>
      <c r="J76" s="85"/>
      <c r="K76" s="85"/>
      <c r="L76" s="85"/>
      <c r="M76" s="85"/>
      <c r="N76" s="85"/>
      <c r="O76" s="85"/>
      <c r="P76" s="48">
        <f>SUM(compras_mes4[[#This Row],[NETO GRAVADO]:[Otros / No Grav.]])</f>
        <v>28932.5036</v>
      </c>
      <c r="Q76" s="45" t="str">
        <f>IFERROR(IF(compras_mes4[[#This Row],[CUIT]]="","-",VLOOKUP(compras_mes4[[#This Row],[CUIT]],Lista_CUIT[#All],3,0)),"CUIT NO CARGADO")</f>
        <v>Gastos Varios</v>
      </c>
      <c r="R76" s="49" t="str">
        <f>IFERROR(IF(compras_mes4[[#This Row],[CUIT]]="","-",VLOOKUP(compras_mes4[[#This Row],[CUIT]],Lista_CUIT[#All],4,0)),"CUIT NO CARGADO")</f>
        <v>BUENOS AIRES</v>
      </c>
    </row>
    <row r="77" spans="2:18">
      <c r="B77" s="406" t="s">
        <v>2152</v>
      </c>
      <c r="C77" s="41">
        <v>1</v>
      </c>
      <c r="D77" s="407">
        <v>2199</v>
      </c>
      <c r="E77" s="408">
        <v>28760</v>
      </c>
      <c r="F77" s="409">
        <v>30548083156</v>
      </c>
      <c r="G77" s="410" t="str">
        <f>IFERROR(IF(compras_mes4[[#This Row],[CUIT]]="","-",VLOOKUP(compras_mes4[[#This Row],[CUIT]],Lista_CUIT[#All],2,0)),"CUIT NO CARGADO")</f>
        <v>COTO CENTRO INTEGRAL DE COMERCIALIZACION SOCIEDAD ANONIMA</v>
      </c>
      <c r="H77" s="411">
        <v>60861.22</v>
      </c>
      <c r="I77" s="85">
        <v>12579.04</v>
      </c>
      <c r="J77" s="412"/>
      <c r="K77" s="412">
        <v>100.91</v>
      </c>
      <c r="L77" s="412"/>
      <c r="M77" s="412"/>
      <c r="N77" s="412"/>
      <c r="O77" s="412">
        <v>5448.68</v>
      </c>
      <c r="P77" s="413">
        <f>SUM(compras_mes4[[#This Row],[NETO GRAVADO]:[Otros / No Grav.]])</f>
        <v>78989.850000000006</v>
      </c>
      <c r="Q77" s="410" t="str">
        <f>IFERROR(IF(compras_mes4[[#This Row],[CUIT]]="","-",VLOOKUP(compras_mes4[[#This Row],[CUIT]],Lista_CUIT[#All],3,0)),"CUIT NO CARGADO")</f>
        <v>Gastos Varios</v>
      </c>
      <c r="R77" s="414">
        <f>IFERROR(IF(compras_mes4[[#This Row],[CUIT]]="","-",VLOOKUP(compras_mes4[[#This Row],[CUIT]],Lista_CUIT[#All],4,0)),"CUIT NO CARGADO")</f>
        <v>0</v>
      </c>
    </row>
    <row r="78" spans="2:18">
      <c r="B78" s="40" t="s">
        <v>2152</v>
      </c>
      <c r="C78" s="41">
        <v>1</v>
      </c>
      <c r="D78" s="42">
        <v>1677</v>
      </c>
      <c r="E78" s="43">
        <v>41959</v>
      </c>
      <c r="F78" s="44">
        <v>30589621499</v>
      </c>
      <c r="G78" s="45" t="str">
        <f>IFERROR(IF(compras_mes4[[#This Row],[CUIT]]="","-",VLOOKUP(compras_mes4[[#This Row],[CUIT]],Lista_CUIT[#All],2,0)),"CUIT NO CARGADO")</f>
        <v>MAKRO SA</v>
      </c>
      <c r="H78" s="46">
        <v>46426.3</v>
      </c>
      <c r="I78" s="85">
        <f>IF(compras_mes4[[#This Row],[NETO GRAVADO]]="","",compras_mes4[[#This Row],[NETO GRAVADO]]*0.21)</f>
        <v>9749.523000000001</v>
      </c>
      <c r="J78" s="85"/>
      <c r="K78" s="85"/>
      <c r="L78" s="85">
        <v>1392.79</v>
      </c>
      <c r="M78" s="85"/>
      <c r="N78" s="85">
        <v>2785.58</v>
      </c>
      <c r="O78" s="85"/>
      <c r="P78" s="48">
        <f>SUM(compras_mes4[[#This Row],[NETO GRAVADO]:[Otros / No Grav.]])</f>
        <v>60354.193000000007</v>
      </c>
      <c r="Q78" s="45" t="str">
        <f>IFERROR(IF(compras_mes4[[#This Row],[CUIT]]="","-",VLOOKUP(compras_mes4[[#This Row],[CUIT]],Lista_CUIT[#All],3,0)),"CUIT NO CARGADO")</f>
        <v>Gastos Varios</v>
      </c>
      <c r="R78" s="49">
        <f>IFERROR(IF(compras_mes4[[#This Row],[CUIT]]="","-",VLOOKUP(compras_mes4[[#This Row],[CUIT]],Lista_CUIT[#All],4,0)),"CUIT NO CARGADO")</f>
        <v>0</v>
      </c>
    </row>
    <row r="79" spans="2:18">
      <c r="B79" s="40" t="s">
        <v>2152</v>
      </c>
      <c r="C79" s="41">
        <v>1</v>
      </c>
      <c r="D79" s="42">
        <v>2188</v>
      </c>
      <c r="E79" s="43">
        <v>117925</v>
      </c>
      <c r="F79" s="44">
        <v>30548083156</v>
      </c>
      <c r="G79" s="45" t="str">
        <f>IFERROR(IF(compras_mes4[[#This Row],[CUIT]]="","-",VLOOKUP(compras_mes4[[#This Row],[CUIT]],Lista_CUIT[#All],2,0)),"CUIT NO CARGADO")</f>
        <v>COTO CENTRO INTEGRAL DE COMERCIALIZACION SOCIEDAD ANONIMA</v>
      </c>
      <c r="H79" s="46">
        <v>34203.74</v>
      </c>
      <c r="I79" s="85">
        <v>5370.77</v>
      </c>
      <c r="J79" s="85"/>
      <c r="K79" s="85">
        <v>906.01</v>
      </c>
      <c r="L79" s="85"/>
      <c r="M79" s="85"/>
      <c r="N79" s="85"/>
      <c r="O79" s="85">
        <v>2948.9</v>
      </c>
      <c r="P79" s="48">
        <f>SUM(compras_mes4[[#This Row],[NETO GRAVADO]:[Otros / No Grav.]])</f>
        <v>43429.42</v>
      </c>
      <c r="Q79" s="45" t="str">
        <f>IFERROR(IF(compras_mes4[[#This Row],[CUIT]]="","-",VLOOKUP(compras_mes4[[#This Row],[CUIT]],Lista_CUIT[#All],3,0)),"CUIT NO CARGADO")</f>
        <v>Gastos Varios</v>
      </c>
      <c r="R79" s="49">
        <f>IFERROR(IF(compras_mes4[[#This Row],[CUIT]]="","-",VLOOKUP(compras_mes4[[#This Row],[CUIT]],Lista_CUIT[#All],4,0)),"CUIT NO CARGADO")</f>
        <v>0</v>
      </c>
    </row>
    <row r="80" spans="2:18">
      <c r="B80" s="40" t="s">
        <v>2154</v>
      </c>
      <c r="C80" s="41">
        <v>1</v>
      </c>
      <c r="D80" s="42">
        <v>1</v>
      </c>
      <c r="E80" s="43">
        <v>491</v>
      </c>
      <c r="F80" s="44">
        <v>30717640175</v>
      </c>
      <c r="G80" s="45" t="str">
        <f>IFERROR(IF(compras_mes4[[#This Row],[CUIT]]="","-",VLOOKUP(compras_mes4[[#This Row],[CUIT]],Lista_CUIT[#All],2,0)),"CUIT NO CARGADO")</f>
        <v>GRUPO DE REPUESTOS EL MELLIZO</v>
      </c>
      <c r="H80" s="46">
        <v>44524.78</v>
      </c>
      <c r="I80" s="85">
        <f>IF(compras_mes4[[#This Row],[NETO GRAVADO]]="","",compras_mes4[[#This Row],[NETO GRAVADO]]*0.21)</f>
        <v>9350.2037999999993</v>
      </c>
      <c r="J80" s="85"/>
      <c r="K80" s="85"/>
      <c r="L80" s="85"/>
      <c r="M80" s="85"/>
      <c r="N80" s="85"/>
      <c r="O80" s="85"/>
      <c r="P80" s="48">
        <f>SUM(compras_mes4[[#This Row],[NETO GRAVADO]:[Otros / No Grav.]])</f>
        <v>53874.983800000002</v>
      </c>
      <c r="Q80" s="45" t="str">
        <f>IFERROR(IF(compras_mes4[[#This Row],[CUIT]]="","-",VLOOKUP(compras_mes4[[#This Row],[CUIT]],Lista_CUIT[#All],3,0)),"CUIT NO CARGADO")</f>
        <v>Gastos Varios</v>
      </c>
      <c r="R80" s="49">
        <f>IFERROR(IF(compras_mes4[[#This Row],[CUIT]]="","-",VLOOKUP(compras_mes4[[#This Row],[CUIT]],Lista_CUIT[#All],4,0)),"CUIT NO CARGADO")</f>
        <v>0</v>
      </c>
    </row>
    <row r="81" spans="2:18">
      <c r="B81" s="40" t="s">
        <v>2154</v>
      </c>
      <c r="C81" s="41">
        <v>1</v>
      </c>
      <c r="D81" s="42">
        <v>2084</v>
      </c>
      <c r="E81" s="43">
        <v>21866</v>
      </c>
      <c r="F81" s="44">
        <v>30548083156</v>
      </c>
      <c r="G81" s="45" t="str">
        <f>IFERROR(IF(compras_mes4[[#This Row],[CUIT]]="","-",VLOOKUP(compras_mes4[[#This Row],[CUIT]],Lista_CUIT[#All],2,0)),"CUIT NO CARGADO")</f>
        <v>COTO CENTRO INTEGRAL DE COMERCIALIZACION SOCIEDAD ANONIMA</v>
      </c>
      <c r="H81" s="46">
        <v>23235.29</v>
      </c>
      <c r="I81" s="85">
        <v>3167.67</v>
      </c>
      <c r="J81" s="85"/>
      <c r="K81" s="85">
        <v>855.87</v>
      </c>
      <c r="L81" s="85"/>
      <c r="M81" s="85"/>
      <c r="N81" s="85"/>
      <c r="O81" s="85">
        <v>1479.84</v>
      </c>
      <c r="P81" s="48">
        <f>SUM(compras_mes4[[#This Row],[NETO GRAVADO]:[Otros / No Grav.]])</f>
        <v>28738.67</v>
      </c>
      <c r="Q81" s="45" t="str">
        <f>IFERROR(IF(compras_mes4[[#This Row],[CUIT]]="","-",VLOOKUP(compras_mes4[[#This Row],[CUIT]],Lista_CUIT[#All],3,0)),"CUIT NO CARGADO")</f>
        <v>Gastos Varios</v>
      </c>
      <c r="R81" s="49">
        <f>IFERROR(IF(compras_mes4[[#This Row],[CUIT]]="","-",VLOOKUP(compras_mes4[[#This Row],[CUIT]],Lista_CUIT[#All],4,0)),"CUIT NO CARGADO")</f>
        <v>0</v>
      </c>
    </row>
    <row r="82" spans="2:18">
      <c r="B82" s="406" t="s">
        <v>2155</v>
      </c>
      <c r="C82" s="41">
        <v>1</v>
      </c>
      <c r="D82" s="407">
        <v>3</v>
      </c>
      <c r="E82" s="408">
        <v>134</v>
      </c>
      <c r="F82" s="409">
        <v>20922189146</v>
      </c>
      <c r="G82" s="410" t="str">
        <f>IFERROR(IF(compras_mes4[[#This Row],[CUIT]]="","-",VLOOKUP(compras_mes4[[#This Row],[CUIT]],Lista_CUIT[#All],2,0)),"CUIT NO CARGADO")</f>
        <v>DURAN RAMOS LUIS ALBERTO</v>
      </c>
      <c r="H82" s="411">
        <v>59504.14</v>
      </c>
      <c r="I82" s="85">
        <f>IF(compras_mes4[[#This Row],[NETO GRAVADO]]="","",compras_mes4[[#This Row],[NETO GRAVADO]]*0.21)</f>
        <v>12495.8694</v>
      </c>
      <c r="J82" s="412"/>
      <c r="K82" s="412"/>
      <c r="L82" s="412"/>
      <c r="M82" s="412"/>
      <c r="N82" s="412"/>
      <c r="O82" s="412"/>
      <c r="P82" s="413">
        <f>SUM(compras_mes4[[#This Row],[NETO GRAVADO]:[Otros / No Grav.]])</f>
        <v>72000.009399999995</v>
      </c>
      <c r="Q82" s="410" t="str">
        <f>IFERROR(IF(compras_mes4[[#This Row],[CUIT]]="","-",VLOOKUP(compras_mes4[[#This Row],[CUIT]],Lista_CUIT[#All],3,0)),"CUIT NO CARGADO")</f>
        <v>Gastos Varios</v>
      </c>
      <c r="R82" s="414">
        <f>IFERROR(IF(compras_mes4[[#This Row],[CUIT]]="","-",VLOOKUP(compras_mes4[[#This Row],[CUIT]],Lista_CUIT[#All],4,0)),"CUIT NO CARGADO")</f>
        <v>0</v>
      </c>
    </row>
    <row r="83" spans="2:18">
      <c r="B83" s="40" t="s">
        <v>2155</v>
      </c>
      <c r="C83" s="41">
        <v>1</v>
      </c>
      <c r="D83" s="42">
        <v>9</v>
      </c>
      <c r="E83" s="43">
        <v>845</v>
      </c>
      <c r="F83" s="44">
        <v>20134664518</v>
      </c>
      <c r="G83" s="45" t="str">
        <f>IFERROR(IF(compras_mes4[[#This Row],[CUIT]]="","-",VLOOKUP(compras_mes4[[#This Row],[CUIT]],Lista_CUIT[#All],2,0)),"CUIT NO CARGADO")</f>
        <v>HOKAMA SERGIO ENRIQUE</v>
      </c>
      <c r="H83" s="46">
        <v>22486.78</v>
      </c>
      <c r="I83" s="85">
        <f>IF(compras_mes4[[#This Row],[NETO GRAVADO]]="","",compras_mes4[[#This Row],[NETO GRAVADO]]*0.21)</f>
        <v>4722.2237999999998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27209.003799999999</v>
      </c>
      <c r="Q83" s="45" t="str">
        <f>IFERROR(IF(compras_mes4[[#This Row],[CUIT]]="","-",VLOOKUP(compras_mes4[[#This Row],[CUIT]],Lista_CUIT[#All],3,0)),"CUIT NO CARGADO")</f>
        <v>Gastos Varios</v>
      </c>
      <c r="R83" s="49" t="str">
        <f>IFERROR(IF(compras_mes4[[#This Row],[CUIT]]="","-",VLOOKUP(compras_mes4[[#This Row],[CUIT]],Lista_CUIT[#All],4,0)),"CUIT NO CARGADO")</f>
        <v>BUENOS AIRES</v>
      </c>
    </row>
    <row r="84" spans="2:18">
      <c r="B84" s="40" t="s">
        <v>2156</v>
      </c>
      <c r="C84" s="41">
        <v>1</v>
      </c>
      <c r="D84" s="42">
        <v>27</v>
      </c>
      <c r="E84" s="43">
        <v>2371147</v>
      </c>
      <c r="F84" s="44">
        <v>30703088534</v>
      </c>
      <c r="G84" s="45" t="str">
        <f>IFERROR(IF(compras_mes4[[#This Row],[CUIT]]="","-",VLOOKUP(compras_mes4[[#This Row],[CUIT]],Lista_CUIT[#All],2,0)),"CUIT NO CARGADO")</f>
        <v>MERCADO LIBRE SRL</v>
      </c>
      <c r="H84" s="46">
        <v>1089942.71</v>
      </c>
      <c r="I84" s="85">
        <f>IF(compras_mes4[[#This Row],[NETO GRAVADO]]="","",compras_mes4[[#This Row],[NETO GRAVADO]]*0.21)</f>
        <v>228887.96909999999</v>
      </c>
      <c r="J84" s="85"/>
      <c r="K84" s="85"/>
      <c r="L84" s="85"/>
      <c r="M84" s="85"/>
      <c r="N84" s="85"/>
      <c r="O84" s="85">
        <v>108994.37</v>
      </c>
      <c r="P84" s="48">
        <f>SUM(compras_mes4[[#This Row],[NETO GRAVADO]:[Otros / No Grav.]])</f>
        <v>1427825.0490999999</v>
      </c>
      <c r="Q84" s="45" t="str">
        <f>IFERROR(IF(compras_mes4[[#This Row],[CUIT]]="","-",VLOOKUP(compras_mes4[[#This Row],[CUIT]],Lista_CUIT[#All],3,0)),"CUIT NO CARGADO")</f>
        <v>Gastos Varios</v>
      </c>
      <c r="R84" s="49" t="str">
        <f>IFERROR(IF(compras_mes4[[#This Row],[CUIT]]="","-",VLOOKUP(compras_mes4[[#This Row],[CUIT]],Lista_CUIT[#All],4,0)),"CUIT NO CARGADO")</f>
        <v>CABA</v>
      </c>
    </row>
    <row r="85" spans="2:18">
      <c r="B85" s="40" t="s">
        <v>2157</v>
      </c>
      <c r="C85" s="41">
        <v>1</v>
      </c>
      <c r="D85" s="42">
        <v>2084</v>
      </c>
      <c r="E85" s="43">
        <v>21968</v>
      </c>
      <c r="F85" s="44">
        <v>30548083156</v>
      </c>
      <c r="G85" s="45" t="str">
        <f>IFERROR(IF(compras_mes4[[#This Row],[CUIT]]="","-",VLOOKUP(compras_mes4[[#This Row],[CUIT]],Lista_CUIT[#All],2,0)),"CUIT NO CARGADO")</f>
        <v>COTO CENTRO INTEGRAL DE COMERCIALIZACION SOCIEDAD ANONIMA</v>
      </c>
      <c r="H85" s="46">
        <v>15006.85</v>
      </c>
      <c r="I85" s="85">
        <v>1963.5</v>
      </c>
      <c r="J85" s="85"/>
      <c r="K85" s="85">
        <v>593.97</v>
      </c>
      <c r="L85" s="85"/>
      <c r="M85" s="85"/>
      <c r="N85" s="85"/>
      <c r="O85" s="85">
        <v>1265.76</v>
      </c>
      <c r="P85" s="48">
        <f>SUM(compras_mes4[[#This Row],[NETO GRAVADO]:[Otros / No Grav.]])</f>
        <v>18830.079999999998</v>
      </c>
      <c r="Q85" s="45" t="str">
        <f>IFERROR(IF(compras_mes4[[#This Row],[CUIT]]="","-",VLOOKUP(compras_mes4[[#This Row],[CUIT]],Lista_CUIT[#All],3,0)),"CUIT NO CARGADO")</f>
        <v>Gastos Varios</v>
      </c>
      <c r="R85" s="49">
        <f>IFERROR(IF(compras_mes4[[#This Row],[CUIT]]="","-",VLOOKUP(compras_mes4[[#This Row],[CUIT]],Lista_CUIT[#All],4,0)),"CUIT NO CARGADO")</f>
        <v>0</v>
      </c>
    </row>
    <row r="86" spans="2:18">
      <c r="B86" s="40" t="s">
        <v>2157</v>
      </c>
      <c r="C86" s="41">
        <v>1</v>
      </c>
      <c r="D86" s="42">
        <v>2188</v>
      </c>
      <c r="E86" s="43">
        <v>118432</v>
      </c>
      <c r="F86" s="44">
        <v>30548083156</v>
      </c>
      <c r="G86" s="45" t="str">
        <f>IFERROR(IF(compras_mes4[[#This Row],[CUIT]]="","-",VLOOKUP(compras_mes4[[#This Row],[CUIT]],Lista_CUIT[#All],2,0)),"CUIT NO CARGADO")</f>
        <v>COTO CENTRO INTEGRAL DE COMERCIALIZACION SOCIEDAD ANONIMA</v>
      </c>
      <c r="H86" s="46">
        <v>66480.850000000006</v>
      </c>
      <c r="I86" s="85">
        <v>10568.63</v>
      </c>
      <c r="J86" s="85"/>
      <c r="K86" s="85">
        <v>1696.18</v>
      </c>
      <c r="L86" s="85"/>
      <c r="M86" s="85"/>
      <c r="N86" s="85"/>
      <c r="O86" s="85">
        <v>5330.89</v>
      </c>
      <c r="P86" s="48">
        <f>SUM(compras_mes4[[#This Row],[NETO GRAVADO]:[Otros / No Grav.]])</f>
        <v>84076.55</v>
      </c>
      <c r="Q86" s="45" t="str">
        <f>IFERROR(IF(compras_mes4[[#This Row],[CUIT]]="","-",VLOOKUP(compras_mes4[[#This Row],[CUIT]],Lista_CUIT[#All],3,0)),"CUIT NO CARGADO")</f>
        <v>Gastos Varios</v>
      </c>
      <c r="R86" s="49">
        <f>IFERROR(IF(compras_mes4[[#This Row],[CUIT]]="","-",VLOOKUP(compras_mes4[[#This Row],[CUIT]],Lista_CUIT[#All],4,0)),"CUIT NO CARGADO")</f>
        <v>0</v>
      </c>
    </row>
    <row r="87" spans="2:18" hidden="1">
      <c r="B87" s="40" t="s">
        <v>2156</v>
      </c>
      <c r="C87" s="41">
        <v>1</v>
      </c>
      <c r="D87" s="42">
        <v>2</v>
      </c>
      <c r="E87" s="43">
        <v>30805</v>
      </c>
      <c r="F87" s="44">
        <v>30714930490</v>
      </c>
      <c r="G87" s="45" t="str">
        <f>IFERROR(IF(compras_mes4[[#This Row],[CUIT]]="","-",VLOOKUP(compras_mes4[[#This Row],[CUIT]],Lista_CUIT[#All],2,0)),"CUIT NO CARGADO")</f>
        <v>APPLUS SANTA MARIA DEL BUEN AYRE SA</v>
      </c>
      <c r="H87" s="46">
        <v>15787.26</v>
      </c>
      <c r="I87" s="85">
        <f>IF(compras_mes4[[#This Row],[NETO GRAVADO]]="","",compras_mes4[[#This Row],[NETO GRAVADO]]*0.21)</f>
        <v>3315.3245999999999</v>
      </c>
      <c r="J87" s="85"/>
      <c r="K87" s="85"/>
      <c r="L87" s="85"/>
      <c r="M87" s="85"/>
      <c r="N87" s="85"/>
      <c r="O87" s="85"/>
      <c r="P87" s="48">
        <f>SUM(compras_mes4[[#This Row],[NETO GRAVADO]:[Otros / No Grav.]])</f>
        <v>19102.584600000002</v>
      </c>
      <c r="Q87" s="45" t="str">
        <f>IFERROR(IF(compras_mes4[[#This Row],[CUIT]]="","-",VLOOKUP(compras_mes4[[#This Row],[CUIT]],Lista_CUIT[#All],3,0)),"CUIT NO CARGADO")</f>
        <v>Mantenimiento Rodado</v>
      </c>
      <c r="R87" s="49">
        <f>IFERROR(IF(compras_mes4[[#This Row],[CUIT]]="","-",VLOOKUP(compras_mes4[[#This Row],[CUIT]],Lista_CUIT[#All],4,0)),"CUIT NO CARGADO")</f>
        <v>0</v>
      </c>
    </row>
    <row r="88" spans="2:18" hidden="1">
      <c r="B88" s="40" t="s">
        <v>2143</v>
      </c>
      <c r="C88" s="41">
        <v>1</v>
      </c>
      <c r="D88" s="42">
        <v>2</v>
      </c>
      <c r="E88" s="43">
        <v>573</v>
      </c>
      <c r="F88" s="44">
        <v>30717768511</v>
      </c>
      <c r="G88" s="45" t="str">
        <f>IFERROR(IF(compras_mes4[[#This Row],[CUIT]]="","-",VLOOKUP(compras_mes4[[#This Row],[CUIT]],Lista_CUIT[#All],2,0)),"CUIT NO CARGADO")</f>
        <v>DEALER S. CAP I SECC IV</v>
      </c>
      <c r="H88" s="46">
        <v>81760</v>
      </c>
      <c r="I88" s="85">
        <f>IF(compras_mes4[[#This Row],[NETO GRAVADO]]="","",compras_mes4[[#This Row],[NETO GRAVADO]]*0.21)</f>
        <v>17169.599999999999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98929.600000000006</v>
      </c>
      <c r="Q88" s="45" t="str">
        <f>IFERROR(IF(compras_mes4[[#This Row],[CUIT]]="","-",VLOOKUP(compras_mes4[[#This Row],[CUIT]],Lista_CUIT[#All],3,0)),"CUIT NO CARGADO")</f>
        <v>LIBRERÍA</v>
      </c>
      <c r="R88" s="49">
        <f>IFERROR(IF(compras_mes4[[#This Row],[CUIT]]="","-",VLOOKUP(compras_mes4[[#This Row],[CUIT]],Lista_CUIT[#All],4,0)),"CUIT NO CARGADO")</f>
        <v>0</v>
      </c>
    </row>
    <row r="89" spans="2:18" hidden="1">
      <c r="B89" s="40" t="s">
        <v>2147</v>
      </c>
      <c r="C89" s="41">
        <v>1</v>
      </c>
      <c r="D89" s="42">
        <v>26</v>
      </c>
      <c r="E89" s="43">
        <v>14599</v>
      </c>
      <c r="F89" s="44">
        <v>30707838260</v>
      </c>
      <c r="G89" s="45" t="str">
        <f>IFERROR(IF(compras_mes4[[#This Row],[CUIT]]="","-",VLOOKUP(compras_mes4[[#This Row],[CUIT]],Lista_CUIT[#All],2,0)),"CUIT NO CARGADO")</f>
        <v>EL INSUMO S.R.L.</v>
      </c>
      <c r="H89" s="46">
        <v>27661.16</v>
      </c>
      <c r="I89" s="85">
        <f>IF(compras_mes4[[#This Row],[NETO GRAVADO]]="","",compras_mes4[[#This Row],[NETO GRAVADO]]*0.21)</f>
        <v>5808.8436000000002</v>
      </c>
      <c r="J89" s="85"/>
      <c r="K89" s="85"/>
      <c r="L89" s="85"/>
      <c r="M89" s="85"/>
      <c r="N89" s="85">
        <v>1659.67</v>
      </c>
      <c r="O89" s="85"/>
      <c r="P89" s="48">
        <f>SUM(compras_mes4[[#This Row],[NETO GRAVADO]:[Otros / No Grav.]])</f>
        <v>35129.673599999995</v>
      </c>
      <c r="Q89" s="45" t="str">
        <f>IFERROR(IF(compras_mes4[[#This Row],[CUIT]]="","-",VLOOKUP(compras_mes4[[#This Row],[CUIT]],Lista_CUIT[#All],3,0)),"CUIT NO CARGADO")</f>
        <v>LIBRERÍA</v>
      </c>
      <c r="R89" s="49">
        <f>IFERROR(IF(compras_mes4[[#This Row],[CUIT]]="","-",VLOOKUP(compras_mes4[[#This Row],[CUIT]],Lista_CUIT[#All],4,0)),"CUIT NO CARGADO")</f>
        <v>0</v>
      </c>
    </row>
    <row r="90" spans="2:18" hidden="1">
      <c r="B90" s="40" t="s">
        <v>2158</v>
      </c>
      <c r="C90" s="41">
        <v>1</v>
      </c>
      <c r="D90" s="42">
        <v>4</v>
      </c>
      <c r="E90" s="43">
        <v>239</v>
      </c>
      <c r="F90" s="44">
        <v>20138520391</v>
      </c>
      <c r="G90" s="45" t="str">
        <f>IFERROR(IF(compras_mes4[[#This Row],[CUIT]]="","-",VLOOKUP(compras_mes4[[#This Row],[CUIT]],Lista_CUIT[#All],2,0)),"CUIT NO CARGADO")</f>
        <v>GENTILE DARIO HORACIO</v>
      </c>
      <c r="H90" s="46">
        <v>25289.26</v>
      </c>
      <c r="I90" s="85">
        <f>IF(compras_mes4[[#This Row],[NETO GRAVADO]]="","",compras_mes4[[#This Row],[NETO GRAVADO]]*0.21)</f>
        <v>5310.7445999999991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30600.004599999997</v>
      </c>
      <c r="Q90" s="45" t="str">
        <f>IFERROR(IF(compras_mes4[[#This Row],[CUIT]]="","-",VLOOKUP(compras_mes4[[#This Row],[CUIT]],Lista_CUIT[#All],3,0)),"CUIT NO CARGADO")</f>
        <v>LIBRERÍA</v>
      </c>
      <c r="R90" s="49">
        <f>IFERROR(IF(compras_mes4[[#This Row],[CUIT]]="","-",VLOOKUP(compras_mes4[[#This Row],[CUIT]],Lista_CUIT[#All],4,0)),"CUIT NO CARGADO")</f>
        <v>0</v>
      </c>
    </row>
    <row r="91" spans="2:18" hidden="1">
      <c r="B91" s="40" t="s">
        <v>2151</v>
      </c>
      <c r="C91" s="41">
        <v>1</v>
      </c>
      <c r="D91" s="42">
        <v>2</v>
      </c>
      <c r="E91" s="43">
        <v>592</v>
      </c>
      <c r="F91" s="44">
        <v>30717768511</v>
      </c>
      <c r="G91" s="45" t="str">
        <f>IFERROR(IF(compras_mes4[[#This Row],[CUIT]]="","-",VLOOKUP(compras_mes4[[#This Row],[CUIT]],Lista_CUIT[#All],2,0)),"CUIT NO CARGADO")</f>
        <v>DEALER S. CAP I SECC IV</v>
      </c>
      <c r="H91" s="46">
        <v>97280</v>
      </c>
      <c r="I91" s="85">
        <f>IF(compras_mes4[[#This Row],[NETO GRAVADO]]="","",compras_mes4[[#This Row],[NETO GRAVADO]]*0.21)</f>
        <v>20428.8</v>
      </c>
      <c r="J91" s="85"/>
      <c r="K91" s="85"/>
      <c r="L91" s="85"/>
      <c r="M91" s="85"/>
      <c r="N91" s="85"/>
      <c r="O91" s="85"/>
      <c r="P91" s="48">
        <f>SUM(compras_mes4[[#This Row],[NETO GRAVADO]:[Otros / No Grav.]])</f>
        <v>117708.8</v>
      </c>
      <c r="Q91" s="45" t="str">
        <f>IFERROR(IF(compras_mes4[[#This Row],[CUIT]]="","-",VLOOKUP(compras_mes4[[#This Row],[CUIT]],Lista_CUIT[#All],3,0)),"CUIT NO CARGADO")</f>
        <v>LIBRERÍA</v>
      </c>
      <c r="R91" s="49">
        <f>IFERROR(IF(compras_mes4[[#This Row],[CUIT]]="","-",VLOOKUP(compras_mes4[[#This Row],[CUIT]],Lista_CUIT[#All],4,0)),"CUIT NO CARGADO")</f>
        <v>0</v>
      </c>
    </row>
    <row r="92" spans="2:18" hidden="1">
      <c r="B92" s="40" t="s">
        <v>2157</v>
      </c>
      <c r="C92" s="41">
        <v>1</v>
      </c>
      <c r="D92" s="42">
        <v>15</v>
      </c>
      <c r="E92" s="43">
        <v>22828</v>
      </c>
      <c r="F92" s="44">
        <v>30714120405</v>
      </c>
      <c r="G92" s="45" t="str">
        <f>IFERROR(IF(compras_mes4[[#This Row],[CUIT]]="","-",VLOOKUP(compras_mes4[[#This Row],[CUIT]],Lista_CUIT[#All],2,0)),"CUIT NO CARGADO")</f>
        <v>WITPEL S.R.L.</v>
      </c>
      <c r="H92" s="46">
        <v>51363.64</v>
      </c>
      <c r="I92" s="85">
        <f>IF(compras_mes4[[#This Row],[NETO GRAVADO]]="","",compras_mes4[[#This Row],[NETO GRAVADO]]*0.21)</f>
        <v>10786.3644</v>
      </c>
      <c r="J92" s="85"/>
      <c r="K92" s="85"/>
      <c r="L92" s="85"/>
      <c r="M92" s="85"/>
      <c r="N92" s="85"/>
      <c r="O92" s="85"/>
      <c r="P92" s="48">
        <f>SUM(compras_mes4[[#This Row],[NETO GRAVADO]:[Otros / No Grav.]])</f>
        <v>62150.004399999998</v>
      </c>
      <c r="Q92" s="45" t="str">
        <f>IFERROR(IF(compras_mes4[[#This Row],[CUIT]]="","-",VLOOKUP(compras_mes4[[#This Row],[CUIT]],Lista_CUIT[#All],3,0)),"CUIT NO CARGADO")</f>
        <v>LIBRERÍA</v>
      </c>
      <c r="R92" s="49">
        <f>IFERROR(IF(compras_mes4[[#This Row],[CUIT]]="","-",VLOOKUP(compras_mes4[[#This Row],[CUIT]],Lista_CUIT[#All],4,0)),"CUIT NO CARGADO")</f>
        <v>0</v>
      </c>
    </row>
    <row r="93" spans="2:18" hidden="1">
      <c r="B93" s="40" t="s">
        <v>2157</v>
      </c>
      <c r="C93" s="41">
        <v>1</v>
      </c>
      <c r="D93" s="42">
        <v>15</v>
      </c>
      <c r="E93" s="43">
        <v>22829</v>
      </c>
      <c r="F93" s="44">
        <v>30714120405</v>
      </c>
      <c r="G93" s="45" t="str">
        <f>IFERROR(IF(compras_mes4[[#This Row],[CUIT]]="","-",VLOOKUP(compras_mes4[[#This Row],[CUIT]],Lista_CUIT[#All],2,0)),"CUIT NO CARGADO")</f>
        <v>WITPEL S.R.L.</v>
      </c>
      <c r="H93" s="46">
        <v>51363.64</v>
      </c>
      <c r="I93" s="85">
        <f>IF(compras_mes4[[#This Row],[NETO GRAVADO]]="","",compras_mes4[[#This Row],[NETO GRAVADO]]*0.21)</f>
        <v>10786.3644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62150.004399999998</v>
      </c>
      <c r="Q93" s="45" t="str">
        <f>IFERROR(IF(compras_mes4[[#This Row],[CUIT]]="","-",VLOOKUP(compras_mes4[[#This Row],[CUIT]],Lista_CUIT[#All],3,0)),"CUIT NO CARGADO")</f>
        <v>LIBRERÍA</v>
      </c>
      <c r="R93" s="49">
        <f>IFERROR(IF(compras_mes4[[#This Row],[CUIT]]="","-",VLOOKUP(compras_mes4[[#This Row],[CUIT]],Lista_CUIT[#All],4,0)),"CUIT NO CARGADO")</f>
        <v>0</v>
      </c>
    </row>
    <row r="94" spans="2:18" hidden="1">
      <c r="B94" s="40" t="s">
        <v>2157</v>
      </c>
      <c r="C94" s="41">
        <v>1</v>
      </c>
      <c r="D94" s="42">
        <v>15</v>
      </c>
      <c r="E94" s="43">
        <v>22830</v>
      </c>
      <c r="F94" s="44">
        <v>30714120405</v>
      </c>
      <c r="G94" s="45" t="str">
        <f>IFERROR(IF(compras_mes4[[#This Row],[CUIT]]="","-",VLOOKUP(compras_mes4[[#This Row],[CUIT]],Lista_CUIT[#All],2,0)),"CUIT NO CARGADO")</f>
        <v>WITPEL S.R.L.</v>
      </c>
      <c r="H94" s="46">
        <v>51363.64</v>
      </c>
      <c r="I94" s="85">
        <f>IF(compras_mes4[[#This Row],[NETO GRAVADO]]="","",compras_mes4[[#This Row],[NETO GRAVADO]]*0.21)</f>
        <v>10786.3644</v>
      </c>
      <c r="J94" s="85"/>
      <c r="K94" s="85"/>
      <c r="L94" s="85"/>
      <c r="M94" s="85"/>
      <c r="N94" s="85"/>
      <c r="O94" s="85"/>
      <c r="P94" s="48">
        <f>SUM(compras_mes4[[#This Row],[NETO GRAVADO]:[Otros / No Grav.]])</f>
        <v>62150.004399999998</v>
      </c>
      <c r="Q94" s="45" t="str">
        <f>IFERROR(IF(compras_mes4[[#This Row],[CUIT]]="","-",VLOOKUP(compras_mes4[[#This Row],[CUIT]],Lista_CUIT[#All],3,0)),"CUIT NO CARGADO")</f>
        <v>LIBRERÍA</v>
      </c>
      <c r="R94" s="49">
        <f>IFERROR(IF(compras_mes4[[#This Row],[CUIT]]="","-",VLOOKUP(compras_mes4[[#This Row],[CUIT]],Lista_CUIT[#All],4,0)),"CUIT NO CARGADO")</f>
        <v>0</v>
      </c>
    </row>
    <row r="95" spans="2:18" hidden="1">
      <c r="B95" s="40" t="s">
        <v>2158</v>
      </c>
      <c r="C95" s="41">
        <v>1</v>
      </c>
      <c r="D95" s="42">
        <v>1</v>
      </c>
      <c r="E95" s="43">
        <v>88542</v>
      </c>
      <c r="F95" s="44">
        <v>30714867349</v>
      </c>
      <c r="G95" s="45" t="str">
        <f>IFERROR(IF(compras_mes4[[#This Row],[CUIT]]="","-",VLOOKUP(compras_mes4[[#This Row],[CUIT]],Lista_CUIT[#All],2,0)),"CUIT NO CARGADO")</f>
        <v>VTV SUD S.A.</v>
      </c>
      <c r="H95" s="46">
        <v>15787.26</v>
      </c>
      <c r="I95" s="85">
        <f>IF(compras_mes4[[#This Row],[NETO GRAVADO]]="","",compras_mes4[[#This Row],[NETO GRAVADO]]*0.21)</f>
        <v>3315.3245999999999</v>
      </c>
      <c r="J95" s="85"/>
      <c r="K95" s="85"/>
      <c r="L95" s="85"/>
      <c r="M95" s="85"/>
      <c r="N95" s="85"/>
      <c r="O95" s="85"/>
      <c r="P95" s="48">
        <f>SUM(compras_mes4[[#This Row],[NETO GRAVADO]:[Otros / No Grav.]])</f>
        <v>19102.584600000002</v>
      </c>
      <c r="Q95" s="45" t="str">
        <f>IFERROR(IF(compras_mes4[[#This Row],[CUIT]]="","-",VLOOKUP(compras_mes4[[#This Row],[CUIT]],Lista_CUIT[#All],3,0)),"CUIT NO CARGADO")</f>
        <v>Mantenimiento Rodado</v>
      </c>
      <c r="R95" s="49">
        <f>IFERROR(IF(compras_mes4[[#This Row],[CUIT]]="","-",VLOOKUP(compras_mes4[[#This Row],[CUIT]],Lista_CUIT[#All],4,0)),"CUIT NO CARGADO")</f>
        <v>0</v>
      </c>
    </row>
    <row r="96" spans="2:18" hidden="1">
      <c r="B96" s="40" t="s">
        <v>2159</v>
      </c>
      <c r="C96" s="41">
        <v>1</v>
      </c>
      <c r="D96" s="42">
        <v>301</v>
      </c>
      <c r="E96" s="43">
        <v>70279</v>
      </c>
      <c r="F96" s="44">
        <v>30640079378</v>
      </c>
      <c r="G96" s="45" t="str">
        <f>IFERROR(IF(compras_mes4[[#This Row],[CUIT]]="","-",VLOOKUP(compras_mes4[[#This Row],[CUIT]],Lista_CUIT[#All],2,0)),"CUIT NO CARGADO")</f>
        <v>GOMERIAS NEUMEN S A</v>
      </c>
      <c r="H96" s="46">
        <v>186307.44</v>
      </c>
      <c r="I96" s="85">
        <f>IF(compras_mes4[[#This Row],[NETO GRAVADO]]="","",compras_mes4[[#This Row],[NETO GRAVADO]]*0.21)</f>
        <v>39124.562400000003</v>
      </c>
      <c r="J96" s="85"/>
      <c r="K96" s="85"/>
      <c r="L96" s="85"/>
      <c r="M96" s="85"/>
      <c r="N96" s="85"/>
      <c r="O96" s="85">
        <v>11178.45</v>
      </c>
      <c r="P96" s="48">
        <f>SUM(compras_mes4[[#This Row],[NETO GRAVADO]:[Otros / No Grav.]])</f>
        <v>236610.45240000001</v>
      </c>
      <c r="Q96" s="45" t="str">
        <f>IFERROR(IF(compras_mes4[[#This Row],[CUIT]]="","-",VLOOKUP(compras_mes4[[#This Row],[CUIT]],Lista_CUIT[#All],3,0)),"CUIT NO CARGADO")</f>
        <v>Mantenimiento Rodado</v>
      </c>
      <c r="R96" s="49">
        <f>IFERROR(IF(compras_mes4[[#This Row],[CUIT]]="","-",VLOOKUP(compras_mes4[[#This Row],[CUIT]],Lista_CUIT[#All],4,0)),"CUIT NO CARGADO")</f>
        <v>0</v>
      </c>
    </row>
    <row r="97" spans="2:18" hidden="1">
      <c r="B97" s="40" t="s">
        <v>2156</v>
      </c>
      <c r="C97" s="41">
        <v>1</v>
      </c>
      <c r="D97" s="42">
        <v>3</v>
      </c>
      <c r="E97" s="43">
        <v>309696</v>
      </c>
      <c r="F97" s="44">
        <v>30709131865</v>
      </c>
      <c r="G97" s="45" t="str">
        <f>IFERROR(IF(compras_mes4[[#This Row],[CUIT]]="","-",VLOOKUP(compras_mes4[[#This Row],[CUIT]],Lista_CUIT[#All],2,0)),"CUIT NO CARGADO")</f>
        <v>EMPRENDIMIENTOS SATELITALES SA</v>
      </c>
      <c r="H97" s="46">
        <v>1962.69</v>
      </c>
      <c r="I97" s="85">
        <f>IF(compras_mes4[[#This Row],[NETO GRAVADO]]="","",compras_mes4[[#This Row],[NETO GRAVADO]]*0.21)</f>
        <v>412.16489999999999</v>
      </c>
      <c r="J97" s="85"/>
      <c r="K97" s="85"/>
      <c r="L97" s="85"/>
      <c r="M97" s="85"/>
      <c r="N97" s="85"/>
      <c r="O97" s="85"/>
      <c r="P97" s="48">
        <f>SUM(compras_mes4[[#This Row],[NETO GRAVADO]:[Otros / No Grav.]])</f>
        <v>2374.8549000000003</v>
      </c>
      <c r="Q97" s="45" t="str">
        <f>IFERROR(IF(compras_mes4[[#This Row],[CUIT]]="","-",VLOOKUP(compras_mes4[[#This Row],[CUIT]],Lista_CUIT[#All],3,0)),"CUIT NO CARGADO")</f>
        <v>Mantenimiento Rodado</v>
      </c>
      <c r="R97" s="49">
        <f>IFERROR(IF(compras_mes4[[#This Row],[CUIT]]="","-",VLOOKUP(compras_mes4[[#This Row],[CUIT]],Lista_CUIT[#All],4,0)),"CUIT NO CARGADO")</f>
        <v>0</v>
      </c>
    </row>
    <row r="98" spans="2:18" hidden="1">
      <c r="B98" s="40" t="s">
        <v>2150</v>
      </c>
      <c r="C98" s="41">
        <v>1</v>
      </c>
      <c r="D98" s="42">
        <v>3</v>
      </c>
      <c r="E98" s="43">
        <v>2160</v>
      </c>
      <c r="F98" s="44">
        <v>20101797180</v>
      </c>
      <c r="G98" s="45" t="str">
        <f>IFERROR(IF(compras_mes4[[#This Row],[CUIT]]="","-",VLOOKUP(compras_mes4[[#This Row],[CUIT]],Lista_CUIT[#All],2,0)),"CUIT NO CARGADO")</f>
        <v>MORENO MIGUEL ANGEL</v>
      </c>
      <c r="H98" s="46">
        <v>5785.12</v>
      </c>
      <c r="I98" s="85">
        <f>IF(compras_mes4[[#This Row],[NETO GRAVADO]]="","",compras_mes4[[#This Row],[NETO GRAVADO]]*0.21)</f>
        <v>1214.8751999999999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6999.9951999999994</v>
      </c>
      <c r="Q98" s="45" t="str">
        <f>IFERROR(IF(compras_mes4[[#This Row],[CUIT]]="","-",VLOOKUP(compras_mes4[[#This Row],[CUIT]],Lista_CUIT[#All],3,0)),"CUIT NO CARGADO")</f>
        <v>MANTENIMIENTO</v>
      </c>
      <c r="R98" s="49">
        <f>IFERROR(IF(compras_mes4[[#This Row],[CUIT]]="","-",VLOOKUP(compras_mes4[[#This Row],[CUIT]],Lista_CUIT[#All],4,0)),"CUIT NO CARGADO")</f>
        <v>0</v>
      </c>
    </row>
    <row r="99" spans="2:18" hidden="1">
      <c r="B99" s="40" t="s">
        <v>2164</v>
      </c>
      <c r="C99" s="41">
        <v>3</v>
      </c>
      <c r="D99" s="42">
        <v>354</v>
      </c>
      <c r="E99" s="43">
        <v>8288</v>
      </c>
      <c r="F99" s="44">
        <v>30646512952</v>
      </c>
      <c r="G99" s="45" t="str">
        <f>IFERROR(IF(compras_mes4[[#This Row],[CUIT]]="","-",VLOOKUP(compras_mes4[[#This Row],[CUIT]],Lista_CUIT[#All],2,0)),"CUIT NO CARGADO")</f>
        <v xml:space="preserve">PINTURERIA REX </v>
      </c>
      <c r="H99" s="46">
        <v>-2107.41</v>
      </c>
      <c r="I99" s="85">
        <f>IF(compras_mes4[[#This Row],[NETO GRAVADO]]="","",compras_mes4[[#This Row],[NETO GRAVADO]]*0.21)</f>
        <v>-442.55609999999996</v>
      </c>
      <c r="J99" s="85"/>
      <c r="K99" s="85"/>
      <c r="L99" s="85"/>
      <c r="M99" s="85"/>
      <c r="N99" s="85"/>
      <c r="O99" s="85"/>
      <c r="P99" s="48">
        <f>SUM(compras_mes4[[#This Row],[NETO GRAVADO]:[Otros / No Grav.]])</f>
        <v>-2549.9660999999996</v>
      </c>
      <c r="Q99" s="45" t="str">
        <f>IFERROR(IF(compras_mes4[[#This Row],[CUIT]]="","-",VLOOKUP(compras_mes4[[#This Row],[CUIT]],Lista_CUIT[#All],3,0)),"CUIT NO CARGADO")</f>
        <v>Mantenimiento Locales</v>
      </c>
      <c r="R99" s="49">
        <f>IFERROR(IF(compras_mes4[[#This Row],[CUIT]]="","-",VLOOKUP(compras_mes4[[#This Row],[CUIT]],Lista_CUIT[#All],4,0)),"CUIT NO CARGADO")</f>
        <v>0</v>
      </c>
    </row>
    <row r="100" spans="2:18" hidden="1">
      <c r="B100" s="40" t="s">
        <v>2164</v>
      </c>
      <c r="C100" s="41">
        <v>1</v>
      </c>
      <c r="D100" s="42">
        <v>354</v>
      </c>
      <c r="E100" s="43">
        <v>22503</v>
      </c>
      <c r="F100" s="44">
        <v>30646512952</v>
      </c>
      <c r="G100" s="45" t="str">
        <f>IFERROR(IF(compras_mes4[[#This Row],[CUIT]]="","-",VLOOKUP(compras_mes4[[#This Row],[CUIT]],Lista_CUIT[#All],2,0)),"CUIT NO CARGADO")</f>
        <v xml:space="preserve">PINTURERIA REX </v>
      </c>
      <c r="H100" s="46">
        <v>7024.7</v>
      </c>
      <c r="I100" s="85">
        <f>IF(compras_mes4[[#This Row],[NETO GRAVADO]]="","",compras_mes4[[#This Row],[NETO GRAVADO]]*0.21)</f>
        <v>1475.1869999999999</v>
      </c>
      <c r="J100" s="85"/>
      <c r="K100" s="85"/>
      <c r="L100" s="85"/>
      <c r="M100" s="85"/>
      <c r="N100" s="85">
        <v>421.48</v>
      </c>
      <c r="O100" s="85"/>
      <c r="P100" s="48">
        <f>SUM(compras_mes4[[#This Row],[NETO GRAVADO]:[Otros / No Grav.]])</f>
        <v>8921.3669999999984</v>
      </c>
      <c r="Q100" s="45" t="str">
        <f>IFERROR(IF(compras_mes4[[#This Row],[CUIT]]="","-",VLOOKUP(compras_mes4[[#This Row],[CUIT]],Lista_CUIT[#All],3,0)),"CUIT NO CARGADO")</f>
        <v>Mantenimiento Locales</v>
      </c>
      <c r="R100" s="49">
        <f>IFERROR(IF(compras_mes4[[#This Row],[CUIT]]="","-",VLOOKUP(compras_mes4[[#This Row],[CUIT]],Lista_CUIT[#All],4,0)),"CUIT NO CARGADO")</f>
        <v>0</v>
      </c>
    </row>
    <row r="101" spans="2:18" hidden="1">
      <c r="B101" s="40" t="s">
        <v>2145</v>
      </c>
      <c r="C101" s="41">
        <v>1</v>
      </c>
      <c r="D101" s="42">
        <v>32</v>
      </c>
      <c r="E101" s="43">
        <v>2295</v>
      </c>
      <c r="F101" s="44">
        <v>30696106068</v>
      </c>
      <c r="G101" s="45" t="str">
        <f>IFERROR(IF(compras_mes4[[#This Row],[CUIT]]="","-",VLOOKUP(compras_mes4[[#This Row],[CUIT]],Lista_CUIT[#All],2,0)),"CUIT NO CARGADO")</f>
        <v>PINTURERIAS LIBERATO SRL</v>
      </c>
      <c r="H101" s="46">
        <v>3970.57</v>
      </c>
      <c r="I101" s="85">
        <f>IF(compras_mes4[[#This Row],[NETO GRAVADO]]="","",compras_mes4[[#This Row],[NETO GRAVADO]]*0.21)</f>
        <v>833.81970000000001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4804.3896999999997</v>
      </c>
      <c r="Q101" s="45" t="str">
        <f>IFERROR(IF(compras_mes4[[#This Row],[CUIT]]="","-",VLOOKUP(compras_mes4[[#This Row],[CUIT]],Lista_CUIT[#All],3,0)),"CUIT NO CARGADO")</f>
        <v>Mantenimiento Locales</v>
      </c>
      <c r="R101" s="49">
        <f>IFERROR(IF(compras_mes4[[#This Row],[CUIT]]="","-",VLOOKUP(compras_mes4[[#This Row],[CUIT]],Lista_CUIT[#All],4,0)),"CUIT NO CARGADO")</f>
        <v>0</v>
      </c>
    </row>
    <row r="102" spans="2:18" hidden="1">
      <c r="B102" s="40" t="s">
        <v>2155</v>
      </c>
      <c r="C102" s="41">
        <v>1</v>
      </c>
      <c r="D102" s="42">
        <v>12</v>
      </c>
      <c r="E102" s="43">
        <v>6271</v>
      </c>
      <c r="F102" s="44">
        <v>30707528008</v>
      </c>
      <c r="G102" s="45" t="str">
        <f>IFERROR(IF(compras_mes4[[#This Row],[CUIT]]="","-",VLOOKUP(compras_mes4[[#This Row],[CUIT]],Lista_CUIT[#All],2,0)),"CUIT NO CARGADO")</f>
        <v>PINTURERIA NORTE S R L</v>
      </c>
      <c r="H102" s="46">
        <v>11111.77</v>
      </c>
      <c r="I102" s="85">
        <f>IF(compras_mes4[[#This Row],[NETO GRAVADO]]="","",compras_mes4[[#This Row],[NETO GRAVADO]]*0.21)</f>
        <v>2333.4717000000001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13445.2417</v>
      </c>
      <c r="Q102" s="45" t="str">
        <f>IFERROR(IF(compras_mes4[[#This Row],[CUIT]]="","-",VLOOKUP(compras_mes4[[#This Row],[CUIT]],Lista_CUIT[#All],3,0)),"CUIT NO CARGADO")</f>
        <v>Mantenimiento Locales</v>
      </c>
      <c r="R102" s="49">
        <f>IFERROR(IF(compras_mes4[[#This Row],[CUIT]]="","-",VLOOKUP(compras_mes4[[#This Row],[CUIT]],Lista_CUIT[#All],4,0)),"CUIT NO CARGADO")</f>
        <v>0</v>
      </c>
    </row>
    <row r="103" spans="2:18" hidden="1">
      <c r="B103" s="40" t="s">
        <v>2145</v>
      </c>
      <c r="C103" s="41">
        <v>1</v>
      </c>
      <c r="D103" s="42">
        <v>10</v>
      </c>
      <c r="E103" s="43">
        <v>38011</v>
      </c>
      <c r="F103" s="44">
        <v>30528214483</v>
      </c>
      <c r="G103" s="45" t="str">
        <f>IFERROR(IF(compras_mes4[[#This Row],[CUIT]]="","-",VLOOKUP(compras_mes4[[#This Row],[CUIT]],Lista_CUIT[#All],2,0)),"CUIT NO CARGADO")</f>
        <v>D WEINSTOCK S R L</v>
      </c>
      <c r="H103" s="46">
        <v>46101.68</v>
      </c>
      <c r="I103" s="85">
        <f>IF(compras_mes4[[#This Row],[NETO GRAVADO]]="","",compras_mes4[[#This Row],[NETO GRAVADO]]*0.21)</f>
        <v>9681.3528000000006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55783.032800000001</v>
      </c>
      <c r="Q103" s="45" t="str">
        <f>IFERROR(IF(compras_mes4[[#This Row],[CUIT]]="","-",VLOOKUP(compras_mes4[[#This Row],[CUIT]],Lista_CUIT[#All],3,0)),"CUIT NO CARGADO")</f>
        <v>Materia Prima</v>
      </c>
      <c r="R103" s="49">
        <f>IFERROR(IF(compras_mes4[[#This Row],[CUIT]]="","-",VLOOKUP(compras_mes4[[#This Row],[CUIT]],Lista_CUIT[#All],4,0)),"CUIT NO CARGADO")</f>
        <v>0</v>
      </c>
    </row>
    <row r="104" spans="2:18" hidden="1">
      <c r="B104" s="40" t="s">
        <v>2146</v>
      </c>
      <c r="C104" s="41">
        <v>1</v>
      </c>
      <c r="D104" s="42">
        <v>4</v>
      </c>
      <c r="E104" s="43">
        <v>45790</v>
      </c>
      <c r="F104" s="44">
        <v>30709863076</v>
      </c>
      <c r="G104" s="45" t="str">
        <f>IFERROR(IF(compras_mes4[[#This Row],[CUIT]]="","-",VLOOKUP(compras_mes4[[#This Row],[CUIT]],Lista_CUIT[#All],2,0)),"CUIT NO CARGADO")</f>
        <v>INDUSTRIAS PLASTICOS SALTA S.R.L.</v>
      </c>
      <c r="H104" s="46">
        <v>169421.5</v>
      </c>
      <c r="I104" s="85">
        <f>IF(compras_mes4[[#This Row],[NETO GRAVADO]]="","",compras_mes4[[#This Row],[NETO GRAVADO]]*0.21)</f>
        <v>35578.514999999999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205000.01500000001</v>
      </c>
      <c r="Q104" s="45" t="str">
        <f>IFERROR(IF(compras_mes4[[#This Row],[CUIT]]="","-",VLOOKUP(compras_mes4[[#This Row],[CUIT]],Lista_CUIT[#All],3,0)),"CUIT NO CARGADO")</f>
        <v>Materia Prima</v>
      </c>
      <c r="R104" s="49">
        <f>IFERROR(IF(compras_mes4[[#This Row],[CUIT]]="","-",VLOOKUP(compras_mes4[[#This Row],[CUIT]],Lista_CUIT[#All],4,0)),"CUIT NO CARGADO")</f>
        <v>0</v>
      </c>
    </row>
    <row r="105" spans="2:18" hidden="1">
      <c r="B105" s="40" t="s">
        <v>2151</v>
      </c>
      <c r="C105" s="41">
        <v>1</v>
      </c>
      <c r="D105" s="42">
        <v>10</v>
      </c>
      <c r="E105" s="43">
        <v>51088</v>
      </c>
      <c r="F105" s="44">
        <v>30712543120</v>
      </c>
      <c r="G105" s="45" t="str">
        <f>IFERROR(IF(compras_mes4[[#This Row],[CUIT]]="","-",VLOOKUP(compras_mes4[[#This Row],[CUIT]],Lista_CUIT[#All],2,0)),"CUIT NO CARGADO")</f>
        <v>ODINROXS PROFESIONAL S.R.L.</v>
      </c>
      <c r="H105" s="46">
        <v>39049.589999999997</v>
      </c>
      <c r="I105" s="85">
        <f>IF(compras_mes4[[#This Row],[NETO GRAVADO]]="","",compras_mes4[[#This Row],[NETO GRAVADO]]*0.21)</f>
        <v>8200.4138999999996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47250.003899999996</v>
      </c>
      <c r="Q105" s="45" t="str">
        <f>IFERROR(IF(compras_mes4[[#This Row],[CUIT]]="","-",VLOOKUP(compras_mes4[[#This Row],[CUIT]],Lista_CUIT[#All],3,0)),"CUIT NO CARGADO")</f>
        <v>Materia Prima</v>
      </c>
      <c r="R105" s="49">
        <f>IFERROR(IF(compras_mes4[[#This Row],[CUIT]]="","-",VLOOKUP(compras_mes4[[#This Row],[CUIT]],Lista_CUIT[#All],4,0)),"CUIT NO CARGADO")</f>
        <v>0</v>
      </c>
    </row>
    <row r="106" spans="2:18" hidden="1">
      <c r="B106" s="40" t="s">
        <v>2152</v>
      </c>
      <c r="C106" s="41">
        <v>1</v>
      </c>
      <c r="D106" s="42">
        <v>7</v>
      </c>
      <c r="E106" s="43">
        <v>1632</v>
      </c>
      <c r="F106" s="44">
        <v>20936626549</v>
      </c>
      <c r="G106" s="45" t="str">
        <f>IFERROR(IF(compras_mes4[[#This Row],[CUIT]]="","-",VLOOKUP(compras_mes4[[#This Row],[CUIT]],Lista_CUIT[#All],2,0)),"CUIT NO CARGADO")</f>
        <v>TROTTA SALVADOR</v>
      </c>
      <c r="H106" s="46">
        <v>5553.72</v>
      </c>
      <c r="I106" s="85">
        <f>IF(compras_mes4[[#This Row],[NETO GRAVADO]]="","",compras_mes4[[#This Row],[NETO GRAVADO]]*0.21)</f>
        <v>1166.2811999999999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6720.0012000000006</v>
      </c>
      <c r="Q106" s="45" t="str">
        <f>IFERROR(IF(compras_mes4[[#This Row],[CUIT]]="","-",VLOOKUP(compras_mes4[[#This Row],[CUIT]],Lista_CUIT[#All],3,0)),"CUIT NO CARGADO")</f>
        <v>Materia Prima</v>
      </c>
      <c r="R106" s="49">
        <f>IFERROR(IF(compras_mes4[[#This Row],[CUIT]]="","-",VLOOKUP(compras_mes4[[#This Row],[CUIT]],Lista_CUIT[#All],4,0)),"CUIT NO CARGADO")</f>
        <v>0</v>
      </c>
    </row>
    <row r="107" spans="2:18" hidden="1">
      <c r="B107" s="40" t="s">
        <v>2152</v>
      </c>
      <c r="C107" s="41">
        <v>1</v>
      </c>
      <c r="D107" s="42">
        <v>7</v>
      </c>
      <c r="E107" s="43">
        <v>1633</v>
      </c>
      <c r="F107" s="44">
        <v>20936626549</v>
      </c>
      <c r="G107" s="45" t="str">
        <f>IFERROR(IF(compras_mes4[[#This Row],[CUIT]]="","-",VLOOKUP(compras_mes4[[#This Row],[CUIT]],Lista_CUIT[#All],2,0)),"CUIT NO CARGADO")</f>
        <v>TROTTA SALVADOR</v>
      </c>
      <c r="H107" s="46">
        <v>1471.07</v>
      </c>
      <c r="I107" s="85">
        <f>IF(compras_mes4[[#This Row],[NETO GRAVADO]]="","",compras_mes4[[#This Row],[NETO GRAVADO]]*0.21)</f>
        <v>308.92469999999997</v>
      </c>
      <c r="J107" s="85"/>
      <c r="K107" s="85"/>
      <c r="L107" s="85"/>
      <c r="M107" s="85"/>
      <c r="N107" s="85"/>
      <c r="O107" s="85"/>
      <c r="P107" s="48">
        <f>SUM(compras_mes4[[#This Row],[NETO GRAVADO]:[Otros / No Grav.]])</f>
        <v>1779.9947</v>
      </c>
      <c r="Q107" s="45" t="str">
        <f>IFERROR(IF(compras_mes4[[#This Row],[CUIT]]="","-",VLOOKUP(compras_mes4[[#This Row],[CUIT]],Lista_CUIT[#All],3,0)),"CUIT NO CARGADO")</f>
        <v>Materia Prima</v>
      </c>
      <c r="R107" s="49">
        <f>IFERROR(IF(compras_mes4[[#This Row],[CUIT]]="","-",VLOOKUP(compras_mes4[[#This Row],[CUIT]],Lista_CUIT[#All],4,0)),"CUIT NO CARGADO")</f>
        <v>0</v>
      </c>
    </row>
    <row r="108" spans="2:18" hidden="1">
      <c r="B108" s="40" t="s">
        <v>2143</v>
      </c>
      <c r="C108" s="41">
        <v>1</v>
      </c>
      <c r="D108" s="42">
        <v>3</v>
      </c>
      <c r="E108" s="43">
        <v>2653</v>
      </c>
      <c r="F108" s="44">
        <v>30715296000</v>
      </c>
      <c r="G108" s="45" t="str">
        <f>IFERROR(IF(compras_mes4[[#This Row],[CUIT]]="","-",VLOOKUP(compras_mes4[[#This Row],[CUIT]],Lista_CUIT[#All],2,0)),"CUIT NO CARGADO")</f>
        <v>TUTTO CERAMICAS SRL</v>
      </c>
      <c r="H108" s="46">
        <v>19535.21</v>
      </c>
      <c r="I108" s="85">
        <f>IF(compras_mes4[[#This Row],[NETO GRAVADO]]="","",compras_mes4[[#This Row],[NETO GRAVADO]]*0.21)</f>
        <v>4102.3940999999995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23637.604099999997</v>
      </c>
      <c r="Q108" s="45" t="str">
        <f>IFERROR(IF(compras_mes4[[#This Row],[CUIT]]="","-",VLOOKUP(compras_mes4[[#This Row],[CUIT]],Lista_CUIT[#All],3,0)),"CUIT NO CARGADO")</f>
        <v>Material de Empaque</v>
      </c>
      <c r="R108" s="49">
        <f>IFERROR(IF(compras_mes4[[#This Row],[CUIT]]="","-",VLOOKUP(compras_mes4[[#This Row],[CUIT]],Lista_CUIT[#All],4,0)),"CUIT NO CARGADO")</f>
        <v>0</v>
      </c>
    </row>
    <row r="109" spans="2:18" hidden="1">
      <c r="B109" s="40" t="s">
        <v>2150</v>
      </c>
      <c r="C109" s="41">
        <v>1</v>
      </c>
      <c r="D109" s="42">
        <v>4</v>
      </c>
      <c r="E109" s="43">
        <v>42594</v>
      </c>
      <c r="F109" s="44">
        <v>30585948817</v>
      </c>
      <c r="G109" s="45" t="str">
        <f>IFERROR(IF(compras_mes4[[#This Row],[CUIT]]="","-",VLOOKUP(compras_mes4[[#This Row],[CUIT]],Lista_CUIT[#All],2,0)),"CUIT NO CARGADO")</f>
        <v xml:space="preserve">GLASCAR </v>
      </c>
      <c r="H109" s="46">
        <v>6703499.2000000002</v>
      </c>
      <c r="I109" s="85">
        <f>IF(compras_mes4[[#This Row],[NETO GRAVADO]]="","",compras_mes4[[#This Row],[NETO GRAVADO]]*0.21)</f>
        <v>1407734.8319999999</v>
      </c>
      <c r="J109" s="85"/>
      <c r="K109" s="85"/>
      <c r="L109" s="85"/>
      <c r="M109" s="85"/>
      <c r="N109" s="85">
        <v>402209.95</v>
      </c>
      <c r="O109" s="85"/>
      <c r="P109" s="48">
        <f>SUM(compras_mes4[[#This Row],[NETO GRAVADO]:[Otros / No Grav.]])</f>
        <v>8513443.9819999989</v>
      </c>
      <c r="Q109" s="45" t="str">
        <f>IFERROR(IF(compras_mes4[[#This Row],[CUIT]]="","-",VLOOKUP(compras_mes4[[#This Row],[CUIT]],Lista_CUIT[#All],3,0)),"CUIT NO CARGADO")</f>
        <v>Material de Empaque</v>
      </c>
      <c r="R109" s="49">
        <f>IFERROR(IF(compras_mes4[[#This Row],[CUIT]]="","-",VLOOKUP(compras_mes4[[#This Row],[CUIT]],Lista_CUIT[#All],4,0)),"CUIT NO CARGADO")</f>
        <v>0</v>
      </c>
    </row>
    <row r="110" spans="2:18" hidden="1">
      <c r="B110" s="40" t="s">
        <v>2159</v>
      </c>
      <c r="C110" s="41">
        <v>1</v>
      </c>
      <c r="D110" s="42">
        <v>10</v>
      </c>
      <c r="E110" s="43">
        <v>12317</v>
      </c>
      <c r="F110" s="44">
        <v>30708157755</v>
      </c>
      <c r="G110" s="45" t="str">
        <f>IFERROR(IF(compras_mes4[[#This Row],[CUIT]]="","-",VLOOKUP(compras_mes4[[#This Row],[CUIT]],Lista_CUIT[#All],2,0)),"CUIT NO CARGADO")</f>
        <v>EXPOENVASE SRL</v>
      </c>
      <c r="H110" s="46">
        <v>386100</v>
      </c>
      <c r="I110" s="85">
        <f>IF(compras_mes4[[#This Row],[NETO GRAVADO]]="","",compras_mes4[[#This Row],[NETO GRAVADO]]*0.21)</f>
        <v>81081</v>
      </c>
      <c r="J110" s="85"/>
      <c r="K110" s="85"/>
      <c r="L110" s="85"/>
      <c r="M110" s="85"/>
      <c r="N110" s="85"/>
      <c r="O110" s="85"/>
      <c r="P110" s="48">
        <f>SUM(compras_mes4[[#This Row],[NETO GRAVADO]:[Otros / No Grav.]])</f>
        <v>467181</v>
      </c>
      <c r="Q110" s="45" t="str">
        <f>IFERROR(IF(compras_mes4[[#This Row],[CUIT]]="","-",VLOOKUP(compras_mes4[[#This Row],[CUIT]],Lista_CUIT[#All],3,0)),"CUIT NO CARGADO")</f>
        <v>Material de Empaque</v>
      </c>
      <c r="R110" s="49">
        <f>IFERROR(IF(compras_mes4[[#This Row],[CUIT]]="","-",VLOOKUP(compras_mes4[[#This Row],[CUIT]],Lista_CUIT[#All],4,0)),"CUIT NO CARGADO")</f>
        <v>0</v>
      </c>
    </row>
    <row r="111" spans="2:18" hidden="1">
      <c r="B111" s="40" t="s">
        <v>2153</v>
      </c>
      <c r="C111" s="41">
        <v>1</v>
      </c>
      <c r="D111" s="42">
        <v>1</v>
      </c>
      <c r="E111" s="43">
        <v>232</v>
      </c>
      <c r="F111" s="44">
        <v>20077604627</v>
      </c>
      <c r="G111" s="45" t="str">
        <f>IFERROR(IF(compras_mes4[[#This Row],[CUIT]]="","-",VLOOKUP(compras_mes4[[#This Row],[CUIT]],Lista_CUIT[#All],2,0)),"CUIT NO CARGADO")</f>
        <v>OCAÑO ENRIQUE</v>
      </c>
      <c r="H111" s="46">
        <v>2588637.19</v>
      </c>
      <c r="I111" s="85">
        <f>IF(compras_mes4[[#This Row],[NETO GRAVADO]]="","",compras_mes4[[#This Row],[NETO GRAVADO]]*0.21)</f>
        <v>543613.80989999999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3132250.9999000002</v>
      </c>
      <c r="Q111" s="45" t="str">
        <f>IFERROR(IF(compras_mes4[[#This Row],[CUIT]]="","-",VLOOKUP(compras_mes4[[#This Row],[CUIT]],Lista_CUIT[#All],3,0)),"CUIT NO CARGADO")</f>
        <v>Material de Empaque</v>
      </c>
      <c r="R111" s="49">
        <f>IFERROR(IF(compras_mes4[[#This Row],[CUIT]]="","-",VLOOKUP(compras_mes4[[#This Row],[CUIT]],Lista_CUIT[#All],4,0)),"CUIT NO CARGADO")</f>
        <v>0</v>
      </c>
    </row>
    <row r="112" spans="2:18" hidden="1">
      <c r="B112" s="40" t="s">
        <v>2157</v>
      </c>
      <c r="C112" s="41">
        <v>1</v>
      </c>
      <c r="D112" s="42">
        <v>1</v>
      </c>
      <c r="E112" s="43">
        <v>233</v>
      </c>
      <c r="F112" s="44">
        <v>20077604627</v>
      </c>
      <c r="G112" s="45" t="str">
        <f>IFERROR(IF(compras_mes4[[#This Row],[CUIT]]="","-",VLOOKUP(compras_mes4[[#This Row],[CUIT]],Lista_CUIT[#All],2,0)),"CUIT NO CARGADO")</f>
        <v>OCAÑO ENRIQUE</v>
      </c>
      <c r="H112" s="46">
        <v>3804278.38</v>
      </c>
      <c r="I112" s="85">
        <f>IF(compras_mes4[[#This Row],[NETO GRAVADO]]="","",compras_mes4[[#This Row],[NETO GRAVADO]]*0.21)</f>
        <v>798898.45979999995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4603176.8398000002</v>
      </c>
      <c r="Q112" s="45" t="str">
        <f>IFERROR(IF(compras_mes4[[#This Row],[CUIT]]="","-",VLOOKUP(compras_mes4[[#This Row],[CUIT]],Lista_CUIT[#All],3,0)),"CUIT NO CARGADO")</f>
        <v>Material de Empaque</v>
      </c>
      <c r="R112" s="49">
        <f>IFERROR(IF(compras_mes4[[#This Row],[CUIT]]="","-",VLOOKUP(compras_mes4[[#This Row],[CUIT]],Lista_CUIT[#All],4,0)),"CUIT NO CARGADO")</f>
        <v>0</v>
      </c>
    </row>
    <row r="113" spans="2:18" hidden="1">
      <c r="B113" s="40" t="s">
        <v>2139</v>
      </c>
      <c r="C113" s="41">
        <v>1</v>
      </c>
      <c r="D113" s="42">
        <v>629</v>
      </c>
      <c r="E113" s="43">
        <v>5012706</v>
      </c>
      <c r="F113" s="44">
        <v>30663498513</v>
      </c>
      <c r="G113" s="45" t="str">
        <f>IFERROR(IF(compras_mes4[[#This Row],[CUIT]]="","-",VLOOKUP(compras_mes4[[#This Row],[CUIT]],Lista_CUIT[#All],2,0)),"CUIT NO CARGADO")</f>
        <v>GRUPO CONCES. DEL OESTE SA</v>
      </c>
      <c r="H113" s="46">
        <v>10661.03</v>
      </c>
      <c r="I113" s="85">
        <f>IF(compras_mes4[[#This Row],[NETO GRAVADO]]="","",compras_mes4[[#This Row],[NETO GRAVADO]]*0.21)</f>
        <v>2238.8163</v>
      </c>
      <c r="J113" s="85"/>
      <c r="K113" s="85"/>
      <c r="L113" s="85"/>
      <c r="M113" s="85"/>
      <c r="N113" s="85"/>
      <c r="O113" s="85"/>
      <c r="P113" s="87">
        <f>SUM(compras_mes4[[#This Row],[NETO GRAVADO]:[Otros / No Grav.]])</f>
        <v>12899.846300000001</v>
      </c>
      <c r="Q113" s="45" t="str">
        <f>IFERROR(IF(compras_mes4[[#This Row],[CUIT]]="","-",VLOOKUP(compras_mes4[[#This Row],[CUIT]],Lista_CUIT[#All],3,0)),"CUIT NO CARGADO")</f>
        <v>Peajes</v>
      </c>
      <c r="R113" s="49">
        <f>IFERROR(IF(compras_mes4[[#This Row],[CUIT]]="","-",VLOOKUP(compras_mes4[[#This Row],[CUIT]],Lista_CUIT[#All],4,0)),"CUIT NO CARGADO")</f>
        <v>0</v>
      </c>
    </row>
    <row r="114" spans="2:18" hidden="1">
      <c r="B114" s="40" t="s">
        <v>2139</v>
      </c>
      <c r="C114" s="41">
        <v>1</v>
      </c>
      <c r="D114" s="42">
        <v>711</v>
      </c>
      <c r="E114" s="43">
        <v>5524895</v>
      </c>
      <c r="F114" s="44">
        <v>30677237119</v>
      </c>
      <c r="G114" s="45" t="str">
        <f>IFERROR(IF(compras_mes4[[#This Row],[CUIT]]="","-",VLOOKUP(compras_mes4[[#This Row],[CUIT]],Lista_CUIT[#All],2,0)),"CUIT NO CARGADO")</f>
        <v>AUTOPISTAS DEL SOL S A</v>
      </c>
      <c r="H114" s="46">
        <v>6590.83</v>
      </c>
      <c r="I114" s="85">
        <f>IF(compras_mes4[[#This Row],[NETO GRAVADO]]="","",compras_mes4[[#This Row],[NETO GRAVADO]]*0.21)</f>
        <v>1384.0743</v>
      </c>
      <c r="J114" s="85"/>
      <c r="K114" s="85"/>
      <c r="L114" s="85"/>
      <c r="M114" s="85"/>
      <c r="N114" s="85"/>
      <c r="O114" s="85">
        <v>197.72</v>
      </c>
      <c r="P114" s="48">
        <f>SUM(compras_mes4[[#This Row],[NETO GRAVADO]:[Otros / No Grav.]])</f>
        <v>8172.6243000000004</v>
      </c>
      <c r="Q114" s="45" t="str">
        <f>IFERROR(IF(compras_mes4[[#This Row],[CUIT]]="","-",VLOOKUP(compras_mes4[[#This Row],[CUIT]],Lista_CUIT[#All],3,0)),"CUIT NO CARGADO")</f>
        <v>Peajes</v>
      </c>
      <c r="R114" s="49">
        <f>IFERROR(IF(compras_mes4[[#This Row],[CUIT]]="","-",VLOOKUP(compras_mes4[[#This Row],[CUIT]],Lista_CUIT[#All],4,0)),"CUIT NO CARGADO")</f>
        <v>0</v>
      </c>
    </row>
    <row r="115" spans="2:18" hidden="1">
      <c r="B115" s="40" t="s">
        <v>2140</v>
      </c>
      <c r="C115" s="41">
        <v>1</v>
      </c>
      <c r="D115" s="42">
        <v>5015</v>
      </c>
      <c r="E115" s="43">
        <v>598946</v>
      </c>
      <c r="F115" s="44">
        <v>30574876474</v>
      </c>
      <c r="G115" s="45" t="str">
        <f>IFERROR(IF(compras_mes4[[#This Row],[CUIT]]="","-",VLOOKUP(compras_mes4[[#This Row],[CUIT]],Lista_CUIT[#All],2,0)),"CUIT NO CARGADO")</f>
        <v>AUTOPISTAS URBANAS S A</v>
      </c>
      <c r="H115" s="46">
        <v>50228.24</v>
      </c>
      <c r="I115" s="85">
        <f>IF(compras_mes4[[#This Row],[NETO GRAVADO]]="","",compras_mes4[[#This Row],[NETO GRAVADO]]*0.21)</f>
        <v>10547.930399999999</v>
      </c>
      <c r="J115" s="85"/>
      <c r="K115" s="85"/>
      <c r="L115" s="85"/>
      <c r="M115" s="85"/>
      <c r="N115" s="85"/>
      <c r="O115" s="85">
        <v>6529.63</v>
      </c>
      <c r="P115" s="48">
        <f>SUM(compras_mes4[[#This Row],[NETO GRAVADO]:[Otros / No Grav.]])</f>
        <v>67305.800399999993</v>
      </c>
      <c r="Q115" s="45" t="str">
        <f>IFERROR(IF(compras_mes4[[#This Row],[CUIT]]="","-",VLOOKUP(compras_mes4[[#This Row],[CUIT]],Lista_CUIT[#All],3,0)),"CUIT NO CARGADO")</f>
        <v>Peajes</v>
      </c>
      <c r="R115" s="49">
        <f>IFERROR(IF(compras_mes4[[#This Row],[CUIT]]="","-",VLOOKUP(compras_mes4[[#This Row],[CUIT]],Lista_CUIT[#All],4,0)),"CUIT NO CARGADO")</f>
        <v>0</v>
      </c>
    </row>
    <row r="116" spans="2:18" hidden="1">
      <c r="B116" s="40" t="s">
        <v>2143</v>
      </c>
      <c r="C116" s="41">
        <v>1</v>
      </c>
      <c r="D116" s="42">
        <v>700</v>
      </c>
      <c r="E116" s="43">
        <v>1581421</v>
      </c>
      <c r="F116" s="44">
        <v>30715804812</v>
      </c>
      <c r="G116" s="45" t="str">
        <f>IFERROR(IF(compras_mes4[[#This Row],[CUIT]]="","-",VLOOKUP(compras_mes4[[#This Row],[CUIT]],Lista_CUIT[#All],2,0)),"CUIT NO CARGADO")</f>
        <v>CORREDORES VIALES SOCIEDAD ANONIMA</v>
      </c>
      <c r="H116" s="46">
        <v>1239.67</v>
      </c>
      <c r="I116" s="85">
        <f>IF(compras_mes4[[#This Row],[NETO GRAVADO]]="","",compras_mes4[[#This Row],[NETO GRAVADO]]*0.21)</f>
        <v>260.33069999999998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1500.0007000000001</v>
      </c>
      <c r="Q116" s="45" t="str">
        <f>IFERROR(IF(compras_mes4[[#This Row],[CUIT]]="","-",VLOOKUP(compras_mes4[[#This Row],[CUIT]],Lista_CUIT[#All],3,0)),"CUIT NO CARGADO")</f>
        <v>Peajes</v>
      </c>
      <c r="R116" s="49">
        <f>IFERROR(IF(compras_mes4[[#This Row],[CUIT]]="","-",VLOOKUP(compras_mes4[[#This Row],[CUIT]],Lista_CUIT[#All],4,0)),"CUIT NO CARGADO")</f>
        <v>0</v>
      </c>
    </row>
    <row r="117" spans="2:18" hidden="1">
      <c r="B117" s="40" t="s">
        <v>2149</v>
      </c>
      <c r="C117" s="41">
        <v>1</v>
      </c>
      <c r="D117" s="42">
        <v>503</v>
      </c>
      <c r="E117" s="43">
        <v>1276103</v>
      </c>
      <c r="F117" s="44">
        <v>30639935872</v>
      </c>
      <c r="G117" s="45" t="str">
        <f>IFERROR(IF(compras_mes4[[#This Row],[CUIT]]="","-",VLOOKUP(compras_mes4[[#This Row],[CUIT]],Lista_CUIT[#All],2,0)),"CUIT NO CARGADO")</f>
        <v>CAMINOS DEL RIO URUGUAY S A DE CONSTRUCCIONES Y CONCESIONES VIALES</v>
      </c>
      <c r="H117" s="46">
        <v>743.79</v>
      </c>
      <c r="I117" s="85">
        <f>IF(compras_mes4[[#This Row],[NETO GRAVADO]]="","",compras_mes4[[#This Row],[NETO GRAVADO]]*0.21)</f>
        <v>156.19589999999999</v>
      </c>
      <c r="J117" s="85"/>
      <c r="K117" s="85"/>
      <c r="L117" s="85"/>
      <c r="M117" s="85"/>
      <c r="N117" s="85">
        <v>44.63</v>
      </c>
      <c r="O117" s="85"/>
      <c r="P117" s="48">
        <f>SUM(compras_mes4[[#This Row],[NETO GRAVADO]:[Otros / No Grav.]])</f>
        <v>944.6158999999999</v>
      </c>
      <c r="Q117" s="45" t="str">
        <f>IFERROR(IF(compras_mes4[[#This Row],[CUIT]]="","-",VLOOKUP(compras_mes4[[#This Row],[CUIT]],Lista_CUIT[#All],3,0)),"CUIT NO CARGADO")</f>
        <v>Peajes</v>
      </c>
      <c r="R117" s="49">
        <f>IFERROR(IF(compras_mes4[[#This Row],[CUIT]]="","-",VLOOKUP(compras_mes4[[#This Row],[CUIT]],Lista_CUIT[#All],4,0)),"CUIT NO CARGADO")</f>
        <v>0</v>
      </c>
    </row>
    <row r="118" spans="2:18" hidden="1">
      <c r="B118" s="40" t="s">
        <v>2158</v>
      </c>
      <c r="C118" s="41">
        <v>1</v>
      </c>
      <c r="D118" s="42">
        <v>104</v>
      </c>
      <c r="E118" s="43">
        <v>5588877</v>
      </c>
      <c r="F118" s="44">
        <v>30715804812</v>
      </c>
      <c r="G118" s="45" t="str">
        <f>IFERROR(IF(compras_mes4[[#This Row],[CUIT]]="","-",VLOOKUP(compras_mes4[[#This Row],[CUIT]],Lista_CUIT[#All],2,0)),"CUIT NO CARGADO")</f>
        <v>CORREDORES VIALES SOCIEDAD ANONIMA</v>
      </c>
      <c r="H118" s="46">
        <v>247.93</v>
      </c>
      <c r="I118" s="85">
        <f>IF(compras_mes4[[#This Row],[NETO GRAVADO]]="","",compras_mes4[[#This Row],[NETO GRAVADO]]*0.21)</f>
        <v>52.065300000000001</v>
      </c>
      <c r="J118" s="85"/>
      <c r="K118" s="85"/>
      <c r="L118" s="85"/>
      <c r="M118" s="85"/>
      <c r="N118" s="85"/>
      <c r="O118" s="85"/>
      <c r="P118" s="48">
        <f>SUM(compras_mes4[[#This Row],[NETO GRAVADO]:[Otros / No Grav.]])</f>
        <v>299.99529999999999</v>
      </c>
      <c r="Q118" s="45" t="str">
        <f>IFERROR(IF(compras_mes4[[#This Row],[CUIT]]="","-",VLOOKUP(compras_mes4[[#This Row],[CUIT]],Lista_CUIT[#All],3,0)),"CUIT NO CARGADO")</f>
        <v>Peajes</v>
      </c>
      <c r="R118" s="49">
        <f>IFERROR(IF(compras_mes4[[#This Row],[CUIT]]="","-",VLOOKUP(compras_mes4[[#This Row],[CUIT]],Lista_CUIT[#All],4,0)),"CUIT NO CARGADO")</f>
        <v>0</v>
      </c>
    </row>
    <row r="119" spans="2:18" hidden="1">
      <c r="B119" s="40" t="s">
        <v>2150</v>
      </c>
      <c r="C119" s="41">
        <v>1</v>
      </c>
      <c r="D119" s="42">
        <v>5015</v>
      </c>
      <c r="E119" s="43">
        <v>603520</v>
      </c>
      <c r="F119" s="44">
        <v>30574876474</v>
      </c>
      <c r="G119" s="45" t="str">
        <f>IFERROR(IF(compras_mes4[[#This Row],[CUIT]]="","-",VLOOKUP(compras_mes4[[#This Row],[CUIT]],Lista_CUIT[#All],2,0)),"CUIT NO CARGADO")</f>
        <v>AUTOPISTAS URBANAS S A</v>
      </c>
      <c r="H119" s="46">
        <v>87363.5</v>
      </c>
      <c r="I119" s="85">
        <f>IF(compras_mes4[[#This Row],[NETO GRAVADO]]="","",compras_mes4[[#This Row],[NETO GRAVADO]]*0.21)</f>
        <v>18346.334999999999</v>
      </c>
      <c r="J119" s="85"/>
      <c r="K119" s="85"/>
      <c r="L119" s="85"/>
      <c r="M119" s="85"/>
      <c r="N119" s="85"/>
      <c r="O119" s="85">
        <v>11357.2</v>
      </c>
      <c r="P119" s="48">
        <f>SUM(compras_mes4[[#This Row],[NETO GRAVADO]:[Otros / No Grav.]])</f>
        <v>117067.03499999999</v>
      </c>
      <c r="Q119" s="45" t="str">
        <f>IFERROR(IF(compras_mes4[[#This Row],[CUIT]]="","-",VLOOKUP(compras_mes4[[#This Row],[CUIT]],Lista_CUIT[#All],3,0)),"CUIT NO CARGADO")</f>
        <v>Peajes</v>
      </c>
      <c r="R119" s="49">
        <f>IFERROR(IF(compras_mes4[[#This Row],[CUIT]]="","-",VLOOKUP(compras_mes4[[#This Row],[CUIT]],Lista_CUIT[#All],4,0)),"CUIT NO CARGADO")</f>
        <v>0</v>
      </c>
    </row>
    <row r="120" spans="2:18" hidden="1">
      <c r="B120" s="40" t="s">
        <v>2150</v>
      </c>
      <c r="C120" s="41">
        <v>1</v>
      </c>
      <c r="D120" s="42">
        <v>629</v>
      </c>
      <c r="E120" s="43">
        <v>5051610</v>
      </c>
      <c r="F120" s="44">
        <v>30663498513</v>
      </c>
      <c r="G120" s="45" t="str">
        <f>IFERROR(IF(compras_mes4[[#This Row],[CUIT]]="","-",VLOOKUP(compras_mes4[[#This Row],[CUIT]],Lista_CUIT[#All],2,0)),"CUIT NO CARGADO")</f>
        <v>GRUPO CONCES. DEL OESTE SA</v>
      </c>
      <c r="H120" s="46">
        <v>7685.85</v>
      </c>
      <c r="I120" s="85">
        <f>IF(compras_mes4[[#This Row],[NETO GRAVADO]]="","",compras_mes4[[#This Row],[NETO GRAVADO]]*0.21)</f>
        <v>1614.0285000000001</v>
      </c>
      <c r="J120" s="85"/>
      <c r="K120" s="85"/>
      <c r="L120" s="85"/>
      <c r="M120" s="85"/>
      <c r="N120" s="85"/>
      <c r="O120" s="85"/>
      <c r="P120" s="48">
        <f>SUM(compras_mes4[[#This Row],[NETO GRAVADO]:[Otros / No Grav.]])</f>
        <v>9299.8785000000007</v>
      </c>
      <c r="Q120" s="45" t="str">
        <f>IFERROR(IF(compras_mes4[[#This Row],[CUIT]]="","-",VLOOKUP(compras_mes4[[#This Row],[CUIT]],Lista_CUIT[#All],3,0)),"CUIT NO CARGADO")</f>
        <v>Peajes</v>
      </c>
      <c r="R120" s="49">
        <f>IFERROR(IF(compras_mes4[[#This Row],[CUIT]]="","-",VLOOKUP(compras_mes4[[#This Row],[CUIT]],Lista_CUIT[#All],4,0)),"CUIT NO CARGADO")</f>
        <v>0</v>
      </c>
    </row>
    <row r="121" spans="2:18" ht="18" hidden="1" customHeight="1">
      <c r="B121" s="40" t="s">
        <v>2150</v>
      </c>
      <c r="C121" s="41">
        <v>1</v>
      </c>
      <c r="D121" s="42">
        <v>711</v>
      </c>
      <c r="E121" s="43">
        <v>5582526</v>
      </c>
      <c r="F121" s="44">
        <v>30677237119</v>
      </c>
      <c r="G121" s="45" t="str">
        <f>IFERROR(IF(compras_mes4[[#This Row],[CUIT]]="","-",VLOOKUP(compras_mes4[[#This Row],[CUIT]],Lista_CUIT[#All],2,0)),"CUIT NO CARGADO")</f>
        <v>AUTOPISTAS DEL SOL S A</v>
      </c>
      <c r="H121" s="46">
        <v>4834.66</v>
      </c>
      <c r="I121" s="85">
        <f>IF(compras_mes4[[#This Row],[NETO GRAVADO]]="","",compras_mes4[[#This Row],[NETO GRAVADO]]*0.21)</f>
        <v>1015.2786</v>
      </c>
      <c r="J121" s="85"/>
      <c r="K121" s="85"/>
      <c r="L121" s="85"/>
      <c r="M121" s="85"/>
      <c r="N121" s="85"/>
      <c r="O121" s="85">
        <v>145.04</v>
      </c>
      <c r="P121" s="48">
        <f>SUM(compras_mes4[[#This Row],[NETO GRAVADO]:[Otros / No Grav.]])</f>
        <v>5994.9785999999995</v>
      </c>
      <c r="Q121" s="45" t="str">
        <f>IFERROR(IF(compras_mes4[[#This Row],[CUIT]]="","-",VLOOKUP(compras_mes4[[#This Row],[CUIT]],Lista_CUIT[#All],3,0)),"CUIT NO CARGADO")</f>
        <v>Peajes</v>
      </c>
      <c r="R121" s="49">
        <f>IFERROR(IF(compras_mes4[[#This Row],[CUIT]]="","-",VLOOKUP(compras_mes4[[#This Row],[CUIT]],Lista_CUIT[#All],4,0)),"CUIT NO CARGADO")</f>
        <v>0</v>
      </c>
    </row>
    <row r="122" spans="2:18" hidden="1">
      <c r="B122" s="406" t="s">
        <v>2152</v>
      </c>
      <c r="C122" s="41">
        <v>1</v>
      </c>
      <c r="D122" s="407">
        <v>700</v>
      </c>
      <c r="E122" s="408">
        <v>1612886</v>
      </c>
      <c r="F122" s="409">
        <v>30715804812</v>
      </c>
      <c r="G122" s="410" t="str">
        <f>IFERROR(IF(compras_mes4[[#This Row],[CUIT]]="","-",VLOOKUP(compras_mes4[[#This Row],[CUIT]],Lista_CUIT[#All],2,0)),"CUIT NO CARGADO")</f>
        <v>CORREDORES VIALES SOCIEDAD ANONIMA</v>
      </c>
      <c r="H122" s="411">
        <v>661.16</v>
      </c>
      <c r="I122" s="85">
        <f>IF(compras_mes4[[#This Row],[NETO GRAVADO]]="","",compras_mes4[[#This Row],[NETO GRAVADO]]*0.21)</f>
        <v>138.84359999999998</v>
      </c>
      <c r="J122" s="412"/>
      <c r="K122" s="412"/>
      <c r="L122" s="412"/>
      <c r="M122" s="412"/>
      <c r="N122" s="412"/>
      <c r="O122" s="412"/>
      <c r="P122" s="413">
        <f>SUM(compras_mes4[[#This Row],[NETO GRAVADO]:[Otros / No Grav.]])</f>
        <v>800.00360000000001</v>
      </c>
      <c r="Q122" s="410" t="str">
        <f>IFERROR(IF(compras_mes4[[#This Row],[CUIT]]="","-",VLOOKUP(compras_mes4[[#This Row],[CUIT]],Lista_CUIT[#All],3,0)),"CUIT NO CARGADO")</f>
        <v>Peajes</v>
      </c>
      <c r="R122" s="414">
        <f>IFERROR(IF(compras_mes4[[#This Row],[CUIT]]="","-",VLOOKUP(compras_mes4[[#This Row],[CUIT]],Lista_CUIT[#All],4,0)),"CUIT NO CARGADO")</f>
        <v>0</v>
      </c>
    </row>
    <row r="123" spans="2:18" hidden="1">
      <c r="B123" s="406" t="s">
        <v>2157</v>
      </c>
      <c r="C123" s="41">
        <v>1</v>
      </c>
      <c r="D123" s="407">
        <v>50</v>
      </c>
      <c r="E123" s="408">
        <v>3587432</v>
      </c>
      <c r="F123" s="409">
        <v>30714112836</v>
      </c>
      <c r="G123" s="410" t="str">
        <f>IFERROR(IF(compras_mes4[[#This Row],[CUIT]]="","-",VLOOKUP(compras_mes4[[#This Row],[CUIT]],Lista_CUIT[#All],2,0)),"CUIT NO CARGADO")</f>
        <v>AUTOPISTAS DE BS AS</v>
      </c>
      <c r="H123" s="411">
        <v>22326.45</v>
      </c>
      <c r="I123" s="85">
        <f>IF(compras_mes4[[#This Row],[NETO GRAVADO]]="","",compras_mes4[[#This Row],[NETO GRAVADO]]*0.21)</f>
        <v>4688.5545000000002</v>
      </c>
      <c r="J123" s="412"/>
      <c r="K123" s="412"/>
      <c r="L123" s="412">
        <v>669.79</v>
      </c>
      <c r="M123" s="412"/>
      <c r="N123" s="412"/>
      <c r="O123" s="412"/>
      <c r="P123" s="413">
        <f>SUM(compras_mes4[[#This Row],[NETO GRAVADO]:[Otros / No Grav.]])</f>
        <v>27684.794500000004</v>
      </c>
      <c r="Q123" s="410" t="str">
        <f>IFERROR(IF(compras_mes4[[#This Row],[CUIT]]="","-",VLOOKUP(compras_mes4[[#This Row],[CUIT]],Lista_CUIT[#All],3,0)),"CUIT NO CARGADO")</f>
        <v>Peajes</v>
      </c>
      <c r="R123" s="414">
        <f>IFERROR(IF(compras_mes4[[#This Row],[CUIT]]="","-",VLOOKUP(compras_mes4[[#This Row],[CUIT]],Lista_CUIT[#All],4,0)),"CUIT NO CARGADO")</f>
        <v>0</v>
      </c>
    </row>
    <row r="124" spans="2:18" hidden="1">
      <c r="B124" s="40" t="s">
        <v>2157</v>
      </c>
      <c r="C124" s="41">
        <v>1</v>
      </c>
      <c r="D124" s="42">
        <v>104</v>
      </c>
      <c r="E124" s="43">
        <v>5719481</v>
      </c>
      <c r="F124" s="44">
        <v>30715804812</v>
      </c>
      <c r="G124" s="45" t="str">
        <f>IFERROR(IF(compras_mes4[[#This Row],[CUIT]]="","-",VLOOKUP(compras_mes4[[#This Row],[CUIT]],Lista_CUIT[#All],2,0)),"CUIT NO CARGADO")</f>
        <v>CORREDORES VIALES SOCIEDAD ANONIMA</v>
      </c>
      <c r="H124" s="46">
        <v>247.93</v>
      </c>
      <c r="I124" s="85">
        <f>IF(compras_mes4[[#This Row],[NETO GRAVADO]]="","",compras_mes4[[#This Row],[NETO GRAVADO]]*0.21)</f>
        <v>52.065300000000001</v>
      </c>
      <c r="J124" s="85"/>
      <c r="K124" s="85"/>
      <c r="L124" s="85"/>
      <c r="M124" s="85"/>
      <c r="N124" s="85"/>
      <c r="O124" s="85"/>
      <c r="P124" s="48">
        <f>SUM(compras_mes4[[#This Row],[NETO GRAVADO]:[Otros / No Grav.]])</f>
        <v>299.99529999999999</v>
      </c>
      <c r="Q124" s="45" t="str">
        <f>IFERROR(IF(compras_mes4[[#This Row],[CUIT]]="","-",VLOOKUP(compras_mes4[[#This Row],[CUIT]],Lista_CUIT[#All],3,0)),"CUIT NO CARGADO")</f>
        <v>Peajes</v>
      </c>
      <c r="R124" s="49">
        <f>IFERROR(IF(compras_mes4[[#This Row],[CUIT]]="","-",VLOOKUP(compras_mes4[[#This Row],[CUIT]],Lista_CUIT[#All],4,0)),"CUIT NO CARGADO")</f>
        <v>0</v>
      </c>
    </row>
    <row r="125" spans="2:18" hidden="1">
      <c r="B125" s="40" t="s">
        <v>2140</v>
      </c>
      <c r="C125" s="41">
        <v>1</v>
      </c>
      <c r="D125" s="42">
        <v>5</v>
      </c>
      <c r="E125" s="43">
        <v>101</v>
      </c>
      <c r="F125" s="44">
        <v>20946785300</v>
      </c>
      <c r="G125" s="45" t="str">
        <f>IFERROR(IF(compras_mes4[[#This Row],[CUIT]]="","-",VLOOKUP(compras_mes4[[#This Row],[CUIT]],Lista_CUIT[#All],2,0)),"CUIT NO CARGADO")</f>
        <v>FLORES HUAYRA MICHAEL MARTIN</v>
      </c>
      <c r="H125" s="46">
        <v>918911</v>
      </c>
      <c r="I125" s="85">
        <f>IF(compras_mes4[[#This Row],[NETO GRAVADO]]="","",compras_mes4[[#This Row],[NETO GRAVADO]]*0.21)</f>
        <v>192971.31</v>
      </c>
      <c r="J125" s="85"/>
      <c r="K125" s="85"/>
      <c r="L125" s="85"/>
      <c r="M125" s="85"/>
      <c r="N125" s="85"/>
      <c r="O125" s="85"/>
      <c r="P125" s="48">
        <f>SUM(compras_mes4[[#This Row],[NETO GRAVADO]:[Otros / No Grav.]])</f>
        <v>1111882.31</v>
      </c>
      <c r="Q125" s="45" t="str">
        <f>IFERROR(IF(compras_mes4[[#This Row],[CUIT]]="","-",VLOOKUP(compras_mes4[[#This Row],[CUIT]],Lista_CUIT[#All],3,0)),"CUIT NO CARGADO")</f>
        <v>Productos Venta</v>
      </c>
      <c r="R125" s="49">
        <f>IFERROR(IF(compras_mes4[[#This Row],[CUIT]]="","-",VLOOKUP(compras_mes4[[#This Row],[CUIT]],Lista_CUIT[#All],4,0)),"CUIT NO CARGADO")</f>
        <v>0</v>
      </c>
    </row>
    <row r="126" spans="2:18" hidden="1">
      <c r="B126" s="40" t="s">
        <v>2139</v>
      </c>
      <c r="C126" s="41">
        <v>1</v>
      </c>
      <c r="D126" s="42">
        <v>6</v>
      </c>
      <c r="E126" s="43">
        <v>3058</v>
      </c>
      <c r="F126" s="44">
        <v>30574603788</v>
      </c>
      <c r="G126" s="45" t="str">
        <f>IFERROR(IF(compras_mes4[[#This Row],[CUIT]]="","-",VLOOKUP(compras_mes4[[#This Row],[CUIT]],Lista_CUIT[#All],2,0)),"CUIT NO CARGADO")</f>
        <v>CODAC SRL</v>
      </c>
      <c r="H126" s="46">
        <v>1951730</v>
      </c>
      <c r="I126" s="85">
        <f>IF(compras_mes4[[#This Row],[NETO GRAVADO]]="","",compras_mes4[[#This Row],[NETO GRAVADO]]*0.21)</f>
        <v>409863.3</v>
      </c>
      <c r="J126" s="85"/>
      <c r="K126" s="85"/>
      <c r="L126" s="85"/>
      <c r="M126" s="85"/>
      <c r="N126" s="85"/>
      <c r="O126" s="85"/>
      <c r="P126" s="48">
        <f>SUM(compras_mes4[[#This Row],[NETO GRAVADO]:[Otros / No Grav.]])</f>
        <v>2361593.2999999998</v>
      </c>
      <c r="Q126" s="45" t="str">
        <f>IFERROR(IF(compras_mes4[[#This Row],[CUIT]]="","-",VLOOKUP(compras_mes4[[#This Row],[CUIT]],Lista_CUIT[#All],3,0)),"CUIT NO CARGADO")</f>
        <v>Productos Venta</v>
      </c>
      <c r="R126" s="49" t="str">
        <f>IFERROR(IF(compras_mes4[[#This Row],[CUIT]]="","-",VLOOKUP(compras_mes4[[#This Row],[CUIT]],Lista_CUIT[#All],4,0)),"CUIT NO CARGADO")</f>
        <v>BUENOS AIRES</v>
      </c>
    </row>
    <row r="127" spans="2:18" hidden="1">
      <c r="B127" s="40" t="s">
        <v>2141</v>
      </c>
      <c r="C127" s="41">
        <v>1</v>
      </c>
      <c r="D127" s="42">
        <v>6</v>
      </c>
      <c r="E127" s="43">
        <v>3063</v>
      </c>
      <c r="F127" s="44">
        <v>30574603788</v>
      </c>
      <c r="G127" s="45" t="str">
        <f>IFERROR(IF(compras_mes4[[#This Row],[CUIT]]="","-",VLOOKUP(compras_mes4[[#This Row],[CUIT]],Lista_CUIT[#All],2,0)),"CUIT NO CARGADO")</f>
        <v>CODAC SRL</v>
      </c>
      <c r="H127" s="46">
        <v>862750</v>
      </c>
      <c r="I127" s="85">
        <f>IF(compras_mes4[[#This Row],[NETO GRAVADO]]="","",compras_mes4[[#This Row],[NETO GRAVADO]]*0.21)</f>
        <v>181177.5</v>
      </c>
      <c r="J127" s="85"/>
      <c r="K127" s="85"/>
      <c r="L127" s="85"/>
      <c r="M127" s="85"/>
      <c r="N127" s="85"/>
      <c r="O127" s="85"/>
      <c r="P127" s="48">
        <f>SUM(compras_mes4[[#This Row],[NETO GRAVADO]:[Otros / No Grav.]])</f>
        <v>1043927.5</v>
      </c>
      <c r="Q127" s="45" t="str">
        <f>IFERROR(IF(compras_mes4[[#This Row],[CUIT]]="","-",VLOOKUP(compras_mes4[[#This Row],[CUIT]],Lista_CUIT[#All],3,0)),"CUIT NO CARGADO")</f>
        <v>Productos Venta</v>
      </c>
      <c r="R127" s="49" t="str">
        <f>IFERROR(IF(compras_mes4[[#This Row],[CUIT]]="","-",VLOOKUP(compras_mes4[[#This Row],[CUIT]],Lista_CUIT[#All],4,0)),"CUIT NO CARGADO")</f>
        <v>BUENOS AIRES</v>
      </c>
    </row>
    <row r="128" spans="2:18" hidden="1">
      <c r="B128" s="40" t="s">
        <v>2143</v>
      </c>
      <c r="C128" s="41">
        <v>1</v>
      </c>
      <c r="D128" s="42">
        <v>6</v>
      </c>
      <c r="E128" s="43">
        <v>3065</v>
      </c>
      <c r="F128" s="44">
        <v>30574603788</v>
      </c>
      <c r="G128" s="45" t="str">
        <f>IFERROR(IF(compras_mes4[[#This Row],[CUIT]]="","-",VLOOKUP(compras_mes4[[#This Row],[CUIT]],Lista_CUIT[#All],2,0)),"CUIT NO CARGADO")</f>
        <v>CODAC SRL</v>
      </c>
      <c r="H128" s="46">
        <v>894010</v>
      </c>
      <c r="I128" s="85">
        <f>IF(compras_mes4[[#This Row],[NETO GRAVADO]]="","",compras_mes4[[#This Row],[NETO GRAVADO]]*0.21)</f>
        <v>187742.1</v>
      </c>
      <c r="J128" s="85"/>
      <c r="K128" s="85"/>
      <c r="L128" s="85"/>
      <c r="M128" s="85"/>
      <c r="N128" s="85"/>
      <c r="O128" s="85"/>
      <c r="P128" s="48">
        <f>SUM(compras_mes4[[#This Row],[NETO GRAVADO]:[Otros / No Grav.]])</f>
        <v>1081752.1000000001</v>
      </c>
      <c r="Q128" s="45" t="str">
        <f>IFERROR(IF(compras_mes4[[#This Row],[CUIT]]="","-",VLOOKUP(compras_mes4[[#This Row],[CUIT]],Lista_CUIT[#All],3,0)),"CUIT NO CARGADO")</f>
        <v>Productos Venta</v>
      </c>
      <c r="R128" s="49" t="str">
        <f>IFERROR(IF(compras_mes4[[#This Row],[CUIT]]="","-",VLOOKUP(compras_mes4[[#This Row],[CUIT]],Lista_CUIT[#All],4,0)),"CUIT NO CARGADO")</f>
        <v>BUENOS AIRES</v>
      </c>
    </row>
    <row r="129" spans="2:18" hidden="1">
      <c r="B129" s="40" t="s">
        <v>2146</v>
      </c>
      <c r="C129" s="41">
        <v>1</v>
      </c>
      <c r="D129" s="42">
        <v>6</v>
      </c>
      <c r="E129" s="43">
        <v>3069</v>
      </c>
      <c r="F129" s="44">
        <v>30574603788</v>
      </c>
      <c r="G129" s="45" t="str">
        <f>IFERROR(IF(compras_mes4[[#This Row],[CUIT]]="","-",VLOOKUP(compras_mes4[[#This Row],[CUIT]],Lista_CUIT[#All],2,0)),"CUIT NO CARGADO")</f>
        <v>CODAC SRL</v>
      </c>
      <c r="H129" s="46">
        <v>2440120</v>
      </c>
      <c r="I129" s="85">
        <f>IF(compras_mes4[[#This Row],[NETO GRAVADO]]="","",compras_mes4[[#This Row],[NETO GRAVADO]]*0.21)</f>
        <v>512425.19999999995</v>
      </c>
      <c r="J129" s="85"/>
      <c r="K129" s="85"/>
      <c r="L129" s="85"/>
      <c r="M129" s="85"/>
      <c r="N129" s="85"/>
      <c r="O129" s="85"/>
      <c r="P129" s="48">
        <f>SUM(compras_mes4[[#This Row],[NETO GRAVADO]:[Otros / No Grav.]])</f>
        <v>2952545.2</v>
      </c>
      <c r="Q129" s="45" t="str">
        <f>IFERROR(IF(compras_mes4[[#This Row],[CUIT]]="","-",VLOOKUP(compras_mes4[[#This Row],[CUIT]],Lista_CUIT[#All],3,0)),"CUIT NO CARGADO")</f>
        <v>Productos Venta</v>
      </c>
      <c r="R129" s="49" t="str">
        <f>IFERROR(IF(compras_mes4[[#This Row],[CUIT]]="","-",VLOOKUP(compras_mes4[[#This Row],[CUIT]],Lista_CUIT[#All],4,0)),"CUIT NO CARGADO")</f>
        <v>BUENOS AIRES</v>
      </c>
    </row>
    <row r="130" spans="2:18" hidden="1">
      <c r="B130" s="40" t="s">
        <v>2151</v>
      </c>
      <c r="C130" s="41">
        <v>1</v>
      </c>
      <c r="D130" s="42">
        <v>6</v>
      </c>
      <c r="E130" s="43">
        <v>3084</v>
      </c>
      <c r="F130" s="44">
        <v>30574603788</v>
      </c>
      <c r="G130" s="45" t="str">
        <f>IFERROR(IF(compras_mes4[[#This Row],[CUIT]]="","-",VLOOKUP(compras_mes4[[#This Row],[CUIT]],Lista_CUIT[#All],2,0)),"CUIT NO CARGADO")</f>
        <v>CODAC SRL</v>
      </c>
      <c r="H130" s="46">
        <v>1366470</v>
      </c>
      <c r="I130" s="85">
        <f>IF(compras_mes4[[#This Row],[NETO GRAVADO]]="","",compras_mes4[[#This Row],[NETO GRAVADO]]*0.21)</f>
        <v>286958.7</v>
      </c>
      <c r="J130" s="85"/>
      <c r="K130" s="85"/>
      <c r="L130" s="85"/>
      <c r="M130" s="85"/>
      <c r="N130" s="85"/>
      <c r="O130" s="85"/>
      <c r="P130" s="48">
        <f>SUM(compras_mes4[[#This Row],[NETO GRAVADO]:[Otros / No Grav.]])</f>
        <v>1653428.7</v>
      </c>
      <c r="Q130" s="45" t="str">
        <f>IFERROR(IF(compras_mes4[[#This Row],[CUIT]]="","-",VLOOKUP(compras_mes4[[#This Row],[CUIT]],Lista_CUIT[#All],3,0)),"CUIT NO CARGADO")</f>
        <v>Productos Venta</v>
      </c>
      <c r="R130" s="49" t="str">
        <f>IFERROR(IF(compras_mes4[[#This Row],[CUIT]]="","-",VLOOKUP(compras_mes4[[#This Row],[CUIT]],Lista_CUIT[#All],4,0)),"CUIT NO CARGADO")</f>
        <v>BUENOS AIRES</v>
      </c>
    </row>
    <row r="131" spans="2:18" hidden="1">
      <c r="B131" s="40" t="s">
        <v>2139</v>
      </c>
      <c r="C131" s="41">
        <v>1</v>
      </c>
      <c r="D131" s="42">
        <v>2</v>
      </c>
      <c r="E131" s="43">
        <v>3636</v>
      </c>
      <c r="F131" s="44">
        <v>30629863571</v>
      </c>
      <c r="G131" s="45" t="str">
        <f>IFERROR(IF(compras_mes4[[#This Row],[CUIT]]="","-",VLOOKUP(compras_mes4[[#This Row],[CUIT]],Lista_CUIT[#All],2,0)),"CUIT NO CARGADO")</f>
        <v>TECNIMAR S R L</v>
      </c>
      <c r="H131" s="46">
        <v>2228356</v>
      </c>
      <c r="I131" s="85">
        <f>IF(compras_mes4[[#This Row],[NETO GRAVADO]]="","",compras_mes4[[#This Row],[NETO GRAVADO]]*0.21)</f>
        <v>467954.76</v>
      </c>
      <c r="J131" s="85"/>
      <c r="K131" s="85"/>
      <c r="L131" s="85"/>
      <c r="M131" s="85"/>
      <c r="N131" s="85"/>
      <c r="O131" s="85"/>
      <c r="P131" s="48">
        <f>SUM(compras_mes4[[#This Row],[NETO GRAVADO]:[Otros / No Grav.]])</f>
        <v>2696310.76</v>
      </c>
      <c r="Q131" s="45" t="str">
        <f>IFERROR(IF(compras_mes4[[#This Row],[CUIT]]="","-",VLOOKUP(compras_mes4[[#This Row],[CUIT]],Lista_CUIT[#All],3,0)),"CUIT NO CARGADO")</f>
        <v>Productos Venta</v>
      </c>
      <c r="R131" s="49">
        <f>IFERROR(IF(compras_mes4[[#This Row],[CUIT]]="","-",VLOOKUP(compras_mes4[[#This Row],[CUIT]],Lista_CUIT[#All],4,0)),"CUIT NO CARGADO")</f>
        <v>0</v>
      </c>
    </row>
    <row r="132" spans="2:18" hidden="1">
      <c r="B132" s="40" t="s">
        <v>2140</v>
      </c>
      <c r="C132" s="41">
        <v>1</v>
      </c>
      <c r="D132" s="42">
        <v>1</v>
      </c>
      <c r="E132" s="43">
        <v>7</v>
      </c>
      <c r="F132" s="44">
        <v>30718189388</v>
      </c>
      <c r="G132" s="45" t="str">
        <f>IFERROR(IF(compras_mes4[[#This Row],[CUIT]]="","-",VLOOKUP(compras_mes4[[#This Row],[CUIT]],Lista_CUIT[#All],2,0)),"CUIT NO CARGADO")</f>
        <v>PICALI Y ASOCIADOS S.R.L.</v>
      </c>
      <c r="H132" s="46">
        <v>1860000</v>
      </c>
      <c r="I132" s="85">
        <f>IF(compras_mes4[[#This Row],[NETO GRAVADO]]="","",compras_mes4[[#This Row],[NETO GRAVADO]]*0.21)</f>
        <v>390600</v>
      </c>
      <c r="J132" s="85"/>
      <c r="K132" s="85"/>
      <c r="L132" s="85"/>
      <c r="M132" s="85"/>
      <c r="N132" s="85"/>
      <c r="O132" s="85"/>
      <c r="P132" s="48">
        <f>SUM(compras_mes4[[#This Row],[NETO GRAVADO]:[Otros / No Grav.]])</f>
        <v>2250600</v>
      </c>
      <c r="Q132" s="45" t="str">
        <f>IFERROR(IF(compras_mes4[[#This Row],[CUIT]]="","-",VLOOKUP(compras_mes4[[#This Row],[CUIT]],Lista_CUIT[#All],3,0)),"CUIT NO CARGADO")</f>
        <v>Productos Venta</v>
      </c>
      <c r="R132" s="49">
        <f>IFERROR(IF(compras_mes4[[#This Row],[CUIT]]="","-",VLOOKUP(compras_mes4[[#This Row],[CUIT]],Lista_CUIT[#All],4,0)),"CUIT NO CARGADO")</f>
        <v>0</v>
      </c>
    </row>
    <row r="133" spans="2:18" hidden="1">
      <c r="B133" s="40" t="s">
        <v>2140</v>
      </c>
      <c r="C133" s="41">
        <v>1</v>
      </c>
      <c r="D133" s="42">
        <v>2</v>
      </c>
      <c r="E133" s="43">
        <v>3638</v>
      </c>
      <c r="F133" s="44">
        <v>30629863571</v>
      </c>
      <c r="G133" s="45" t="str">
        <f>IFERROR(IF(compras_mes4[[#This Row],[CUIT]]="","-",VLOOKUP(compras_mes4[[#This Row],[CUIT]],Lista_CUIT[#All],2,0)),"CUIT NO CARGADO")</f>
        <v>TECNIMAR S R L</v>
      </c>
      <c r="H133" s="46">
        <v>7490141.9000000004</v>
      </c>
      <c r="I133" s="85">
        <f>IF(compras_mes4[[#This Row],[NETO GRAVADO]]="","",compras_mes4[[#This Row],[NETO GRAVADO]]*0.21)</f>
        <v>1572929.7990000001</v>
      </c>
      <c r="J133" s="85"/>
      <c r="K133" s="85"/>
      <c r="L133" s="85"/>
      <c r="M133" s="85"/>
      <c r="N133" s="85"/>
      <c r="O133" s="85"/>
      <c r="P133" s="48">
        <f>SUM(compras_mes4[[#This Row],[NETO GRAVADO]:[Otros / No Grav.]])</f>
        <v>9063071.699000001</v>
      </c>
      <c r="Q133" s="45" t="str">
        <f>IFERROR(IF(compras_mes4[[#This Row],[CUIT]]="","-",VLOOKUP(compras_mes4[[#This Row],[CUIT]],Lista_CUIT[#All],3,0)),"CUIT NO CARGADO")</f>
        <v>Productos Venta</v>
      </c>
      <c r="R133" s="49">
        <f>IFERROR(IF(compras_mes4[[#This Row],[CUIT]]="","-",VLOOKUP(compras_mes4[[#This Row],[CUIT]],Lista_CUIT[#All],4,0)),"CUIT NO CARGADO")</f>
        <v>0</v>
      </c>
    </row>
    <row r="134" spans="2:18" hidden="1">
      <c r="B134" s="40" t="s">
        <v>2143</v>
      </c>
      <c r="C134" s="41">
        <v>1</v>
      </c>
      <c r="D134" s="42">
        <v>2</v>
      </c>
      <c r="E134" s="43">
        <v>3642</v>
      </c>
      <c r="F134" s="44">
        <v>30629863571</v>
      </c>
      <c r="G134" s="45" t="str">
        <f>IFERROR(IF(compras_mes4[[#This Row],[CUIT]]="","-",VLOOKUP(compras_mes4[[#This Row],[CUIT]],Lista_CUIT[#All],2,0)),"CUIT NO CARGADO")</f>
        <v>TECNIMAR S R L</v>
      </c>
      <c r="H134" s="46">
        <v>5495940</v>
      </c>
      <c r="I134" s="85">
        <f>IF(compras_mes4[[#This Row],[NETO GRAVADO]]="","",compras_mes4[[#This Row],[NETO GRAVADO]]*0.21)</f>
        <v>1154147.3999999999</v>
      </c>
      <c r="J134" s="85"/>
      <c r="K134" s="85"/>
      <c r="L134" s="85"/>
      <c r="M134" s="85"/>
      <c r="N134" s="85"/>
      <c r="O134" s="85"/>
      <c r="P134" s="48">
        <f>SUM(compras_mes4[[#This Row],[NETO GRAVADO]:[Otros / No Grav.]])</f>
        <v>6650087.4000000004</v>
      </c>
      <c r="Q134" s="45" t="str">
        <f>IFERROR(IF(compras_mes4[[#This Row],[CUIT]]="","-",VLOOKUP(compras_mes4[[#This Row],[CUIT]],Lista_CUIT[#All],3,0)),"CUIT NO CARGADO")</f>
        <v>Productos Venta</v>
      </c>
      <c r="R134" s="49">
        <f>IFERROR(IF(compras_mes4[[#This Row],[CUIT]]="","-",VLOOKUP(compras_mes4[[#This Row],[CUIT]],Lista_CUIT[#All],4,0)),"CUIT NO CARGADO")</f>
        <v>0</v>
      </c>
    </row>
    <row r="135" spans="2:18" hidden="1">
      <c r="B135" s="40" t="s">
        <v>2144</v>
      </c>
      <c r="C135" s="41">
        <v>1</v>
      </c>
      <c r="D135" s="42">
        <v>2</v>
      </c>
      <c r="E135" s="43">
        <v>3643</v>
      </c>
      <c r="F135" s="44">
        <v>30629863571</v>
      </c>
      <c r="G135" s="45" t="str">
        <f>IFERROR(IF(compras_mes4[[#This Row],[CUIT]]="","-",VLOOKUP(compras_mes4[[#This Row],[CUIT]],Lista_CUIT[#All],2,0)),"CUIT NO CARGADO")</f>
        <v>TECNIMAR S R L</v>
      </c>
      <c r="H135" s="46">
        <v>3903542.86</v>
      </c>
      <c r="I135" s="85">
        <f>IF(compras_mes4[[#This Row],[NETO GRAVADO]]="","",compras_mes4[[#This Row],[NETO GRAVADO]]*0.21)</f>
        <v>819744.00059999991</v>
      </c>
      <c r="J135" s="85"/>
      <c r="K135" s="85"/>
      <c r="L135" s="85"/>
      <c r="M135" s="85"/>
      <c r="N135" s="85"/>
      <c r="O135" s="85"/>
      <c r="P135" s="48">
        <f>SUM(compras_mes4[[#This Row],[NETO GRAVADO]:[Otros / No Grav.]])</f>
        <v>4723286.8606000002</v>
      </c>
      <c r="Q135" s="45" t="str">
        <f>IFERROR(IF(compras_mes4[[#This Row],[CUIT]]="","-",VLOOKUP(compras_mes4[[#This Row],[CUIT]],Lista_CUIT[#All],3,0)),"CUIT NO CARGADO")</f>
        <v>Productos Venta</v>
      </c>
      <c r="R135" s="49">
        <f>IFERROR(IF(compras_mes4[[#This Row],[CUIT]]="","-",VLOOKUP(compras_mes4[[#This Row],[CUIT]],Lista_CUIT[#All],4,0)),"CUIT NO CARGADO")</f>
        <v>0</v>
      </c>
    </row>
    <row r="136" spans="2:18" hidden="1">
      <c r="B136" s="40" t="s">
        <v>2146</v>
      </c>
      <c r="C136" s="41">
        <v>1</v>
      </c>
      <c r="D136" s="42">
        <v>2</v>
      </c>
      <c r="E136" s="43">
        <v>3647</v>
      </c>
      <c r="F136" s="44">
        <v>30629863571</v>
      </c>
      <c r="G136" s="45" t="str">
        <f>IFERROR(IF(compras_mes4[[#This Row],[CUIT]]="","-",VLOOKUP(compras_mes4[[#This Row],[CUIT]],Lista_CUIT[#All],2,0)),"CUIT NO CARGADO")</f>
        <v>TECNIMAR S R L</v>
      </c>
      <c r="H136" s="46">
        <v>2365304.71</v>
      </c>
      <c r="I136" s="85">
        <f>IF(compras_mes4[[#This Row],[NETO GRAVADO]]="","",compras_mes4[[#This Row],[NETO GRAVADO]]*0.21)</f>
        <v>496713.98909999995</v>
      </c>
      <c r="J136" s="85"/>
      <c r="K136" s="85"/>
      <c r="L136" s="85"/>
      <c r="M136" s="85"/>
      <c r="N136" s="85"/>
      <c r="O136" s="85"/>
      <c r="P136" s="48">
        <f>SUM(compras_mes4[[#This Row],[NETO GRAVADO]:[Otros / No Grav.]])</f>
        <v>2862018.6990999999</v>
      </c>
      <c r="Q136" s="45" t="str">
        <f>IFERROR(IF(compras_mes4[[#This Row],[CUIT]]="","-",VLOOKUP(compras_mes4[[#This Row],[CUIT]],Lista_CUIT[#All],3,0)),"CUIT NO CARGADO")</f>
        <v>Productos Venta</v>
      </c>
      <c r="R136" s="49">
        <f>IFERROR(IF(compras_mes4[[#This Row],[CUIT]]="","-",VLOOKUP(compras_mes4[[#This Row],[CUIT]],Lista_CUIT[#All],4,0)),"CUIT NO CARGADO")</f>
        <v>0</v>
      </c>
    </row>
    <row r="137" spans="2:18" hidden="1">
      <c r="B137" s="40" t="s">
        <v>2147</v>
      </c>
      <c r="C137" s="41">
        <v>1</v>
      </c>
      <c r="D137" s="42">
        <v>2</v>
      </c>
      <c r="E137" s="43">
        <v>7666</v>
      </c>
      <c r="F137" s="44">
        <v>33714677239</v>
      </c>
      <c r="G137" s="45" t="str">
        <f>IFERROR(IF(compras_mes4[[#This Row],[CUIT]]="","-",VLOOKUP(compras_mes4[[#This Row],[CUIT]],Lista_CUIT[#All],2,0)),"CUIT NO CARGADO")</f>
        <v xml:space="preserve">BOMBAS VAPORIZADORAS </v>
      </c>
      <c r="H137" s="46">
        <v>1105625</v>
      </c>
      <c r="I137" s="85">
        <f>IF(compras_mes4[[#This Row],[NETO GRAVADO]]="","",compras_mes4[[#This Row],[NETO GRAVADO]]*0.21)</f>
        <v>232181.25</v>
      </c>
      <c r="J137" s="85"/>
      <c r="K137" s="85"/>
      <c r="L137" s="85"/>
      <c r="M137" s="85"/>
      <c r="N137" s="85"/>
      <c r="O137" s="85"/>
      <c r="P137" s="48">
        <f>SUM(compras_mes4[[#This Row],[NETO GRAVADO]:[Otros / No Grav.]])</f>
        <v>1337806.25</v>
      </c>
      <c r="Q137" s="45" t="str">
        <f>IFERROR(IF(compras_mes4[[#This Row],[CUIT]]="","-",VLOOKUP(compras_mes4[[#This Row],[CUIT]],Lista_CUIT[#All],3,0)),"CUIT NO CARGADO")</f>
        <v>Productos Venta</v>
      </c>
      <c r="R137" s="49">
        <f>IFERROR(IF(compras_mes4[[#This Row],[CUIT]]="","-",VLOOKUP(compras_mes4[[#This Row],[CUIT]],Lista_CUIT[#All],4,0)),"CUIT NO CARGADO")</f>
        <v>0</v>
      </c>
    </row>
    <row r="138" spans="2:18" hidden="1">
      <c r="B138" s="40" t="s">
        <v>2158</v>
      </c>
      <c r="C138" s="41">
        <v>1</v>
      </c>
      <c r="D138" s="42">
        <v>2</v>
      </c>
      <c r="E138" s="43">
        <v>3651</v>
      </c>
      <c r="F138" s="44">
        <v>30629863571</v>
      </c>
      <c r="G138" s="45" t="str">
        <f>IFERROR(IF(compras_mes4[[#This Row],[CUIT]]="","-",VLOOKUP(compras_mes4[[#This Row],[CUIT]],Lista_CUIT[#All],2,0)),"CUIT NO CARGADO")</f>
        <v>TECNIMAR S R L</v>
      </c>
      <c r="H138" s="46">
        <v>5691635</v>
      </c>
      <c r="I138" s="85">
        <f>IF(compras_mes4[[#This Row],[NETO GRAVADO]]="","",compras_mes4[[#This Row],[NETO GRAVADO]]*0.21)</f>
        <v>1195243.3499999999</v>
      </c>
      <c r="J138" s="85"/>
      <c r="K138" s="85"/>
      <c r="L138" s="85"/>
      <c r="M138" s="85"/>
      <c r="N138" s="85"/>
      <c r="O138" s="85"/>
      <c r="P138" s="48">
        <f>SUM(compras_mes4[[#This Row],[NETO GRAVADO]:[Otros / No Grav.]])</f>
        <v>6886878.3499999996</v>
      </c>
      <c r="Q138" s="45" t="str">
        <f>IFERROR(IF(compras_mes4[[#This Row],[CUIT]]="","-",VLOOKUP(compras_mes4[[#This Row],[CUIT]],Lista_CUIT[#All],3,0)),"CUIT NO CARGADO")</f>
        <v>Productos Venta</v>
      </c>
      <c r="R138" s="49">
        <f>IFERROR(IF(compras_mes4[[#This Row],[CUIT]]="","-",VLOOKUP(compras_mes4[[#This Row],[CUIT]],Lista_CUIT[#All],4,0)),"CUIT NO CARGADO")</f>
        <v>0</v>
      </c>
    </row>
    <row r="139" spans="2:18" hidden="1">
      <c r="B139" s="40" t="s">
        <v>2150</v>
      </c>
      <c r="C139" s="41">
        <v>1</v>
      </c>
      <c r="D139" s="42">
        <v>2</v>
      </c>
      <c r="E139" s="43">
        <v>3653</v>
      </c>
      <c r="F139" s="44">
        <v>30629863571</v>
      </c>
      <c r="G139" s="45" t="str">
        <f>IFERROR(IF(compras_mes4[[#This Row],[CUIT]]="","-",VLOOKUP(compras_mes4[[#This Row],[CUIT]],Lista_CUIT[#All],2,0)),"CUIT NO CARGADO")</f>
        <v>TECNIMAR S R L</v>
      </c>
      <c r="H139" s="46">
        <v>4238900.8099999996</v>
      </c>
      <c r="I139" s="85">
        <f>IF(compras_mes4[[#This Row],[NETO GRAVADO]]="","",compras_mes4[[#This Row],[NETO GRAVADO]]*0.21)</f>
        <v>890169.17009999987</v>
      </c>
      <c r="J139" s="85"/>
      <c r="K139" s="85"/>
      <c r="L139" s="85"/>
      <c r="M139" s="85"/>
      <c r="N139" s="85"/>
      <c r="O139" s="85"/>
      <c r="P139" s="48">
        <f>SUM(compras_mes4[[#This Row],[NETO GRAVADO]:[Otros / No Grav.]])</f>
        <v>5129069.9800999993</v>
      </c>
      <c r="Q139" s="45" t="str">
        <f>IFERROR(IF(compras_mes4[[#This Row],[CUIT]]="","-",VLOOKUP(compras_mes4[[#This Row],[CUIT]],Lista_CUIT[#All],3,0)),"CUIT NO CARGADO")</f>
        <v>Productos Venta</v>
      </c>
      <c r="R139" s="49">
        <f>IFERROR(IF(compras_mes4[[#This Row],[CUIT]]="","-",VLOOKUP(compras_mes4[[#This Row],[CUIT]],Lista_CUIT[#All],4,0)),"CUIT NO CARGADO")</f>
        <v>0</v>
      </c>
    </row>
    <row r="140" spans="2:18" hidden="1">
      <c r="B140" s="40" t="s">
        <v>2159</v>
      </c>
      <c r="C140" s="41">
        <v>1</v>
      </c>
      <c r="D140" s="42">
        <v>2</v>
      </c>
      <c r="E140" s="43">
        <v>3656</v>
      </c>
      <c r="F140" s="44">
        <v>30629863571</v>
      </c>
      <c r="G140" s="45" t="str">
        <f>IFERROR(IF(compras_mes4[[#This Row],[CUIT]]="","-",VLOOKUP(compras_mes4[[#This Row],[CUIT]],Lista_CUIT[#All],2,0)),"CUIT NO CARGADO")</f>
        <v>TECNIMAR S R L</v>
      </c>
      <c r="H140" s="46">
        <v>2335771.38</v>
      </c>
      <c r="I140" s="85">
        <f>IF(compras_mes4[[#This Row],[NETO GRAVADO]]="","",compras_mes4[[#This Row],[NETO GRAVADO]]*0.21)</f>
        <v>490511.98979999998</v>
      </c>
      <c r="J140" s="85"/>
      <c r="K140" s="85"/>
      <c r="L140" s="85"/>
      <c r="M140" s="85"/>
      <c r="N140" s="85"/>
      <c r="O140" s="85"/>
      <c r="P140" s="48">
        <f>SUM(compras_mes4[[#This Row],[NETO GRAVADO]:[Otros / No Grav.]])</f>
        <v>2826283.3698</v>
      </c>
      <c r="Q140" s="45" t="str">
        <f>IFERROR(IF(compras_mes4[[#This Row],[CUIT]]="","-",VLOOKUP(compras_mes4[[#This Row],[CUIT]],Lista_CUIT[#All],3,0)),"CUIT NO CARGADO")</f>
        <v>Productos Venta</v>
      </c>
      <c r="R140" s="49">
        <f>IFERROR(IF(compras_mes4[[#This Row],[CUIT]]="","-",VLOOKUP(compras_mes4[[#This Row],[CUIT]],Lista_CUIT[#All],4,0)),"CUIT NO CARGADO")</f>
        <v>0</v>
      </c>
    </row>
    <row r="141" spans="2:18" hidden="1">
      <c r="B141" s="40" t="s">
        <v>2159</v>
      </c>
      <c r="C141" s="41">
        <v>1</v>
      </c>
      <c r="D141" s="42">
        <v>5</v>
      </c>
      <c r="E141" s="43">
        <v>21071</v>
      </c>
      <c r="F141" s="44">
        <v>30616146447</v>
      </c>
      <c r="G141" s="45" t="str">
        <f>IFERROR(IF(compras_mes4[[#This Row],[CUIT]]="","-",VLOOKUP(compras_mes4[[#This Row],[CUIT]],Lista_CUIT[#All],2,0)),"CUIT NO CARGADO")</f>
        <v>EGEO SOCIEDAD DE RESPONSABILIDAD LIMITADA</v>
      </c>
      <c r="H141" s="46">
        <v>1080000</v>
      </c>
      <c r="I141" s="85">
        <f>IF(compras_mes4[[#This Row],[NETO GRAVADO]]="","",compras_mes4[[#This Row],[NETO GRAVADO]]*0.21)</f>
        <v>226800</v>
      </c>
      <c r="J141" s="85"/>
      <c r="K141" s="85"/>
      <c r="L141" s="85"/>
      <c r="M141" s="85"/>
      <c r="N141" s="85"/>
      <c r="O141" s="85"/>
      <c r="P141" s="48">
        <f>SUM(compras_mes4[[#This Row],[NETO GRAVADO]:[Otros / No Grav.]])</f>
        <v>1306800</v>
      </c>
      <c r="Q141" s="45" t="str">
        <f>IFERROR(IF(compras_mes4[[#This Row],[CUIT]]="","-",VLOOKUP(compras_mes4[[#This Row],[CUIT]],Lista_CUIT[#All],3,0)),"CUIT NO CARGADO")</f>
        <v>Productos Venta</v>
      </c>
      <c r="R141" s="49">
        <f>IFERROR(IF(compras_mes4[[#This Row],[CUIT]]="","-",VLOOKUP(compras_mes4[[#This Row],[CUIT]],Lista_CUIT[#All],4,0)),"CUIT NO CARGADO")</f>
        <v>0</v>
      </c>
    </row>
    <row r="142" spans="2:18" hidden="1">
      <c r="B142" s="40" t="s">
        <v>2159</v>
      </c>
      <c r="C142" s="41">
        <v>1</v>
      </c>
      <c r="D142" s="42">
        <v>5</v>
      </c>
      <c r="E142" s="43">
        <v>21072</v>
      </c>
      <c r="F142" s="44">
        <v>30616146447</v>
      </c>
      <c r="G142" s="45" t="str">
        <f>IFERROR(IF(compras_mes4[[#This Row],[CUIT]]="","-",VLOOKUP(compras_mes4[[#This Row],[CUIT]],Lista_CUIT[#All],2,0)),"CUIT NO CARGADO")</f>
        <v>EGEO SOCIEDAD DE RESPONSABILIDAD LIMITADA</v>
      </c>
      <c r="H142" s="46">
        <v>1531000</v>
      </c>
      <c r="I142" s="85">
        <f>IF(compras_mes4[[#This Row],[NETO GRAVADO]]="","",compras_mes4[[#This Row],[NETO GRAVADO]]*0.21)</f>
        <v>321510</v>
      </c>
      <c r="J142" s="85"/>
      <c r="K142" s="85"/>
      <c r="L142" s="85"/>
      <c r="M142" s="85"/>
      <c r="N142" s="85"/>
      <c r="O142" s="85"/>
      <c r="P142" s="48">
        <f>SUM(compras_mes4[[#This Row],[NETO GRAVADO]:[Otros / No Grav.]])</f>
        <v>1852510</v>
      </c>
      <c r="Q142" s="45" t="str">
        <f>IFERROR(IF(compras_mes4[[#This Row],[CUIT]]="","-",VLOOKUP(compras_mes4[[#This Row],[CUIT]],Lista_CUIT[#All],3,0)),"CUIT NO CARGADO")</f>
        <v>Productos Venta</v>
      </c>
      <c r="R142" s="49">
        <f>IFERROR(IF(compras_mes4[[#This Row],[CUIT]]="","-",VLOOKUP(compras_mes4[[#This Row],[CUIT]],Lista_CUIT[#All],4,0)),"CUIT NO CARGADO")</f>
        <v>0</v>
      </c>
    </row>
    <row r="143" spans="2:18" hidden="1">
      <c r="B143" s="40" t="s">
        <v>2152</v>
      </c>
      <c r="C143" s="41">
        <v>1</v>
      </c>
      <c r="D143" s="42">
        <v>2</v>
      </c>
      <c r="E143" s="43">
        <v>3659</v>
      </c>
      <c r="F143" s="44">
        <v>30629863571</v>
      </c>
      <c r="G143" s="45" t="str">
        <f>IFERROR(IF(compras_mes4[[#This Row],[CUIT]]="","-",VLOOKUP(compras_mes4[[#This Row],[CUIT]],Lista_CUIT[#All],2,0)),"CUIT NO CARGADO")</f>
        <v>TECNIMAR S R L</v>
      </c>
      <c r="H143" s="46">
        <v>1477678.71</v>
      </c>
      <c r="I143" s="85">
        <f>IF(compras_mes4[[#This Row],[NETO GRAVADO]]="","",compras_mes4[[#This Row],[NETO GRAVADO]]*0.21)</f>
        <v>310312.52909999999</v>
      </c>
      <c r="J143" s="85"/>
      <c r="K143" s="85"/>
      <c r="L143" s="85"/>
      <c r="M143" s="85"/>
      <c r="N143" s="85"/>
      <c r="O143" s="85"/>
      <c r="P143" s="48">
        <f>SUM(compras_mes4[[#This Row],[NETO GRAVADO]:[Otros / No Grav.]])</f>
        <v>1787991.2390999999</v>
      </c>
      <c r="Q143" s="45" t="str">
        <f>IFERROR(IF(compras_mes4[[#This Row],[CUIT]]="","-",VLOOKUP(compras_mes4[[#This Row],[CUIT]],Lista_CUIT[#All],3,0)),"CUIT NO CARGADO")</f>
        <v>Productos Venta</v>
      </c>
      <c r="R143" s="49">
        <f>IFERROR(IF(compras_mes4[[#This Row],[CUIT]]="","-",VLOOKUP(compras_mes4[[#This Row],[CUIT]],Lista_CUIT[#All],4,0)),"CUIT NO CARGADO")</f>
        <v>0</v>
      </c>
    </row>
    <row r="144" spans="2:18" hidden="1">
      <c r="B144" s="40" t="s">
        <v>2156</v>
      </c>
      <c r="C144" s="41">
        <v>1</v>
      </c>
      <c r="D144" s="42">
        <v>2</v>
      </c>
      <c r="E144" s="43">
        <v>3665</v>
      </c>
      <c r="F144" s="44">
        <v>30629863571</v>
      </c>
      <c r="G144" s="45" t="str">
        <f>IFERROR(IF(compras_mes4[[#This Row],[CUIT]]="","-",VLOOKUP(compras_mes4[[#This Row],[CUIT]],Lista_CUIT[#All],2,0)),"CUIT NO CARGADO")</f>
        <v>TECNIMAR S R L</v>
      </c>
      <c r="H144" s="46">
        <v>10145936.48</v>
      </c>
      <c r="I144" s="85">
        <f>IF(compras_mes4[[#This Row],[NETO GRAVADO]]="","",compras_mes4[[#This Row],[NETO GRAVADO]]*0.21)</f>
        <v>2130646.6608000002</v>
      </c>
      <c r="J144" s="85"/>
      <c r="K144" s="85"/>
      <c r="L144" s="85"/>
      <c r="M144" s="85"/>
      <c r="N144" s="85"/>
      <c r="O144" s="85"/>
      <c r="P144" s="48">
        <f>SUM(compras_mes4[[#This Row],[NETO GRAVADO]:[Otros / No Grav.]])</f>
        <v>12276583.140800001</v>
      </c>
      <c r="Q144" s="45" t="str">
        <f>IFERROR(IF(compras_mes4[[#This Row],[CUIT]]="","-",VLOOKUP(compras_mes4[[#This Row],[CUIT]],Lista_CUIT[#All],3,0)),"CUIT NO CARGADO")</f>
        <v>Productos Venta</v>
      </c>
      <c r="R144" s="49">
        <f>IFERROR(IF(compras_mes4[[#This Row],[CUIT]]="","-",VLOOKUP(compras_mes4[[#This Row],[CUIT]],Lista_CUIT[#All],4,0)),"CUIT NO CARGADO")</f>
        <v>0</v>
      </c>
    </row>
    <row r="145" spans="2:18" hidden="1">
      <c r="B145" s="40" t="s">
        <v>2157</v>
      </c>
      <c r="C145" s="41">
        <v>1</v>
      </c>
      <c r="D145" s="42">
        <v>2</v>
      </c>
      <c r="E145" s="43">
        <v>7730</v>
      </c>
      <c r="F145" s="44">
        <v>33714677239</v>
      </c>
      <c r="G145" s="45" t="str">
        <f>IFERROR(IF(compras_mes4[[#This Row],[CUIT]]="","-",VLOOKUP(compras_mes4[[#This Row],[CUIT]],Lista_CUIT[#All],2,0)),"CUIT NO CARGADO")</f>
        <v xml:space="preserve">BOMBAS VAPORIZADORAS </v>
      </c>
      <c r="H145" s="46">
        <v>2016000</v>
      </c>
      <c r="I145" s="85">
        <f>IF(compras_mes4[[#This Row],[NETO GRAVADO]]="","",compras_mes4[[#This Row],[NETO GRAVADO]]*0.21)</f>
        <v>423360</v>
      </c>
      <c r="J145" s="85"/>
      <c r="K145" s="85"/>
      <c r="L145" s="85"/>
      <c r="M145" s="85"/>
      <c r="N145" s="85"/>
      <c r="O145" s="85"/>
      <c r="P145" s="48">
        <f>SUM(compras_mes4[[#This Row],[NETO GRAVADO]:[Otros / No Grav.]])</f>
        <v>2439360</v>
      </c>
      <c r="Q145" s="45" t="str">
        <f>IFERROR(IF(compras_mes4[[#This Row],[CUIT]]="","-",VLOOKUP(compras_mes4[[#This Row],[CUIT]],Lista_CUIT[#All],3,0)),"CUIT NO CARGADO")</f>
        <v>Productos Venta</v>
      </c>
      <c r="R145" s="49">
        <f>IFERROR(IF(compras_mes4[[#This Row],[CUIT]]="","-",VLOOKUP(compras_mes4[[#This Row],[CUIT]],Lista_CUIT[#All],4,0)),"CUIT NO CARGADO")</f>
        <v>0</v>
      </c>
    </row>
    <row r="146" spans="2:18">
      <c r="B146" s="40" t="s">
        <v>2145</v>
      </c>
      <c r="C146" s="41">
        <v>1</v>
      </c>
      <c r="D146" s="42">
        <v>4</v>
      </c>
      <c r="E146" s="43">
        <v>1792</v>
      </c>
      <c r="F146" s="44">
        <v>30707014756</v>
      </c>
      <c r="G146" s="45" t="str">
        <f>IFERROR(IF(compras_mes4[[#This Row],[CUIT]]="","-",VLOOKUP(compras_mes4[[#This Row],[CUIT]],Lista_CUIT[#All],2,0)),"CUIT NO CARGADO")</f>
        <v>A.L.G. INDUMENTARIAS S.R.L.</v>
      </c>
      <c r="H146" s="46">
        <v>26446.28</v>
      </c>
      <c r="I146" s="85">
        <f>IF(compras_mes4[[#This Row],[NETO GRAVADO]]="","",compras_mes4[[#This Row],[NETO GRAVADO]]*0.21)</f>
        <v>5553.7187999999996</v>
      </c>
      <c r="J146" s="85"/>
      <c r="K146" s="85"/>
      <c r="L146" s="85"/>
      <c r="M146" s="85"/>
      <c r="N146" s="85"/>
      <c r="O146" s="85"/>
      <c r="P146" s="48">
        <f>SUM(compras_mes4[[#This Row],[NETO GRAVADO]:[Otros / No Grav.]])</f>
        <v>31999.998799999998</v>
      </c>
      <c r="Q146" s="45" t="str">
        <f>IFERROR(IF(compras_mes4[[#This Row],[CUIT]]="","-",VLOOKUP(compras_mes4[[#This Row],[CUIT]],Lista_CUIT[#All],3,0)),"CUIT NO CARGADO")</f>
        <v>Gastos Varios</v>
      </c>
      <c r="R146" s="49">
        <f>IFERROR(IF(compras_mes4[[#This Row],[CUIT]]="","-",VLOOKUP(compras_mes4[[#This Row],[CUIT]],Lista_CUIT[#All],4,0)),"CUIT NO CARGADO")</f>
        <v>0</v>
      </c>
    </row>
    <row r="147" spans="2:18">
      <c r="B147" s="40" t="s">
        <v>2151</v>
      </c>
      <c r="C147" s="41">
        <v>1</v>
      </c>
      <c r="D147" s="42">
        <v>37</v>
      </c>
      <c r="E147" s="43">
        <v>904</v>
      </c>
      <c r="F147" s="44">
        <v>30500795804</v>
      </c>
      <c r="G147" s="45" t="str">
        <f>IFERROR(IF(compras_mes4[[#This Row],[CUIT]]="","-",VLOOKUP(compras_mes4[[#This Row],[CUIT]],Lista_CUIT[#All],2,0)),"CUIT NO CARGADO")</f>
        <v>SATURNINO CABEZON S A</v>
      </c>
      <c r="H147" s="46">
        <v>37190.080000000002</v>
      </c>
      <c r="I147" s="85">
        <f>IF(compras_mes4[[#This Row],[NETO GRAVADO]]="","",compras_mes4[[#This Row],[NETO GRAVADO]]*0.21)</f>
        <v>7809.9168</v>
      </c>
      <c r="J147" s="85"/>
      <c r="K147" s="85"/>
      <c r="L147" s="85"/>
      <c r="M147" s="85"/>
      <c r="N147" s="85"/>
      <c r="O147" s="85"/>
      <c r="P147" s="48">
        <f>SUM(compras_mes4[[#This Row],[NETO GRAVADO]:[Otros / No Grav.]])</f>
        <v>44999.996800000001</v>
      </c>
      <c r="Q147" s="45" t="str">
        <f>IFERROR(IF(compras_mes4[[#This Row],[CUIT]]="","-",VLOOKUP(compras_mes4[[#This Row],[CUIT]],Lista_CUIT[#All],3,0)),"CUIT NO CARGADO")</f>
        <v>Gastos Varios</v>
      </c>
      <c r="R147" s="49">
        <f>IFERROR(IF(compras_mes4[[#This Row],[CUIT]]="","-",VLOOKUP(compras_mes4[[#This Row],[CUIT]],Lista_CUIT[#All],4,0)),"CUIT NO CARGADO")</f>
        <v>0</v>
      </c>
    </row>
    <row r="148" spans="2:18" hidden="1">
      <c r="B148" s="40" t="s">
        <v>2139</v>
      </c>
      <c r="C148" s="41">
        <v>1</v>
      </c>
      <c r="D148" s="42">
        <v>3099</v>
      </c>
      <c r="E148" s="43">
        <v>98825</v>
      </c>
      <c r="F148" s="44">
        <v>30678814357</v>
      </c>
      <c r="G148" s="45" t="str">
        <f>IFERROR(IF(compras_mes4[[#This Row],[CUIT]]="","-",VLOOKUP(compras_mes4[[#This Row],[CUIT]],Lista_CUIT[#All],2,0)),"CUIT NO CARGADO")</f>
        <v>TELEFONICA MOVILES ARG</v>
      </c>
      <c r="H148" s="46">
        <v>80344</v>
      </c>
      <c r="I148" s="85"/>
      <c r="J148" s="85">
        <v>21692.880000000001</v>
      </c>
      <c r="K148" s="85"/>
      <c r="L148" s="85">
        <v>2410.3200000000002</v>
      </c>
      <c r="M148" s="85"/>
      <c r="N148" s="85">
        <v>4820.6400000000003</v>
      </c>
      <c r="O148" s="85"/>
      <c r="P148" s="48">
        <f>SUM(compras_mes4[[#This Row],[NETO GRAVADO]:[Otros / No Grav.]])</f>
        <v>109267.84000000001</v>
      </c>
      <c r="Q148" s="45" t="str">
        <f>IFERROR(IF(compras_mes4[[#This Row],[CUIT]]="","-",VLOOKUP(compras_mes4[[#This Row],[CUIT]],Lista_CUIT[#All],3,0)),"CUIT NO CARGADO")</f>
        <v>Servicios Gas, Luz, etc.</v>
      </c>
      <c r="R148" s="49">
        <f>IFERROR(IF(compras_mes4[[#This Row],[CUIT]]="","-",VLOOKUP(compras_mes4[[#This Row],[CUIT]],Lista_CUIT[#All],4,0)),"CUIT NO CARGADO")</f>
        <v>0</v>
      </c>
    </row>
    <row r="149" spans="2:18" hidden="1">
      <c r="B149" s="40" t="s">
        <v>2141</v>
      </c>
      <c r="C149" s="41">
        <v>1</v>
      </c>
      <c r="D149" s="42">
        <v>63</v>
      </c>
      <c r="E149" s="43">
        <v>2785357</v>
      </c>
      <c r="F149" s="44">
        <v>30640897267</v>
      </c>
      <c r="G149" s="45" t="str">
        <f>IFERROR(IF(compras_mes4[[#This Row],[CUIT]]="","-",VLOOKUP(compras_mes4[[#This Row],[CUIT]],Lista_CUIT[#All],2,0)),"CUIT NO CARGADO")</f>
        <v>TELECENTRO S.A.</v>
      </c>
      <c r="H149" s="46">
        <v>38900</v>
      </c>
      <c r="I149" s="85">
        <f>IF(compras_mes4[[#This Row],[NETO GRAVADO]]="","",compras_mes4[[#This Row],[NETO GRAVADO]]*0.21)</f>
        <v>8169</v>
      </c>
      <c r="J149" s="85"/>
      <c r="K149" s="85"/>
      <c r="L149" s="85">
        <v>1167</v>
      </c>
      <c r="M149" s="85"/>
      <c r="N149" s="85">
        <v>2334</v>
      </c>
      <c r="O149" s="85"/>
      <c r="P149" s="48">
        <f>SUM(compras_mes4[[#This Row],[NETO GRAVADO]:[Otros / No Grav.]])</f>
        <v>50570</v>
      </c>
      <c r="Q149" s="45" t="str">
        <f>IFERROR(IF(compras_mes4[[#This Row],[CUIT]]="","-",VLOOKUP(compras_mes4[[#This Row],[CUIT]],Lista_CUIT[#All],3,0)),"CUIT NO CARGADO")</f>
        <v>Servicios Gas, Luz, etc.</v>
      </c>
      <c r="R149" s="49">
        <f>IFERROR(IF(compras_mes4[[#This Row],[CUIT]]="","-",VLOOKUP(compras_mes4[[#This Row],[CUIT]],Lista_CUIT[#All],4,0)),"CUIT NO CARGADO")</f>
        <v>0</v>
      </c>
    </row>
    <row r="150" spans="2:18" hidden="1">
      <c r="B150" s="40" t="s">
        <v>2141</v>
      </c>
      <c r="C150" s="41">
        <v>1</v>
      </c>
      <c r="D150" s="42">
        <v>63</v>
      </c>
      <c r="E150" s="43">
        <v>2786125</v>
      </c>
      <c r="F150" s="44">
        <v>30640897267</v>
      </c>
      <c r="G150" s="45" t="str">
        <f>IFERROR(IF(compras_mes4[[#This Row],[CUIT]]="","-",VLOOKUP(compras_mes4[[#This Row],[CUIT]],Lista_CUIT[#All],2,0)),"CUIT NO CARGADO")</f>
        <v>TELECENTRO S.A.</v>
      </c>
      <c r="H150" s="46">
        <v>38900</v>
      </c>
      <c r="I150" s="85">
        <f>IF(compras_mes4[[#This Row],[NETO GRAVADO]]="","",compras_mes4[[#This Row],[NETO GRAVADO]]*0.21)</f>
        <v>8169</v>
      </c>
      <c r="J150" s="85"/>
      <c r="K150" s="85"/>
      <c r="L150" s="85">
        <v>1167</v>
      </c>
      <c r="M150" s="85"/>
      <c r="N150" s="85">
        <v>2334</v>
      </c>
      <c r="O150" s="85"/>
      <c r="P150" s="48">
        <f>SUM(compras_mes4[[#This Row],[NETO GRAVADO]:[Otros / No Grav.]])</f>
        <v>50570</v>
      </c>
      <c r="Q150" s="45" t="str">
        <f>IFERROR(IF(compras_mes4[[#This Row],[CUIT]]="","-",VLOOKUP(compras_mes4[[#This Row],[CUIT]],Lista_CUIT[#All],3,0)),"CUIT NO CARGADO")</f>
        <v>Servicios Gas, Luz, etc.</v>
      </c>
      <c r="R150" s="49">
        <f>IFERROR(IF(compras_mes4[[#This Row],[CUIT]]="","-",VLOOKUP(compras_mes4[[#This Row],[CUIT]],Lista_CUIT[#All],4,0)),"CUIT NO CARGADO")</f>
        <v>0</v>
      </c>
    </row>
    <row r="151" spans="2:18" hidden="1">
      <c r="B151" s="40" t="s">
        <v>2164</v>
      </c>
      <c r="C151" s="41">
        <v>1</v>
      </c>
      <c r="D151" s="42">
        <v>3</v>
      </c>
      <c r="E151" s="43">
        <v>20979</v>
      </c>
      <c r="F151" s="44">
        <v>33707953549</v>
      </c>
      <c r="G151" s="45" t="str">
        <f>IFERROR(IF(compras_mes4[[#This Row],[CUIT]]="","-",VLOOKUP(compras_mes4[[#This Row],[CUIT]],Lista_CUIT[#All],2,0)),"CUIT NO CARGADO")</f>
        <v>TELESMART</v>
      </c>
      <c r="H151" s="46">
        <v>17000</v>
      </c>
      <c r="I151" s="85">
        <f>IF(compras_mes4[[#This Row],[NETO GRAVADO]]="","",compras_mes4[[#This Row],[NETO GRAVADO]]*0.21)</f>
        <v>3570</v>
      </c>
      <c r="J151" s="85"/>
      <c r="K151" s="85"/>
      <c r="L151" s="85"/>
      <c r="M151" s="85"/>
      <c r="N151" s="85"/>
      <c r="O151" s="85"/>
      <c r="P151" s="48">
        <f>SUM(compras_mes4[[#This Row],[NETO GRAVADO]:[Otros / No Grav.]])</f>
        <v>20570</v>
      </c>
      <c r="Q151" s="45" t="str">
        <f>IFERROR(IF(compras_mes4[[#This Row],[CUIT]]="","-",VLOOKUP(compras_mes4[[#This Row],[CUIT]],Lista_CUIT[#All],3,0)),"CUIT NO CARGADO")</f>
        <v>Servicios Gas, Luz, etc.</v>
      </c>
      <c r="R151" s="49">
        <f>IFERROR(IF(compras_mes4[[#This Row],[CUIT]]="","-",VLOOKUP(compras_mes4[[#This Row],[CUIT]],Lista_CUIT[#All],4,0)),"CUIT NO CARGADO")</f>
        <v>0</v>
      </c>
    </row>
    <row r="152" spans="2:18" hidden="1">
      <c r="B152" s="40" t="s">
        <v>2144</v>
      </c>
      <c r="C152" s="41">
        <v>1</v>
      </c>
      <c r="D152" s="42">
        <v>3101</v>
      </c>
      <c r="E152" s="43">
        <v>63690</v>
      </c>
      <c r="F152" s="44">
        <v>30678814357</v>
      </c>
      <c r="G152" s="45" t="str">
        <f>IFERROR(IF(compras_mes4[[#This Row],[CUIT]]="","-",VLOOKUP(compras_mes4[[#This Row],[CUIT]],Lista_CUIT[#All],2,0)),"CUIT NO CARGADO")</f>
        <v>TELEFONICA MOVILES ARG</v>
      </c>
      <c r="H152" s="46">
        <v>25121.17</v>
      </c>
      <c r="I152" s="85"/>
      <c r="J152" s="85">
        <v>6782.72</v>
      </c>
      <c r="K152" s="85"/>
      <c r="L152" s="85">
        <v>753.64</v>
      </c>
      <c r="M152" s="85"/>
      <c r="N152" s="85">
        <v>1507.27</v>
      </c>
      <c r="O152" s="85"/>
      <c r="P152" s="48">
        <f>SUM(compras_mes4[[#This Row],[NETO GRAVADO]:[Otros / No Grav.]])</f>
        <v>34164.799999999996</v>
      </c>
      <c r="Q152" s="45" t="str">
        <f>IFERROR(IF(compras_mes4[[#This Row],[CUIT]]="","-",VLOOKUP(compras_mes4[[#This Row],[CUIT]],Lista_CUIT[#All],3,0)),"CUIT NO CARGADO")</f>
        <v>Servicios Gas, Luz, etc.</v>
      </c>
      <c r="R152" s="49">
        <f>IFERROR(IF(compras_mes4[[#This Row],[CUIT]]="","-",VLOOKUP(compras_mes4[[#This Row],[CUIT]],Lista_CUIT[#All],4,0)),"CUIT NO CARGADO")</f>
        <v>0</v>
      </c>
    </row>
    <row r="153" spans="2:18" hidden="1">
      <c r="B153" s="40" t="s">
        <v>2145</v>
      </c>
      <c r="C153" s="41">
        <v>1</v>
      </c>
      <c r="D153" s="42">
        <v>6364</v>
      </c>
      <c r="E153" s="43">
        <v>8248033</v>
      </c>
      <c r="F153" s="44">
        <v>30639453738</v>
      </c>
      <c r="G153" s="45" t="str">
        <f>IFERROR(IF(compras_mes4[[#This Row],[CUIT]]="","-",VLOOKUP(compras_mes4[[#This Row],[CUIT]],Lista_CUIT[#All],2,0)),"CUIT NO CARGADO")</f>
        <v>TELECOM ARG SA</v>
      </c>
      <c r="H153" s="46">
        <v>153669.22</v>
      </c>
      <c r="I153" s="85">
        <v>32070.7</v>
      </c>
      <c r="J153" s="85">
        <v>256.93</v>
      </c>
      <c r="K153" s="85"/>
      <c r="L153" s="85"/>
      <c r="M153" s="85"/>
      <c r="N153" s="85">
        <v>8487.34</v>
      </c>
      <c r="O153" s="85">
        <v>4676.45</v>
      </c>
      <c r="P153" s="48">
        <f>SUM(compras_mes4[[#This Row],[NETO GRAVADO]:[Otros / No Grav.]])</f>
        <v>199160.64</v>
      </c>
      <c r="Q153" s="45" t="str">
        <f>IFERROR(IF(compras_mes4[[#This Row],[CUIT]]="","-",VLOOKUP(compras_mes4[[#This Row],[CUIT]],Lista_CUIT[#All],3,0)),"CUIT NO CARGADO")</f>
        <v>Servicios Gas, Luz, etc.</v>
      </c>
      <c r="R153" s="49">
        <f>IFERROR(IF(compras_mes4[[#This Row],[CUIT]]="","-",VLOOKUP(compras_mes4[[#This Row],[CUIT]],Lista_CUIT[#All],4,0)),"CUIT NO CARGADO")</f>
        <v>0</v>
      </c>
    </row>
    <row r="154" spans="2:18" hidden="1">
      <c r="B154" s="40" t="s">
        <v>2158</v>
      </c>
      <c r="C154" s="41">
        <v>1</v>
      </c>
      <c r="D154" s="42">
        <v>4264</v>
      </c>
      <c r="E154" s="43">
        <v>3605757</v>
      </c>
      <c r="F154" s="44">
        <v>30639453738</v>
      </c>
      <c r="G154" s="45" t="str">
        <f>IFERROR(IF(compras_mes4[[#This Row],[CUIT]]="","-",VLOOKUP(compras_mes4[[#This Row],[CUIT]],Lista_CUIT[#All],2,0)),"CUIT NO CARGADO")</f>
        <v>TELECOM ARG SA</v>
      </c>
      <c r="H154" s="46">
        <v>57750</v>
      </c>
      <c r="I154" s="85">
        <f>IF(compras_mes4[[#This Row],[NETO GRAVADO]]="","",compras_mes4[[#This Row],[NETO GRAVADO]]*0.21)</f>
        <v>12127.5</v>
      </c>
      <c r="J154" s="85"/>
      <c r="K154" s="85"/>
      <c r="L154" s="85"/>
      <c r="M154" s="85"/>
      <c r="N154" s="85">
        <v>5197.5</v>
      </c>
      <c r="O154" s="85"/>
      <c r="P154" s="48">
        <f>SUM(compras_mes4[[#This Row],[NETO GRAVADO]:[Otros / No Grav.]])</f>
        <v>75075</v>
      </c>
      <c r="Q154" s="45" t="str">
        <f>IFERROR(IF(compras_mes4[[#This Row],[CUIT]]="","-",VLOOKUP(compras_mes4[[#This Row],[CUIT]],Lista_CUIT[#All],3,0)),"CUIT NO CARGADO")</f>
        <v>Servicios Gas, Luz, etc.</v>
      </c>
      <c r="R154" s="49">
        <f>IFERROR(IF(compras_mes4[[#This Row],[CUIT]]="","-",VLOOKUP(compras_mes4[[#This Row],[CUIT]],Lista_CUIT[#All],4,0)),"CUIT NO CARGADO")</f>
        <v>0</v>
      </c>
    </row>
    <row r="155" spans="2:18" hidden="1">
      <c r="B155" s="40" t="s">
        <v>2158</v>
      </c>
      <c r="C155" s="41">
        <v>1</v>
      </c>
      <c r="D155" s="42">
        <v>4264</v>
      </c>
      <c r="E155" s="43">
        <v>3613894</v>
      </c>
      <c r="F155" s="44">
        <v>30639453738</v>
      </c>
      <c r="G155" s="45" t="str">
        <f>IFERROR(IF(compras_mes4[[#This Row],[CUIT]]="","-",VLOOKUP(compras_mes4[[#This Row],[CUIT]],Lista_CUIT[#All],2,0)),"CUIT NO CARGADO")</f>
        <v>TELECOM ARG SA</v>
      </c>
      <c r="H155" s="46">
        <v>42900</v>
      </c>
      <c r="I155" s="85">
        <f>IF(compras_mes4[[#This Row],[NETO GRAVADO]]="","",compras_mes4[[#This Row],[NETO GRAVADO]]*0.21)</f>
        <v>9009</v>
      </c>
      <c r="J155" s="85"/>
      <c r="K155" s="85"/>
      <c r="L155" s="85"/>
      <c r="M155" s="85"/>
      <c r="N155" s="85">
        <v>1287</v>
      </c>
      <c r="O155" s="85"/>
      <c r="P155" s="48">
        <f>SUM(compras_mes4[[#This Row],[NETO GRAVADO]:[Otros / No Grav.]])</f>
        <v>53196</v>
      </c>
      <c r="Q155" s="45" t="str">
        <f>IFERROR(IF(compras_mes4[[#This Row],[CUIT]]="","-",VLOOKUP(compras_mes4[[#This Row],[CUIT]],Lista_CUIT[#All],3,0)),"CUIT NO CARGADO")</f>
        <v>Servicios Gas, Luz, etc.</v>
      </c>
      <c r="R155" s="49">
        <f>IFERROR(IF(compras_mes4[[#This Row],[CUIT]]="","-",VLOOKUP(compras_mes4[[#This Row],[CUIT]],Lista_CUIT[#All],4,0)),"CUIT NO CARGADO")</f>
        <v>0</v>
      </c>
    </row>
    <row r="156" spans="2:18" hidden="1">
      <c r="B156" s="40" t="s">
        <v>2158</v>
      </c>
      <c r="C156" s="41">
        <v>1</v>
      </c>
      <c r="D156" s="42">
        <v>4264</v>
      </c>
      <c r="E156" s="43">
        <v>3650127</v>
      </c>
      <c r="F156" s="44">
        <v>30639453738</v>
      </c>
      <c r="G156" s="45" t="str">
        <f>IFERROR(IF(compras_mes4[[#This Row],[CUIT]]="","-",VLOOKUP(compras_mes4[[#This Row],[CUIT]],Lista_CUIT[#All],2,0)),"CUIT NO CARGADO")</f>
        <v>TELECOM ARG SA</v>
      </c>
      <c r="H156" s="46">
        <v>115500</v>
      </c>
      <c r="I156" s="85">
        <f>IF(compras_mes4[[#This Row],[NETO GRAVADO]]="","",compras_mes4[[#This Row],[NETO GRAVADO]]*0.21)</f>
        <v>24255</v>
      </c>
      <c r="J156" s="85"/>
      <c r="K156" s="85"/>
      <c r="L156" s="85"/>
      <c r="M156" s="85"/>
      <c r="N156" s="85">
        <v>10395</v>
      </c>
      <c r="O156" s="85"/>
      <c r="P156" s="48">
        <f>SUM(compras_mes4[[#This Row],[NETO GRAVADO]:[Otros / No Grav.]])</f>
        <v>150150</v>
      </c>
      <c r="Q156" s="45" t="str">
        <f>IFERROR(IF(compras_mes4[[#This Row],[CUIT]]="","-",VLOOKUP(compras_mes4[[#This Row],[CUIT]],Lista_CUIT[#All],3,0)),"CUIT NO CARGADO")</f>
        <v>Servicios Gas, Luz, etc.</v>
      </c>
      <c r="R156" s="49">
        <f>IFERROR(IF(compras_mes4[[#This Row],[CUIT]]="","-",VLOOKUP(compras_mes4[[#This Row],[CUIT]],Lista_CUIT[#All],4,0)),"CUIT NO CARGADO")</f>
        <v>0</v>
      </c>
    </row>
    <row r="157" spans="2:18" hidden="1">
      <c r="B157" s="40" t="s">
        <v>2168</v>
      </c>
      <c r="C157" s="41">
        <v>1</v>
      </c>
      <c r="D157" s="42">
        <v>5</v>
      </c>
      <c r="E157" s="43">
        <v>3018155</v>
      </c>
      <c r="F157" s="44">
        <v>30702652975</v>
      </c>
      <c r="G157" s="45" t="str">
        <f>IFERROR(IF(compras_mes4[[#This Row],[CUIT]]="","-",VLOOKUP(compras_mes4[[#This Row],[CUIT]],Lista_CUIT[#All],2,0)),"CUIT NO CARGADO")</f>
        <v>NSS SA</v>
      </c>
      <c r="H157" s="46">
        <v>29073.03</v>
      </c>
      <c r="I157" s="85">
        <f>IF(compras_mes4[[#This Row],[NETO GRAVADO]]="","",compras_mes4[[#This Row],[NETO GRAVADO]]*0.21)</f>
        <v>6105.3362999999999</v>
      </c>
      <c r="J157" s="85"/>
      <c r="K157" s="85"/>
      <c r="L157" s="85"/>
      <c r="M157" s="85"/>
      <c r="N157" s="85">
        <v>1744.38</v>
      </c>
      <c r="O157" s="85"/>
      <c r="P157" s="48">
        <f>SUM(compras_mes4[[#This Row],[NETO GRAVADO]:[Otros / No Grav.]])</f>
        <v>36922.746299999999</v>
      </c>
      <c r="Q157" s="45" t="str">
        <f>IFERROR(IF(compras_mes4[[#This Row],[CUIT]]="","-",VLOOKUP(compras_mes4[[#This Row],[CUIT]],Lista_CUIT[#All],3,0)),"CUIT NO CARGADO")</f>
        <v>Servicios Gas, Luz, etc.</v>
      </c>
      <c r="R157" s="49">
        <f>IFERROR(IF(compras_mes4[[#This Row],[CUIT]]="","-",VLOOKUP(compras_mes4[[#This Row],[CUIT]],Lista_CUIT[#All],4,0)),"CUIT NO CARGADO")</f>
        <v>0</v>
      </c>
    </row>
    <row r="158" spans="2:18">
      <c r="B158" s="40" t="s">
        <v>2147</v>
      </c>
      <c r="C158" s="41">
        <v>1</v>
      </c>
      <c r="D158" s="42">
        <v>2</v>
      </c>
      <c r="E158" s="43">
        <v>8349</v>
      </c>
      <c r="F158" s="44">
        <v>30714284963</v>
      </c>
      <c r="G158" s="45" t="str">
        <f>IFERROR(IF(compras_mes4[[#This Row],[CUIT]]="","-",VLOOKUP(compras_mes4[[#This Row],[CUIT]],Lista_CUIT[#All],2,0)),"CUIT NO CARGADO")</f>
        <v>ENGYMAN SRL</v>
      </c>
      <c r="H158" s="46">
        <v>109999</v>
      </c>
      <c r="I158" s="85">
        <f>IF(compras_mes4[[#This Row],[NETO GRAVADO]]="","",compras_mes4[[#This Row],[NETO GRAVADO]]*0.21)</f>
        <v>23099.79</v>
      </c>
      <c r="J158" s="85"/>
      <c r="K158" s="85"/>
      <c r="L158" s="85"/>
      <c r="M158" s="85"/>
      <c r="N158" s="85"/>
      <c r="O158" s="85"/>
      <c r="P158" s="48">
        <f>SUM(compras_mes4[[#This Row],[NETO GRAVADO]:[Otros / No Grav.]])</f>
        <v>133098.79</v>
      </c>
      <c r="Q158" s="45" t="s">
        <v>79</v>
      </c>
      <c r="R158" s="49">
        <f>IFERROR(IF(compras_mes4[[#This Row],[CUIT]]="","-",VLOOKUP(compras_mes4[[#This Row],[CUIT]],Lista_CUIT[#All],4,0)),"CUIT NO CARGADO")</f>
        <v>0</v>
      </c>
    </row>
    <row r="159" spans="2:18">
      <c r="B159" s="40" t="s">
        <v>2153</v>
      </c>
      <c r="C159" s="41">
        <v>1</v>
      </c>
      <c r="D159" s="42">
        <v>15</v>
      </c>
      <c r="E159" s="43">
        <v>45545</v>
      </c>
      <c r="F159" s="44">
        <v>33708907869</v>
      </c>
      <c r="G159" s="45" t="str">
        <f>IFERROR(IF(compras_mes4[[#This Row],[CUIT]]="","-",VLOOKUP(compras_mes4[[#This Row],[CUIT]],Lista_CUIT[#All],2,0)),"CUIT NO CARGADO")</f>
        <v>SERCAP INSUMOS SRL</v>
      </c>
      <c r="H159" s="46">
        <v>140271.49</v>
      </c>
      <c r="I159" s="85"/>
      <c r="J159" s="85"/>
      <c r="K159" s="85">
        <f>compras_mes4[[#This Row],[NETO GRAVADO]]*0.105</f>
        <v>14728.506449999999</v>
      </c>
      <c r="L159" s="85"/>
      <c r="M159" s="85"/>
      <c r="N159" s="85"/>
      <c r="O159" s="85"/>
      <c r="P159" s="48">
        <f>SUM(compras_mes4[[#This Row],[NETO GRAVADO]:[Otros / No Grav.]])</f>
        <v>154999.99644999998</v>
      </c>
      <c r="Q159" s="45" t="s">
        <v>79</v>
      </c>
      <c r="R159" s="49">
        <f>IFERROR(IF(compras_mes4[[#This Row],[CUIT]]="","-",VLOOKUP(compras_mes4[[#This Row],[CUIT]],Lista_CUIT[#All],4,0)),"CUIT NO CARGADO")</f>
        <v>0</v>
      </c>
    </row>
    <row r="160" spans="2:18">
      <c r="B160" s="40" t="s">
        <v>2156</v>
      </c>
      <c r="C160" s="41">
        <v>1</v>
      </c>
      <c r="D160" s="42">
        <v>4</v>
      </c>
      <c r="E160" s="43">
        <v>342</v>
      </c>
      <c r="F160" s="44">
        <v>20284304048</v>
      </c>
      <c r="G160" s="45" t="str">
        <f>IFERROR(IF(compras_mes4[[#This Row],[CUIT]]="","-",VLOOKUP(compras_mes4[[#This Row],[CUIT]],Lista_CUIT[#All],2,0)),"CUIT NO CARGADO")</f>
        <v>DAYER ALEJANDRO GERMAN</v>
      </c>
      <c r="H160" s="46">
        <v>88678.76</v>
      </c>
      <c r="I160" s="85"/>
      <c r="J160" s="85"/>
      <c r="K160" s="85">
        <f>compras_mes4[[#This Row],[NETO GRAVADO]]*0.105</f>
        <v>9311.2697999999982</v>
      </c>
      <c r="L160" s="85"/>
      <c r="M160" s="85"/>
      <c r="N160" s="85"/>
      <c r="O160" s="85"/>
      <c r="P160" s="48">
        <f>SUM(compras_mes4[[#This Row],[NETO GRAVADO]:[Otros / No Grav.]])</f>
        <v>97990.029799999989</v>
      </c>
      <c r="Q160" s="45" t="s">
        <v>79</v>
      </c>
      <c r="R160" s="49">
        <f>IFERROR(IF(compras_mes4[[#This Row],[CUIT]]="","-",VLOOKUP(compras_mes4[[#This Row],[CUIT]],Lista_CUIT[#All],4,0)),"CUIT NO CARGADO")</f>
        <v>0</v>
      </c>
    </row>
    <row r="161" spans="2:18" ht="19.149999999999999" customHeight="1">
      <c r="B161" s="96" t="s">
        <v>103</v>
      </c>
      <c r="C161" s="96"/>
      <c r="D161" s="96"/>
      <c r="E161" s="96"/>
      <c r="F161" s="96"/>
      <c r="G161" s="97"/>
      <c r="H161" s="98">
        <f>SUBTOTAL(109,compras_mes4[NETO GRAVADO])</f>
        <v>3169423.1899999995</v>
      </c>
      <c r="I161" s="98">
        <f>SUBTOTAL(109,compras_mes4[IVA 21 %])</f>
        <v>596368.72940000007</v>
      </c>
      <c r="J161" s="98">
        <f>SUBTOTAL(109,compras_mes4[IVA 27%])</f>
        <v>0</v>
      </c>
      <c r="K161" s="98">
        <f>SUBTOTAL(109,compras_mes4[IVA 10,5%])</f>
        <v>34605.076249999998</v>
      </c>
      <c r="L161" s="98">
        <f>SUBTOTAL(109,compras_mes4[PERC. IVA])</f>
        <v>15147.89</v>
      </c>
      <c r="M161" s="98">
        <f>SUBTOTAL(109,compras_mes4[PERC IIBB 
BS AS])</f>
        <v>0</v>
      </c>
      <c r="N161" s="98">
        <f>SUBTOTAL(109,compras_mes4[PERC. IIBB CABA])</f>
        <v>29478.03</v>
      </c>
      <c r="O161" s="98">
        <f>SUBTOTAL(109,compras_mes4[Otros / No Grav.])</f>
        <v>148600.77000000002</v>
      </c>
      <c r="P161" s="98">
        <f>SUBTOTAL(109,compras_mes4[TOTAL])</f>
        <v>3993623.6856499999</v>
      </c>
      <c r="Q161" s="96"/>
      <c r="R161" s="96"/>
    </row>
    <row r="162" spans="2:18" ht="19.149999999999999" customHeight="1">
      <c r="B162" s="40"/>
      <c r="C162" s="41"/>
      <c r="D162" s="42"/>
      <c r="E162" s="43"/>
      <c r="F162" s="44"/>
      <c r="G162" s="45"/>
      <c r="H162" s="46"/>
      <c r="I162" s="47"/>
      <c r="J162" s="47"/>
      <c r="K162" s="47"/>
      <c r="L162" s="47"/>
    </row>
    <row r="163" spans="2:18" ht="19.149999999999999" customHeight="1">
      <c r="D163" s="712" t="s">
        <v>15</v>
      </c>
      <c r="E163" s="712"/>
      <c r="F163" s="712"/>
      <c r="G163" s="712"/>
      <c r="H163" s="712"/>
      <c r="I163" s="712"/>
      <c r="J163" s="712"/>
      <c r="K163" s="712"/>
      <c r="L163" s="712"/>
    </row>
    <row r="164" spans="2:18" ht="19.149999999999999" customHeight="1">
      <c r="D164" s="73" t="s">
        <v>0</v>
      </c>
      <c r="E164" s="74" t="s">
        <v>26</v>
      </c>
      <c r="F164" s="74" t="s">
        <v>16</v>
      </c>
      <c r="G164" s="74" t="s">
        <v>5</v>
      </c>
      <c r="H164" s="74" t="s">
        <v>17</v>
      </c>
      <c r="I164" s="74" t="s">
        <v>7</v>
      </c>
      <c r="J164" s="75" t="s">
        <v>18</v>
      </c>
      <c r="K164" s="75" t="s">
        <v>19</v>
      </c>
      <c r="L164" s="76" t="s">
        <v>20</v>
      </c>
    </row>
    <row r="165" spans="2:18" ht="19.149999999999999" customHeight="1">
      <c r="D165" s="50"/>
      <c r="E165" s="180"/>
      <c r="F165" s="155"/>
      <c r="G165" s="81"/>
      <c r="H165" s="81"/>
      <c r="I165" s="81"/>
      <c r="J165" s="81"/>
      <c r="K165" s="81"/>
      <c r="L165" s="81"/>
    </row>
    <row r="166" spans="2:18" ht="19.149999999999999" customHeight="1">
      <c r="D166" s="50"/>
      <c r="E166" s="180"/>
      <c r="F166" s="155"/>
      <c r="G166" s="81"/>
      <c r="H166" s="81"/>
      <c r="I166" s="81"/>
      <c r="J166" s="81"/>
      <c r="K166" s="81"/>
      <c r="L166" s="81"/>
    </row>
    <row r="167" spans="2:18" ht="19.149999999999999" customHeight="1">
      <c r="D167" s="50"/>
      <c r="E167" s="180"/>
      <c r="F167" s="155"/>
      <c r="G167" s="81"/>
      <c r="H167" s="81"/>
      <c r="I167" s="81"/>
      <c r="J167" s="81"/>
      <c r="K167" s="81"/>
      <c r="L167" s="81"/>
    </row>
    <row r="168" spans="2:18" ht="19.149999999999999" customHeight="1">
      <c r="D168" s="50"/>
      <c r="E168" s="180"/>
      <c r="F168" s="80"/>
      <c r="G168" s="81"/>
      <c r="H168" s="81"/>
      <c r="I168" s="81"/>
      <c r="J168" s="81"/>
      <c r="K168" s="81"/>
      <c r="L168" s="81"/>
    </row>
    <row r="169" spans="2:18" ht="19.149999999999999" customHeight="1">
      <c r="D169" s="50"/>
      <c r="E169" s="180"/>
      <c r="F169" s="80"/>
      <c r="G169" s="81"/>
      <c r="H169" s="81"/>
      <c r="I169" s="81"/>
      <c r="J169" s="81"/>
      <c r="K169" s="81"/>
      <c r="L169" s="81"/>
    </row>
    <row r="170" spans="2:18" ht="19.149999999999999" customHeight="1">
      <c r="D170" s="50"/>
      <c r="E170" s="180"/>
      <c r="F170" s="80"/>
      <c r="G170" s="81"/>
      <c r="H170" s="81"/>
      <c r="I170" s="81"/>
      <c r="J170" s="81"/>
      <c r="K170" s="81"/>
      <c r="L170" s="81"/>
    </row>
    <row r="171" spans="2:18" ht="16.5" customHeight="1">
      <c r="D171" s="216" t="s">
        <v>103</v>
      </c>
      <c r="E171" s="217"/>
      <c r="F171" s="217"/>
      <c r="G171" s="218">
        <f>SUBTOTAL(109,extracto_banco_mes4[NETO])</f>
        <v>0</v>
      </c>
      <c r="H171" s="218">
        <f>SUBTOTAL(109,extracto_banco_mes4[IVA 21%])</f>
        <v>0</v>
      </c>
      <c r="I171" s="218">
        <f>SUBTOTAL(109,extracto_banco_mes4[IVA 10,5%])</f>
        <v>0</v>
      </c>
      <c r="J171" s="218">
        <f>SUBTOTAL(109,extracto_banco_mes4[RET IIBB CABA])</f>
        <v>0</v>
      </c>
      <c r="K171" s="218">
        <f>SUBTOTAL(109,extracto_banco_mes4[PERC IVA])</f>
        <v>0</v>
      </c>
      <c r="L171" s="218">
        <f>SUBTOTAL(109,extracto_banco_mes4[PERC IIBB])</f>
        <v>0</v>
      </c>
    </row>
    <row r="174" spans="2:18" ht="21">
      <c r="D174" s="712" t="s">
        <v>1133</v>
      </c>
      <c r="E174" s="712"/>
      <c r="F174" s="712"/>
      <c r="G174" s="712"/>
      <c r="H174" s="712"/>
      <c r="I174" s="712"/>
      <c r="J174" s="712"/>
      <c r="K174" s="712"/>
    </row>
    <row r="175" spans="2:18">
      <c r="D175" s="51" t="s">
        <v>0</v>
      </c>
      <c r="E175" s="51" t="s">
        <v>2</v>
      </c>
      <c r="F175" s="51" t="s">
        <v>74</v>
      </c>
      <c r="G175" s="51" t="s">
        <v>3</v>
      </c>
      <c r="H175" s="51" t="s">
        <v>4</v>
      </c>
      <c r="I175" s="52" t="s">
        <v>10</v>
      </c>
      <c r="J175" s="51" t="s">
        <v>13</v>
      </c>
      <c r="K175" s="51" t="s">
        <v>38</v>
      </c>
    </row>
    <row r="176" spans="2:18">
      <c r="D176" s="415" t="s">
        <v>2147</v>
      </c>
      <c r="E176" s="415">
        <v>1</v>
      </c>
      <c r="F176" s="415">
        <v>340</v>
      </c>
      <c r="G176" s="416">
        <v>27224524043</v>
      </c>
      <c r="H176" s="417" t="str">
        <f>IFERROR(IF(factura_c_mes4[[#This Row],[CUIT]]="","-",VLOOKUP(factura_c_mes4[[#This Row],[CUIT]],Lista_CUIT[#All],2,0)),"CUIT NO CARGADO")</f>
        <v>FLORES CLAUDIA GRACIELA</v>
      </c>
      <c r="I176" s="418">
        <v>17000</v>
      </c>
      <c r="J176" s="681" t="s">
        <v>2687</v>
      </c>
      <c r="K176" s="419">
        <f>IFERROR(IF(factura_c_mes4[[#This Row],[CUIT]]="","-",VLOOKUP(factura_c_mes4[[#This Row],[CUIT]],Lista_CUIT[#All],4,0)),"CUIT NO CARGADO")</f>
        <v>0</v>
      </c>
    </row>
    <row r="177" spans="4:11">
      <c r="D177" s="50" t="s">
        <v>2138</v>
      </c>
      <c r="E177" s="132">
        <v>3</v>
      </c>
      <c r="F177" s="132">
        <v>310</v>
      </c>
      <c r="G177" s="119">
        <v>20226549758</v>
      </c>
      <c r="H177" s="53" t="str">
        <f>IFERROR(IF(factura_c_mes4[[#This Row],[CUIT]]="","-",VLOOKUP(factura_c_mes4[[#This Row],[CUIT]],Lista_CUIT[#All],2,0)),"CUIT NO CARGADO")</f>
        <v>JANEIRO VERONICA BELEN</v>
      </c>
      <c r="I177" s="179">
        <v>160000</v>
      </c>
      <c r="J177" s="679" t="str">
        <f>IFERROR(IF(factura_c_mes4[[#This Row],[CUIT]]="","-",VLOOKUP(factura_c_mes4[[#This Row],[CUIT]],Lista_CUIT[#All],3,0)),"CUIT NO CARGADO")</f>
        <v>Gastos Varios</v>
      </c>
      <c r="K177" s="54">
        <f>IFERROR(IF(factura_c_mes4[[#This Row],[CUIT]]="","-",VLOOKUP(factura_c_mes4[[#This Row],[CUIT]],Lista_CUIT[#All],4,0)),"CUIT NO CARGADO")</f>
        <v>0</v>
      </c>
    </row>
    <row r="178" spans="4:11">
      <c r="D178" s="50" t="s">
        <v>2140</v>
      </c>
      <c r="E178" s="132">
        <v>2</v>
      </c>
      <c r="F178" s="132">
        <v>4095</v>
      </c>
      <c r="G178" s="119">
        <v>20136536320</v>
      </c>
      <c r="H178" s="53" t="str">
        <f>IFERROR(IF(factura_c_mes4[[#This Row],[CUIT]]="","-",VLOOKUP(factura_c_mes4[[#This Row],[CUIT]],Lista_CUIT[#All],2,0)),"CUIT NO CARGADO")</f>
        <v>FONTENLA ERNESTO MARIO</v>
      </c>
      <c r="I178" s="179">
        <v>13500</v>
      </c>
      <c r="J178" s="679" t="str">
        <f>IFERROR(IF(factura_c_mes4[[#This Row],[CUIT]]="","-",VLOOKUP(factura_c_mes4[[#This Row],[CUIT]],Lista_CUIT[#All],3,0)),"CUIT NO CARGADO")</f>
        <v>Gastos Varios</v>
      </c>
      <c r="K178" s="54" t="str">
        <f>IFERROR(IF(factura_c_mes4[[#This Row],[CUIT]]="","-",VLOOKUP(factura_c_mes4[[#This Row],[CUIT]],Lista_CUIT[#All],4,0)),"CUIT NO CARGADO")</f>
        <v>CABA</v>
      </c>
    </row>
    <row r="179" spans="4:11">
      <c r="D179" s="50" t="s">
        <v>2140</v>
      </c>
      <c r="E179" s="132">
        <v>2</v>
      </c>
      <c r="F179" s="132">
        <v>4096</v>
      </c>
      <c r="G179" s="119">
        <v>20136536320</v>
      </c>
      <c r="H179" s="53" t="str">
        <f>IFERROR(IF(factura_c_mes4[[#This Row],[CUIT]]="","-",VLOOKUP(factura_c_mes4[[#This Row],[CUIT]],Lista_CUIT[#All],2,0)),"CUIT NO CARGADO")</f>
        <v>FONTENLA ERNESTO MARIO</v>
      </c>
      <c r="I179" s="179">
        <v>10600</v>
      </c>
      <c r="J179" s="679" t="str">
        <f>IFERROR(IF(factura_c_mes4[[#This Row],[CUIT]]="","-",VLOOKUP(factura_c_mes4[[#This Row],[CUIT]],Lista_CUIT[#All],3,0)),"CUIT NO CARGADO")</f>
        <v>Gastos Varios</v>
      </c>
      <c r="K179" s="54" t="str">
        <f>IFERROR(IF(factura_c_mes4[[#This Row],[CUIT]]="","-",VLOOKUP(factura_c_mes4[[#This Row],[CUIT]],Lista_CUIT[#All],4,0)),"CUIT NO CARGADO")</f>
        <v>CABA</v>
      </c>
    </row>
    <row r="180" spans="4:11">
      <c r="D180" s="50" t="s">
        <v>2141</v>
      </c>
      <c r="E180" s="132">
        <v>2</v>
      </c>
      <c r="F180" s="132">
        <v>4099</v>
      </c>
      <c r="G180" s="119">
        <v>20136536320</v>
      </c>
      <c r="H180" s="53" t="str">
        <f>IFERROR(IF(factura_c_mes4[[#This Row],[CUIT]]="","-",VLOOKUP(factura_c_mes4[[#This Row],[CUIT]],Lista_CUIT[#All],2,0)),"CUIT NO CARGADO")</f>
        <v>FONTENLA ERNESTO MARIO</v>
      </c>
      <c r="I180" s="179">
        <v>17400</v>
      </c>
      <c r="J180" s="679" t="str">
        <f>IFERROR(IF(factura_c_mes4[[#This Row],[CUIT]]="","-",VLOOKUP(factura_c_mes4[[#This Row],[CUIT]],Lista_CUIT[#All],3,0)),"CUIT NO CARGADO")</f>
        <v>Gastos Varios</v>
      </c>
      <c r="K180" s="54" t="str">
        <f>IFERROR(IF(factura_c_mes4[[#This Row],[CUIT]]="","-",VLOOKUP(factura_c_mes4[[#This Row],[CUIT]],Lista_CUIT[#All],4,0)),"CUIT NO CARGADO")</f>
        <v>CABA</v>
      </c>
    </row>
    <row r="181" spans="4:11">
      <c r="D181" s="50" t="s">
        <v>2144</v>
      </c>
      <c r="E181" s="132">
        <v>2</v>
      </c>
      <c r="F181" s="132">
        <v>4109</v>
      </c>
      <c r="G181" s="119">
        <v>20136536320</v>
      </c>
      <c r="H181" s="53" t="str">
        <f>IFERROR(IF(factura_c_mes4[[#This Row],[CUIT]]="","-",VLOOKUP(factura_c_mes4[[#This Row],[CUIT]],Lista_CUIT[#All],2,0)),"CUIT NO CARGADO")</f>
        <v>FONTENLA ERNESTO MARIO</v>
      </c>
      <c r="I181" s="179">
        <v>25000</v>
      </c>
      <c r="J181" s="679" t="str">
        <f>IFERROR(IF(factura_c_mes4[[#This Row],[CUIT]]="","-",VLOOKUP(factura_c_mes4[[#This Row],[CUIT]],Lista_CUIT[#All],3,0)),"CUIT NO CARGADO")</f>
        <v>Gastos Varios</v>
      </c>
      <c r="K181" s="54" t="str">
        <f>IFERROR(IF(factura_c_mes4[[#This Row],[CUIT]]="","-",VLOOKUP(factura_c_mes4[[#This Row],[CUIT]],Lista_CUIT[#All],4,0)),"CUIT NO CARGADO")</f>
        <v>CABA</v>
      </c>
    </row>
    <row r="182" spans="4:11">
      <c r="D182" s="415" t="s">
        <v>2146</v>
      </c>
      <c r="E182" s="415">
        <v>2</v>
      </c>
      <c r="F182" s="415">
        <v>4115</v>
      </c>
      <c r="G182" s="416">
        <v>20136536320</v>
      </c>
      <c r="H182" s="417" t="str">
        <f>IFERROR(IF(factura_c_mes4[[#This Row],[CUIT]]="","-",VLOOKUP(factura_c_mes4[[#This Row],[CUIT]],Lista_CUIT[#All],2,0)),"CUIT NO CARGADO")</f>
        <v>FONTENLA ERNESTO MARIO</v>
      </c>
      <c r="I182" s="418">
        <v>13140</v>
      </c>
      <c r="J182" s="681" t="str">
        <f>IFERROR(IF(factura_c_mes4[[#This Row],[CUIT]]="","-",VLOOKUP(factura_c_mes4[[#This Row],[CUIT]],Lista_CUIT[#All],3,0)),"CUIT NO CARGADO")</f>
        <v>Gastos Varios</v>
      </c>
      <c r="K182" s="419" t="str">
        <f>IFERROR(IF(factura_c_mes4[[#This Row],[CUIT]]="","-",VLOOKUP(factura_c_mes4[[#This Row],[CUIT]],Lista_CUIT[#All],4,0)),"CUIT NO CARGADO")</f>
        <v>CABA</v>
      </c>
    </row>
    <row r="183" spans="4:11">
      <c r="D183" s="415" t="s">
        <v>2146</v>
      </c>
      <c r="E183" s="415">
        <v>2</v>
      </c>
      <c r="F183" s="415">
        <v>4117</v>
      </c>
      <c r="G183" s="416">
        <v>20136536320</v>
      </c>
      <c r="H183" s="417" t="str">
        <f>IFERROR(IF(factura_c_mes4[[#This Row],[CUIT]]="","-",VLOOKUP(factura_c_mes4[[#This Row],[CUIT]],Lista_CUIT[#All],2,0)),"CUIT NO CARGADO")</f>
        <v>FONTENLA ERNESTO MARIO</v>
      </c>
      <c r="I183" s="418">
        <v>5300</v>
      </c>
      <c r="J183" s="681" t="str">
        <f>IFERROR(IF(factura_c_mes4[[#This Row],[CUIT]]="","-",VLOOKUP(factura_c_mes4[[#This Row],[CUIT]],Lista_CUIT[#All],3,0)),"CUIT NO CARGADO")</f>
        <v>Gastos Varios</v>
      </c>
      <c r="K183" s="419" t="str">
        <f>IFERROR(IF(factura_c_mes4[[#This Row],[CUIT]]="","-",VLOOKUP(factura_c_mes4[[#This Row],[CUIT]],Lista_CUIT[#All],4,0)),"CUIT NO CARGADO")</f>
        <v>CABA</v>
      </c>
    </row>
    <row r="184" spans="4:11">
      <c r="D184" s="415" t="s">
        <v>2147</v>
      </c>
      <c r="E184" s="415">
        <v>2</v>
      </c>
      <c r="F184" s="415">
        <v>4118</v>
      </c>
      <c r="G184" s="416">
        <v>20136536320</v>
      </c>
      <c r="H184" s="417" t="str">
        <f>IFERROR(IF(factura_c_mes4[[#This Row],[CUIT]]="","-",VLOOKUP(factura_c_mes4[[#This Row],[CUIT]],Lista_CUIT[#All],2,0)),"CUIT NO CARGADO")</f>
        <v>FONTENLA ERNESTO MARIO</v>
      </c>
      <c r="I184" s="418">
        <v>3480</v>
      </c>
      <c r="J184" s="681" t="str">
        <f>IFERROR(IF(factura_c_mes4[[#This Row],[CUIT]]="","-",VLOOKUP(factura_c_mes4[[#This Row],[CUIT]],Lista_CUIT[#All],3,0)),"CUIT NO CARGADO")</f>
        <v>Gastos Varios</v>
      </c>
      <c r="K184" s="419" t="str">
        <f>IFERROR(IF(factura_c_mes4[[#This Row],[CUIT]]="","-",VLOOKUP(factura_c_mes4[[#This Row],[CUIT]],Lista_CUIT[#All],4,0)),"CUIT NO CARGADO")</f>
        <v>CABA</v>
      </c>
    </row>
    <row r="185" spans="4:11">
      <c r="D185" s="415" t="s">
        <v>2148</v>
      </c>
      <c r="E185" s="415">
        <v>2</v>
      </c>
      <c r="F185" s="415">
        <v>4120</v>
      </c>
      <c r="G185" s="416">
        <v>20136536320</v>
      </c>
      <c r="H185" s="417" t="str">
        <f>IFERROR(IF(factura_c_mes4[[#This Row],[CUIT]]="","-",VLOOKUP(factura_c_mes4[[#This Row],[CUIT]],Lista_CUIT[#All],2,0)),"CUIT NO CARGADO")</f>
        <v>FONTENLA ERNESTO MARIO</v>
      </c>
      <c r="I185" s="418">
        <v>18700</v>
      </c>
      <c r="J185" s="681" t="str">
        <f>IFERROR(IF(factura_c_mes4[[#This Row],[CUIT]]="","-",VLOOKUP(factura_c_mes4[[#This Row],[CUIT]],Lista_CUIT[#All],3,0)),"CUIT NO CARGADO")</f>
        <v>Gastos Varios</v>
      </c>
      <c r="K185" s="419" t="str">
        <f>IFERROR(IF(factura_c_mes4[[#This Row],[CUIT]]="","-",VLOOKUP(factura_c_mes4[[#This Row],[CUIT]],Lista_CUIT[#All],4,0)),"CUIT NO CARGADO")</f>
        <v>CABA</v>
      </c>
    </row>
    <row r="186" spans="4:11">
      <c r="D186" s="415" t="s">
        <v>2149</v>
      </c>
      <c r="E186" s="415">
        <v>3</v>
      </c>
      <c r="F186" s="415">
        <v>195</v>
      </c>
      <c r="G186" s="416">
        <v>23323951594</v>
      </c>
      <c r="H186" s="417" t="str">
        <f>IFERROR(IF(factura_c_mes4[[#This Row],[CUIT]]="","-",VLOOKUP(factura_c_mes4[[#This Row],[CUIT]],Lista_CUIT[#All],2,0)),"CUIT NO CARGADO")</f>
        <v>D'AGOSTINO PAULA</v>
      </c>
      <c r="I186" s="418">
        <v>50000</v>
      </c>
      <c r="J186" s="681" t="str">
        <f>IFERROR(IF(factura_c_mes4[[#This Row],[CUIT]]="","-",VLOOKUP(factura_c_mes4[[#This Row],[CUIT]],Lista_CUIT[#All],3,0)),"CUIT NO CARGADO")</f>
        <v>Gastos Varios</v>
      </c>
      <c r="K186" s="419">
        <f>IFERROR(IF(factura_c_mes4[[#This Row],[CUIT]]="","-",VLOOKUP(factura_c_mes4[[#This Row],[CUIT]],Lista_CUIT[#All],4,0)),"CUIT NO CARGADO")</f>
        <v>0</v>
      </c>
    </row>
    <row r="187" spans="4:11">
      <c r="D187" s="415" t="s">
        <v>2150</v>
      </c>
      <c r="E187" s="415">
        <v>2</v>
      </c>
      <c r="F187" s="415">
        <v>4132</v>
      </c>
      <c r="G187" s="416">
        <v>20136536320</v>
      </c>
      <c r="H187" s="417" t="str">
        <f>IFERROR(IF(factura_c_mes4[[#This Row],[CUIT]]="","-",VLOOKUP(factura_c_mes4[[#This Row],[CUIT]],Lista_CUIT[#All],2,0)),"CUIT NO CARGADO")</f>
        <v>FONTENLA ERNESTO MARIO</v>
      </c>
      <c r="I187" s="418">
        <v>17500</v>
      </c>
      <c r="J187" s="681" t="str">
        <f>IFERROR(IF(factura_c_mes4[[#This Row],[CUIT]]="","-",VLOOKUP(factura_c_mes4[[#This Row],[CUIT]],Lista_CUIT[#All],3,0)),"CUIT NO CARGADO")</f>
        <v>Gastos Varios</v>
      </c>
      <c r="K187" s="419" t="str">
        <f>IFERROR(IF(factura_c_mes4[[#This Row],[CUIT]]="","-",VLOOKUP(factura_c_mes4[[#This Row],[CUIT]],Lista_CUIT[#All],4,0)),"CUIT NO CARGADO")</f>
        <v>CABA</v>
      </c>
    </row>
    <row r="188" spans="4:11">
      <c r="D188" s="415" t="s">
        <v>2150</v>
      </c>
      <c r="E188" s="415">
        <v>3</v>
      </c>
      <c r="F188" s="415">
        <v>1010</v>
      </c>
      <c r="G188" s="416">
        <v>20173025557</v>
      </c>
      <c r="H188" s="417" t="str">
        <f>IFERROR(IF(factura_c_mes4[[#This Row],[CUIT]]="","-",VLOOKUP(factura_c_mes4[[#This Row],[CUIT]],Lista_CUIT[#All],2,0)),"CUIT NO CARGADO")</f>
        <v>MARAUDA HECTOR</v>
      </c>
      <c r="I188" s="418">
        <v>4500</v>
      </c>
      <c r="J188" s="681" t="str">
        <f>IFERROR(IF(factura_c_mes4[[#This Row],[CUIT]]="","-",VLOOKUP(factura_c_mes4[[#This Row],[CUIT]],Lista_CUIT[#All],3,0)),"CUIT NO CARGADO")</f>
        <v>Gastos Varios</v>
      </c>
      <c r="K188" s="419">
        <f>IFERROR(IF(factura_c_mes4[[#This Row],[CUIT]]="","-",VLOOKUP(factura_c_mes4[[#This Row],[CUIT]],Lista_CUIT[#All],4,0)),"CUIT NO CARGADO")</f>
        <v>0</v>
      </c>
    </row>
    <row r="189" spans="4:11">
      <c r="D189" s="415" t="s">
        <v>2151</v>
      </c>
      <c r="E189" s="415">
        <v>2</v>
      </c>
      <c r="F189" s="415">
        <v>4150</v>
      </c>
      <c r="G189" s="416">
        <v>20136536320</v>
      </c>
      <c r="H189" s="417" t="str">
        <f>IFERROR(IF(factura_c_mes4[[#This Row],[CUIT]]="","-",VLOOKUP(factura_c_mes4[[#This Row],[CUIT]],Lista_CUIT[#All],2,0)),"CUIT NO CARGADO")</f>
        <v>FONTENLA ERNESTO MARIO</v>
      </c>
      <c r="I189" s="418">
        <v>2700</v>
      </c>
      <c r="J189" s="681" t="str">
        <f>IFERROR(IF(factura_c_mes4[[#This Row],[CUIT]]="","-",VLOOKUP(factura_c_mes4[[#This Row],[CUIT]],Lista_CUIT[#All],3,0)),"CUIT NO CARGADO")</f>
        <v>Gastos Varios</v>
      </c>
      <c r="K189" s="419" t="str">
        <f>IFERROR(IF(factura_c_mes4[[#This Row],[CUIT]]="","-",VLOOKUP(factura_c_mes4[[#This Row],[CUIT]],Lista_CUIT[#All],4,0)),"CUIT NO CARGADO")</f>
        <v>CABA</v>
      </c>
    </row>
    <row r="190" spans="4:11">
      <c r="D190" s="415" t="s">
        <v>2151</v>
      </c>
      <c r="E190" s="415">
        <v>2</v>
      </c>
      <c r="F190" s="415">
        <v>4151</v>
      </c>
      <c r="G190" s="416">
        <v>20136536320</v>
      </c>
      <c r="H190" s="417" t="str">
        <f>IFERROR(IF(factura_c_mes4[[#This Row],[CUIT]]="","-",VLOOKUP(factura_c_mes4[[#This Row],[CUIT]],Lista_CUIT[#All],2,0)),"CUIT NO CARGADO")</f>
        <v>FONTENLA ERNESTO MARIO</v>
      </c>
      <c r="I190" s="418">
        <v>5400</v>
      </c>
      <c r="J190" s="681" t="str">
        <f>IFERROR(IF(factura_c_mes4[[#This Row],[CUIT]]="","-",VLOOKUP(factura_c_mes4[[#This Row],[CUIT]],Lista_CUIT[#All],3,0)),"CUIT NO CARGADO")</f>
        <v>Gastos Varios</v>
      </c>
      <c r="K190" s="419" t="str">
        <f>IFERROR(IF(factura_c_mes4[[#This Row],[CUIT]]="","-",VLOOKUP(factura_c_mes4[[#This Row],[CUIT]],Lista_CUIT[#All],4,0)),"CUIT NO CARGADO")</f>
        <v>CABA</v>
      </c>
    </row>
    <row r="191" spans="4:11">
      <c r="D191" s="415" t="s">
        <v>2151</v>
      </c>
      <c r="E191" s="415">
        <v>2</v>
      </c>
      <c r="F191" s="415">
        <v>4152</v>
      </c>
      <c r="G191" s="416">
        <v>20136536320</v>
      </c>
      <c r="H191" s="417" t="str">
        <f>IFERROR(IF(factura_c_mes4[[#This Row],[CUIT]]="","-",VLOOKUP(factura_c_mes4[[#This Row],[CUIT]],Lista_CUIT[#All],2,0)),"CUIT NO CARGADO")</f>
        <v>FONTENLA ERNESTO MARIO</v>
      </c>
      <c r="I191" s="418">
        <v>4000</v>
      </c>
      <c r="J191" s="681" t="str">
        <f>IFERROR(IF(factura_c_mes4[[#This Row],[CUIT]]="","-",VLOOKUP(factura_c_mes4[[#This Row],[CUIT]],Lista_CUIT[#All],3,0)),"CUIT NO CARGADO")</f>
        <v>Gastos Varios</v>
      </c>
      <c r="K191" s="419" t="str">
        <f>IFERROR(IF(factura_c_mes4[[#This Row],[CUIT]]="","-",VLOOKUP(factura_c_mes4[[#This Row],[CUIT]],Lista_CUIT[#All],4,0)),"CUIT NO CARGADO")</f>
        <v>CABA</v>
      </c>
    </row>
    <row r="192" spans="4:11">
      <c r="D192" s="415" t="s">
        <v>2152</v>
      </c>
      <c r="E192" s="415">
        <v>2</v>
      </c>
      <c r="F192" s="415">
        <v>4159</v>
      </c>
      <c r="G192" s="416">
        <v>20136536320</v>
      </c>
      <c r="H192" s="417" t="str">
        <f>IFERROR(IF(factura_c_mes4[[#This Row],[CUIT]]="","-",VLOOKUP(factura_c_mes4[[#This Row],[CUIT]],Lista_CUIT[#All],2,0)),"CUIT NO CARGADO")</f>
        <v>FONTENLA ERNESTO MARIO</v>
      </c>
      <c r="I192" s="418">
        <v>2400</v>
      </c>
      <c r="J192" s="681" t="str">
        <f>IFERROR(IF(factura_c_mes4[[#This Row],[CUIT]]="","-",VLOOKUP(factura_c_mes4[[#This Row],[CUIT]],Lista_CUIT[#All],3,0)),"CUIT NO CARGADO")</f>
        <v>Gastos Varios</v>
      </c>
      <c r="K192" s="419" t="str">
        <f>IFERROR(IF(factura_c_mes4[[#This Row],[CUIT]]="","-",VLOOKUP(factura_c_mes4[[#This Row],[CUIT]],Lista_CUIT[#All],4,0)),"CUIT NO CARGADO")</f>
        <v>CABA</v>
      </c>
    </row>
    <row r="193" spans="4:11">
      <c r="D193" s="415" t="s">
        <v>2152</v>
      </c>
      <c r="E193" s="415">
        <v>2</v>
      </c>
      <c r="F193" s="415">
        <v>4156</v>
      </c>
      <c r="G193" s="416">
        <v>20136536320</v>
      </c>
      <c r="H193" s="417" t="str">
        <f>IFERROR(IF(factura_c_mes4[[#This Row],[CUIT]]="","-",VLOOKUP(factura_c_mes4[[#This Row],[CUIT]],Lista_CUIT[#All],2,0)),"CUIT NO CARGADO")</f>
        <v>FONTENLA ERNESTO MARIO</v>
      </c>
      <c r="I193" s="418">
        <v>9500</v>
      </c>
      <c r="J193" s="681" t="str">
        <f>IFERROR(IF(factura_c_mes4[[#This Row],[CUIT]]="","-",VLOOKUP(factura_c_mes4[[#This Row],[CUIT]],Lista_CUIT[#All],3,0)),"CUIT NO CARGADO")</f>
        <v>Gastos Varios</v>
      </c>
      <c r="K193" s="419" t="str">
        <f>IFERROR(IF(factura_c_mes4[[#This Row],[CUIT]]="","-",VLOOKUP(factura_c_mes4[[#This Row],[CUIT]],Lista_CUIT[#All],4,0)),"CUIT NO CARGADO")</f>
        <v>CABA</v>
      </c>
    </row>
    <row r="194" spans="4:11">
      <c r="D194" s="415" t="s">
        <v>2153</v>
      </c>
      <c r="E194" s="415">
        <v>2</v>
      </c>
      <c r="F194" s="415">
        <v>4160</v>
      </c>
      <c r="G194" s="416">
        <v>20136536320</v>
      </c>
      <c r="H194" s="417" t="str">
        <f>IFERROR(IF(factura_c_mes4[[#This Row],[CUIT]]="","-",VLOOKUP(factura_c_mes4[[#This Row],[CUIT]],Lista_CUIT[#All],2,0)),"CUIT NO CARGADO")</f>
        <v>FONTENLA ERNESTO MARIO</v>
      </c>
      <c r="I194" s="418">
        <v>6300</v>
      </c>
      <c r="J194" s="681" t="str">
        <f>IFERROR(IF(factura_c_mes4[[#This Row],[CUIT]]="","-",VLOOKUP(factura_c_mes4[[#This Row],[CUIT]],Lista_CUIT[#All],3,0)),"CUIT NO CARGADO")</f>
        <v>Gastos Varios</v>
      </c>
      <c r="K194" s="419" t="str">
        <f>IFERROR(IF(factura_c_mes4[[#This Row],[CUIT]]="","-",VLOOKUP(factura_c_mes4[[#This Row],[CUIT]],Lista_CUIT[#All],4,0)),"CUIT NO CARGADO")</f>
        <v>CABA</v>
      </c>
    </row>
    <row r="195" spans="4:11">
      <c r="D195" s="415" t="s">
        <v>2153</v>
      </c>
      <c r="E195" s="415">
        <v>2</v>
      </c>
      <c r="F195" s="415">
        <v>4161</v>
      </c>
      <c r="G195" s="416">
        <v>20136536320</v>
      </c>
      <c r="H195" s="417" t="str">
        <f>IFERROR(IF(factura_c_mes4[[#This Row],[CUIT]]="","-",VLOOKUP(factura_c_mes4[[#This Row],[CUIT]],Lista_CUIT[#All],2,0)),"CUIT NO CARGADO")</f>
        <v>FONTENLA ERNESTO MARIO</v>
      </c>
      <c r="I195" s="418">
        <v>5700</v>
      </c>
      <c r="J195" s="681" t="str">
        <f>IFERROR(IF(factura_c_mes4[[#This Row],[CUIT]]="","-",VLOOKUP(factura_c_mes4[[#This Row],[CUIT]],Lista_CUIT[#All],3,0)),"CUIT NO CARGADO")</f>
        <v>Gastos Varios</v>
      </c>
      <c r="K195" s="419" t="str">
        <f>IFERROR(IF(factura_c_mes4[[#This Row],[CUIT]]="","-",VLOOKUP(factura_c_mes4[[#This Row],[CUIT]],Lista_CUIT[#All],4,0)),"CUIT NO CARGADO")</f>
        <v>CABA</v>
      </c>
    </row>
    <row r="196" spans="4:11">
      <c r="D196" s="415" t="s">
        <v>2154</v>
      </c>
      <c r="E196" s="415">
        <v>4</v>
      </c>
      <c r="F196" s="415">
        <v>946</v>
      </c>
      <c r="G196" s="416">
        <v>23242717589</v>
      </c>
      <c r="H196" s="417" t="str">
        <f>IFERROR(IF(factura_c_mes4[[#This Row],[CUIT]]="","-",VLOOKUP(factura_c_mes4[[#This Row],[CUIT]],Lista_CUIT[#All],2,0)),"CUIT NO CARGADO")</f>
        <v>PANIZO DIEGO SEBASTIAN</v>
      </c>
      <c r="I196" s="418">
        <v>4850</v>
      </c>
      <c r="J196" s="681" t="str">
        <f>IFERROR(IF(factura_c_mes4[[#This Row],[CUIT]]="","-",VLOOKUP(factura_c_mes4[[#This Row],[CUIT]],Lista_CUIT[#All],3,0)),"CUIT NO CARGADO")</f>
        <v>Gastos Varios</v>
      </c>
      <c r="K196" s="419">
        <f>IFERROR(IF(factura_c_mes4[[#This Row],[CUIT]]="","-",VLOOKUP(factura_c_mes4[[#This Row],[CUIT]],Lista_CUIT[#All],4,0)),"CUIT NO CARGADO")</f>
        <v>0</v>
      </c>
    </row>
    <row r="197" spans="4:11">
      <c r="D197" s="415" t="s">
        <v>2156</v>
      </c>
      <c r="E197" s="415">
        <v>2</v>
      </c>
      <c r="F197" s="415">
        <v>4165</v>
      </c>
      <c r="G197" s="416">
        <v>20136536320</v>
      </c>
      <c r="H197" s="417" t="str">
        <f>IFERROR(IF(factura_c_mes4[[#This Row],[CUIT]]="","-",VLOOKUP(factura_c_mes4[[#This Row],[CUIT]],Lista_CUIT[#All],2,0)),"CUIT NO CARGADO")</f>
        <v>FONTENLA ERNESTO MARIO</v>
      </c>
      <c r="I197" s="418">
        <v>2100</v>
      </c>
      <c r="J197" s="681" t="str">
        <f>IFERROR(IF(factura_c_mes4[[#This Row],[CUIT]]="","-",VLOOKUP(factura_c_mes4[[#This Row],[CUIT]],Lista_CUIT[#All],3,0)),"CUIT NO CARGADO")</f>
        <v>Gastos Varios</v>
      </c>
      <c r="K197" s="419" t="str">
        <f>IFERROR(IF(factura_c_mes4[[#This Row],[CUIT]]="","-",VLOOKUP(factura_c_mes4[[#This Row],[CUIT]],Lista_CUIT[#All],4,0)),"CUIT NO CARGADO")</f>
        <v>CABA</v>
      </c>
    </row>
    <row r="198" spans="4:11">
      <c r="D198" s="415" t="s">
        <v>2157</v>
      </c>
      <c r="E198" s="415">
        <v>2</v>
      </c>
      <c r="F198" s="415">
        <v>4176</v>
      </c>
      <c r="G198" s="416">
        <v>20136536320</v>
      </c>
      <c r="H198" s="417" t="str">
        <f>IFERROR(IF(factura_c_mes4[[#This Row],[CUIT]]="","-",VLOOKUP(factura_c_mes4[[#This Row],[CUIT]],Lista_CUIT[#All],2,0)),"CUIT NO CARGADO")</f>
        <v>FONTENLA ERNESTO MARIO</v>
      </c>
      <c r="I198" s="418">
        <v>1250</v>
      </c>
      <c r="J198" s="681" t="str">
        <f>IFERROR(IF(factura_c_mes4[[#This Row],[CUIT]]="","-",VLOOKUP(factura_c_mes4[[#This Row],[CUIT]],Lista_CUIT[#All],3,0)),"CUIT NO CARGADO")</f>
        <v>Gastos Varios</v>
      </c>
      <c r="K198" s="419" t="str">
        <f>IFERROR(IF(factura_c_mes4[[#This Row],[CUIT]]="","-",VLOOKUP(factura_c_mes4[[#This Row],[CUIT]],Lista_CUIT[#All],4,0)),"CUIT NO CARGADO")</f>
        <v>CABA</v>
      </c>
    </row>
    <row r="199" spans="4:11">
      <c r="D199" s="415" t="s">
        <v>2145</v>
      </c>
      <c r="E199" s="415">
        <v>1</v>
      </c>
      <c r="F199" s="415">
        <v>13</v>
      </c>
      <c r="G199" s="416">
        <v>20394167216</v>
      </c>
      <c r="H199" s="417" t="str">
        <f>IFERROR(IF(factura_c_mes4[[#This Row],[CUIT]]="","-",VLOOKUP(factura_c_mes4[[#This Row],[CUIT]],Lista_CUIT[#All],2,0)),"CUIT NO CARGADO")</f>
        <v>CASTILLO SANTIAGO JESUS</v>
      </c>
      <c r="I199" s="418">
        <v>240000</v>
      </c>
      <c r="J199" s="681" t="str">
        <f>IFERROR(IF(factura_c_mes4[[#This Row],[CUIT]]="","-",VLOOKUP(factura_c_mes4[[#This Row],[CUIT]],Lista_CUIT[#All],3,0)),"CUIT NO CARGADO")</f>
        <v>Honorarios Administrativos</v>
      </c>
      <c r="K199" s="419">
        <f>IFERROR(IF(factura_c_mes4[[#This Row],[CUIT]]="","-",VLOOKUP(factura_c_mes4[[#This Row],[CUIT]],Lista_CUIT[#All],4,0)),"CUIT NO CARGADO")</f>
        <v>0</v>
      </c>
    </row>
    <row r="200" spans="4:11">
      <c r="D200" s="50" t="s">
        <v>2139</v>
      </c>
      <c r="E200" s="132">
        <v>3</v>
      </c>
      <c r="F200" s="132">
        <v>836</v>
      </c>
      <c r="G200" s="119">
        <v>20086277523</v>
      </c>
      <c r="H200" s="53" t="str">
        <f>IFERROR(IF(factura_c_mes4[[#This Row],[CUIT]]="","-",VLOOKUP(factura_c_mes4[[#This Row],[CUIT]],Lista_CUIT[#All],2,0)),"CUIT NO CARGADO")</f>
        <v>BOTINDARI JUAN CARLOS</v>
      </c>
      <c r="I200" s="179">
        <v>180000</v>
      </c>
      <c r="J200" s="679" t="str">
        <f>IFERROR(IF(factura_c_mes4[[#This Row],[CUIT]]="","-",VLOOKUP(factura_c_mes4[[#This Row],[CUIT]],Lista_CUIT[#All],3,0)),"CUIT NO CARGADO")</f>
        <v>Honorarios Contables</v>
      </c>
      <c r="K200" s="54">
        <f>IFERROR(IF(factura_c_mes4[[#This Row],[CUIT]]="","-",VLOOKUP(factura_c_mes4[[#This Row],[CUIT]],Lista_CUIT[#All],4,0)),"CUIT NO CARGADO")</f>
        <v>0</v>
      </c>
    </row>
    <row r="201" spans="4:11">
      <c r="D201" s="50" t="s">
        <v>2143</v>
      </c>
      <c r="E201" s="132">
        <v>2</v>
      </c>
      <c r="F201" s="132">
        <v>285</v>
      </c>
      <c r="G201" s="119">
        <v>23319210954</v>
      </c>
      <c r="H201" s="53" t="str">
        <f>IFERROR(IF(factura_c_mes4[[#This Row],[CUIT]]="","-",VLOOKUP(factura_c_mes4[[#This Row],[CUIT]],Lista_CUIT[#All],2,0)),"CUIT NO CARGADO")</f>
        <v>CAFFARATTI ROMINA PAOLA</v>
      </c>
      <c r="I201" s="179">
        <v>104000</v>
      </c>
      <c r="J201" s="679" t="str">
        <f>IFERROR(IF(factura_c_mes4[[#This Row],[CUIT]]="","-",VLOOKUP(factura_c_mes4[[#This Row],[CUIT]],Lista_CUIT[#All],3,0)),"CUIT NO CARGADO")</f>
        <v>Honorarios Contables</v>
      </c>
      <c r="K201" s="54">
        <f>IFERROR(IF(factura_c_mes4[[#This Row],[CUIT]]="","-",VLOOKUP(factura_c_mes4[[#This Row],[CUIT]],Lista_CUIT[#All],4,0)),"CUIT NO CARGADO")</f>
        <v>0</v>
      </c>
    </row>
    <row r="202" spans="4:11">
      <c r="D202" s="50" t="s">
        <v>2139</v>
      </c>
      <c r="E202" s="132">
        <v>3</v>
      </c>
      <c r="F202" s="132">
        <v>472</v>
      </c>
      <c r="G202" s="119">
        <v>20210551574</v>
      </c>
      <c r="H202" s="53" t="str">
        <f>IFERROR(IF(factura_c_mes4[[#This Row],[CUIT]]="","-",VLOOKUP(factura_c_mes4[[#This Row],[CUIT]],Lista_CUIT[#All],2,0)),"CUIT NO CARGADO")</f>
        <v>REUS JORGE DIEGO</v>
      </c>
      <c r="I202" s="179">
        <v>171500</v>
      </c>
      <c r="J202" s="679" t="str">
        <f>IFERROR(IF(factura_c_mes4[[#This Row],[CUIT]]="","-",VLOOKUP(factura_c_mes4[[#This Row],[CUIT]],Lista_CUIT[#All],3,0)),"CUIT NO CARGADO")</f>
        <v>Honorarios Legales</v>
      </c>
      <c r="K202" s="54">
        <f>IFERROR(IF(factura_c_mes4[[#This Row],[CUIT]]="","-",VLOOKUP(factura_c_mes4[[#This Row],[CUIT]],Lista_CUIT[#All],4,0)),"CUIT NO CARGADO")</f>
        <v>0</v>
      </c>
    </row>
    <row r="203" spans="4:11">
      <c r="D203" s="415" t="s">
        <v>2155</v>
      </c>
      <c r="E203" s="415">
        <v>1</v>
      </c>
      <c r="F203" s="415">
        <v>12</v>
      </c>
      <c r="G203" s="416">
        <v>27414720450</v>
      </c>
      <c r="H203" s="417" t="str">
        <f>IFERROR(IF(factura_c_mes4[[#This Row],[CUIT]]="","-",VLOOKUP(factura_c_mes4[[#This Row],[CUIT]],Lista_CUIT[#All],2,0)),"CUIT NO CARGADO")</f>
        <v>PREITI MICAELA ORIANA</v>
      </c>
      <c r="I203" s="418">
        <v>270000</v>
      </c>
      <c r="J203" s="681" t="str">
        <f>IFERROR(IF(factura_c_mes4[[#This Row],[CUIT]]="","-",VLOOKUP(factura_c_mes4[[#This Row],[CUIT]],Lista_CUIT[#All],3,0)),"CUIT NO CARGADO")</f>
        <v>Honorarios Profesionales</v>
      </c>
      <c r="K203" s="419">
        <f>IFERROR(IF(factura_c_mes4[[#This Row],[CUIT]]="","-",VLOOKUP(factura_c_mes4[[#This Row],[CUIT]],Lista_CUIT[#All],4,0)),"CUIT NO CARGADO")</f>
        <v>0</v>
      </c>
    </row>
    <row r="204" spans="4:11">
      <c r="D204" s="415" t="s">
        <v>2157</v>
      </c>
      <c r="E204" s="415">
        <v>4</v>
      </c>
      <c r="F204" s="415">
        <v>407</v>
      </c>
      <c r="G204" s="416">
        <v>23222942934</v>
      </c>
      <c r="H204" s="417" t="str">
        <f>IFERROR(IF(factura_c_mes4[[#This Row],[CUIT]]="","-",VLOOKUP(factura_c_mes4[[#This Row],[CUIT]],Lista_CUIT[#All],2,0)),"CUIT NO CARGADO")</f>
        <v>FIORI SILVIA LORENA</v>
      </c>
      <c r="I204" s="418">
        <v>93500</v>
      </c>
      <c r="J204" s="681" t="str">
        <f>IFERROR(IF(factura_c_mes4[[#This Row],[CUIT]]="","-",VLOOKUP(factura_c_mes4[[#This Row],[CUIT]],Lista_CUIT[#All],3,0)),"CUIT NO CARGADO")</f>
        <v>Honorarios Profesionales</v>
      </c>
      <c r="K204" s="419">
        <f>IFERROR(IF(factura_c_mes4[[#This Row],[CUIT]]="","-",VLOOKUP(factura_c_mes4[[#This Row],[CUIT]],Lista_CUIT[#All],4,0)),"CUIT NO CARGADO")</f>
        <v>0</v>
      </c>
    </row>
    <row r="205" spans="4:11">
      <c r="D205" s="415" t="s">
        <v>2151</v>
      </c>
      <c r="E205" s="415">
        <v>1</v>
      </c>
      <c r="F205" s="415">
        <v>46</v>
      </c>
      <c r="G205" s="416">
        <v>20176922363</v>
      </c>
      <c r="H205" s="417" t="str">
        <f>IFERROR(IF(factura_c_mes4[[#This Row],[CUIT]]="","-",VLOOKUP(factura_c_mes4[[#This Row],[CUIT]],Lista_CUIT[#All],2,0)),"CUIT NO CARGADO")</f>
        <v>CASTILLO JUAN RAMON</v>
      </c>
      <c r="I205" s="418">
        <v>215270</v>
      </c>
      <c r="J205" s="681" t="str">
        <f>IFERROR(IF(factura_c_mes4[[#This Row],[CUIT]]="","-",VLOOKUP(factura_c_mes4[[#This Row],[CUIT]],Lista_CUIT[#All],3,0)),"CUIT NO CARGADO")</f>
        <v>Honorarios Profesionales</v>
      </c>
      <c r="K205" s="419">
        <f>IFERROR(IF(factura_c_mes4[[#This Row],[CUIT]]="","-",VLOOKUP(factura_c_mes4[[#This Row],[CUIT]],Lista_CUIT[#All],4,0)),"CUIT NO CARGADO")</f>
        <v>0</v>
      </c>
    </row>
    <row r="206" spans="4:11">
      <c r="D206" s="50" t="s">
        <v>2142</v>
      </c>
      <c r="E206" s="132">
        <v>2</v>
      </c>
      <c r="F206" s="132">
        <v>342</v>
      </c>
      <c r="G206" s="119">
        <v>20300814094</v>
      </c>
      <c r="H206" s="53" t="str">
        <f>IFERROR(IF(factura_c_mes4[[#This Row],[CUIT]]="","-",VLOOKUP(factura_c_mes4[[#This Row],[CUIT]],Lista_CUIT[#All],2,0)),"CUIT NO CARGADO")</f>
        <v>FARRAPEIRA OSCAR MAXIMO</v>
      </c>
      <c r="I206" s="179">
        <v>293121</v>
      </c>
      <c r="J206" s="679" t="str">
        <f>IFERROR(IF(factura_c_mes4[[#This Row],[CUIT]]="","-",VLOOKUP(factura_c_mes4[[#This Row],[CUIT]],Lista_CUIT[#All],3,0)),"CUIT NO CARGADO")</f>
        <v>Material de Empaque</v>
      </c>
      <c r="K206" s="54">
        <f>IFERROR(IF(factura_c_mes4[[#This Row],[CUIT]]="","-",VLOOKUP(factura_c_mes4[[#This Row],[CUIT]],Lista_CUIT[#All],4,0)),"CUIT NO CARGADO")</f>
        <v>0</v>
      </c>
    </row>
    <row r="207" spans="4:11">
      <c r="D207" s="415" t="s">
        <v>2156</v>
      </c>
      <c r="E207" s="415">
        <v>8</v>
      </c>
      <c r="F207" s="415">
        <v>588</v>
      </c>
      <c r="G207" s="416">
        <v>27409592487</v>
      </c>
      <c r="H207" s="417" t="str">
        <f>IFERROR(IF(factura_c_mes4[[#This Row],[CUIT]]="","-",VLOOKUP(factura_c_mes4[[#This Row],[CUIT]],Lista_CUIT[#All],2,0)),"CUIT NO CARGADO")</f>
        <v>BAUDONE ANTONELLA AGOSTINA</v>
      </c>
      <c r="I207" s="418">
        <v>127650</v>
      </c>
      <c r="J207" s="681" t="str">
        <f>IFERROR(IF(factura_c_mes4[[#This Row],[CUIT]]="","-",VLOOKUP(factura_c_mes4[[#This Row],[CUIT]],Lista_CUIT[#All],3,0)),"CUIT NO CARGADO")</f>
        <v>Material de Empaque</v>
      </c>
      <c r="K207" s="419">
        <f>IFERROR(IF(factura_c_mes4[[#This Row],[CUIT]]="","-",VLOOKUP(factura_c_mes4[[#This Row],[CUIT]],Lista_CUIT[#All],4,0)),"CUIT NO CARGADO")</f>
        <v>0</v>
      </c>
    </row>
    <row r="208" spans="4:11">
      <c r="D208" s="415"/>
      <c r="E208" s="415"/>
      <c r="F208" s="415"/>
      <c r="G208" s="416"/>
      <c r="H208" s="417"/>
      <c r="I208" s="418"/>
      <c r="J208" s="681"/>
      <c r="K208" s="419"/>
    </row>
    <row r="209" spans="2:18">
      <c r="D209" s="415"/>
      <c r="E209" s="415"/>
      <c r="F209" s="415"/>
      <c r="G209" s="416"/>
      <c r="H209" s="417"/>
      <c r="I209" s="418"/>
      <c r="J209" s="681"/>
      <c r="K209" s="419"/>
    </row>
    <row r="210" spans="2:18">
      <c r="D210" s="415"/>
      <c r="E210" s="415"/>
      <c r="F210" s="415"/>
      <c r="G210" s="416"/>
      <c r="H210" s="417"/>
      <c r="I210" s="418"/>
      <c r="J210" s="681"/>
      <c r="K210" s="419"/>
    </row>
    <row r="211" spans="2:18">
      <c r="D211" s="415"/>
      <c r="E211" s="415"/>
      <c r="F211" s="415"/>
      <c r="G211" s="416"/>
      <c r="H211" s="417"/>
      <c r="I211" s="418"/>
      <c r="J211" s="681"/>
      <c r="K211" s="419"/>
    </row>
    <row r="212" spans="2:18">
      <c r="D212" s="55" t="s">
        <v>103</v>
      </c>
      <c r="E212" s="55"/>
      <c r="F212" s="55"/>
      <c r="G212" s="55"/>
      <c r="H212" s="57"/>
      <c r="I212" s="58">
        <f>SUBTOTAL(109,factura_c_mes4[TOTAL])</f>
        <v>2095361</v>
      </c>
      <c r="J212" s="55"/>
      <c r="K212" s="55"/>
    </row>
    <row r="213" spans="2:18">
      <c r="B213" s="56"/>
      <c r="C213" s="56"/>
      <c r="L213" s="56"/>
      <c r="M213" s="56"/>
      <c r="N213" s="56"/>
      <c r="O213" s="56"/>
      <c r="P213" s="56"/>
      <c r="Q213" s="56"/>
      <c r="R213" s="56"/>
    </row>
    <row r="218" spans="2:18" ht="26.25">
      <c r="B218" s="720" t="s">
        <v>29</v>
      </c>
      <c r="C218" s="720"/>
      <c r="D218" s="720"/>
      <c r="E218" s="720"/>
      <c r="F218" s="720"/>
      <c r="G218" s="720"/>
      <c r="H218" s="720"/>
      <c r="I218" s="720"/>
      <c r="J218" s="720"/>
      <c r="K218" s="716">
        <f>N1</f>
        <v>45017</v>
      </c>
      <c r="L218" s="716"/>
      <c r="M218" s="716"/>
    </row>
    <row r="220" spans="2:18" ht="21">
      <c r="B220" s="713" t="s">
        <v>1711</v>
      </c>
      <c r="C220" s="713"/>
    </row>
    <row r="221" spans="2:18" ht="31.5">
      <c r="B221" s="60" t="s">
        <v>0</v>
      </c>
      <c r="C221" s="61" t="s">
        <v>1</v>
      </c>
      <c r="D221" s="61" t="s">
        <v>21</v>
      </c>
      <c r="E221" s="61" t="s">
        <v>22</v>
      </c>
      <c r="F221" s="61" t="s">
        <v>3</v>
      </c>
      <c r="G221" s="61" t="s">
        <v>4</v>
      </c>
      <c r="H221" s="61" t="s">
        <v>23</v>
      </c>
      <c r="I221" s="61" t="s">
        <v>17</v>
      </c>
      <c r="J221" s="61" t="s">
        <v>7</v>
      </c>
      <c r="K221" s="61" t="s">
        <v>24</v>
      </c>
      <c r="L221" s="61" t="s">
        <v>10</v>
      </c>
      <c r="M221" s="62" t="s">
        <v>38</v>
      </c>
    </row>
    <row r="222" spans="2:18">
      <c r="B222" s="40"/>
      <c r="C222" s="41"/>
      <c r="D222" s="42"/>
      <c r="E222" s="43"/>
      <c r="F222" s="44"/>
      <c r="G222" s="99" t="str">
        <f>IFERROR(IF(venta_a_mes4[[#This Row],[CUIT]]="","-",VLOOKUP(venta_a_mes4[[#This Row],[CUIT]],Lista_CUIT[#All],2,0)),"CUIT NO CARGADO")</f>
        <v>-</v>
      </c>
      <c r="H222" s="100"/>
      <c r="I222" s="101">
        <f>venta_a_mes4[[#This Row],[IMPORTE NETO]]*0.21</f>
        <v>0</v>
      </c>
      <c r="J222" s="65"/>
      <c r="K222" s="65"/>
      <c r="L222" s="65">
        <f>SUM(venta_a_mes4[[#This Row],[IMPORTE NETO]:[EXENTO]])</f>
        <v>0</v>
      </c>
      <c r="M222" s="59"/>
    </row>
    <row r="223" spans="2:18">
      <c r="B223" s="40"/>
      <c r="C223" s="41"/>
      <c r="D223" s="42"/>
      <c r="E223" s="43"/>
      <c r="F223" s="44"/>
      <c r="G223" s="99" t="str">
        <f>IFERROR(IF(venta_a_mes4[[#This Row],[CUIT]]="","-",VLOOKUP(venta_a_mes4[[#This Row],[CUIT]],Lista_CUIT[#All],2,0)),"CUIT NO CARGADO")</f>
        <v>-</v>
      </c>
      <c r="H223" s="100"/>
      <c r="I223" s="101">
        <f>venta_a_mes4[[#This Row],[IMPORTE NETO]]*0.21</f>
        <v>0</v>
      </c>
      <c r="J223" s="65"/>
      <c r="K223" s="65"/>
      <c r="L223" s="65">
        <f>SUM(venta_a_mes4[[#This Row],[IMPORTE NETO]:[EXENTO]])</f>
        <v>0</v>
      </c>
      <c r="M223" s="59"/>
    </row>
    <row r="224" spans="2:18">
      <c r="B224" s="40"/>
      <c r="C224" s="41"/>
      <c r="D224" s="42"/>
      <c r="E224" s="43"/>
      <c r="F224" s="44"/>
      <c r="G224" s="99" t="str">
        <f>IFERROR(IF(venta_a_mes4[[#This Row],[CUIT]]="","-",VLOOKUP(venta_a_mes4[[#This Row],[CUIT]],Lista_CUIT[#All],2,0)),"CUIT NO CARGADO")</f>
        <v>-</v>
      </c>
      <c r="H224" s="100"/>
      <c r="I224" s="101">
        <f>venta_a_mes4[[#This Row],[IMPORTE NETO]]*0.21</f>
        <v>0</v>
      </c>
      <c r="J224" s="65"/>
      <c r="K224" s="65"/>
      <c r="L224" s="65">
        <f>SUM(venta_a_mes4[[#This Row],[IMPORTE NETO]:[EXENTO]])</f>
        <v>0</v>
      </c>
      <c r="M224" s="59"/>
    </row>
    <row r="225" spans="2:13">
      <c r="B225" s="40"/>
      <c r="C225" s="41"/>
      <c r="D225" s="42"/>
      <c r="E225" s="43"/>
      <c r="F225" s="44"/>
      <c r="G225" s="99" t="str">
        <f>IFERROR(IF(venta_a_mes4[[#This Row],[CUIT]]="","-",VLOOKUP(venta_a_mes4[[#This Row],[CUIT]],Lista_CUIT[#All],2,0)),"CUIT NO CARGADO")</f>
        <v>-</v>
      </c>
      <c r="H225" s="100"/>
      <c r="I225" s="101">
        <f>venta_a_mes4[[#This Row],[IMPORTE NETO]]*0.21</f>
        <v>0</v>
      </c>
      <c r="J225" s="65"/>
      <c r="K225" s="65"/>
      <c r="L225" s="65">
        <f>SUM(venta_a_mes4[[#This Row],[IMPORTE NETO]:[EXENTO]])</f>
        <v>0</v>
      </c>
      <c r="M225" s="59"/>
    </row>
    <row r="226" spans="2:13">
      <c r="B226" s="40"/>
      <c r="C226" s="41"/>
      <c r="D226" s="42"/>
      <c r="E226" s="43"/>
      <c r="F226" s="44"/>
      <c r="G226" s="99" t="str">
        <f>IFERROR(IF(venta_a_mes4[[#This Row],[CUIT]]="","-",VLOOKUP(venta_a_mes4[[#This Row],[CUIT]],Lista_CUIT[#All],2,0)),"CUIT NO CARGADO")</f>
        <v>-</v>
      </c>
      <c r="H226" s="100"/>
      <c r="I226" s="101">
        <f>venta_a_mes4[[#This Row],[IMPORTE NETO]]*0.21</f>
        <v>0</v>
      </c>
      <c r="J226" s="65"/>
      <c r="K226" s="65"/>
      <c r="L226" s="65">
        <f>SUM(venta_a_mes4[[#This Row],[IMPORTE NETO]:[EXENTO]])</f>
        <v>0</v>
      </c>
      <c r="M226" s="59"/>
    </row>
    <row r="227" spans="2:13">
      <c r="B227" s="66" t="s">
        <v>103</v>
      </c>
      <c r="C227" s="67"/>
      <c r="D227" s="67"/>
      <c r="E227" s="67"/>
      <c r="F227" s="67"/>
      <c r="G227" s="67"/>
      <c r="H227" s="69">
        <f>SUBTOTAL(109,venta_a_mes4[IMPORTE NETO])</f>
        <v>0</v>
      </c>
      <c r="I227" s="70">
        <f>SUBTOTAL(109,venta_a_mes4[IVA 21%])</f>
        <v>0</v>
      </c>
      <c r="J227" s="71">
        <f>SUBTOTAL(109,venta_a_mes4[IVA 10,5%])</f>
        <v>0</v>
      </c>
      <c r="K227" s="71">
        <f>SUBTOTAL(109,venta_a_mes4[EXENTO])</f>
        <v>0</v>
      </c>
      <c r="L227" s="71">
        <f>SUBTOTAL(109,venta_a_mes4[TOTAL])</f>
        <v>0</v>
      </c>
      <c r="M227" s="68">
        <f>SUBTOTAL(103,venta_a_mes4[Provincia])</f>
        <v>0</v>
      </c>
    </row>
    <row r="230" spans="2:13" ht="21">
      <c r="B230" s="713" t="s">
        <v>31</v>
      </c>
      <c r="C230" s="713"/>
    </row>
    <row r="231" spans="2:13" ht="31.5">
      <c r="B231" s="60" t="s">
        <v>0</v>
      </c>
      <c r="C231" s="61" t="s">
        <v>1</v>
      </c>
      <c r="D231" s="61" t="s">
        <v>21</v>
      </c>
      <c r="E231" s="61" t="s">
        <v>22</v>
      </c>
      <c r="F231" s="61" t="s">
        <v>3</v>
      </c>
      <c r="G231" s="61" t="s">
        <v>4</v>
      </c>
      <c r="H231" s="61" t="s">
        <v>23</v>
      </c>
      <c r="I231" s="61" t="s">
        <v>17</v>
      </c>
      <c r="J231" s="61" t="s">
        <v>7</v>
      </c>
      <c r="K231" s="61" t="s">
        <v>24</v>
      </c>
      <c r="L231" s="61" t="s">
        <v>10</v>
      </c>
      <c r="M231" s="62" t="s">
        <v>38</v>
      </c>
    </row>
    <row r="232" spans="2:13">
      <c r="B232" s="40"/>
      <c r="C232" s="41"/>
      <c r="D232" s="42"/>
      <c r="E232" s="43"/>
      <c r="F232" s="44"/>
      <c r="G232" s="1" t="str">
        <f>IFERROR(IF(ventas_b_mes4[[#This Row],[CUIT]]="","-",VLOOKUP(ventas_b_mes4[[#This Row],[CUIT]],Lista_CUIT[#All],2,0)),"CUIT NO CARGADO")</f>
        <v>-</v>
      </c>
      <c r="H232" s="64"/>
      <c r="I232" s="64"/>
      <c r="J232" s="64"/>
      <c r="K232" s="64"/>
      <c r="L232" s="64">
        <f>SUM(ventas_b_mes4[[#This Row],[IMPORTE NETO]:[EXENTO]])</f>
        <v>0</v>
      </c>
      <c r="M232" s="59"/>
    </row>
    <row r="233" spans="2:13">
      <c r="B233" s="40"/>
      <c r="C233" s="41"/>
      <c r="D233" s="42"/>
      <c r="E233" s="43"/>
      <c r="F233" s="44"/>
      <c r="G233" s="1"/>
      <c r="H233" s="64"/>
      <c r="I233" s="64"/>
      <c r="J233" s="64"/>
      <c r="K233" s="64"/>
      <c r="L233" s="64">
        <f>SUM(ventas_b_mes4[[#This Row],[IMPORTE NETO]:[EXENTO]])</f>
        <v>0</v>
      </c>
      <c r="M233" s="59"/>
    </row>
    <row r="234" spans="2:13">
      <c r="B234" s="40"/>
      <c r="C234" s="41"/>
      <c r="D234" s="42"/>
      <c r="E234" s="43"/>
      <c r="F234" s="44"/>
      <c r="G234" s="1"/>
      <c r="H234" s="64"/>
      <c r="I234" s="64"/>
      <c r="J234" s="64"/>
      <c r="K234" s="64"/>
      <c r="L234" s="64">
        <f>SUM(ventas_b_mes4[[#This Row],[IMPORTE NETO]:[EXENTO]])</f>
        <v>0</v>
      </c>
      <c r="M234" s="59"/>
    </row>
    <row r="235" spans="2:13">
      <c r="B235" s="40"/>
      <c r="C235" s="41"/>
      <c r="D235" s="42"/>
      <c r="E235" s="43"/>
      <c r="F235" s="44"/>
      <c r="G235" s="1"/>
      <c r="H235" s="64"/>
      <c r="I235" s="64"/>
      <c r="J235" s="64"/>
      <c r="K235" s="64"/>
      <c r="L235" s="64">
        <f>SUM(ventas_b_mes4[[#This Row],[IMPORTE NETO]:[EXENTO]])</f>
        <v>0</v>
      </c>
      <c r="M235" s="59"/>
    </row>
    <row r="236" spans="2:13">
      <c r="B236" s="40"/>
      <c r="C236" s="41"/>
      <c r="D236" s="42"/>
      <c r="E236" s="43"/>
      <c r="F236" s="44"/>
      <c r="G236" s="1"/>
      <c r="H236" s="64"/>
      <c r="I236" s="64"/>
      <c r="J236" s="64"/>
      <c r="K236" s="64"/>
      <c r="L236" s="64">
        <f>SUM(ventas_b_mes4[[#This Row],[IMPORTE NETO]:[EXENTO]])</f>
        <v>0</v>
      </c>
      <c r="M236" s="59"/>
    </row>
    <row r="237" spans="2:13">
      <c r="B237" s="40"/>
      <c r="C237" s="41"/>
      <c r="D237" s="42"/>
      <c r="E237" s="43"/>
      <c r="F237" s="44"/>
      <c r="G237" s="1"/>
      <c r="H237" s="64"/>
      <c r="I237" s="64"/>
      <c r="J237" s="64"/>
      <c r="K237" s="64"/>
      <c r="L237" s="64">
        <f>SUM(ventas_b_mes4[[#This Row],[IMPORTE NETO]:[EXENTO]])</f>
        <v>0</v>
      </c>
      <c r="M237" s="59"/>
    </row>
    <row r="238" spans="2:13">
      <c r="B238" s="66" t="s">
        <v>103</v>
      </c>
      <c r="C238" s="67"/>
      <c r="D238" s="67"/>
      <c r="E238" s="67"/>
      <c r="F238" s="67"/>
      <c r="G238" s="67"/>
      <c r="H238" s="77">
        <f>SUBTOTAL(109,ventas_b_mes4[IMPORTE NETO])</f>
        <v>0</v>
      </c>
      <c r="I238" s="77">
        <f>SUBTOTAL(109,ventas_b_mes4[IVA 21%])</f>
        <v>0</v>
      </c>
      <c r="J238" s="78">
        <f>SUBTOTAL(109,ventas_b_mes4[IVA 10,5%])</f>
        <v>0</v>
      </c>
      <c r="K238" s="78">
        <f>SUBTOTAL(109,ventas_b_mes4[EXENTO])</f>
        <v>0</v>
      </c>
      <c r="L238" s="78">
        <f>SUBTOTAL(109,ventas_b_mes4[TOTAL])</f>
        <v>0</v>
      </c>
      <c r="M238" s="68">
        <f>SUBTOTAL(103,ventas_b_mes4[Provincia])</f>
        <v>0</v>
      </c>
    </row>
    <row r="245" spans="3:12" ht="15.75" thickBot="1"/>
    <row r="246" spans="3:12" ht="15.75" thickTop="1">
      <c r="C246" s="726" t="s">
        <v>66</v>
      </c>
      <c r="D246" s="726"/>
      <c r="E246" s="726"/>
      <c r="F246" s="726"/>
      <c r="G246" s="726"/>
      <c r="H246" s="32"/>
      <c r="I246" s="32"/>
      <c r="J246" s="32"/>
    </row>
    <row r="247" spans="3:12" ht="15.75">
      <c r="C247" s="114" t="s">
        <v>67</v>
      </c>
      <c r="D247" s="115" t="s">
        <v>68</v>
      </c>
      <c r="E247" s="115" t="s">
        <v>105</v>
      </c>
      <c r="F247" s="115" t="s">
        <v>3</v>
      </c>
      <c r="G247" s="115" t="s">
        <v>4</v>
      </c>
      <c r="H247" s="116" t="s">
        <v>69</v>
      </c>
      <c r="I247" s="116" t="s">
        <v>70</v>
      </c>
      <c r="J247" s="116" t="s">
        <v>71</v>
      </c>
      <c r="K247" s="116" t="s">
        <v>72</v>
      </c>
      <c r="L247" s="116" t="s">
        <v>73</v>
      </c>
    </row>
    <row r="248" spans="3:12">
      <c r="C248" s="117"/>
      <c r="D248" s="118"/>
      <c r="E248" s="118"/>
      <c r="F248" s="119"/>
      <c r="G248" s="53" t="str">
        <f>IFERROR(IF(Retenciones_mes4[[#This Row],[CUIT]]="","-",VLOOKUP(Retenciones_mes4[[#This Row],[CUIT]],Lista_CUIT[#All],2,0)),"CUIT NO CARGADO")</f>
        <v>-</v>
      </c>
      <c r="H248" s="120"/>
      <c r="I248" s="120"/>
      <c r="J248" s="120"/>
      <c r="K248" s="120"/>
      <c r="L248" s="120"/>
    </row>
    <row r="249" spans="3:12">
      <c r="C249" s="117"/>
      <c r="D249" s="118"/>
      <c r="E249" s="118"/>
      <c r="F249" s="119"/>
      <c r="G249" s="53" t="str">
        <f>IFERROR(IF(Retenciones_mes4[[#This Row],[CUIT]]="","-",VLOOKUP(Retenciones_mes4[[#This Row],[CUIT]],Lista_CUIT[#All],2,0)),"CUIT NO CARGADO")</f>
        <v>-</v>
      </c>
      <c r="H249" s="120"/>
      <c r="I249" s="120"/>
      <c r="J249" s="120"/>
      <c r="K249" s="120"/>
      <c r="L249" s="120"/>
    </row>
    <row r="250" spans="3:12">
      <c r="C250" s="117"/>
      <c r="D250" s="118"/>
      <c r="E250" s="118"/>
      <c r="F250" s="119"/>
      <c r="G250" s="53" t="str">
        <f>IFERROR(IF(Retenciones_mes4[[#This Row],[CUIT]]="","-",VLOOKUP(Retenciones_mes4[[#This Row],[CUIT]],Lista_CUIT[#All],2,0)),"CUIT NO CARGADO")</f>
        <v>-</v>
      </c>
      <c r="H250" s="120"/>
      <c r="I250" s="120"/>
      <c r="J250" s="120"/>
      <c r="K250" s="120"/>
      <c r="L250" s="120"/>
    </row>
    <row r="251" spans="3:12">
      <c r="C251" s="117"/>
      <c r="D251" s="118"/>
      <c r="E251" s="118"/>
      <c r="F251" s="119"/>
      <c r="G251" s="53" t="str">
        <f>IFERROR(IF(Retenciones_mes4[[#This Row],[CUIT]]="","-",VLOOKUP(Retenciones_mes4[[#This Row],[CUIT]],Lista_CUIT[#All],2,0)),"CUIT NO CARGADO")</f>
        <v>-</v>
      </c>
      <c r="H251" s="120"/>
      <c r="I251" s="120"/>
      <c r="J251" s="120"/>
      <c r="K251" s="120"/>
      <c r="L251" s="120"/>
    </row>
    <row r="252" spans="3:12">
      <c r="D252" s="118"/>
      <c r="E252" s="118"/>
      <c r="G252" s="53" t="str">
        <f>IFERROR(IF(Retenciones_mes4[[#This Row],[CUIT]]="","-",VLOOKUP(Retenciones_mes4[[#This Row],[CUIT]],Lista_CUIT[#All],2,0)),"CUIT NO CARGADO")</f>
        <v>-</v>
      </c>
    </row>
    <row r="253" spans="3:12">
      <c r="C253" s="33"/>
    </row>
  </sheetData>
  <mergeCells count="20">
    <mergeCell ref="C246:G246"/>
    <mergeCell ref="B4:E4"/>
    <mergeCell ref="G4:H4"/>
    <mergeCell ref="J4:K4"/>
    <mergeCell ref="M4:N4"/>
    <mergeCell ref="D174:K174"/>
    <mergeCell ref="B218:J218"/>
    <mergeCell ref="K218:M218"/>
    <mergeCell ref="B220:C220"/>
    <mergeCell ref="B230:C230"/>
    <mergeCell ref="P4:R4"/>
    <mergeCell ref="D163:L16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custom" allowBlank="1" showInputMessage="1" showErrorMessage="1" sqref="H232:L237">
      <formula1>IF($C232=8,H232&lt;0,H232&gt;=0)</formula1>
    </dataValidation>
    <dataValidation type="custom" allowBlank="1" showInputMessage="1" showErrorMessage="1" sqref="L224:L226">
      <formula1>IF($C11=3,L11&lt;0,L11&gt;=0)</formula1>
    </dataValidation>
    <dataValidation type="custom" allowBlank="1" showInputMessage="1" showErrorMessage="1" sqref="L222:L223">
      <formula1>IF($C8=3,L8&lt;0,L8&gt;=0)</formula1>
    </dataValidation>
    <dataValidation type="whole" allowBlank="1" showInputMessage="1" showErrorMessage="1" sqref="C232:C237">
      <formula1>6</formula1>
      <formula2>8</formula2>
    </dataValidation>
    <dataValidation type="custom" allowBlank="1" showInputMessage="1" showErrorMessage="1" sqref="H222:K222 H224:K224 H226:K226">
      <formula1>IF($C222=3,H222&lt;0,H222&gt;=0)</formula1>
    </dataValidation>
    <dataValidation type="whole" allowBlank="1" showInputMessage="1" showErrorMessage="1" sqref="C222:C226 C162 C8:C160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18:O85 J8:O17 H8:I160 O87:O160 J18:N160">
      <formula1>IF($C8=3,H8&lt;0,H8&gt;=0)</formula1>
    </dataValidation>
    <dataValidation type="date" allowBlank="1" showInputMessage="1" showErrorMessage="1" sqref="B8:B160 B222:B226 B232:B237 D176:D211 D165:D170 B162">
      <formula1>40179</formula1>
      <formula2>TODAY()</formula2>
    </dataValidation>
    <dataValidation type="whole" allowBlank="1" showInputMessage="1" showErrorMessage="1" sqref="G176:G211 F232:F237 F222:F226 F8:F160">
      <formula1>20000000000</formula1>
      <formula2>33999999999</formula2>
    </dataValidation>
    <dataValidation type="whole" allowBlank="1" showInputMessage="1" showErrorMessage="1" sqref="E222:E226 E232:E237 F176:F211 E8:E160">
      <formula1>1</formula1>
      <formula2>99999999</formula2>
    </dataValidation>
    <dataValidation type="whole" allowBlank="1" showInputMessage="1" showErrorMessage="1" sqref="D222:D226 D232:D237 E176:E211 D8:D160">
      <formula1>1</formula1>
      <formula2>9999</formula2>
    </dataValidation>
  </dataValidations>
  <pageMargins left="0.7" right="0.7" top="0.75" bottom="0.75" header="0.3" footer="0.3"/>
  <pageSetup paperSize="9" scale="51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theme="9" tint="0.79998168889431442"/>
    <pageSetUpPr fitToPage="1"/>
  </sheetPr>
  <dimension ref="A1:Z286"/>
  <sheetViews>
    <sheetView showGridLines="0" topLeftCell="A209" zoomScale="85" zoomScaleNormal="85" workbookViewId="0">
      <selection activeCell="I244" sqref="I243:I244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3.140625" customWidth="1"/>
    <col min="7" max="7" width="25.28515625" style="433" customWidth="1"/>
    <col min="8" max="8" width="19.42578125" customWidth="1"/>
    <col min="9" max="9" width="17" customWidth="1"/>
    <col min="10" max="10" width="22.42578125" customWidth="1"/>
    <col min="11" max="11" width="15.28515625" bestFit="1" customWidth="1"/>
    <col min="12" max="12" width="15.42578125" bestFit="1" customWidth="1"/>
    <col min="13" max="13" width="13" customWidth="1"/>
    <col min="14" max="14" width="13.140625" customWidth="1"/>
    <col min="15" max="15" width="12.85546875" customWidth="1"/>
    <col min="16" max="16" width="19.42578125" customWidth="1"/>
    <col min="17" max="17" width="20.140625" bestFit="1" customWidth="1"/>
    <col min="18" max="18" width="15.7109375" bestFit="1" customWidth="1"/>
    <col min="19" max="19" width="8.28515625" customWidth="1"/>
    <col min="20" max="20" width="17.4257812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28.5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EDATE('Ene-24'!N1,4)</f>
        <v>45047</v>
      </c>
      <c r="O1" s="711"/>
      <c r="P1" s="711"/>
      <c r="Q1" s="711"/>
      <c r="R1" s="711"/>
    </row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SUM(compras_mes5[[#Totals],[NETO GRAVADO]])+extracto_banco_mes5[[#Totals],[NETO]]</f>
        <v>99487116.599999979</v>
      </c>
      <c r="C4" s="718"/>
      <c r="D4" s="718"/>
      <c r="E4" s="718"/>
      <c r="F4" s="39"/>
      <c r="G4" s="719">
        <f>compras_mes5[[#Totals],[IVA 21 %]]+compras_mes5[[#Totals],[IVA 27%]]+compras_mes5[[#Totals],[IVA 10,5%]]+extracto_banco_mes5[[#Totals],[IVA 21%]]+extracto_banco_mes5[[#Totals],[IVA 10,5%]]</f>
        <v>19150430.619474996</v>
      </c>
      <c r="H4" s="719"/>
      <c r="I4" s="39"/>
      <c r="J4" s="725">
        <f>venta_a_mes5[[#Totals],[IMPORTE NETO]]+ventas_b_mes5[[#Totals],[IMPORTE NETO]]</f>
        <v>0</v>
      </c>
      <c r="K4" s="725"/>
      <c r="L4" s="39"/>
      <c r="M4" s="725">
        <f>venta_a_mes5[[#Totals],[IVA 21%]]+venta_a_mes5[[#Totals],[IVA 10,5%]]+ventas_b_mes5[[#Totals],[IVA 21%]]+ventas_b_mes5[[#Totals],[IVA 10,5%]]</f>
        <v>0</v>
      </c>
      <c r="N4" s="725"/>
      <c r="O4" s="39"/>
      <c r="P4" s="721">
        <f>G4-M4</f>
        <v>19150430.619474996</v>
      </c>
      <c r="Q4" s="722"/>
      <c r="R4" s="722"/>
    </row>
    <row r="5" spans="1:26">
      <c r="H5" s="215"/>
    </row>
    <row r="6" spans="1:26" s="2" customFormat="1">
      <c r="B6" s="40"/>
      <c r="C6" s="41"/>
      <c r="D6" s="42"/>
      <c r="E6" s="43"/>
      <c r="F6" s="44"/>
      <c r="G6" s="129"/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43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>
      <c r="B8" s="394"/>
      <c r="C8" s="402"/>
      <c r="D8" s="395"/>
      <c r="E8" s="396"/>
      <c r="F8" s="397"/>
      <c r="G8" s="398" t="str">
        <f>IFERROR(IF(compras_mes5[[#This Row],[CUIT]]="","-",VLOOKUP(compras_mes5[[#This Row],[CUIT]],Lista_CUIT[#All],2,0)),"CUIT NO CARGADO")</f>
        <v>-</v>
      </c>
      <c r="H8" s="399"/>
      <c r="I8" s="400" t="str">
        <f>IF(compras_mes5[[#This Row],[NETO GRAVADO]]="","",compras_mes5[[#This Row],[NETO GRAVADO]]*0.21)</f>
        <v/>
      </c>
      <c r="J8" s="400"/>
      <c r="K8" s="400"/>
      <c r="L8" s="400"/>
      <c r="M8" s="400"/>
      <c r="N8" s="400"/>
      <c r="O8" s="400"/>
      <c r="P8" s="403">
        <f>SUM(compras_mes5[[#This Row],[NETO GRAVADO]:[Otros / No Grav.]])</f>
        <v>0</v>
      </c>
      <c r="Q8" s="401" t="str">
        <f>IFERROR(IF(compras_mes5[[#This Row],[CUIT]]="","-",VLOOKUP(compras_mes5[[#This Row],[CUIT]],Lista_CUIT[#All],3,0)),"CUIT NO CARGADO")</f>
        <v>-</v>
      </c>
      <c r="R8" s="401" t="str">
        <f>IFERROR(IF(compras_mes5[[#This Row],[CUIT]]="","-",VLOOKUP(compras_mes5[[#This Row],[CUIT]],Lista_CUIT[#All],4,0)),"CUIT NO CARGADO")</f>
        <v>-</v>
      </c>
      <c r="T8" s="33">
        <f>SUM(P8:P194)</f>
        <v>117268787.28997497</v>
      </c>
    </row>
    <row r="9" spans="1:26">
      <c r="B9" s="425">
        <v>45413</v>
      </c>
      <c r="C9" s="90">
        <v>1</v>
      </c>
      <c r="D9" s="91">
        <v>1</v>
      </c>
      <c r="E9" s="92">
        <v>503</v>
      </c>
      <c r="F9" s="93">
        <v>20131206144</v>
      </c>
      <c r="G9" s="435" t="str">
        <f>IFERROR(IF(compras_mes5[[#This Row],[CUIT]]="","-",VLOOKUP(compras_mes5[[#This Row],[CUIT]],Lista_CUIT[#All],2,0)),"CUIT NO CARGADO")</f>
        <v>CHAMORRO MANUEL</v>
      </c>
      <c r="H9" s="95">
        <v>707700</v>
      </c>
      <c r="I9" s="426">
        <f>IF(compras_mes5[[#This Row],[NETO GRAVADO]]="","",compras_mes5[[#This Row],[NETO GRAVADO]]*0.21)</f>
        <v>148617</v>
      </c>
      <c r="J9" s="426"/>
      <c r="K9" s="426"/>
      <c r="L9" s="426"/>
      <c r="M9" s="426"/>
      <c r="N9" s="426"/>
      <c r="O9" s="426"/>
      <c r="P9" s="87">
        <f>SUM(compras_mes5[[#This Row],[NETO GRAVADO]:[Otros / No Grav.]])</f>
        <v>856317</v>
      </c>
      <c r="Q9" s="88" t="str">
        <f>IFERROR(IF(compras_mes5[[#This Row],[CUIT]]="","-",VLOOKUP(compras_mes5[[#This Row],[CUIT]],Lista_CUIT[#All],3,0)),"CUIT NO CARGADO")</f>
        <v>Alquiler</v>
      </c>
      <c r="R9" s="88">
        <f>IFERROR(IF(compras_mes5[[#This Row],[CUIT]]="","-",VLOOKUP(compras_mes5[[#This Row],[CUIT]],Lista_CUIT[#All],4,0)),"CUIT NO CARGADO")</f>
        <v>0</v>
      </c>
    </row>
    <row r="10" spans="1:26">
      <c r="B10" s="425">
        <v>45415</v>
      </c>
      <c r="C10" s="427">
        <v>1</v>
      </c>
      <c r="D10" s="428">
        <v>1</v>
      </c>
      <c r="E10" s="429">
        <v>115</v>
      </c>
      <c r="F10" s="430">
        <v>30716010313</v>
      </c>
      <c r="G10" s="436" t="str">
        <f>IFERROR(IF(compras_mes5[[#This Row],[CUIT]]="","-",VLOOKUP(compras_mes5[[#This Row],[CUIT]],Lista_CUIT[#All],2,0)),"CUIT NO CARGADO")</f>
        <v>H UNO 1469 S.A.</v>
      </c>
      <c r="H10" s="431">
        <v>46000</v>
      </c>
      <c r="I10" s="426">
        <f>IF(compras_mes5[[#This Row],[NETO GRAVADO]]="","",compras_mes5[[#This Row],[NETO GRAVADO]]*0.21)</f>
        <v>9660</v>
      </c>
      <c r="J10" s="426"/>
      <c r="K10" s="426"/>
      <c r="L10" s="426"/>
      <c r="M10" s="426"/>
      <c r="N10" s="426"/>
      <c r="O10" s="426"/>
      <c r="P10" s="424">
        <f>SUM(compras_mes5[[#This Row],[NETO GRAVADO]:[Otros / No Grav.]])</f>
        <v>55660</v>
      </c>
      <c r="Q10" s="432" t="str">
        <f>IFERROR(IF(compras_mes5[[#This Row],[CUIT]]="","-",VLOOKUP(compras_mes5[[#This Row],[CUIT]],Lista_CUIT[#All],3,0)),"CUIT NO CARGADO")</f>
        <v>Alquiler</v>
      </c>
      <c r="R10" s="432">
        <f>IFERROR(IF(compras_mes5[[#This Row],[CUIT]]="","-",VLOOKUP(compras_mes5[[#This Row],[CUIT]],Lista_CUIT[#All],4,0)),"CUIT NO CARGADO")</f>
        <v>0</v>
      </c>
    </row>
    <row r="11" spans="1:26">
      <c r="B11" s="425">
        <v>45419</v>
      </c>
      <c r="C11" s="427">
        <v>1</v>
      </c>
      <c r="D11" s="428">
        <v>2</v>
      </c>
      <c r="E11" s="429">
        <v>258</v>
      </c>
      <c r="F11" s="430">
        <v>27309896063</v>
      </c>
      <c r="G11" s="436" t="str">
        <f>IFERROR(IF(compras_mes5[[#This Row],[CUIT]]="","-",VLOOKUP(compras_mes5[[#This Row],[CUIT]],Lista_CUIT[#All],2,0)),"CUIT NO CARGADO")</f>
        <v>BATTELLINI MARIA SOLEDAD</v>
      </c>
      <c r="H11" s="431">
        <v>550000</v>
      </c>
      <c r="I11" s="426">
        <f>IF(compras_mes5[[#This Row],[NETO GRAVADO]]="","",compras_mes5[[#This Row],[NETO GRAVADO]]*0.21)</f>
        <v>115500</v>
      </c>
      <c r="J11" s="426"/>
      <c r="K11" s="426"/>
      <c r="L11" s="426"/>
      <c r="M11" s="426"/>
      <c r="N11" s="426"/>
      <c r="O11" s="426"/>
      <c r="P11" s="424">
        <f>SUM(compras_mes5[[#This Row],[NETO GRAVADO]:[Otros / No Grav.]])</f>
        <v>665500</v>
      </c>
      <c r="Q11" s="432" t="str">
        <f>IFERROR(IF(compras_mes5[[#This Row],[CUIT]]="","-",VLOOKUP(compras_mes5[[#This Row],[CUIT]],Lista_CUIT[#All],3,0)),"CUIT NO CARGADO")</f>
        <v>Alquiler</v>
      </c>
      <c r="R11" s="432">
        <f>IFERROR(IF(compras_mes5[[#This Row],[CUIT]]="","-",VLOOKUP(compras_mes5[[#This Row],[CUIT]],Lista_CUIT[#All],4,0)),"CUIT NO CARGADO")</f>
        <v>0</v>
      </c>
    </row>
    <row r="12" spans="1:26">
      <c r="B12" s="468">
        <v>45415</v>
      </c>
      <c r="C12" s="467">
        <v>1</v>
      </c>
      <c r="D12" s="460">
        <v>20</v>
      </c>
      <c r="E12" s="461">
        <v>12919</v>
      </c>
      <c r="F12" s="462">
        <v>30515800219</v>
      </c>
      <c r="G12" s="463" t="str">
        <f>IFERROR(IF(compras_mes5[[#This Row],[CUIT]]="","-",VLOOKUP(compras_mes5[[#This Row],[CUIT]],Lista_CUIT[#All],2,0)),"CUIT NO CARGADO")</f>
        <v>INCAT SRL</v>
      </c>
      <c r="H12" s="464">
        <v>3297.57</v>
      </c>
      <c r="I12" s="465">
        <f>IF(compras_mes5[[#This Row],[NETO GRAVADO]]="","",compras_mes5[[#This Row],[NETO GRAVADO]]*0.21)</f>
        <v>692.48969999999997</v>
      </c>
      <c r="J12" s="465"/>
      <c r="K12" s="465"/>
      <c r="L12" s="465"/>
      <c r="M12" s="465"/>
      <c r="N12" s="465"/>
      <c r="O12" s="465">
        <v>9.9700000000000006</v>
      </c>
      <c r="P12" s="455">
        <f>SUM(compras_mes5[[#This Row],[NETO GRAVADO]:[Otros / No Grav.]])</f>
        <v>4000.0297</v>
      </c>
      <c r="Q12" s="466" t="str">
        <f>IFERROR(IF(compras_mes5[[#This Row],[CUIT]]="","-",VLOOKUP(compras_mes5[[#This Row],[CUIT]],Lista_CUIT[#All],3,0)),"CUIT NO CARGADO")</f>
        <v>Combustible</v>
      </c>
      <c r="R12" s="466" t="str">
        <f>IFERROR(IF(compras_mes5[[#This Row],[CUIT]]="","-",VLOOKUP(compras_mes5[[#This Row],[CUIT]],Lista_CUIT[#All],4,0)),"CUIT NO CARGADO")</f>
        <v>CABA</v>
      </c>
    </row>
    <row r="13" spans="1:26">
      <c r="B13" s="425">
        <v>45416</v>
      </c>
      <c r="C13" s="427">
        <v>1</v>
      </c>
      <c r="D13" s="428">
        <v>8100</v>
      </c>
      <c r="E13" s="429">
        <v>26987</v>
      </c>
      <c r="F13" s="430">
        <v>30678774495</v>
      </c>
      <c r="G13" s="436" t="str">
        <f>IFERROR(IF(compras_mes5[[#This Row],[CUIT]]="","-",VLOOKUP(compras_mes5[[#This Row],[CUIT]],Lista_CUIT[#All],2,0)),"CUIT NO CARGADO")</f>
        <v>OPER. DE EST. DE SERV. SA</v>
      </c>
      <c r="H13" s="431">
        <v>40343.75</v>
      </c>
      <c r="I13" s="426">
        <f>IF(compras_mes5[[#This Row],[NETO GRAVADO]]="","",compras_mes5[[#This Row],[NETO GRAVADO]]*0.21)</f>
        <v>8472.1875</v>
      </c>
      <c r="J13" s="426"/>
      <c r="K13" s="426"/>
      <c r="L13" s="426"/>
      <c r="M13" s="426"/>
      <c r="N13" s="426"/>
      <c r="O13" s="426">
        <v>6991.05</v>
      </c>
      <c r="P13" s="424">
        <f>SUM(compras_mes5[[#This Row],[NETO GRAVADO]:[Otros / No Grav.]])</f>
        <v>55806.987500000003</v>
      </c>
      <c r="Q13" s="432" t="str">
        <f>IFERROR(IF(compras_mes5[[#This Row],[CUIT]]="","-",VLOOKUP(compras_mes5[[#This Row],[CUIT]],Lista_CUIT[#All],3,0)),"CUIT NO CARGADO")</f>
        <v>Combustible</v>
      </c>
      <c r="R13" s="432">
        <f>IFERROR(IF(compras_mes5[[#This Row],[CUIT]]="","-",VLOOKUP(compras_mes5[[#This Row],[CUIT]],Lista_CUIT[#All],4,0)),"CUIT NO CARGADO")</f>
        <v>0</v>
      </c>
    </row>
    <row r="14" spans="1:26">
      <c r="B14" s="425">
        <v>45417</v>
      </c>
      <c r="C14" s="427">
        <v>1</v>
      </c>
      <c r="D14" s="428">
        <v>8012</v>
      </c>
      <c r="E14" s="429">
        <v>27781</v>
      </c>
      <c r="F14" s="430">
        <v>30678774495</v>
      </c>
      <c r="G14" s="436" t="str">
        <f>IFERROR(IF(compras_mes5[[#This Row],[CUIT]]="","-",VLOOKUP(compras_mes5[[#This Row],[CUIT]],Lista_CUIT[#All],2,0)),"CUIT NO CARGADO")</f>
        <v>OPER. DE EST. DE SERV. SA</v>
      </c>
      <c r="H14" s="431">
        <v>25076.11</v>
      </c>
      <c r="I14" s="426">
        <f>IF(compras_mes5[[#This Row],[NETO GRAVADO]]="","",compras_mes5[[#This Row],[NETO GRAVADO]]*0.21)</f>
        <v>5265.9831000000004</v>
      </c>
      <c r="J14" s="426"/>
      <c r="K14" s="426"/>
      <c r="L14" s="426"/>
      <c r="M14" s="426"/>
      <c r="N14" s="426"/>
      <c r="O14" s="426">
        <v>4166.95</v>
      </c>
      <c r="P14" s="424">
        <f>SUM(compras_mes5[[#This Row],[NETO GRAVADO]:[Otros / No Grav.]])</f>
        <v>34509.043100000003</v>
      </c>
      <c r="Q14" s="432" t="str">
        <f>IFERROR(IF(compras_mes5[[#This Row],[CUIT]]="","-",VLOOKUP(compras_mes5[[#This Row],[CUIT]],Lista_CUIT[#All],3,0)),"CUIT NO CARGADO")</f>
        <v>Combustible</v>
      </c>
      <c r="R14" s="432">
        <f>IFERROR(IF(compras_mes5[[#This Row],[CUIT]]="","-",VLOOKUP(compras_mes5[[#This Row],[CUIT]],Lista_CUIT[#All],4,0)),"CUIT NO CARGADO")</f>
        <v>0</v>
      </c>
    </row>
    <row r="15" spans="1:26">
      <c r="B15" s="469">
        <v>45417</v>
      </c>
      <c r="C15" s="470">
        <v>1</v>
      </c>
      <c r="D15" s="471">
        <v>12</v>
      </c>
      <c r="E15" s="472">
        <v>45813</v>
      </c>
      <c r="F15" s="473">
        <v>30696131003</v>
      </c>
      <c r="G15" s="474" t="str">
        <f>IFERROR(IF(compras_mes5[[#This Row],[CUIT]]="","-",VLOOKUP(compras_mes5[[#This Row],[CUIT]],Lista_CUIT[#All],2,0)),"CUIT NO CARGADO")</f>
        <v>Petrolfe S.A.</v>
      </c>
      <c r="H15" s="475">
        <v>129327.38</v>
      </c>
      <c r="I15" s="476">
        <f>IF(compras_mes5[[#This Row],[NETO GRAVADO]]="","",compras_mes5[[#This Row],[NETO GRAVADO]]*0.21)</f>
        <v>27158.749800000001</v>
      </c>
      <c r="J15" s="476"/>
      <c r="K15" s="476"/>
      <c r="L15" s="476"/>
      <c r="M15" s="476"/>
      <c r="N15" s="476"/>
      <c r="O15" s="476">
        <v>24015.71</v>
      </c>
      <c r="P15" s="477">
        <f>SUM(compras_mes5[[#This Row],[NETO GRAVADO]:[Otros / No Grav.]])</f>
        <v>180501.83979999999</v>
      </c>
      <c r="Q15" s="478" t="str">
        <f>IFERROR(IF(compras_mes5[[#This Row],[CUIT]]="","-",VLOOKUP(compras_mes5[[#This Row],[CUIT]],Lista_CUIT[#All],3,0)),"CUIT NO CARGADO")</f>
        <v>Combustible</v>
      </c>
      <c r="R15" s="478">
        <f>IFERROR(IF(compras_mes5[[#This Row],[CUIT]]="","-",VLOOKUP(compras_mes5[[#This Row],[CUIT]],Lista_CUIT[#All],4,0)),"CUIT NO CARGADO")</f>
        <v>0</v>
      </c>
    </row>
    <row r="16" spans="1:26">
      <c r="B16" s="468">
        <v>45418</v>
      </c>
      <c r="C16" s="459">
        <v>1</v>
      </c>
      <c r="D16" s="460">
        <v>23</v>
      </c>
      <c r="E16" s="461">
        <v>27779</v>
      </c>
      <c r="F16" s="462">
        <v>30515800219</v>
      </c>
      <c r="G16" s="463" t="str">
        <f>IFERROR(IF(compras_mes5[[#This Row],[CUIT]]="","-",VLOOKUP(compras_mes5[[#This Row],[CUIT]],Lista_CUIT[#All],2,0)),"CUIT NO CARGADO")</f>
        <v>INCAT SRL</v>
      </c>
      <c r="H16" s="464">
        <v>19557</v>
      </c>
      <c r="I16" s="465">
        <f>IF(compras_mes5[[#This Row],[NETO GRAVADO]]="","",compras_mes5[[#This Row],[NETO GRAVADO]]*0.21)</f>
        <v>4106.97</v>
      </c>
      <c r="J16" s="465"/>
      <c r="K16" s="465"/>
      <c r="L16" s="465"/>
      <c r="M16" s="465"/>
      <c r="N16" s="465"/>
      <c r="O16" s="465">
        <v>3795.02</v>
      </c>
      <c r="P16" s="455">
        <f>SUM(compras_mes5[[#This Row],[NETO GRAVADO]:[Otros / No Grav.]])</f>
        <v>27458.99</v>
      </c>
      <c r="Q16" s="466" t="str">
        <f>IFERROR(IF(compras_mes5[[#This Row],[CUIT]]="","-",VLOOKUP(compras_mes5[[#This Row],[CUIT]],Lista_CUIT[#All],3,0)),"CUIT NO CARGADO")</f>
        <v>Combustible</v>
      </c>
      <c r="R16" s="466" t="str">
        <f>IFERROR(IF(compras_mes5[[#This Row],[CUIT]]="","-",VLOOKUP(compras_mes5[[#This Row],[CUIT]],Lista_CUIT[#All],4,0)),"CUIT NO CARGADO")</f>
        <v>CABA</v>
      </c>
    </row>
    <row r="17" spans="2:18">
      <c r="B17" s="468">
        <v>45419</v>
      </c>
      <c r="C17" s="459">
        <v>1</v>
      </c>
      <c r="D17" s="460">
        <v>19</v>
      </c>
      <c r="E17" s="461">
        <v>20937</v>
      </c>
      <c r="F17" s="462">
        <v>30515800219</v>
      </c>
      <c r="G17" s="463" t="str">
        <f>IFERROR(IF(compras_mes5[[#This Row],[CUIT]]="","-",VLOOKUP(compras_mes5[[#This Row],[CUIT]],Lista_CUIT[#All],2,0)),"CUIT NO CARGADO")</f>
        <v>INCAT SRL</v>
      </c>
      <c r="H17" s="464">
        <v>6446.14</v>
      </c>
      <c r="I17" s="465">
        <f>IF(compras_mes5[[#This Row],[NETO GRAVADO]]="","",compras_mes5[[#This Row],[NETO GRAVADO]]*0.21)</f>
        <v>1353.6894</v>
      </c>
      <c r="J17" s="465"/>
      <c r="K17" s="465"/>
      <c r="L17" s="465"/>
      <c r="M17" s="465"/>
      <c r="N17" s="465"/>
      <c r="O17" s="465">
        <v>1200.1500000000001</v>
      </c>
      <c r="P17" s="455">
        <f>SUM(compras_mes5[[#This Row],[NETO GRAVADO]:[Otros / No Grav.]])</f>
        <v>8999.9794000000002</v>
      </c>
      <c r="Q17" s="466" t="str">
        <f>IFERROR(IF(compras_mes5[[#This Row],[CUIT]]="","-",VLOOKUP(compras_mes5[[#This Row],[CUIT]],Lista_CUIT[#All],3,0)),"CUIT NO CARGADO")</f>
        <v>Combustible</v>
      </c>
      <c r="R17" s="466" t="str">
        <f>IFERROR(IF(compras_mes5[[#This Row],[CUIT]]="","-",VLOOKUP(compras_mes5[[#This Row],[CUIT]],Lista_CUIT[#All],4,0)),"CUIT NO CARGADO")</f>
        <v>CABA</v>
      </c>
    </row>
    <row r="18" spans="2:18">
      <c r="B18" s="425">
        <v>45422</v>
      </c>
      <c r="C18" s="41">
        <v>1</v>
      </c>
      <c r="D18" s="428">
        <v>6852</v>
      </c>
      <c r="E18" s="429">
        <v>24090</v>
      </c>
      <c r="F18" s="430">
        <v>30678774495</v>
      </c>
      <c r="G18" s="436" t="str">
        <f>IFERROR(IF(compras_mes5[[#This Row],[CUIT]]="","-",VLOOKUP(compras_mes5[[#This Row],[CUIT]],Lista_CUIT[#All],2,0)),"CUIT NO CARGADO")</f>
        <v>OPER. DE EST. DE SERV. SA</v>
      </c>
      <c r="H18" s="431">
        <v>6540.58</v>
      </c>
      <c r="I18" s="426">
        <f>IF(compras_mes5[[#This Row],[NETO GRAVADO]]="","",compras_mes5[[#This Row],[NETO GRAVADO]]*0.21)</f>
        <v>1373.5218</v>
      </c>
      <c r="J18" s="426"/>
      <c r="K18" s="426"/>
      <c r="L18" s="426"/>
      <c r="M18" s="426"/>
      <c r="N18" s="426"/>
      <c r="O18" s="426">
        <v>1085.9000000000001</v>
      </c>
      <c r="P18" s="424">
        <f>SUM(compras_mes5[[#This Row],[NETO GRAVADO]:[Otros / No Grav.]])</f>
        <v>9000.0018</v>
      </c>
      <c r="Q18" s="432" t="str">
        <f>IFERROR(IF(compras_mes5[[#This Row],[CUIT]]="","-",VLOOKUP(compras_mes5[[#This Row],[CUIT]],Lista_CUIT[#All],3,0)),"CUIT NO CARGADO")</f>
        <v>Combustible</v>
      </c>
      <c r="R18" s="432">
        <f>IFERROR(IF(compras_mes5[[#This Row],[CUIT]]="","-",VLOOKUP(compras_mes5[[#This Row],[CUIT]],Lista_CUIT[#All],4,0)),"CUIT NO CARGADO")</f>
        <v>0</v>
      </c>
    </row>
    <row r="19" spans="2:18">
      <c r="B19" s="469">
        <v>45423</v>
      </c>
      <c r="C19" s="470">
        <v>1</v>
      </c>
      <c r="D19" s="471">
        <v>12</v>
      </c>
      <c r="E19" s="472">
        <v>46084</v>
      </c>
      <c r="F19" s="473">
        <v>30696131003</v>
      </c>
      <c r="G19" s="474" t="str">
        <f>IFERROR(IF(compras_mes5[[#This Row],[CUIT]]="","-",VLOOKUP(compras_mes5[[#This Row],[CUIT]],Lista_CUIT[#All],2,0)),"CUIT NO CARGADO")</f>
        <v>Petrolfe S.A.</v>
      </c>
      <c r="H19" s="475">
        <v>169952</v>
      </c>
      <c r="I19" s="476">
        <f>IF(compras_mes5[[#This Row],[NETO GRAVADO]]="","",compras_mes5[[#This Row],[NETO GRAVADO]]*0.21)</f>
        <v>35689.919999999998</v>
      </c>
      <c r="J19" s="476"/>
      <c r="K19" s="476"/>
      <c r="L19" s="476"/>
      <c r="M19" s="476"/>
      <c r="N19" s="476"/>
      <c r="O19" s="476">
        <v>24376.14</v>
      </c>
      <c r="P19" s="477">
        <f>SUM(compras_mes5[[#This Row],[NETO GRAVADO]:[Otros / No Grav.]])</f>
        <v>230018.06</v>
      </c>
      <c r="Q19" s="478" t="str">
        <f>IFERROR(IF(compras_mes5[[#This Row],[CUIT]]="","-",VLOOKUP(compras_mes5[[#This Row],[CUIT]],Lista_CUIT[#All],3,0)),"CUIT NO CARGADO")</f>
        <v>Combustible</v>
      </c>
      <c r="R19" s="478">
        <f>IFERROR(IF(compras_mes5[[#This Row],[CUIT]]="","-",VLOOKUP(compras_mes5[[#This Row],[CUIT]],Lista_CUIT[#All],4,0)),"CUIT NO CARGADO")</f>
        <v>0</v>
      </c>
    </row>
    <row r="20" spans="2:18">
      <c r="B20" s="425">
        <v>45427</v>
      </c>
      <c r="C20" s="427">
        <v>1</v>
      </c>
      <c r="D20" s="428">
        <v>2004</v>
      </c>
      <c r="E20" s="429">
        <v>130033</v>
      </c>
      <c r="F20" s="430">
        <v>30516186670</v>
      </c>
      <c r="G20" s="436" t="str">
        <f>IFERROR(IF(compras_mes5[[#This Row],[CUIT]]="","-",VLOOKUP(compras_mes5[[#This Row],[CUIT]],Lista_CUIT[#All],2,0)),"CUIT NO CARGADO")</f>
        <v>DEHEZA S.A.I.C.F. e I.</v>
      </c>
      <c r="H20" s="431">
        <v>7220.89</v>
      </c>
      <c r="I20" s="426">
        <f>IF(compras_mes5[[#This Row],[NETO GRAVADO]]="","",compras_mes5[[#This Row],[NETO GRAVADO]]*0.21)</f>
        <v>1516.3869</v>
      </c>
      <c r="J20" s="426"/>
      <c r="K20" s="426"/>
      <c r="L20" s="426">
        <v>216.63</v>
      </c>
      <c r="M20" s="426"/>
      <c r="N20" s="426">
        <v>509</v>
      </c>
      <c r="O20" s="426">
        <v>1262.3599999999999</v>
      </c>
      <c r="P20" s="424">
        <f>SUM(compras_mes5[[#This Row],[NETO GRAVADO]:[Otros / No Grav.]])</f>
        <v>10725.266900000001</v>
      </c>
      <c r="Q20" s="432" t="str">
        <f>IFERROR(IF(compras_mes5[[#This Row],[CUIT]]="","-",VLOOKUP(compras_mes5[[#This Row],[CUIT]],Lista_CUIT[#All],3,0)),"CUIT NO CARGADO")</f>
        <v>Combustible</v>
      </c>
      <c r="R20" s="432" t="str">
        <f>IFERROR(IF(compras_mes5[[#This Row],[CUIT]]="","-",VLOOKUP(compras_mes5[[#This Row],[CUIT]],Lista_CUIT[#All],4,0)),"CUIT NO CARGADO")</f>
        <v>CABA</v>
      </c>
    </row>
    <row r="21" spans="2:18">
      <c r="B21" s="468">
        <v>45427</v>
      </c>
      <c r="C21" s="467">
        <v>1</v>
      </c>
      <c r="D21" s="460">
        <v>17</v>
      </c>
      <c r="E21" s="461">
        <v>7530</v>
      </c>
      <c r="F21" s="462">
        <v>30707841105</v>
      </c>
      <c r="G21" s="463" t="str">
        <f>IFERROR(IF(compras_mes5[[#This Row],[CUIT]]="","-",VLOOKUP(compras_mes5[[#This Row],[CUIT]],Lista_CUIT[#All],2,0)),"CUIT NO CARGADO")</f>
        <v>PETRO ARG SRL</v>
      </c>
      <c r="H21" s="464">
        <v>25446.43</v>
      </c>
      <c r="I21" s="465">
        <f>IF(compras_mes5[[#This Row],[NETO GRAVADO]]="","",compras_mes5[[#This Row],[NETO GRAVADO]]*0.21)</f>
        <v>5343.7502999999997</v>
      </c>
      <c r="J21" s="465"/>
      <c r="K21" s="465"/>
      <c r="L21" s="465"/>
      <c r="M21" s="465"/>
      <c r="N21" s="465"/>
      <c r="O21" s="465">
        <v>4224.78</v>
      </c>
      <c r="P21" s="455">
        <f>SUM(compras_mes5[[#This Row],[NETO GRAVADO]:[Otros / No Grav.]])</f>
        <v>35014.960299999999</v>
      </c>
      <c r="Q21" s="466" t="str">
        <f>IFERROR(IF(compras_mes5[[#This Row],[CUIT]]="","-",VLOOKUP(compras_mes5[[#This Row],[CUIT]],Lista_CUIT[#All],3,0)),"CUIT NO CARGADO")</f>
        <v>Combustible</v>
      </c>
      <c r="R21" s="466">
        <f>IFERROR(IF(compras_mes5[[#This Row],[CUIT]]="","-",VLOOKUP(compras_mes5[[#This Row],[CUIT]],Lista_CUIT[#All],4,0)),"CUIT NO CARGADO")</f>
        <v>0</v>
      </c>
    </row>
    <row r="22" spans="2:18">
      <c r="B22" s="469">
        <v>45430</v>
      </c>
      <c r="C22" s="470">
        <v>1</v>
      </c>
      <c r="D22" s="471">
        <v>12</v>
      </c>
      <c r="E22" s="472">
        <v>46333</v>
      </c>
      <c r="F22" s="473">
        <v>30696131003</v>
      </c>
      <c r="G22" s="474" t="str">
        <f>IFERROR(IF(compras_mes5[[#This Row],[CUIT]]="","-",VLOOKUP(compras_mes5[[#This Row],[CUIT]],Lista_CUIT[#All],2,0)),"CUIT NO CARGADO")</f>
        <v>Petrolfe S.A.</v>
      </c>
      <c r="H22" s="475">
        <v>118225.38</v>
      </c>
      <c r="I22" s="476">
        <f>IF(compras_mes5[[#This Row],[NETO GRAVADO]]="","",compras_mes5[[#This Row],[NETO GRAVADO]]*0.21)</f>
        <v>24827.3298</v>
      </c>
      <c r="J22" s="476"/>
      <c r="K22" s="476"/>
      <c r="L22" s="476"/>
      <c r="M22" s="476"/>
      <c r="N22" s="476"/>
      <c r="O22" s="476">
        <v>22011.35</v>
      </c>
      <c r="P22" s="477">
        <f>SUM(compras_mes5[[#This Row],[NETO GRAVADO]:[Otros / No Grav.]])</f>
        <v>165064.05980000002</v>
      </c>
      <c r="Q22" s="478" t="str">
        <f>IFERROR(IF(compras_mes5[[#This Row],[CUIT]]="","-",VLOOKUP(compras_mes5[[#This Row],[CUIT]],Lista_CUIT[#All],3,0)),"CUIT NO CARGADO")</f>
        <v>Combustible</v>
      </c>
      <c r="R22" s="478">
        <f>IFERROR(IF(compras_mes5[[#This Row],[CUIT]]="","-",VLOOKUP(compras_mes5[[#This Row],[CUIT]],Lista_CUIT[#All],4,0)),"CUIT NO CARGADO")</f>
        <v>0</v>
      </c>
    </row>
    <row r="23" spans="2:18">
      <c r="B23" s="425">
        <v>45433</v>
      </c>
      <c r="C23" s="427">
        <v>1</v>
      </c>
      <c r="D23" s="428">
        <v>6850</v>
      </c>
      <c r="E23" s="429">
        <v>21422</v>
      </c>
      <c r="F23" s="430">
        <v>30678774495</v>
      </c>
      <c r="G23" s="436" t="str">
        <f>IFERROR(IF(compras_mes5[[#This Row],[CUIT]]="","-",VLOOKUP(compras_mes5[[#This Row],[CUIT]],Lista_CUIT[#All],2,0)),"CUIT NO CARGADO")</f>
        <v>OPER. DE EST. DE SERV. SA</v>
      </c>
      <c r="H23" s="431">
        <v>7267.33</v>
      </c>
      <c r="I23" s="426">
        <f>IF(compras_mes5[[#This Row],[NETO GRAVADO]]="","",compras_mes5[[#This Row],[NETO GRAVADO]]*0.21)</f>
        <v>1526.1392999999998</v>
      </c>
      <c r="J23" s="426"/>
      <c r="K23" s="426"/>
      <c r="L23" s="426"/>
      <c r="M23" s="426"/>
      <c r="N23" s="426"/>
      <c r="O23" s="426">
        <v>1206.57</v>
      </c>
      <c r="P23" s="424">
        <f>SUM(compras_mes5[[#This Row],[NETO GRAVADO]:[Otros / No Grav.]])</f>
        <v>10000.0393</v>
      </c>
      <c r="Q23" s="432" t="str">
        <f>IFERROR(IF(compras_mes5[[#This Row],[CUIT]]="","-",VLOOKUP(compras_mes5[[#This Row],[CUIT]],Lista_CUIT[#All],3,0)),"CUIT NO CARGADO")</f>
        <v>Combustible</v>
      </c>
      <c r="R23" s="432">
        <f>IFERROR(IF(compras_mes5[[#This Row],[CUIT]]="","-",VLOOKUP(compras_mes5[[#This Row],[CUIT]],Lista_CUIT[#All],4,0)),"CUIT NO CARGADO")</f>
        <v>0</v>
      </c>
    </row>
    <row r="24" spans="2:18">
      <c r="B24" s="425">
        <v>45435</v>
      </c>
      <c r="C24" s="427">
        <v>1</v>
      </c>
      <c r="D24" s="428">
        <v>6850</v>
      </c>
      <c r="E24" s="429">
        <v>21460</v>
      </c>
      <c r="F24" s="430">
        <v>30678774495</v>
      </c>
      <c r="G24" s="436" t="str">
        <f>IFERROR(IF(compras_mes5[[#This Row],[CUIT]]="","-",VLOOKUP(compras_mes5[[#This Row],[CUIT]],Lista_CUIT[#All],2,0)),"CUIT NO CARGADO")</f>
        <v>OPER. DE EST. DE SERV. SA</v>
      </c>
      <c r="H24" s="431">
        <v>14534.59</v>
      </c>
      <c r="I24" s="426">
        <f>IF(compras_mes5[[#This Row],[NETO GRAVADO]]="","",compras_mes5[[#This Row],[NETO GRAVADO]]*0.21)</f>
        <v>3052.2638999999999</v>
      </c>
      <c r="J24" s="426"/>
      <c r="K24" s="426"/>
      <c r="L24" s="426"/>
      <c r="M24" s="426"/>
      <c r="N24" s="426"/>
      <c r="O24" s="426">
        <v>2413.13</v>
      </c>
      <c r="P24" s="424">
        <f>SUM(compras_mes5[[#This Row],[NETO GRAVADO]:[Otros / No Grav.]])</f>
        <v>19999.983900000003</v>
      </c>
      <c r="Q24" s="432" t="str">
        <f>IFERROR(IF(compras_mes5[[#This Row],[CUIT]]="","-",VLOOKUP(compras_mes5[[#This Row],[CUIT]],Lista_CUIT[#All],3,0)),"CUIT NO CARGADO")</f>
        <v>Combustible</v>
      </c>
      <c r="R24" s="432">
        <f>IFERROR(IF(compras_mes5[[#This Row],[CUIT]]="","-",VLOOKUP(compras_mes5[[#This Row],[CUIT]],Lista_CUIT[#All],4,0)),"CUIT NO CARGADO")</f>
        <v>0</v>
      </c>
    </row>
    <row r="25" spans="2:18">
      <c r="B25" s="469">
        <v>45437</v>
      </c>
      <c r="C25" s="470">
        <v>1</v>
      </c>
      <c r="D25" s="471">
        <v>12</v>
      </c>
      <c r="E25" s="472">
        <v>46629</v>
      </c>
      <c r="F25" s="473">
        <v>30696131003</v>
      </c>
      <c r="G25" s="474" t="str">
        <f>IFERROR(IF(compras_mes5[[#This Row],[CUIT]]="","-",VLOOKUP(compras_mes5[[#This Row],[CUIT]],Lista_CUIT[#All],2,0)),"CUIT NO CARGADO")</f>
        <v>Petrolfe S.A.</v>
      </c>
      <c r="H25" s="475">
        <v>97285.14</v>
      </c>
      <c r="I25" s="476">
        <f>IF(compras_mes5[[#This Row],[NETO GRAVADO]]="","",compras_mes5[[#This Row],[NETO GRAVADO]]*0.21)</f>
        <v>20429.879399999998</v>
      </c>
      <c r="J25" s="476"/>
      <c r="K25" s="476"/>
      <c r="L25" s="476"/>
      <c r="M25" s="476"/>
      <c r="N25" s="476"/>
      <c r="O25" s="476">
        <v>17593</v>
      </c>
      <c r="P25" s="477">
        <f>SUM(compras_mes5[[#This Row],[NETO GRAVADO]:[Otros / No Grav.]])</f>
        <v>135308.01939999999</v>
      </c>
      <c r="Q25" s="478" t="str">
        <f>IFERROR(IF(compras_mes5[[#This Row],[CUIT]]="","-",VLOOKUP(compras_mes5[[#This Row],[CUIT]],Lista_CUIT[#All],3,0)),"CUIT NO CARGADO")</f>
        <v>Combustible</v>
      </c>
      <c r="R25" s="478">
        <f>IFERROR(IF(compras_mes5[[#This Row],[CUIT]]="","-",VLOOKUP(compras_mes5[[#This Row],[CUIT]],Lista_CUIT[#All],4,0)),"CUIT NO CARGADO")</f>
        <v>0</v>
      </c>
    </row>
    <row r="26" spans="2:18">
      <c r="B26" s="425">
        <v>45438</v>
      </c>
      <c r="C26" s="427">
        <v>1</v>
      </c>
      <c r="D26" s="428">
        <v>6854</v>
      </c>
      <c r="E26" s="429">
        <v>14887</v>
      </c>
      <c r="F26" s="430">
        <v>30678774495</v>
      </c>
      <c r="G26" s="436" t="str">
        <f>IFERROR(IF(compras_mes5[[#This Row],[CUIT]]="","-",VLOOKUP(compras_mes5[[#This Row],[CUIT]],Lista_CUIT[#All],2,0)),"CUIT NO CARGADO")</f>
        <v>OPER. DE EST. DE SERV. SA</v>
      </c>
      <c r="H26" s="431">
        <v>7267.33</v>
      </c>
      <c r="I26" s="426">
        <f>IF(compras_mes5[[#This Row],[NETO GRAVADO]]="","",compras_mes5[[#This Row],[NETO GRAVADO]]*0.21)</f>
        <v>1526.1392999999998</v>
      </c>
      <c r="J26" s="426"/>
      <c r="K26" s="426"/>
      <c r="L26" s="426"/>
      <c r="M26" s="426"/>
      <c r="N26" s="426"/>
      <c r="O26" s="426">
        <v>1206.57</v>
      </c>
      <c r="P26" s="424">
        <f>SUM(compras_mes5[[#This Row],[NETO GRAVADO]:[Otros / No Grav.]])</f>
        <v>10000.0393</v>
      </c>
      <c r="Q26" s="432" t="str">
        <f>IFERROR(IF(compras_mes5[[#This Row],[CUIT]]="","-",VLOOKUP(compras_mes5[[#This Row],[CUIT]],Lista_CUIT[#All],3,0)),"CUIT NO CARGADO")</f>
        <v>Combustible</v>
      </c>
      <c r="R26" s="432">
        <f>IFERROR(IF(compras_mes5[[#This Row],[CUIT]]="","-",VLOOKUP(compras_mes5[[#This Row],[CUIT]],Lista_CUIT[#All],4,0)),"CUIT NO CARGADO")</f>
        <v>0</v>
      </c>
    </row>
    <row r="27" spans="2:18">
      <c r="B27" s="469">
        <v>45439</v>
      </c>
      <c r="C27" s="470">
        <v>1</v>
      </c>
      <c r="D27" s="471">
        <v>13</v>
      </c>
      <c r="E27" s="472">
        <v>88098</v>
      </c>
      <c r="F27" s="473">
        <v>30707841105</v>
      </c>
      <c r="G27" s="474" t="str">
        <f>IFERROR(IF(compras_mes5[[#This Row],[CUIT]]="","-",VLOOKUP(compras_mes5[[#This Row],[CUIT]],Lista_CUIT[#All],2,0)),"CUIT NO CARGADO")</f>
        <v>PETRO ARG SRL</v>
      </c>
      <c r="H27" s="475">
        <v>25219.71</v>
      </c>
      <c r="I27" s="476">
        <f>IF(compras_mes5[[#This Row],[NETO GRAVADO]]="","",compras_mes5[[#This Row],[NETO GRAVADO]]*0.21)</f>
        <v>5296.1390999999994</v>
      </c>
      <c r="J27" s="476"/>
      <c r="K27" s="476"/>
      <c r="L27" s="476"/>
      <c r="M27" s="476"/>
      <c r="N27" s="476"/>
      <c r="O27" s="476">
        <v>4187.1400000000003</v>
      </c>
      <c r="P27" s="477">
        <f>SUM(compras_mes5[[#This Row],[NETO GRAVADO]:[Otros / No Grav.]])</f>
        <v>34702.989099999999</v>
      </c>
      <c r="Q27" s="478" t="str">
        <f>IFERROR(IF(compras_mes5[[#This Row],[CUIT]]="","-",VLOOKUP(compras_mes5[[#This Row],[CUIT]],Lista_CUIT[#All],3,0)),"CUIT NO CARGADO")</f>
        <v>Combustible</v>
      </c>
      <c r="R27" s="478">
        <f>IFERROR(IF(compras_mes5[[#This Row],[CUIT]]="","-",VLOOKUP(compras_mes5[[#This Row],[CUIT]],Lista_CUIT[#All],4,0)),"CUIT NO CARGADO")</f>
        <v>0</v>
      </c>
    </row>
    <row r="28" spans="2:18">
      <c r="B28" s="425">
        <v>45442</v>
      </c>
      <c r="C28" s="427">
        <v>1</v>
      </c>
      <c r="D28" s="428">
        <v>6854</v>
      </c>
      <c r="E28" s="429">
        <v>14978</v>
      </c>
      <c r="F28" s="430">
        <v>30678774495</v>
      </c>
      <c r="G28" s="436" t="str">
        <f>IFERROR(IF(compras_mes5[[#This Row],[CUIT]]="","-",VLOOKUP(compras_mes5[[#This Row],[CUIT]],Lista_CUIT[#All],2,0)),"CUIT NO CARGADO")</f>
        <v>OPER. DE EST. DE SERV. SA</v>
      </c>
      <c r="H28" s="431">
        <v>44330.55</v>
      </c>
      <c r="I28" s="426">
        <f>IF(compras_mes5[[#This Row],[NETO GRAVADO]]="","",compras_mes5[[#This Row],[NETO GRAVADO]]*0.21)</f>
        <v>9309.415500000001</v>
      </c>
      <c r="J28" s="426"/>
      <c r="K28" s="426"/>
      <c r="L28" s="426"/>
      <c r="M28" s="426"/>
      <c r="N28" s="426"/>
      <c r="O28" s="426">
        <v>7360.04</v>
      </c>
      <c r="P28" s="424">
        <f>SUM(compras_mes5[[#This Row],[NETO GRAVADO]:[Otros / No Grav.]])</f>
        <v>61000.005500000007</v>
      </c>
      <c r="Q28" s="432" t="str">
        <f>IFERROR(IF(compras_mes5[[#This Row],[CUIT]]="","-",VLOOKUP(compras_mes5[[#This Row],[CUIT]],Lista_CUIT[#All],3,0)),"CUIT NO CARGADO")</f>
        <v>Combustible</v>
      </c>
      <c r="R28" s="432">
        <f>IFERROR(IF(compras_mes5[[#This Row],[CUIT]]="","-",VLOOKUP(compras_mes5[[#This Row],[CUIT]],Lista_CUIT[#All],4,0)),"CUIT NO CARGADO")</f>
        <v>0</v>
      </c>
    </row>
    <row r="29" spans="2:18">
      <c r="B29" s="425">
        <v>45443</v>
      </c>
      <c r="C29" s="41">
        <v>1</v>
      </c>
      <c r="D29" s="428">
        <v>6852</v>
      </c>
      <c r="E29" s="429">
        <v>24554</v>
      </c>
      <c r="F29" s="430">
        <v>30678774495</v>
      </c>
      <c r="G29" s="436" t="str">
        <f>IFERROR(IF(compras_mes5[[#This Row],[CUIT]]="","-",VLOOKUP(compras_mes5[[#This Row],[CUIT]],Lista_CUIT[#All],2,0)),"CUIT NO CARGADO")</f>
        <v>OPER. DE EST. DE SERV. SA</v>
      </c>
      <c r="H29" s="431">
        <v>7267.33</v>
      </c>
      <c r="I29" s="426">
        <f>IF(compras_mes5[[#This Row],[NETO GRAVADO]]="","",compras_mes5[[#This Row],[NETO GRAVADO]]*0.21)</f>
        <v>1526.1392999999998</v>
      </c>
      <c r="J29" s="426"/>
      <c r="K29" s="426"/>
      <c r="L29" s="426"/>
      <c r="M29" s="426"/>
      <c r="N29" s="426"/>
      <c r="O29" s="426">
        <v>1206.57</v>
      </c>
      <c r="P29" s="424">
        <f>SUM(compras_mes5[[#This Row],[NETO GRAVADO]:[Otros / No Grav.]])</f>
        <v>10000.0393</v>
      </c>
      <c r="Q29" s="432" t="str">
        <f>IFERROR(IF(compras_mes5[[#This Row],[CUIT]]="","-",VLOOKUP(compras_mes5[[#This Row],[CUIT]],Lista_CUIT[#All],3,0)),"CUIT NO CARGADO")</f>
        <v>Combustible</v>
      </c>
      <c r="R29" s="432">
        <f>IFERROR(IF(compras_mes5[[#This Row],[CUIT]]="","-",VLOOKUP(compras_mes5[[#This Row],[CUIT]],Lista_CUIT[#All],4,0)),"CUIT NO CARGADO")</f>
        <v>0</v>
      </c>
    </row>
    <row r="30" spans="2:18">
      <c r="B30" s="425">
        <v>45441</v>
      </c>
      <c r="C30" s="41">
        <v>1</v>
      </c>
      <c r="D30" s="428">
        <v>1</v>
      </c>
      <c r="E30" s="429">
        <v>982</v>
      </c>
      <c r="F30" s="430">
        <v>30716715716</v>
      </c>
      <c r="G30" s="436" t="str">
        <f>IFERROR(IF(compras_mes5[[#This Row],[CUIT]]="","-",VLOOKUP(compras_mes5[[#This Row],[CUIT]],Lista_CUIT[#All],2,0)),"CUIT NO CARGADO")</f>
        <v>LIVERPOOL EXPRESS SRL</v>
      </c>
      <c r="H30" s="431">
        <v>281945</v>
      </c>
      <c r="I30" s="426">
        <f>IF(compras_mes5[[#This Row],[NETO GRAVADO]]="","",compras_mes5[[#This Row],[NETO GRAVADO]]*0.21)</f>
        <v>59208.45</v>
      </c>
      <c r="J30" s="426"/>
      <c r="K30" s="426"/>
      <c r="L30" s="426"/>
      <c r="M30" s="426"/>
      <c r="N30" s="426"/>
      <c r="O30" s="426"/>
      <c r="P30" s="424">
        <f>SUM(compras_mes5[[#This Row],[NETO GRAVADO]:[Otros / No Grav.]])</f>
        <v>341153.45</v>
      </c>
      <c r="Q30" s="432" t="s">
        <v>2687</v>
      </c>
      <c r="R30" s="432">
        <f>IFERROR(IF(compras_mes5[[#This Row],[CUIT]]="","-",VLOOKUP(compras_mes5[[#This Row],[CUIT]],Lista_CUIT[#All],4,0)),"CUIT NO CARGADO")</f>
        <v>0</v>
      </c>
    </row>
    <row r="31" spans="2:18">
      <c r="B31" s="508">
        <v>45441</v>
      </c>
      <c r="C31" s="509">
        <v>1</v>
      </c>
      <c r="D31" s="510">
        <v>1</v>
      </c>
      <c r="E31" s="511">
        <v>983</v>
      </c>
      <c r="F31" s="512">
        <v>30716715716</v>
      </c>
      <c r="G31" s="513" t="str">
        <f>IFERROR(IF(compras_mes5[[#This Row],[CUIT]]="","-",VLOOKUP(compras_mes5[[#This Row],[CUIT]],Lista_CUIT[#All],2,0)),"CUIT NO CARGADO")</f>
        <v>LIVERPOOL EXPRESS SRL</v>
      </c>
      <c r="H31" s="514">
        <v>201770</v>
      </c>
      <c r="I31" s="515"/>
      <c r="J31" s="515"/>
      <c r="K31" s="515"/>
      <c r="L31" s="515"/>
      <c r="M31" s="515"/>
      <c r="N31" s="515"/>
      <c r="O31" s="515"/>
      <c r="P31" s="516">
        <f>SUM(compras_mes5[[#This Row],[NETO GRAVADO]:[Otros / No Grav.]])</f>
        <v>201770</v>
      </c>
      <c r="Q31" s="432" t="s">
        <v>2687</v>
      </c>
      <c r="R31" s="517">
        <f>IFERROR(IF(compras_mes5[[#This Row],[CUIT]]="","-",VLOOKUP(compras_mes5[[#This Row],[CUIT]],Lista_CUIT[#All],4,0)),"CUIT NO CARGADO")</f>
        <v>0</v>
      </c>
    </row>
    <row r="32" spans="2:18">
      <c r="B32" s="425">
        <v>45441</v>
      </c>
      <c r="C32" s="427">
        <v>1</v>
      </c>
      <c r="D32" s="428">
        <v>26</v>
      </c>
      <c r="E32" s="429">
        <v>60386</v>
      </c>
      <c r="F32" s="430">
        <v>30544110035</v>
      </c>
      <c r="G32" s="436" t="str">
        <f>IFERROR(IF(compras_mes5[[#This Row],[CUIT]]="","-",VLOOKUP(compras_mes5[[#This Row],[CUIT]],Lista_CUIT[#All],2,0)),"CUIT NO CARGADO")</f>
        <v>EXPRESO SANTA ROSA S A </v>
      </c>
      <c r="H32" s="431">
        <v>11565.14</v>
      </c>
      <c r="I32" s="426">
        <f>IF(compras_mes5[[#This Row],[NETO GRAVADO]]="","",compras_mes5[[#This Row],[NETO GRAVADO]]*0.21)</f>
        <v>2428.6794</v>
      </c>
      <c r="J32" s="426"/>
      <c r="K32" s="426"/>
      <c r="L32" s="426"/>
      <c r="M32" s="426"/>
      <c r="N32" s="426"/>
      <c r="O32" s="426"/>
      <c r="P32" s="424">
        <f>SUM(compras_mes5[[#This Row],[NETO GRAVADO]:[Otros / No Grav.]])</f>
        <v>13993.8194</v>
      </c>
      <c r="Q32" s="432" t="s">
        <v>2687</v>
      </c>
      <c r="R32" s="432">
        <f>IFERROR(IF(compras_mes5[[#This Row],[CUIT]]="","-",VLOOKUP(compras_mes5[[#This Row],[CUIT]],Lista_CUIT[#All],4,0)),"CUIT NO CARGADO")</f>
        <v>0</v>
      </c>
    </row>
    <row r="33" spans="2:18">
      <c r="B33" s="425">
        <v>45442</v>
      </c>
      <c r="C33" s="427">
        <v>1</v>
      </c>
      <c r="D33" s="428">
        <v>301</v>
      </c>
      <c r="E33" s="429">
        <v>82695</v>
      </c>
      <c r="F33" s="430">
        <v>30686978350</v>
      </c>
      <c r="G33" s="436" t="str">
        <f>IFERROR(IF(compras_mes5[[#This Row],[CUIT]]="","-",VLOOKUP(compras_mes5[[#This Row],[CUIT]],Lista_CUIT[#All],2,0)),"CUIT NO CARGADO")</f>
        <v>SPEED BUSINESS S. A.</v>
      </c>
      <c r="H33" s="431">
        <v>11917.35</v>
      </c>
      <c r="I33" s="426">
        <f>IF(compras_mes5[[#This Row],[NETO GRAVADO]]="","",compras_mes5[[#This Row],[NETO GRAVADO]]*0.21)</f>
        <v>2502.6435000000001</v>
      </c>
      <c r="J33" s="426"/>
      <c r="K33" s="426"/>
      <c r="L33" s="426"/>
      <c r="M33" s="426"/>
      <c r="N33" s="426"/>
      <c r="O33" s="426"/>
      <c r="P33" s="424">
        <f>SUM(compras_mes5[[#This Row],[NETO GRAVADO]:[Otros / No Grav.]])</f>
        <v>14419.9935</v>
      </c>
      <c r="Q33" s="432" t="s">
        <v>2687</v>
      </c>
      <c r="R33" s="432">
        <f>IFERROR(IF(compras_mes5[[#This Row],[CUIT]]="","-",VLOOKUP(compras_mes5[[#This Row],[CUIT]],Lista_CUIT[#All],4,0)),"CUIT NO CARGADO")</f>
        <v>0</v>
      </c>
    </row>
    <row r="34" spans="2:18">
      <c r="B34" s="425">
        <v>45424</v>
      </c>
      <c r="C34" s="427">
        <v>1</v>
      </c>
      <c r="D34" s="428">
        <v>6</v>
      </c>
      <c r="E34" s="429">
        <v>16383643</v>
      </c>
      <c r="F34" s="430">
        <v>30620177497</v>
      </c>
      <c r="G34" s="436" t="str">
        <f>IFERROR(IF(compras_mes5[[#This Row],[CUIT]]="","-",VLOOKUP(compras_mes5[[#This Row],[CUIT]],Lista_CUIT[#All],2,0)),"CUIT NO CARGADO")</f>
        <v>POSNET SRL</v>
      </c>
      <c r="H34" s="431">
        <v>21215.08</v>
      </c>
      <c r="I34" s="426">
        <f>IF(compras_mes5[[#This Row],[NETO GRAVADO]]="","",compras_mes5[[#This Row],[NETO GRAVADO]]*0.21)</f>
        <v>4455.1668</v>
      </c>
      <c r="J34" s="426"/>
      <c r="K34" s="426"/>
      <c r="L34" s="426"/>
      <c r="M34" s="426"/>
      <c r="N34" s="426">
        <v>1909.35</v>
      </c>
      <c r="O34" s="426"/>
      <c r="P34" s="424">
        <f>SUM(compras_mes5[[#This Row],[NETO GRAVADO]:[Otros / No Grav.]])</f>
        <v>27579.596799999999</v>
      </c>
      <c r="Q34" s="432" t="str">
        <f>IFERROR(IF(compras_mes5[[#This Row],[CUIT]]="","-",VLOOKUP(compras_mes5[[#This Row],[CUIT]],Lista_CUIT[#All],3,0)),"CUIT NO CARGADO")</f>
        <v>Gastos Comercializacion</v>
      </c>
      <c r="R34" s="432">
        <f>IFERROR(IF(compras_mes5[[#This Row],[CUIT]]="","-",VLOOKUP(compras_mes5[[#This Row],[CUIT]],Lista_CUIT[#All],4,0)),"CUIT NO CARGADO")</f>
        <v>0</v>
      </c>
    </row>
    <row r="35" spans="2:18">
      <c r="B35" s="425">
        <v>45424</v>
      </c>
      <c r="C35" s="427">
        <v>1</v>
      </c>
      <c r="D35" s="428">
        <v>6</v>
      </c>
      <c r="E35" s="429">
        <v>16395151</v>
      </c>
      <c r="F35" s="430">
        <v>30620177497</v>
      </c>
      <c r="G35" s="436" t="str">
        <f>IFERROR(IF(compras_mes5[[#This Row],[CUIT]]="","-",VLOOKUP(compras_mes5[[#This Row],[CUIT]],Lista_CUIT[#All],2,0)),"CUIT NO CARGADO")</f>
        <v>POSNET SRL</v>
      </c>
      <c r="H35" s="431">
        <v>21215.08</v>
      </c>
      <c r="I35" s="426">
        <f>IF(compras_mes5[[#This Row],[NETO GRAVADO]]="","",compras_mes5[[#This Row],[NETO GRAVADO]]*0.21)</f>
        <v>4455.1668</v>
      </c>
      <c r="J35" s="426"/>
      <c r="K35" s="426"/>
      <c r="L35" s="426"/>
      <c r="M35" s="426"/>
      <c r="N35" s="426">
        <v>1909.35</v>
      </c>
      <c r="O35" s="426"/>
      <c r="P35" s="424">
        <f>SUM(compras_mes5[[#This Row],[NETO GRAVADO]:[Otros / No Grav.]])</f>
        <v>27579.596799999999</v>
      </c>
      <c r="Q35" s="432" t="str">
        <f>IFERROR(IF(compras_mes5[[#This Row],[CUIT]]="","-",VLOOKUP(compras_mes5[[#This Row],[CUIT]],Lista_CUIT[#All],3,0)),"CUIT NO CARGADO")</f>
        <v>Gastos Comercializacion</v>
      </c>
      <c r="R35" s="432">
        <f>IFERROR(IF(compras_mes5[[#This Row],[CUIT]]="","-",VLOOKUP(compras_mes5[[#This Row],[CUIT]],Lista_CUIT[#All],4,0)),"CUIT NO CARGADO")</f>
        <v>0</v>
      </c>
    </row>
    <row r="36" spans="2:18">
      <c r="B36" s="425">
        <v>45424</v>
      </c>
      <c r="C36" s="427">
        <v>1</v>
      </c>
      <c r="D36" s="428">
        <v>6</v>
      </c>
      <c r="E36" s="429">
        <v>16397295</v>
      </c>
      <c r="F36" s="430">
        <v>30620177497</v>
      </c>
      <c r="G36" s="436" t="str">
        <f>IFERROR(IF(compras_mes5[[#This Row],[CUIT]]="","-",VLOOKUP(compras_mes5[[#This Row],[CUIT]],Lista_CUIT[#All],2,0)),"CUIT NO CARGADO")</f>
        <v>POSNET SRL</v>
      </c>
      <c r="H36" s="431">
        <v>21215.08</v>
      </c>
      <c r="I36" s="426">
        <f>IF(compras_mes5[[#This Row],[NETO GRAVADO]]="","",compras_mes5[[#This Row],[NETO GRAVADO]]*0.21)</f>
        <v>4455.1668</v>
      </c>
      <c r="J36" s="426"/>
      <c r="K36" s="426"/>
      <c r="L36" s="426"/>
      <c r="M36" s="426"/>
      <c r="N36" s="426">
        <v>1909.35</v>
      </c>
      <c r="O36" s="426"/>
      <c r="P36" s="424">
        <f>SUM(compras_mes5[[#This Row],[NETO GRAVADO]:[Otros / No Grav.]])</f>
        <v>27579.596799999999</v>
      </c>
      <c r="Q36" s="432" t="str">
        <f>IFERROR(IF(compras_mes5[[#This Row],[CUIT]]="","-",VLOOKUP(compras_mes5[[#This Row],[CUIT]],Lista_CUIT[#All],3,0)),"CUIT NO CARGADO")</f>
        <v>Gastos Comercializacion</v>
      </c>
      <c r="R36" s="432">
        <f>IFERROR(IF(compras_mes5[[#This Row],[CUIT]]="","-",VLOOKUP(compras_mes5[[#This Row],[CUIT]],Lista_CUIT[#All],4,0)),"CUIT NO CARGADO")</f>
        <v>0</v>
      </c>
    </row>
    <row r="37" spans="2:18">
      <c r="B37" s="425">
        <v>45424</v>
      </c>
      <c r="C37" s="427">
        <v>1</v>
      </c>
      <c r="D37" s="428">
        <v>6</v>
      </c>
      <c r="E37" s="429">
        <v>16411583</v>
      </c>
      <c r="F37" s="430">
        <v>30620177497</v>
      </c>
      <c r="G37" s="436" t="str">
        <f>IFERROR(IF(compras_mes5[[#This Row],[CUIT]]="","-",VLOOKUP(compras_mes5[[#This Row],[CUIT]],Lista_CUIT[#All],2,0)),"CUIT NO CARGADO")</f>
        <v>POSNET SRL</v>
      </c>
      <c r="H37" s="431">
        <v>63645.24</v>
      </c>
      <c r="I37" s="426">
        <f>IF(compras_mes5[[#This Row],[NETO GRAVADO]]="","",compras_mes5[[#This Row],[NETO GRAVADO]]*0.21)</f>
        <v>13365.500399999999</v>
      </c>
      <c r="J37" s="426"/>
      <c r="K37" s="426"/>
      <c r="L37" s="426"/>
      <c r="M37" s="426"/>
      <c r="N37" s="426">
        <v>5728.07</v>
      </c>
      <c r="O37" s="426"/>
      <c r="P37" s="424">
        <f>SUM(compras_mes5[[#This Row],[NETO GRAVADO]:[Otros / No Grav.]])</f>
        <v>82738.810399999988</v>
      </c>
      <c r="Q37" s="432" t="str">
        <f>IFERROR(IF(compras_mes5[[#This Row],[CUIT]]="","-",VLOOKUP(compras_mes5[[#This Row],[CUIT]],Lista_CUIT[#All],3,0)),"CUIT NO CARGADO")</f>
        <v>Gastos Comercializacion</v>
      </c>
      <c r="R37" s="432">
        <f>IFERROR(IF(compras_mes5[[#This Row],[CUIT]]="","-",VLOOKUP(compras_mes5[[#This Row],[CUIT]],Lista_CUIT[#All],4,0)),"CUIT NO CARGADO")</f>
        <v>0</v>
      </c>
    </row>
    <row r="38" spans="2:18">
      <c r="B38" s="425">
        <v>45443</v>
      </c>
      <c r="C38" s="427">
        <v>3</v>
      </c>
      <c r="D38" s="428">
        <v>11</v>
      </c>
      <c r="E38" s="429">
        <v>727847</v>
      </c>
      <c r="F38" s="430">
        <v>33709585229</v>
      </c>
      <c r="G38" s="436" t="str">
        <f>IFERROR(IF(compras_mes5[[#This Row],[CUIT]]="","-",VLOOKUP(compras_mes5[[#This Row],[CUIT]],Lista_CUIT[#All],2,0)),"CUIT NO CARGADO")</f>
        <v>GOOGLE ARGENTINA S.R.L.</v>
      </c>
      <c r="H38" s="431">
        <v>0</v>
      </c>
      <c r="I38" s="426">
        <f>IF(compras_mes5[[#This Row],[NETO GRAVADO]]="","",compras_mes5[[#This Row],[NETO GRAVADO]]*0.21)</f>
        <v>0</v>
      </c>
      <c r="J38" s="426"/>
      <c r="K38" s="426"/>
      <c r="L38" s="426"/>
      <c r="M38" s="426"/>
      <c r="N38" s="426"/>
      <c r="O38" s="426"/>
      <c r="P38" s="424">
        <f>SUM(compras_mes5[[#This Row],[NETO GRAVADO]:[Otros / No Grav.]])</f>
        <v>0</v>
      </c>
      <c r="Q38" s="432" t="str">
        <f>IFERROR(IF(compras_mes5[[#This Row],[CUIT]]="","-",VLOOKUP(compras_mes5[[#This Row],[CUIT]],Lista_CUIT[#All],3,0)),"CUIT NO CARGADO")</f>
        <v>Gastos Comercializacion</v>
      </c>
      <c r="R38" s="432">
        <f>IFERROR(IF(compras_mes5[[#This Row],[CUIT]]="","-",VLOOKUP(compras_mes5[[#This Row],[CUIT]],Lista_CUIT[#All],4,0)),"CUIT NO CARGADO")</f>
        <v>0</v>
      </c>
    </row>
    <row r="39" spans="2:18">
      <c r="B39" s="425">
        <v>45443</v>
      </c>
      <c r="C39" s="427">
        <v>1</v>
      </c>
      <c r="D39" s="428">
        <v>11</v>
      </c>
      <c r="E39" s="429">
        <v>991792</v>
      </c>
      <c r="F39" s="430">
        <v>33709585229</v>
      </c>
      <c r="G39" s="436" t="str">
        <f>IFERROR(IF(compras_mes5[[#This Row],[CUIT]]="","-",VLOOKUP(compras_mes5[[#This Row],[CUIT]],Lista_CUIT[#All],2,0)),"CUIT NO CARGADO")</f>
        <v>GOOGLE ARGENTINA S.R.L.</v>
      </c>
      <c r="H39" s="431">
        <v>108171.38</v>
      </c>
      <c r="I39" s="426">
        <f>IF(compras_mes5[[#This Row],[NETO GRAVADO]]="","",compras_mes5[[#This Row],[NETO GRAVADO]]*0.21)</f>
        <v>22715.989799999999</v>
      </c>
      <c r="J39" s="426"/>
      <c r="K39" s="426"/>
      <c r="L39" s="426"/>
      <c r="M39" s="426"/>
      <c r="N39" s="426">
        <v>22156.21</v>
      </c>
      <c r="O39" s="426">
        <v>3245.14</v>
      </c>
      <c r="P39" s="424">
        <f>SUM(compras_mes5[[#This Row],[NETO GRAVADO]:[Otros / No Grav.]])</f>
        <v>156288.71980000002</v>
      </c>
      <c r="Q39" s="432" t="str">
        <f>IFERROR(IF(compras_mes5[[#This Row],[CUIT]]="","-",VLOOKUP(compras_mes5[[#This Row],[CUIT]],Lista_CUIT[#All],3,0)),"CUIT NO CARGADO")</f>
        <v>Gastos Comercializacion</v>
      </c>
      <c r="R39" s="432">
        <f>IFERROR(IF(compras_mes5[[#This Row],[CUIT]]="","-",VLOOKUP(compras_mes5[[#This Row],[CUIT]],Lista_CUIT[#All],4,0)),"CUIT NO CARGADO")</f>
        <v>0</v>
      </c>
    </row>
    <row r="40" spans="2:18">
      <c r="B40" s="458">
        <v>45443</v>
      </c>
      <c r="C40" s="467">
        <v>1</v>
      </c>
      <c r="D40" s="460">
        <v>6</v>
      </c>
      <c r="E40" s="461">
        <v>16556251</v>
      </c>
      <c r="F40" s="462">
        <v>30620177497</v>
      </c>
      <c r="G40" s="463" t="str">
        <f>IFERROR(IF(compras_mes5[[#This Row],[CUIT]]="","-",VLOOKUP(compras_mes5[[#This Row],[CUIT]],Lista_CUIT[#All],2,0)),"CUIT NO CARGADO")</f>
        <v>POSNET SRL</v>
      </c>
      <c r="H40" s="464">
        <v>0</v>
      </c>
      <c r="I40" s="465">
        <f>IF(compras_mes5[[#This Row],[NETO GRAVADO]]="","",compras_mes5[[#This Row],[NETO GRAVADO]]*0.21)</f>
        <v>0</v>
      </c>
      <c r="J40" s="465"/>
      <c r="K40" s="465"/>
      <c r="L40" s="465"/>
      <c r="M40" s="465"/>
      <c r="N40" s="465"/>
      <c r="O40" s="465"/>
      <c r="P40" s="455">
        <f>SUM(compras_mes5[[#This Row],[NETO GRAVADO]:[Otros / No Grav.]])</f>
        <v>0</v>
      </c>
      <c r="Q40" s="466" t="str">
        <f>IFERROR(IF(compras_mes5[[#This Row],[CUIT]]="","-",VLOOKUP(compras_mes5[[#This Row],[CUIT]],Lista_CUIT[#All],3,0)),"CUIT NO CARGADO")</f>
        <v>Gastos Comercializacion</v>
      </c>
      <c r="R40" s="466">
        <f>IFERROR(IF(compras_mes5[[#This Row],[CUIT]]="","-",VLOOKUP(compras_mes5[[#This Row],[CUIT]],Lista_CUIT[#All],4,0)),"CUIT NO CARGADO")</f>
        <v>0</v>
      </c>
    </row>
    <row r="41" spans="2:18">
      <c r="B41" s="425">
        <v>45413</v>
      </c>
      <c r="C41" s="427">
        <v>1</v>
      </c>
      <c r="D41" s="428">
        <v>1</v>
      </c>
      <c r="E41" s="429">
        <v>720</v>
      </c>
      <c r="F41" s="430">
        <v>30715889486</v>
      </c>
      <c r="G41" s="436" t="str">
        <f>IFERROR(IF(compras_mes5[[#This Row],[CUIT]]="","-",VLOOKUP(compras_mes5[[#This Row],[CUIT]],Lista_CUIT[#All],2,0)),"CUIT NO CARGADO")</f>
        <v>EXPOESTETICA</v>
      </c>
      <c r="H41" s="431">
        <v>396000</v>
      </c>
      <c r="I41" s="426">
        <f>IF(compras_mes5[[#This Row],[NETO GRAVADO]]="","",compras_mes5[[#This Row],[NETO GRAVADO]]*0.21)</f>
        <v>83160</v>
      </c>
      <c r="J41" s="426"/>
      <c r="K41" s="426"/>
      <c r="L41" s="426"/>
      <c r="M41" s="426"/>
      <c r="N41" s="426"/>
      <c r="O41" s="426"/>
      <c r="P41" s="424">
        <f>SUM(compras_mes5[[#This Row],[NETO GRAVADO]:[Otros / No Grav.]])</f>
        <v>479160</v>
      </c>
      <c r="Q41" s="432" t="str">
        <f>IFERROR(IF(compras_mes5[[#This Row],[CUIT]]="","-",VLOOKUP(compras_mes5[[#This Row],[CUIT]],Lista_CUIT[#All],3,0)),"CUIT NO CARGADO")</f>
        <v>Gastos Comercializacion - Feria</v>
      </c>
      <c r="R41" s="432" t="str">
        <f>IFERROR(IF(compras_mes5[[#This Row],[CUIT]]="","-",VLOOKUP(compras_mes5[[#This Row],[CUIT]],Lista_CUIT[#All],4,0)),"CUIT NO CARGADO")</f>
        <v>BUENOS AIRES</v>
      </c>
    </row>
    <row r="42" spans="2:18">
      <c r="B42" s="425">
        <v>45415</v>
      </c>
      <c r="C42" s="427">
        <v>1</v>
      </c>
      <c r="D42" s="428">
        <v>14</v>
      </c>
      <c r="E42" s="429">
        <v>12250</v>
      </c>
      <c r="F42" s="430">
        <v>30715186256</v>
      </c>
      <c r="G42" s="436" t="str">
        <f>IFERROR(IF(compras_mes5[[#This Row],[CUIT]]="","-",VLOOKUP(compras_mes5[[#This Row],[CUIT]],Lista_CUIT[#All],2,0)),"CUIT NO CARGADO")</f>
        <v>FRIGORIFICO ALIMENTIC</v>
      </c>
      <c r="H42" s="431">
        <v>37858.050000000003</v>
      </c>
      <c r="I42" s="426">
        <f>3553.72*0.21</f>
        <v>746.2811999999999</v>
      </c>
      <c r="J42" s="426"/>
      <c r="K42" s="426">
        <f>34304.33*0.105</f>
        <v>3601.9546500000001</v>
      </c>
      <c r="L42" s="426"/>
      <c r="M42" s="426"/>
      <c r="N42" s="426"/>
      <c r="O42" s="426"/>
      <c r="P42" s="424">
        <f>SUM(compras_mes5[[#This Row],[NETO GRAVADO]:[Otros / No Grav.]])</f>
        <v>42206.28585</v>
      </c>
      <c r="Q42" s="432" t="str">
        <f>IFERROR(IF(compras_mes5[[#This Row],[CUIT]]="","-",VLOOKUP(compras_mes5[[#This Row],[CUIT]],Lista_CUIT[#All],3,0)),"CUIT NO CARGADO")</f>
        <v>Gastos Comercializacion - Feria</v>
      </c>
      <c r="R42" s="432">
        <f>IFERROR(IF(compras_mes5[[#This Row],[CUIT]]="","-",VLOOKUP(compras_mes5[[#This Row],[CUIT]],Lista_CUIT[#All],4,0)),"CUIT NO CARGADO")</f>
        <v>0</v>
      </c>
    </row>
    <row r="43" spans="2:18">
      <c r="B43" s="425">
        <v>45423</v>
      </c>
      <c r="C43" s="427">
        <v>1</v>
      </c>
      <c r="D43" s="428">
        <v>14</v>
      </c>
      <c r="E43" s="429">
        <v>12362</v>
      </c>
      <c r="F43" s="430">
        <v>30715186256</v>
      </c>
      <c r="G43" s="436" t="str">
        <f>IFERROR(IF(compras_mes5[[#This Row],[CUIT]]="","-",VLOOKUP(compras_mes5[[#This Row],[CUIT]],Lista_CUIT[#All],2,0)),"CUIT NO CARGADO")</f>
        <v>FRIGORIFICO ALIMENTIC</v>
      </c>
      <c r="H43" s="431">
        <v>55634.43</v>
      </c>
      <c r="I43" s="426">
        <f>11360.23*0.21</f>
        <v>2385.6482999999998</v>
      </c>
      <c r="J43" s="426"/>
      <c r="K43" s="426">
        <f>44274.2*0.105</f>
        <v>4648.7909999999993</v>
      </c>
      <c r="L43" s="426"/>
      <c r="M43" s="426"/>
      <c r="N43" s="426"/>
      <c r="O43" s="426"/>
      <c r="P43" s="424">
        <f>SUM(compras_mes5[[#This Row],[NETO GRAVADO]:[Otros / No Grav.]])</f>
        <v>62668.869299999998</v>
      </c>
      <c r="Q43" s="432" t="str">
        <f>IFERROR(IF(compras_mes5[[#This Row],[CUIT]]="","-",VLOOKUP(compras_mes5[[#This Row],[CUIT]],Lista_CUIT[#All],3,0)),"CUIT NO CARGADO")</f>
        <v>Gastos Comercializacion - Feria</v>
      </c>
      <c r="R43" s="432">
        <f>IFERROR(IF(compras_mes5[[#This Row],[CUIT]]="","-",VLOOKUP(compras_mes5[[#This Row],[CUIT]],Lista_CUIT[#All],4,0)),"CUIT NO CARGADO")</f>
        <v>0</v>
      </c>
    </row>
    <row r="44" spans="2:18">
      <c r="B44" s="425">
        <v>45440</v>
      </c>
      <c r="C44" s="41">
        <v>1</v>
      </c>
      <c r="D44" s="428">
        <v>14</v>
      </c>
      <c r="E44" s="429">
        <v>12583</v>
      </c>
      <c r="F44" s="430">
        <v>30715186256</v>
      </c>
      <c r="G44" s="436" t="str">
        <f>IFERROR(IF(compras_mes5[[#This Row],[CUIT]]="","-",VLOOKUP(compras_mes5[[#This Row],[CUIT]],Lista_CUIT[#All],2,0)),"CUIT NO CARGADO")</f>
        <v>FRIGORIFICO ALIMENTIC</v>
      </c>
      <c r="H44" s="431">
        <v>22451.32</v>
      </c>
      <c r="I44" s="426">
        <v>1854.59</v>
      </c>
      <c r="J44" s="426"/>
      <c r="K44" s="426">
        <v>1430.09</v>
      </c>
      <c r="L44" s="426"/>
      <c r="M44" s="426"/>
      <c r="N44" s="426"/>
      <c r="O44" s="426"/>
      <c r="P44" s="424">
        <f>SUM(compras_mes5[[#This Row],[NETO GRAVADO]:[Otros / No Grav.]])</f>
        <v>25736</v>
      </c>
      <c r="Q44" s="432" t="str">
        <f>IFERROR(IF(compras_mes5[[#This Row],[CUIT]]="","-",VLOOKUP(compras_mes5[[#This Row],[CUIT]],Lista_CUIT[#All],3,0)),"CUIT NO CARGADO")</f>
        <v>Gastos Comercializacion - Feria</v>
      </c>
      <c r="R44" s="432">
        <f>IFERROR(IF(compras_mes5[[#This Row],[CUIT]]="","-",VLOOKUP(compras_mes5[[#This Row],[CUIT]],Lista_CUIT[#All],4,0)),"CUIT NO CARGADO")</f>
        <v>0</v>
      </c>
    </row>
    <row r="45" spans="2:18">
      <c r="B45" s="425">
        <v>45442</v>
      </c>
      <c r="C45" s="427">
        <v>1</v>
      </c>
      <c r="D45" s="428">
        <v>14</v>
      </c>
      <c r="E45" s="429">
        <v>12624</v>
      </c>
      <c r="F45" s="430">
        <v>30715186256</v>
      </c>
      <c r="G45" s="436" t="str">
        <f>IFERROR(IF(compras_mes5[[#This Row],[CUIT]]="","-",VLOOKUP(compras_mes5[[#This Row],[CUIT]],Lista_CUIT[#All],2,0)),"CUIT NO CARGADO")</f>
        <v>FRIGORIFICO ALIMENTIC</v>
      </c>
      <c r="H45" s="431">
        <v>16525.55</v>
      </c>
      <c r="I45" s="426">
        <v>1818.5</v>
      </c>
      <c r="J45" s="426"/>
      <c r="K45" s="426">
        <v>825.94</v>
      </c>
      <c r="L45" s="426"/>
      <c r="M45" s="426"/>
      <c r="N45" s="426"/>
      <c r="O45" s="426"/>
      <c r="P45" s="424">
        <f>SUM(compras_mes5[[#This Row],[NETO GRAVADO]:[Otros / No Grav.]])</f>
        <v>19169.989999999998</v>
      </c>
      <c r="Q45" s="432" t="str">
        <f>IFERROR(IF(compras_mes5[[#This Row],[CUIT]]="","-",VLOOKUP(compras_mes5[[#This Row],[CUIT]],Lista_CUIT[#All],3,0)),"CUIT NO CARGADO")</f>
        <v>Gastos Comercializacion - Feria</v>
      </c>
      <c r="R45" s="432">
        <f>IFERROR(IF(compras_mes5[[#This Row],[CUIT]]="","-",VLOOKUP(compras_mes5[[#This Row],[CUIT]],Lista_CUIT[#All],4,0)),"CUIT NO CARGADO")</f>
        <v>0</v>
      </c>
    </row>
    <row r="46" spans="2:18">
      <c r="B46" s="425">
        <v>45432</v>
      </c>
      <c r="C46" s="427">
        <v>1</v>
      </c>
      <c r="D46" s="428">
        <v>30</v>
      </c>
      <c r="E46" s="429">
        <v>136367</v>
      </c>
      <c r="F46" s="430">
        <v>30695056342</v>
      </c>
      <c r="G46" s="436" t="str">
        <f>IFERROR(IF(compras_mes5[[#This Row],[CUIT]]="","-",VLOOKUP(compras_mes5[[#This Row],[CUIT]],Lista_CUIT[#All],2,0)),"CUIT NO CARGADO")</f>
        <v>AVENIDA MAIPU 4199 S C S</v>
      </c>
      <c r="H46" s="431">
        <v>46974.05</v>
      </c>
      <c r="I46" s="426">
        <f>IF(compras_mes5[[#This Row],[NETO GRAVADO]]="","",compras_mes5[[#This Row],[NETO GRAVADO]]*0.21)</f>
        <v>9864.5504999999994</v>
      </c>
      <c r="J46" s="426"/>
      <c r="K46" s="426"/>
      <c r="L46" s="426"/>
      <c r="M46" s="426"/>
      <c r="N46" s="426"/>
      <c r="O46" s="426"/>
      <c r="P46" s="424">
        <f>SUM(compras_mes5[[#This Row],[NETO GRAVADO]:[Otros / No Grav.]])</f>
        <v>56838.6005</v>
      </c>
      <c r="Q46" s="49" t="s">
        <v>79</v>
      </c>
      <c r="R46" s="432">
        <f>IFERROR(IF(compras_mes5[[#This Row],[CUIT]]="","-",VLOOKUP(compras_mes5[[#This Row],[CUIT]],Lista_CUIT[#All],4,0)),"CUIT NO CARGADO")</f>
        <v>0</v>
      </c>
    </row>
    <row r="47" spans="2:18">
      <c r="B47" s="425">
        <v>45430</v>
      </c>
      <c r="C47" s="427">
        <v>1</v>
      </c>
      <c r="D47" s="428">
        <v>113</v>
      </c>
      <c r="E47" s="429">
        <v>3589811</v>
      </c>
      <c r="F47" s="430">
        <v>30577207190</v>
      </c>
      <c r="G47" s="436" t="str">
        <f>IFERROR(IF(compras_mes5[[#This Row],[CUIT]]="","-",VLOOKUP(compras_mes5[[#This Row],[CUIT]],Lista_CUIT[#All],2,0)),"CUIT NO CARGADO")</f>
        <v>COORDINACION ECOLOGICA AREA METROPOLITANA SOCIEDAD DEL ESTADO</v>
      </c>
      <c r="H47" s="431">
        <v>3305.78</v>
      </c>
      <c r="I47" s="426">
        <f>IF(compras_mes5[[#This Row],[NETO GRAVADO]]="","",compras_mes5[[#This Row],[NETO GRAVADO]]*0.21)</f>
        <v>694.21379999999999</v>
      </c>
      <c r="J47" s="426"/>
      <c r="K47" s="426"/>
      <c r="L47" s="426">
        <v>99.17</v>
      </c>
      <c r="M47" s="426"/>
      <c r="N47" s="426"/>
      <c r="O47" s="426"/>
      <c r="P47" s="424">
        <f>SUM(compras_mes5[[#This Row],[NETO GRAVADO]:[Otros / No Grav.]])</f>
        <v>4099.1638000000003</v>
      </c>
      <c r="Q47" s="432" t="str">
        <f>IFERROR(IF(compras_mes5[[#This Row],[CUIT]]="","-",VLOOKUP(compras_mes5[[#This Row],[CUIT]],Lista_CUIT[#All],3,0)),"CUIT NO CARGADO")</f>
        <v>Gastos Limpieza</v>
      </c>
      <c r="R47" s="432">
        <f>IFERROR(IF(compras_mes5[[#This Row],[CUIT]]="","-",VLOOKUP(compras_mes5[[#This Row],[CUIT]],Lista_CUIT[#All],4,0)),"CUIT NO CARGADO")</f>
        <v>0</v>
      </c>
    </row>
    <row r="48" spans="2:18">
      <c r="B48" s="425">
        <v>45432</v>
      </c>
      <c r="C48" s="41">
        <v>1</v>
      </c>
      <c r="D48" s="428">
        <v>9</v>
      </c>
      <c r="E48" s="429">
        <v>8371</v>
      </c>
      <c r="F48" s="430">
        <v>30709531960</v>
      </c>
      <c r="G48" s="436" t="str">
        <f>IFERROR(IF(compras_mes5[[#This Row],[CUIT]]="","-",VLOOKUP(compras_mes5[[#This Row],[CUIT]],Lista_CUIT[#All],2,0)),"CUIT NO CARGADO")</f>
        <v>CENTRO DE DISTRIBUCION SUR S R L</v>
      </c>
      <c r="H48" s="431">
        <v>124047.28</v>
      </c>
      <c r="I48" s="426">
        <f>IF(compras_mes5[[#This Row],[NETO GRAVADO]]="","",compras_mes5[[#This Row],[NETO GRAVADO]]*0.21)</f>
        <v>26049.928799999998</v>
      </c>
      <c r="J48" s="426"/>
      <c r="K48" s="426"/>
      <c r="L48" s="426"/>
      <c r="M48" s="426"/>
      <c r="N48" s="426">
        <v>7442.84</v>
      </c>
      <c r="O48" s="426">
        <v>3721.42</v>
      </c>
      <c r="P48" s="424">
        <f>SUM(compras_mes5[[#This Row],[NETO GRAVADO]:[Otros / No Grav.]])</f>
        <v>161261.4688</v>
      </c>
      <c r="Q48" s="432" t="str">
        <f>IFERROR(IF(compras_mes5[[#This Row],[CUIT]]="","-",VLOOKUP(compras_mes5[[#This Row],[CUIT]],Lista_CUIT[#All],3,0)),"CUIT NO CARGADO")</f>
        <v>Gastos Limpieza</v>
      </c>
      <c r="R48" s="432">
        <f>IFERROR(IF(compras_mes5[[#This Row],[CUIT]]="","-",VLOOKUP(compras_mes5[[#This Row],[CUIT]],Lista_CUIT[#All],4,0)),"CUIT NO CARGADO")</f>
        <v>0</v>
      </c>
    </row>
    <row r="49" spans="2:18">
      <c r="B49" s="425">
        <v>45443</v>
      </c>
      <c r="C49" s="427">
        <v>1</v>
      </c>
      <c r="D49" s="428">
        <v>113</v>
      </c>
      <c r="E49" s="429">
        <v>3622201</v>
      </c>
      <c r="F49" s="430">
        <v>30577207190</v>
      </c>
      <c r="G49" s="436" t="str">
        <f>IFERROR(IF(compras_mes5[[#This Row],[CUIT]]="","-",VLOOKUP(compras_mes5[[#This Row],[CUIT]],Lista_CUIT[#All],2,0)),"CUIT NO CARGADO")</f>
        <v>COORDINACION ECOLOGICA AREA METROPOLITANA SOCIEDAD DEL ESTADO</v>
      </c>
      <c r="H49" s="431">
        <v>4142.1499999999996</v>
      </c>
      <c r="I49" s="426">
        <f>IF(compras_mes5[[#This Row],[NETO GRAVADO]]="","",compras_mes5[[#This Row],[NETO GRAVADO]]*0.21)</f>
        <v>869.85149999999987</v>
      </c>
      <c r="J49" s="426"/>
      <c r="K49" s="426"/>
      <c r="L49" s="426">
        <v>124.27</v>
      </c>
      <c r="M49" s="426"/>
      <c r="N49" s="426"/>
      <c r="O49" s="426"/>
      <c r="P49" s="424">
        <f>SUM(compras_mes5[[#This Row],[NETO GRAVADO]:[Otros / No Grav.]])</f>
        <v>5136.2714999999998</v>
      </c>
      <c r="Q49" s="432" t="str">
        <f>IFERROR(IF(compras_mes5[[#This Row],[CUIT]]="","-",VLOOKUP(compras_mes5[[#This Row],[CUIT]],Lista_CUIT[#All],3,0)),"CUIT NO CARGADO")</f>
        <v>Gastos Limpieza</v>
      </c>
      <c r="R49" s="432">
        <f>IFERROR(IF(compras_mes5[[#This Row],[CUIT]]="","-",VLOOKUP(compras_mes5[[#This Row],[CUIT]],Lista_CUIT[#All],4,0)),"CUIT NO CARGADO")</f>
        <v>0</v>
      </c>
    </row>
    <row r="50" spans="2:18">
      <c r="B50" s="425">
        <v>45425</v>
      </c>
      <c r="C50" s="427">
        <v>1</v>
      </c>
      <c r="D50" s="428">
        <v>3</v>
      </c>
      <c r="E50" s="429">
        <v>4272</v>
      </c>
      <c r="F50" s="430">
        <v>30695993761</v>
      </c>
      <c r="G50" s="436" t="str">
        <f>IFERROR(IF(compras_mes5[[#This Row],[CUIT]]="","-",VLOOKUP(compras_mes5[[#This Row],[CUIT]],Lista_CUIT[#All],2,0)),"CUIT NO CARGADO")</f>
        <v>BOCCOLI JOSE Y BOCCOLI LILIANA SOCIEDAD DE HECHO</v>
      </c>
      <c r="H50" s="431">
        <v>22975.19</v>
      </c>
      <c r="I50" s="426">
        <f>IF(compras_mes5[[#This Row],[NETO GRAVADO]]="","",compras_mes5[[#This Row],[NETO GRAVADO]]*0.21)</f>
        <v>4824.7898999999998</v>
      </c>
      <c r="J50" s="426"/>
      <c r="K50" s="426"/>
      <c r="L50" s="426"/>
      <c r="M50" s="426"/>
      <c r="N50" s="426"/>
      <c r="O50" s="426"/>
      <c r="P50" s="424">
        <f>SUM(compras_mes5[[#This Row],[NETO GRAVADO]:[Otros / No Grav.]])</f>
        <v>27799.979899999998</v>
      </c>
      <c r="Q50" s="49" t="s">
        <v>2687</v>
      </c>
      <c r="R50" s="432">
        <f>IFERROR(IF(compras_mes5[[#This Row],[CUIT]]="","-",VLOOKUP(compras_mes5[[#This Row],[CUIT]],Lista_CUIT[#All],4,0)),"CUIT NO CARGADO")</f>
        <v>0</v>
      </c>
    </row>
    <row r="51" spans="2:18">
      <c r="B51" s="425">
        <v>45433</v>
      </c>
      <c r="C51" s="427">
        <v>1</v>
      </c>
      <c r="D51" s="428">
        <v>1</v>
      </c>
      <c r="E51" s="429">
        <v>545</v>
      </c>
      <c r="F51" s="430">
        <v>20283847765</v>
      </c>
      <c r="G51" s="436" t="str">
        <f>IFERROR(IF(compras_mes5[[#This Row],[CUIT]]="","-",VLOOKUP(compras_mes5[[#This Row],[CUIT]],Lista_CUIT[#All],2,0)),"CUIT NO CARGADO")</f>
        <v>MEDINA JULIO RICARDO</v>
      </c>
      <c r="H51" s="431">
        <v>267431.38</v>
      </c>
      <c r="I51" s="426">
        <f>IF(compras_mes5[[#This Row],[NETO GRAVADO]]="","",compras_mes5[[#This Row],[NETO GRAVADO]]*0.21)</f>
        <v>56160.589800000002</v>
      </c>
      <c r="J51" s="426"/>
      <c r="K51" s="426"/>
      <c r="L51" s="426"/>
      <c r="M51" s="426"/>
      <c r="N51" s="426"/>
      <c r="O51" s="426"/>
      <c r="P51" s="424">
        <f>SUM(compras_mes5[[#This Row],[NETO GRAVADO]:[Otros / No Grav.]])</f>
        <v>323591.96980000002</v>
      </c>
      <c r="Q51" s="49" t="s">
        <v>2687</v>
      </c>
      <c r="R51" s="432">
        <f>IFERROR(IF(compras_mes5[[#This Row],[CUIT]]="","-",VLOOKUP(compras_mes5[[#This Row],[CUIT]],Lista_CUIT[#All],4,0)),"CUIT NO CARGADO")</f>
        <v>0</v>
      </c>
    </row>
    <row r="52" spans="2:18">
      <c r="B52" s="367">
        <v>45433</v>
      </c>
      <c r="C52" s="375">
        <v>3</v>
      </c>
      <c r="D52" s="368">
        <v>1001</v>
      </c>
      <c r="E52" s="369">
        <v>1585</v>
      </c>
      <c r="F52" s="370">
        <v>30715393251</v>
      </c>
      <c r="G52" s="371" t="str">
        <f>IFERROR(IF(compras_mes5[[#This Row],[CUIT]]="","-",VLOOKUP(compras_mes5[[#This Row],[CUIT]],Lista_CUIT[#All],2,0)),"CUIT NO CARGADO")</f>
        <v>OMNICHANNEL S.A.</v>
      </c>
      <c r="H52" s="372">
        <v>-112038.91</v>
      </c>
      <c r="I52" s="373"/>
      <c r="J52" s="373"/>
      <c r="K52" s="373">
        <f>compras_mes5[[#This Row],[NETO GRAVADO]]*0.105</f>
        <v>-11764.08555</v>
      </c>
      <c r="L52" s="373"/>
      <c r="M52" s="373"/>
      <c r="N52" s="373"/>
      <c r="O52" s="373"/>
      <c r="P52" s="483">
        <f>SUM(compras_mes5[[#This Row],[NETO GRAVADO]:[Otros / No Grav.]])</f>
        <v>-123802.99555000001</v>
      </c>
      <c r="Q52" s="374" t="str">
        <f>IFERROR(IF(compras_mes5[[#This Row],[CUIT]]="","-",VLOOKUP(compras_mes5[[#This Row],[CUIT]],Lista_CUIT[#All],3,0)),"CUIT NO CARGADO")</f>
        <v>Gastos Oficina</v>
      </c>
      <c r="R52" s="374">
        <f>IFERROR(IF(compras_mes5[[#This Row],[CUIT]]="","-",VLOOKUP(compras_mes5[[#This Row],[CUIT]],Lista_CUIT[#All],4,0)),"CUIT NO CARGADO")</f>
        <v>0</v>
      </c>
    </row>
    <row r="53" spans="2:18">
      <c r="B53" s="425">
        <v>45440</v>
      </c>
      <c r="C53" s="427">
        <v>1</v>
      </c>
      <c r="D53" s="428">
        <v>21</v>
      </c>
      <c r="E53" s="429">
        <v>67477</v>
      </c>
      <c r="F53" s="430">
        <v>30661685731</v>
      </c>
      <c r="G53" s="436" t="str">
        <f>IFERROR(IF(compras_mes5[[#This Row],[CUIT]]="","-",VLOOKUP(compras_mes5[[#This Row],[CUIT]],Lista_CUIT[#All],2,0)),"CUIT NO CARGADO")</f>
        <v>TIO MUSA S.A.</v>
      </c>
      <c r="H53" s="431">
        <v>164461.98000000001</v>
      </c>
      <c r="I53" s="426">
        <f>IF(compras_mes5[[#This Row],[NETO GRAVADO]]="","",compras_mes5[[#This Row],[NETO GRAVADO]]*0.21)</f>
        <v>34537.015800000001</v>
      </c>
      <c r="J53" s="426"/>
      <c r="K53" s="426"/>
      <c r="L53" s="426"/>
      <c r="M53" s="426"/>
      <c r="N53" s="426">
        <v>9867.7199999999993</v>
      </c>
      <c r="O53" s="426"/>
      <c r="P53" s="424">
        <f>SUM(compras_mes5[[#This Row],[NETO GRAVADO]:[Otros / No Grav.]])</f>
        <v>208866.71580000001</v>
      </c>
      <c r="Q53" s="432" t="str">
        <f>IFERROR(IF(compras_mes5[[#This Row],[CUIT]]="","-",VLOOKUP(compras_mes5[[#This Row],[CUIT]],Lista_CUIT[#All],3,0)),"CUIT NO CARGADO")</f>
        <v>Gastos Oficina</v>
      </c>
      <c r="R53" s="432">
        <f>IFERROR(IF(compras_mes5[[#This Row],[CUIT]]="","-",VLOOKUP(compras_mes5[[#This Row],[CUIT]],Lista_CUIT[#All],4,0)),"CUIT NO CARGADO")</f>
        <v>0</v>
      </c>
    </row>
    <row r="54" spans="2:18">
      <c r="B54" s="425">
        <v>45419</v>
      </c>
      <c r="C54" s="427">
        <v>1</v>
      </c>
      <c r="D54" s="428">
        <v>653</v>
      </c>
      <c r="E54" s="429">
        <v>18016</v>
      </c>
      <c r="F54" s="430">
        <v>30529403522</v>
      </c>
      <c r="G54" s="436" t="str">
        <f>IFERROR(IF(compras_mes5[[#This Row],[CUIT]]="","-",VLOOKUP(compras_mes5[[#This Row],[CUIT]],Lista_CUIT[#All],2,0)),"CUIT NO CARGADO")</f>
        <v>CASTILLO S A C I F I A</v>
      </c>
      <c r="H54" s="431">
        <v>178708.07</v>
      </c>
      <c r="I54" s="426">
        <f>IF(compras_mes5[[#This Row],[NETO GRAVADO]]="","",compras_mes5[[#This Row],[NETO GRAVADO]]*0.21)</f>
        <v>37528.6947</v>
      </c>
      <c r="J54" s="426"/>
      <c r="K54" s="426"/>
      <c r="L54" s="426"/>
      <c r="M54" s="426"/>
      <c r="N54" s="426"/>
      <c r="O54" s="426">
        <v>5361.24</v>
      </c>
      <c r="P54" s="424">
        <f>SUM(compras_mes5[[#This Row],[NETO GRAVADO]:[Otros / No Grav.]])</f>
        <v>221598.00469999999</v>
      </c>
      <c r="Q54" s="432" t="str">
        <f>IFERROR(IF(compras_mes5[[#This Row],[CUIT]]="","-",VLOOKUP(compras_mes5[[#This Row],[CUIT]],Lista_CUIT[#All],3,0)),"CUIT NO CARGADO")</f>
        <v>Gastos Varios</v>
      </c>
      <c r="R54" s="432">
        <f>IFERROR(IF(compras_mes5[[#This Row],[CUIT]]="","-",VLOOKUP(compras_mes5[[#This Row],[CUIT]],Lista_CUIT[#All],4,0)),"CUIT NO CARGADO")</f>
        <v>0</v>
      </c>
    </row>
    <row r="55" spans="2:18">
      <c r="B55" s="425">
        <v>45425</v>
      </c>
      <c r="C55" s="41">
        <v>1</v>
      </c>
      <c r="D55" s="428">
        <v>653</v>
      </c>
      <c r="E55" s="429">
        <v>18200</v>
      </c>
      <c r="F55" s="430">
        <v>30529403522</v>
      </c>
      <c r="G55" s="436" t="str">
        <f>IFERROR(IF(compras_mes5[[#This Row],[CUIT]]="","-",VLOOKUP(compras_mes5[[#This Row],[CUIT]],Lista_CUIT[#All],2,0)),"CUIT NO CARGADO")</f>
        <v>CASTILLO S A C I F I A</v>
      </c>
      <c r="H55" s="431">
        <v>4431.22</v>
      </c>
      <c r="I55" s="426">
        <f>IF(compras_mes5[[#This Row],[NETO GRAVADO]]="","",compras_mes5[[#This Row],[NETO GRAVADO]]*0.21)</f>
        <v>930.55619999999999</v>
      </c>
      <c r="J55" s="426"/>
      <c r="K55" s="426"/>
      <c r="L55" s="426"/>
      <c r="M55" s="426"/>
      <c r="N55" s="426"/>
      <c r="O55" s="426"/>
      <c r="P55" s="424">
        <f>SUM(compras_mes5[[#This Row],[NETO GRAVADO]:[Otros / No Grav.]])</f>
        <v>5361.7762000000002</v>
      </c>
      <c r="Q55" s="432" t="str">
        <f>IFERROR(IF(compras_mes5[[#This Row],[CUIT]]="","-",VLOOKUP(compras_mes5[[#This Row],[CUIT]],Lista_CUIT[#All],3,0)),"CUIT NO CARGADO")</f>
        <v>Gastos Varios</v>
      </c>
      <c r="R55" s="432">
        <f>IFERROR(IF(compras_mes5[[#This Row],[CUIT]]="","-",VLOOKUP(compras_mes5[[#This Row],[CUIT]],Lista_CUIT[#All],4,0)),"CUIT NO CARGADO")</f>
        <v>0</v>
      </c>
    </row>
    <row r="56" spans="2:18">
      <c r="B56" s="425">
        <v>45414</v>
      </c>
      <c r="C56" s="41">
        <v>1</v>
      </c>
      <c r="D56" s="428">
        <v>6328</v>
      </c>
      <c r="E56" s="429">
        <v>939</v>
      </c>
      <c r="F56" s="430">
        <v>30638485733</v>
      </c>
      <c r="G56" s="436" t="str">
        <f>IFERROR(IF(compras_mes5[[#This Row],[CUIT]]="","-",VLOOKUP(compras_mes5[[#This Row],[CUIT]],Lista_CUIT[#All],2,0)),"CUIT NO CARGADO")</f>
        <v>DABRA SOCIEDAD ANONIMA</v>
      </c>
      <c r="H56" s="431">
        <v>56527.29</v>
      </c>
      <c r="I56" s="426">
        <f>IF(compras_mes5[[#This Row],[NETO GRAVADO]]="","",compras_mes5[[#This Row],[NETO GRAVADO]]*0.21)</f>
        <v>11870.7309</v>
      </c>
      <c r="J56" s="426"/>
      <c r="K56" s="426"/>
      <c r="L56" s="426"/>
      <c r="M56" s="426"/>
      <c r="N56" s="426">
        <v>3391.64</v>
      </c>
      <c r="O56" s="426"/>
      <c r="P56" s="424">
        <f>SUM(compras_mes5[[#This Row],[NETO GRAVADO]:[Otros / No Grav.]])</f>
        <v>71789.660900000003</v>
      </c>
      <c r="Q56" s="432" t="str">
        <f>IFERROR(IF(compras_mes5[[#This Row],[CUIT]]="","-",VLOOKUP(compras_mes5[[#This Row],[CUIT]],Lista_CUIT[#All],3,0)),"CUIT NO CARGADO")</f>
        <v>Gastos Varios</v>
      </c>
      <c r="R56" s="432">
        <f>IFERROR(IF(compras_mes5[[#This Row],[CUIT]]="","-",VLOOKUP(compras_mes5[[#This Row],[CUIT]],Lista_CUIT[#All],4,0)),"CUIT NO CARGADO")</f>
        <v>0</v>
      </c>
    </row>
    <row r="57" spans="2:18">
      <c r="B57" s="425">
        <v>45414</v>
      </c>
      <c r="C57" s="41">
        <v>1</v>
      </c>
      <c r="D57" s="42">
        <v>1678</v>
      </c>
      <c r="E57" s="43">
        <v>37376</v>
      </c>
      <c r="F57" s="44">
        <v>30589621499</v>
      </c>
      <c r="G57" s="437" t="str">
        <f>IFERROR(IF(compras_mes5[[#This Row],[CUIT]]="","-",VLOOKUP(compras_mes5[[#This Row],[CUIT]],Lista_CUIT[#All],2,0)),"CUIT NO CARGADO")</f>
        <v>MAKRO SA</v>
      </c>
      <c r="H57" s="46">
        <v>61459.97</v>
      </c>
      <c r="I57" s="426">
        <f>58518.83*0.21</f>
        <v>12288.954299999999</v>
      </c>
      <c r="J57" s="426"/>
      <c r="K57" s="426">
        <f>2941.14*0.105</f>
        <v>308.81969999999995</v>
      </c>
      <c r="L57" s="426">
        <v>1799.68</v>
      </c>
      <c r="M57" s="426"/>
      <c r="N57" s="426">
        <v>3687.6</v>
      </c>
      <c r="O57" s="426"/>
      <c r="P57" s="48">
        <f>SUM(compras_mes5[[#This Row],[NETO GRAVADO]:[Otros / No Grav.]])</f>
        <v>79545.02399999999</v>
      </c>
      <c r="Q57" s="49" t="str">
        <f>IFERROR(IF(compras_mes5[[#This Row],[CUIT]]="","-",VLOOKUP(compras_mes5[[#This Row],[CUIT]],Lista_CUIT[#All],3,0)),"CUIT NO CARGADO")</f>
        <v>Gastos Varios</v>
      </c>
      <c r="R57" s="49">
        <f>IFERROR(IF(compras_mes5[[#This Row],[CUIT]]="","-",VLOOKUP(compras_mes5[[#This Row],[CUIT]],Lista_CUIT[#All],4,0)),"CUIT NO CARGADO")</f>
        <v>0</v>
      </c>
    </row>
    <row r="58" spans="2:18">
      <c r="B58" s="425">
        <v>45416</v>
      </c>
      <c r="C58" s="427">
        <v>1</v>
      </c>
      <c r="D58" s="428">
        <v>7</v>
      </c>
      <c r="E58" s="429">
        <v>1243</v>
      </c>
      <c r="F58" s="430">
        <v>30713842504</v>
      </c>
      <c r="G58" s="436" t="str">
        <f>IFERROR(IF(compras_mes5[[#This Row],[CUIT]]="","-",VLOOKUP(compras_mes5[[#This Row],[CUIT]],Lista_CUIT[#All],2,0)),"CUIT NO CARGADO")</f>
        <v>CAOBA GROUP SRL</v>
      </c>
      <c r="H58" s="431">
        <v>54369.53</v>
      </c>
      <c r="I58" s="426">
        <f>IF(compras_mes5[[#This Row],[NETO GRAVADO]]="","",compras_mes5[[#This Row],[NETO GRAVADO]]*0.21)</f>
        <v>11417.601299999998</v>
      </c>
      <c r="J58" s="426"/>
      <c r="K58" s="426"/>
      <c r="L58" s="426"/>
      <c r="M58" s="426"/>
      <c r="N58" s="426"/>
      <c r="O58" s="426"/>
      <c r="P58" s="424">
        <f>SUM(compras_mes5[[#This Row],[NETO GRAVADO]:[Otros / No Grav.]])</f>
        <v>65787.131299999994</v>
      </c>
      <c r="Q58" s="432" t="str">
        <f>IFERROR(IF(compras_mes5[[#This Row],[CUIT]]="","-",VLOOKUP(compras_mes5[[#This Row],[CUIT]],Lista_CUIT[#All],3,0)),"CUIT NO CARGADO")</f>
        <v>Gastos Varios</v>
      </c>
      <c r="R58" s="432">
        <f>IFERROR(IF(compras_mes5[[#This Row],[CUIT]]="","-",VLOOKUP(compras_mes5[[#This Row],[CUIT]],Lista_CUIT[#All],4,0)),"CUIT NO CARGADO")</f>
        <v>0</v>
      </c>
    </row>
    <row r="59" spans="2:18">
      <c r="B59" s="425">
        <v>45416</v>
      </c>
      <c r="C59" s="427">
        <v>1</v>
      </c>
      <c r="D59" s="428">
        <v>7</v>
      </c>
      <c r="E59" s="429">
        <v>2672</v>
      </c>
      <c r="F59" s="430">
        <v>20134664518</v>
      </c>
      <c r="G59" s="436" t="str">
        <f>IFERROR(IF(compras_mes5[[#This Row],[CUIT]]="","-",VLOOKUP(compras_mes5[[#This Row],[CUIT]],Lista_CUIT[#All],2,0)),"CUIT NO CARGADO")</f>
        <v>HOKAMA SERGIO ENRIQUE</v>
      </c>
      <c r="H59" s="431">
        <v>48145.18</v>
      </c>
      <c r="I59" s="426">
        <f>IF(compras_mes5[[#This Row],[NETO GRAVADO]]="","",compras_mes5[[#This Row],[NETO GRAVADO]]*0.21)</f>
        <v>10110.487799999999</v>
      </c>
      <c r="J59" s="426"/>
      <c r="K59" s="426"/>
      <c r="L59" s="426"/>
      <c r="M59" s="426"/>
      <c r="N59" s="426"/>
      <c r="O59" s="426"/>
      <c r="P59" s="424">
        <f>SUM(compras_mes5[[#This Row],[NETO GRAVADO]:[Otros / No Grav.]])</f>
        <v>58255.667799999996</v>
      </c>
      <c r="Q59" s="432" t="str">
        <f>IFERROR(IF(compras_mes5[[#This Row],[CUIT]]="","-",VLOOKUP(compras_mes5[[#This Row],[CUIT]],Lista_CUIT[#All],3,0)),"CUIT NO CARGADO")</f>
        <v>Gastos Varios</v>
      </c>
      <c r="R59" s="432" t="str">
        <f>IFERROR(IF(compras_mes5[[#This Row],[CUIT]]="","-",VLOOKUP(compras_mes5[[#This Row],[CUIT]],Lista_CUIT[#All],4,0)),"CUIT NO CARGADO")</f>
        <v>BUENOS AIRES</v>
      </c>
    </row>
    <row r="60" spans="2:18">
      <c r="B60" s="425">
        <v>45417</v>
      </c>
      <c r="C60" s="427">
        <v>1</v>
      </c>
      <c r="D60" s="428">
        <v>4767</v>
      </c>
      <c r="E60" s="429">
        <v>1325</v>
      </c>
      <c r="F60" s="430">
        <v>30685849751</v>
      </c>
      <c r="G60" s="436" t="str">
        <f>IFERROR(IF(compras_mes5[[#This Row],[CUIT]]="","-",VLOOKUP(compras_mes5[[#This Row],[CUIT]],Lista_CUIT[#All],2,0)),"CUIT NO CARGADO")</f>
        <v>DIA ARGENTINA S A</v>
      </c>
      <c r="H60" s="431">
        <v>13293.09</v>
      </c>
      <c r="I60" s="426">
        <f>10979.33*0.21</f>
        <v>2305.6592999999998</v>
      </c>
      <c r="J60" s="426"/>
      <c r="K60" s="426">
        <f>2313.76*0.105</f>
        <v>242.94480000000001</v>
      </c>
      <c r="L60" s="426"/>
      <c r="M60" s="426"/>
      <c r="N60" s="426"/>
      <c r="O60" s="426"/>
      <c r="P60" s="424">
        <f>SUM(compras_mes5[[#This Row],[NETO GRAVADO]:[Otros / No Grav.]])</f>
        <v>15841.694099999999</v>
      </c>
      <c r="Q60" s="432" t="str">
        <f>IFERROR(IF(compras_mes5[[#This Row],[CUIT]]="","-",VLOOKUP(compras_mes5[[#This Row],[CUIT]],Lista_CUIT[#All],3,0)),"CUIT NO CARGADO")</f>
        <v>Gastos Varios</v>
      </c>
      <c r="R60" s="432">
        <f>IFERROR(IF(compras_mes5[[#This Row],[CUIT]]="","-",VLOOKUP(compras_mes5[[#This Row],[CUIT]],Lista_CUIT[#All],4,0)),"CUIT NO CARGADO")</f>
        <v>0</v>
      </c>
    </row>
    <row r="61" spans="2:18">
      <c r="B61" s="425">
        <v>45418</v>
      </c>
      <c r="C61" s="41">
        <v>1</v>
      </c>
      <c r="D61" s="428">
        <v>2188</v>
      </c>
      <c r="E61" s="429">
        <v>118920</v>
      </c>
      <c r="F61" s="430">
        <v>30548083156</v>
      </c>
      <c r="G61" s="436" t="str">
        <f>IFERROR(IF(compras_mes5[[#This Row],[CUIT]]="","-",VLOOKUP(compras_mes5[[#This Row],[CUIT]],Lista_CUIT[#All],2,0)),"CUIT NO CARGADO")</f>
        <v>COTO CENTRO INTEGRAL DE COMERCIALIZACION SOCIEDAD ANONIMA</v>
      </c>
      <c r="H61" s="431">
        <v>19831.78</v>
      </c>
      <c r="I61" s="426">
        <f>15007.43*0.21</f>
        <v>3151.5603000000001</v>
      </c>
      <c r="J61" s="426"/>
      <c r="K61" s="426">
        <f>4824.335*0.105</f>
        <v>506.55517499999996</v>
      </c>
      <c r="L61" s="426"/>
      <c r="M61" s="426"/>
      <c r="N61" s="426"/>
      <c r="O61" s="426">
        <v>1608.39</v>
      </c>
      <c r="P61" s="424">
        <f>SUM(compras_mes5[[#This Row],[NETO GRAVADO]:[Otros / No Grav.]])</f>
        <v>25098.285475000001</v>
      </c>
      <c r="Q61" s="432" t="str">
        <f>IFERROR(IF(compras_mes5[[#This Row],[CUIT]]="","-",VLOOKUP(compras_mes5[[#This Row],[CUIT]],Lista_CUIT[#All],3,0)),"CUIT NO CARGADO")</f>
        <v>Gastos Varios</v>
      </c>
      <c r="R61" s="432">
        <f>IFERROR(IF(compras_mes5[[#This Row],[CUIT]]="","-",VLOOKUP(compras_mes5[[#This Row],[CUIT]],Lista_CUIT[#All],4,0)),"CUIT NO CARGADO")</f>
        <v>0</v>
      </c>
    </row>
    <row r="62" spans="2:18">
      <c r="B62" s="425">
        <v>45419</v>
      </c>
      <c r="C62" s="427">
        <v>1</v>
      </c>
      <c r="D62" s="428">
        <v>2084</v>
      </c>
      <c r="E62" s="429">
        <v>22083</v>
      </c>
      <c r="F62" s="430">
        <v>30548083156</v>
      </c>
      <c r="G62" s="436" t="str">
        <f>IFERROR(IF(compras_mes5[[#This Row],[CUIT]]="","-",VLOOKUP(compras_mes5[[#This Row],[CUIT]],Lista_CUIT[#All],2,0)),"CUIT NO CARGADO")</f>
        <v>COTO CENTRO INTEGRAL DE COMERCIALIZACION SOCIEDAD ANONIMA</v>
      </c>
      <c r="H62" s="431">
        <v>14102.63</v>
      </c>
      <c r="I62" s="426">
        <f>IF(compras_mes5[[#This Row],[NETO GRAVADO]]="","",compras_mes5[[#This Row],[NETO GRAVADO]]*0.21)</f>
        <v>2961.5522999999998</v>
      </c>
      <c r="J62" s="426"/>
      <c r="K62" s="426"/>
      <c r="L62" s="426"/>
      <c r="M62" s="426"/>
      <c r="N62" s="426"/>
      <c r="O62" s="426">
        <v>1269.24</v>
      </c>
      <c r="P62" s="424">
        <f>SUM(compras_mes5[[#This Row],[NETO GRAVADO]:[Otros / No Grav.]])</f>
        <v>18333.422300000002</v>
      </c>
      <c r="Q62" s="432" t="str">
        <f>IFERROR(IF(compras_mes5[[#This Row],[CUIT]]="","-",VLOOKUP(compras_mes5[[#This Row],[CUIT]],Lista_CUIT[#All],3,0)),"CUIT NO CARGADO")</f>
        <v>Gastos Varios</v>
      </c>
      <c r="R62" s="432">
        <f>IFERROR(IF(compras_mes5[[#This Row],[CUIT]]="","-",VLOOKUP(compras_mes5[[#This Row],[CUIT]],Lista_CUIT[#All],4,0)),"CUIT NO CARGADO")</f>
        <v>0</v>
      </c>
    </row>
    <row r="63" spans="2:18">
      <c r="B63" s="425">
        <v>45420</v>
      </c>
      <c r="C63" s="427">
        <v>1</v>
      </c>
      <c r="D63" s="428">
        <v>11073</v>
      </c>
      <c r="E63" s="429">
        <v>424</v>
      </c>
      <c r="F63" s="430">
        <v>30590360763</v>
      </c>
      <c r="G63" s="436" t="str">
        <f>IFERROR(IF(compras_mes5[[#This Row],[CUIT]]="","-",VLOOKUP(compras_mes5[[#This Row],[CUIT]],Lista_CUIT[#All],2,0)),"CUIT NO CARGADO")</f>
        <v>CENCOSUD S.A</v>
      </c>
      <c r="H63" s="431">
        <v>8173.01</v>
      </c>
      <c r="I63" s="426">
        <f>6726.86*0.21</f>
        <v>1412.6405999999999</v>
      </c>
      <c r="J63" s="426"/>
      <c r="K63" s="426">
        <f>1446.15*0.105</f>
        <v>151.84575000000001</v>
      </c>
      <c r="L63" s="426">
        <v>223.5</v>
      </c>
      <c r="M63" s="426"/>
      <c r="N63" s="426">
        <v>490.38</v>
      </c>
      <c r="O63" s="426"/>
      <c r="P63" s="424">
        <f>SUM(compras_mes5[[#This Row],[NETO GRAVADO]:[Otros / No Grav.]])</f>
        <v>10451.37635</v>
      </c>
      <c r="Q63" s="432" t="str">
        <f>IFERROR(IF(compras_mes5[[#This Row],[CUIT]]="","-",VLOOKUP(compras_mes5[[#This Row],[CUIT]],Lista_CUIT[#All],3,0)),"CUIT NO CARGADO")</f>
        <v>Gastos Varios</v>
      </c>
      <c r="R63" s="432">
        <f>IFERROR(IF(compras_mes5[[#This Row],[CUIT]]="","-",VLOOKUP(compras_mes5[[#This Row],[CUIT]],Lista_CUIT[#All],4,0)),"CUIT NO CARGADO")</f>
        <v>0</v>
      </c>
    </row>
    <row r="64" spans="2:18">
      <c r="B64" s="425">
        <v>45421</v>
      </c>
      <c r="C64" s="427">
        <v>1</v>
      </c>
      <c r="D64" s="428">
        <v>1</v>
      </c>
      <c r="E64" s="429">
        <v>7397</v>
      </c>
      <c r="F64" s="430">
        <v>30716872463</v>
      </c>
      <c r="G64" s="436" t="str">
        <f>IFERROR(IF(compras_mes5[[#This Row],[CUIT]]="","-",VLOOKUP(compras_mes5[[#This Row],[CUIT]],Lista_CUIT[#All],2,0)),"CUIT NO CARGADO")</f>
        <v>COMERCIAL MGM S.R.L</v>
      </c>
      <c r="H64" s="431">
        <v>43979.19</v>
      </c>
      <c r="I64" s="426"/>
      <c r="J64" s="426"/>
      <c r="K64" s="426">
        <f>compras_mes5[[#This Row],[NETO GRAVADO]]*0.105</f>
        <v>4617.81495</v>
      </c>
      <c r="L64" s="426"/>
      <c r="M64" s="426"/>
      <c r="N64" s="426"/>
      <c r="O64" s="426"/>
      <c r="P64" s="424">
        <f>SUM(compras_mes5[[#This Row],[NETO GRAVADO]:[Otros / No Grav.]])</f>
        <v>48597.004950000002</v>
      </c>
      <c r="Q64" s="432" t="str">
        <f>IFERROR(IF(compras_mes5[[#This Row],[CUIT]]="","-",VLOOKUP(compras_mes5[[#This Row],[CUIT]],Lista_CUIT[#All],3,0)),"CUIT NO CARGADO")</f>
        <v>Gastos Varios</v>
      </c>
      <c r="R64" s="432">
        <f>IFERROR(IF(compras_mes5[[#This Row],[CUIT]]="","-",VLOOKUP(compras_mes5[[#This Row],[CUIT]],Lista_CUIT[#All],4,0)),"CUIT NO CARGADO")</f>
        <v>0</v>
      </c>
    </row>
    <row r="65" spans="2:18" s="128" customFormat="1">
      <c r="B65" s="425">
        <v>45423</v>
      </c>
      <c r="C65" s="427">
        <v>1</v>
      </c>
      <c r="D65" s="428">
        <v>8277</v>
      </c>
      <c r="E65" s="429">
        <v>4337</v>
      </c>
      <c r="F65" s="430">
        <v>30590360763</v>
      </c>
      <c r="G65" s="436" t="str">
        <f>IFERROR(IF(compras_mes5[[#This Row],[CUIT]]="","-",VLOOKUP(compras_mes5[[#This Row],[CUIT]],Lista_CUIT[#All],2,0)),"CUIT NO CARGADO")</f>
        <v>CENCOSUD S.A</v>
      </c>
      <c r="H65" s="431">
        <v>18297.52</v>
      </c>
      <c r="I65" s="426">
        <f>IF(compras_mes5[[#This Row],[NETO GRAVADO]]="","",compras_mes5[[#This Row],[NETO GRAVADO]]*0.21)</f>
        <v>3842.4791999999998</v>
      </c>
      <c r="J65" s="426"/>
      <c r="K65" s="426"/>
      <c r="L65" s="426">
        <v>548.92999999999995</v>
      </c>
      <c r="M65" s="426"/>
      <c r="N65" s="426">
        <v>1097.8499999999999</v>
      </c>
      <c r="O65" s="426"/>
      <c r="P65" s="424">
        <f>SUM(compras_mes5[[#This Row],[NETO GRAVADO]:[Otros / No Grav.]])</f>
        <v>23786.779199999997</v>
      </c>
      <c r="Q65" s="432" t="str">
        <f>IFERROR(IF(compras_mes5[[#This Row],[CUIT]]="","-",VLOOKUP(compras_mes5[[#This Row],[CUIT]],Lista_CUIT[#All],3,0)),"CUIT NO CARGADO")</f>
        <v>Gastos Varios</v>
      </c>
      <c r="R65" s="432">
        <f>IFERROR(IF(compras_mes5[[#This Row],[CUIT]]="","-",VLOOKUP(compras_mes5[[#This Row],[CUIT]],Lista_CUIT[#All],4,0)),"CUIT NO CARGADO")</f>
        <v>0</v>
      </c>
    </row>
    <row r="66" spans="2:18">
      <c r="B66" s="425">
        <v>45423</v>
      </c>
      <c r="C66" s="427">
        <v>1</v>
      </c>
      <c r="D66" s="428">
        <v>2199</v>
      </c>
      <c r="E66" s="429">
        <v>29129</v>
      </c>
      <c r="F66" s="430">
        <v>30548083156</v>
      </c>
      <c r="G66" s="436" t="str">
        <f>IFERROR(IF(compras_mes5[[#This Row],[CUIT]]="","-",VLOOKUP(compras_mes5[[#This Row],[CUIT]],Lista_CUIT[#All],2,0)),"CUIT NO CARGADO")</f>
        <v>COTO CENTRO INTEGRAL DE COMERCIALIZACION SOCIEDAD ANONIMA</v>
      </c>
      <c r="H66" s="431">
        <v>8145.05</v>
      </c>
      <c r="I66" s="426">
        <f>IF(compras_mes5[[#This Row],[NETO GRAVADO]]="","",compras_mes5[[#This Row],[NETO GRAVADO]]*0.21)</f>
        <v>1710.4604999999999</v>
      </c>
      <c r="J66" s="426"/>
      <c r="K66" s="426"/>
      <c r="L66" s="426"/>
      <c r="M66" s="426"/>
      <c r="N66" s="426"/>
      <c r="O66" s="426">
        <v>584.04</v>
      </c>
      <c r="P66" s="424">
        <f>SUM(compras_mes5[[#This Row],[NETO GRAVADO]:[Otros / No Grav.]])</f>
        <v>10439.550500000001</v>
      </c>
      <c r="Q66" s="432" t="str">
        <f>IFERROR(IF(compras_mes5[[#This Row],[CUIT]]="","-",VLOOKUP(compras_mes5[[#This Row],[CUIT]],Lista_CUIT[#All],3,0)),"CUIT NO CARGADO")</f>
        <v>Gastos Varios</v>
      </c>
      <c r="R66" s="432">
        <f>IFERROR(IF(compras_mes5[[#This Row],[CUIT]]="","-",VLOOKUP(compras_mes5[[#This Row],[CUIT]],Lista_CUIT[#All],4,0)),"CUIT NO CARGADO")</f>
        <v>0</v>
      </c>
    </row>
    <row r="67" spans="2:18">
      <c r="B67" s="458">
        <v>45423</v>
      </c>
      <c r="C67" s="467">
        <v>1</v>
      </c>
      <c r="D67" s="460">
        <v>2188</v>
      </c>
      <c r="E67" s="461">
        <v>119353</v>
      </c>
      <c r="F67" s="462">
        <v>30548083156</v>
      </c>
      <c r="G67" s="463" t="str">
        <f>IFERROR(IF(compras_mes5[[#This Row],[CUIT]]="","-",VLOOKUP(compras_mes5[[#This Row],[CUIT]],Lista_CUIT[#All],2,0)),"CUIT NO CARGADO")</f>
        <v>COTO CENTRO INTEGRAL DE COMERCIALIZACION SOCIEDAD ANONIMA</v>
      </c>
      <c r="H67" s="464">
        <v>85943.97</v>
      </c>
      <c r="I67" s="465">
        <f>72433.61*0.21</f>
        <v>15211.0581</v>
      </c>
      <c r="J67" s="476"/>
      <c r="K67" s="465">
        <f>13510.36*0.105</f>
        <v>1418.5878</v>
      </c>
      <c r="L67" s="465"/>
      <c r="M67" s="465"/>
      <c r="N67" s="465"/>
      <c r="O67" s="465">
        <v>7072.53</v>
      </c>
      <c r="P67" s="455">
        <f>SUM(compras_mes5[[#This Row],[NETO GRAVADO]:[Otros / No Grav.]])</f>
        <v>109646.14589999999</v>
      </c>
      <c r="Q67" s="466" t="str">
        <f>IFERROR(IF(compras_mes5[[#This Row],[CUIT]]="","-",VLOOKUP(compras_mes5[[#This Row],[CUIT]],Lista_CUIT[#All],3,0)),"CUIT NO CARGADO")</f>
        <v>Gastos Varios</v>
      </c>
      <c r="R67" s="466">
        <f>IFERROR(IF(compras_mes5[[#This Row],[CUIT]]="","-",VLOOKUP(compras_mes5[[#This Row],[CUIT]],Lista_CUIT[#All],4,0)),"CUIT NO CARGADO")</f>
        <v>0</v>
      </c>
    </row>
    <row r="68" spans="2:18">
      <c r="B68" s="425">
        <v>45426</v>
      </c>
      <c r="C68" s="41">
        <v>1</v>
      </c>
      <c r="D68" s="428">
        <v>1</v>
      </c>
      <c r="E68" s="429">
        <v>253</v>
      </c>
      <c r="F68" s="430">
        <v>30717944883</v>
      </c>
      <c r="G68" s="436" t="str">
        <f>IFERROR(IF(compras_mes5[[#This Row],[CUIT]]="","-",VLOOKUP(compras_mes5[[#This Row],[CUIT]],Lista_CUIT[#All],2,0)),"CUIT NO CARGADO")</f>
        <v>SALAZAR CORNEJO AROLDO, MOLINA ROBERTO CRISTIAN Y RUSCITTO JUAN MANUEL  S. CAP I SECC IV</v>
      </c>
      <c r="H68" s="431">
        <v>40000</v>
      </c>
      <c r="I68" s="426">
        <f>IF(compras_mes5[[#This Row],[NETO GRAVADO]]="","",compras_mes5[[#This Row],[NETO GRAVADO]]*0.21)</f>
        <v>8400</v>
      </c>
      <c r="J68" s="426"/>
      <c r="K68" s="426"/>
      <c r="L68" s="426"/>
      <c r="M68" s="426"/>
      <c r="N68" s="426"/>
      <c r="O68" s="426"/>
      <c r="P68" s="424">
        <f>SUM(compras_mes5[[#This Row],[NETO GRAVADO]:[Otros / No Grav.]])</f>
        <v>48400</v>
      </c>
      <c r="Q68" s="432" t="str">
        <f>IFERROR(IF(compras_mes5[[#This Row],[CUIT]]="","-",VLOOKUP(compras_mes5[[#This Row],[CUIT]],Lista_CUIT[#All],3,0)),"CUIT NO CARGADO")</f>
        <v>Gastos Varios</v>
      </c>
      <c r="R68" s="432">
        <f>IFERROR(IF(compras_mes5[[#This Row],[CUIT]]="","-",VLOOKUP(compras_mes5[[#This Row],[CUIT]],Lista_CUIT[#All],4,0)),"CUIT NO CARGADO")</f>
        <v>0</v>
      </c>
    </row>
    <row r="69" spans="2:18">
      <c r="B69" s="425">
        <v>45426</v>
      </c>
      <c r="C69" s="427">
        <v>1</v>
      </c>
      <c r="D69" s="428">
        <v>1678</v>
      </c>
      <c r="E69" s="429">
        <v>38198</v>
      </c>
      <c r="F69" s="430">
        <v>30589621499</v>
      </c>
      <c r="G69" s="436" t="str">
        <f>IFERROR(IF(compras_mes5[[#This Row],[CUIT]]="","-",VLOOKUP(compras_mes5[[#This Row],[CUIT]],Lista_CUIT[#All],2,0)),"CUIT NO CARGADO")</f>
        <v>MAKRO SA</v>
      </c>
      <c r="H69" s="431">
        <v>108074.48</v>
      </c>
      <c r="I69" s="426">
        <f>105628.22*0.21</f>
        <v>22181.926199999998</v>
      </c>
      <c r="J69" s="426"/>
      <c r="K69" s="426">
        <f>2446.26*0.105</f>
        <v>256.85730000000001</v>
      </c>
      <c r="L69" s="426">
        <v>3205.54</v>
      </c>
      <c r="M69" s="426"/>
      <c r="N69" s="426">
        <v>6484.47</v>
      </c>
      <c r="O69" s="426">
        <v>193.23</v>
      </c>
      <c r="P69" s="424">
        <f>SUM(compras_mes5[[#This Row],[NETO GRAVADO]:[Otros / No Grav.]])</f>
        <v>140396.50350000002</v>
      </c>
      <c r="Q69" s="432" t="str">
        <f>IFERROR(IF(compras_mes5[[#This Row],[CUIT]]="","-",VLOOKUP(compras_mes5[[#This Row],[CUIT]],Lista_CUIT[#All],3,0)),"CUIT NO CARGADO")</f>
        <v>Gastos Varios</v>
      </c>
      <c r="R69" s="432">
        <f>IFERROR(IF(compras_mes5[[#This Row],[CUIT]]="","-",VLOOKUP(compras_mes5[[#This Row],[CUIT]],Lista_CUIT[#All],4,0)),"CUIT NO CARGADO")</f>
        <v>0</v>
      </c>
    </row>
    <row r="70" spans="2:18">
      <c r="B70" s="425">
        <v>45428</v>
      </c>
      <c r="C70" s="427">
        <v>1</v>
      </c>
      <c r="D70" s="428">
        <v>8</v>
      </c>
      <c r="E70" s="429">
        <v>1491</v>
      </c>
      <c r="F70" s="430">
        <v>20277381908</v>
      </c>
      <c r="G70" s="436" t="str">
        <f>IFERROR(IF(compras_mes5[[#This Row],[CUIT]]="","-",VLOOKUP(compras_mes5[[#This Row],[CUIT]],Lista_CUIT[#All],2,0)),"CUIT NO CARGADO")</f>
        <v>ALONSO RODRIGO JAVIER</v>
      </c>
      <c r="H70" s="431">
        <v>25884.3</v>
      </c>
      <c r="I70" s="426">
        <f>IF(compras_mes5[[#This Row],[NETO GRAVADO]]="","",compras_mes5[[#This Row],[NETO GRAVADO]]*0.21)</f>
        <v>5435.7029999999995</v>
      </c>
      <c r="J70" s="426"/>
      <c r="K70" s="426"/>
      <c r="L70" s="426"/>
      <c r="M70" s="426"/>
      <c r="N70" s="426"/>
      <c r="O70" s="426"/>
      <c r="P70" s="424">
        <f>SUM(compras_mes5[[#This Row],[NETO GRAVADO]:[Otros / No Grav.]])</f>
        <v>31320.002999999997</v>
      </c>
      <c r="Q70" s="432" t="str">
        <f>IFERROR(IF(compras_mes5[[#This Row],[CUIT]]="","-",VLOOKUP(compras_mes5[[#This Row],[CUIT]],Lista_CUIT[#All],3,0)),"CUIT NO CARGADO")</f>
        <v>Gastos Varios</v>
      </c>
      <c r="R70" s="432">
        <f>IFERROR(IF(compras_mes5[[#This Row],[CUIT]]="","-",VLOOKUP(compras_mes5[[#This Row],[CUIT]],Lista_CUIT[#All],4,0)),"CUIT NO CARGADO")</f>
        <v>0</v>
      </c>
    </row>
    <row r="71" spans="2:18">
      <c r="B71" s="425">
        <v>45428</v>
      </c>
      <c r="C71" s="427">
        <v>1</v>
      </c>
      <c r="D71" s="428">
        <v>8</v>
      </c>
      <c r="E71" s="429">
        <v>1492</v>
      </c>
      <c r="F71" s="430">
        <v>20277381908</v>
      </c>
      <c r="G71" s="436" t="str">
        <f>IFERROR(IF(compras_mes5[[#This Row],[CUIT]]="","-",VLOOKUP(compras_mes5[[#This Row],[CUIT]],Lista_CUIT[#All],2,0)),"CUIT NO CARGADO")</f>
        <v>ALONSO RODRIGO JAVIER</v>
      </c>
      <c r="H71" s="431">
        <v>2479.35</v>
      </c>
      <c r="I71" s="426">
        <f>IF(compras_mes5[[#This Row],[NETO GRAVADO]]="","",compras_mes5[[#This Row],[NETO GRAVADO]]*0.21)</f>
        <v>520.6635</v>
      </c>
      <c r="J71" s="426"/>
      <c r="K71" s="426"/>
      <c r="L71" s="426"/>
      <c r="M71" s="426"/>
      <c r="N71" s="426"/>
      <c r="O71" s="426"/>
      <c r="P71" s="424">
        <f>SUM(compras_mes5[[#This Row],[NETO GRAVADO]:[Otros / No Grav.]])</f>
        <v>3000.0135</v>
      </c>
      <c r="Q71" s="432" t="str">
        <f>IFERROR(IF(compras_mes5[[#This Row],[CUIT]]="","-",VLOOKUP(compras_mes5[[#This Row],[CUIT]],Lista_CUIT[#All],3,0)),"CUIT NO CARGADO")</f>
        <v>Gastos Varios</v>
      </c>
      <c r="R71" s="432">
        <f>IFERROR(IF(compras_mes5[[#This Row],[CUIT]]="","-",VLOOKUP(compras_mes5[[#This Row],[CUIT]],Lista_CUIT[#All],4,0)),"CUIT NO CARGADO")</f>
        <v>0</v>
      </c>
    </row>
    <row r="72" spans="2:18">
      <c r="B72" s="425">
        <v>45428</v>
      </c>
      <c r="C72" s="427">
        <v>1</v>
      </c>
      <c r="D72" s="428">
        <v>2188</v>
      </c>
      <c r="E72" s="429">
        <v>119800</v>
      </c>
      <c r="F72" s="430">
        <v>30548083156</v>
      </c>
      <c r="G72" s="436" t="str">
        <f>IFERROR(IF(compras_mes5[[#This Row],[CUIT]]="","-",VLOOKUP(compras_mes5[[#This Row],[CUIT]],Lista_CUIT[#All],2,0)),"CUIT NO CARGADO")</f>
        <v>COTO CENTRO INTEGRAL DE COMERCIALIZACION SOCIEDAD ANONIMA</v>
      </c>
      <c r="H72" s="431">
        <v>31638.23</v>
      </c>
      <c r="I72" s="426">
        <f>21436.38*0.21</f>
        <v>4501.6397999999999</v>
      </c>
      <c r="J72" s="426"/>
      <c r="K72" s="426">
        <f>10201.85*0.105</f>
        <v>1071.19425</v>
      </c>
      <c r="L72" s="426"/>
      <c r="M72" s="426"/>
      <c r="N72" s="426"/>
      <c r="O72" s="426">
        <v>2184.56</v>
      </c>
      <c r="P72" s="424">
        <f>SUM(compras_mes5[[#This Row],[NETO GRAVADO]:[Otros / No Grav.]])</f>
        <v>39395.624049999999</v>
      </c>
      <c r="Q72" s="432" t="str">
        <f>IFERROR(IF(compras_mes5[[#This Row],[CUIT]]="","-",VLOOKUP(compras_mes5[[#This Row],[CUIT]],Lista_CUIT[#All],3,0)),"CUIT NO CARGADO")</f>
        <v>Gastos Varios</v>
      </c>
      <c r="R72" s="432">
        <f>IFERROR(IF(compras_mes5[[#This Row],[CUIT]]="","-",VLOOKUP(compras_mes5[[#This Row],[CUIT]],Lista_CUIT[#All],4,0)),"CUIT NO CARGADO")</f>
        <v>0</v>
      </c>
    </row>
    <row r="73" spans="2:18">
      <c r="B73" s="468">
        <v>45428</v>
      </c>
      <c r="C73" s="467">
        <v>1</v>
      </c>
      <c r="D73" s="460">
        <v>5</v>
      </c>
      <c r="E73" s="461">
        <v>1036</v>
      </c>
      <c r="F73" s="462">
        <v>20120940628</v>
      </c>
      <c r="G73" s="463" t="str">
        <f>IFERROR(IF(compras_mes5[[#This Row],[CUIT]]="","-",VLOOKUP(compras_mes5[[#This Row],[CUIT]],Lista_CUIT[#All],2,0)),"CUIT NO CARGADO")</f>
        <v>MURRUNI NICODEMO</v>
      </c>
      <c r="H73" s="464">
        <v>1772.71</v>
      </c>
      <c r="I73" s="465">
        <f>IF(compras_mes5[[#This Row],[NETO GRAVADO]]="","",compras_mes5[[#This Row],[NETO GRAVADO]]*0.21)</f>
        <v>372.26909999999998</v>
      </c>
      <c r="J73" s="465"/>
      <c r="K73" s="465"/>
      <c r="L73" s="465"/>
      <c r="M73" s="465"/>
      <c r="N73" s="465"/>
      <c r="O73" s="465"/>
      <c r="P73" s="455">
        <f>SUM(compras_mes5[[#This Row],[NETO GRAVADO]:[Otros / No Grav.]])</f>
        <v>2144.9791</v>
      </c>
      <c r="Q73" s="466" t="str">
        <f>IFERROR(IF(compras_mes5[[#This Row],[CUIT]]="","-",VLOOKUP(compras_mes5[[#This Row],[CUIT]],Lista_CUIT[#All],3,0)),"CUIT NO CARGADO")</f>
        <v>Gastos Varios</v>
      </c>
      <c r="R73" s="466">
        <f>IFERROR(IF(compras_mes5[[#This Row],[CUIT]]="","-",VLOOKUP(compras_mes5[[#This Row],[CUIT]],Lista_CUIT[#All],4,0)),"CUIT NO CARGADO")</f>
        <v>0</v>
      </c>
    </row>
    <row r="74" spans="2:18">
      <c r="B74" s="425">
        <v>45429</v>
      </c>
      <c r="C74" s="41">
        <v>1</v>
      </c>
      <c r="D74" s="428">
        <v>8</v>
      </c>
      <c r="E74" s="429">
        <v>1498</v>
      </c>
      <c r="F74" s="430">
        <v>20277381908</v>
      </c>
      <c r="G74" s="436" t="str">
        <f>IFERROR(IF(compras_mes5[[#This Row],[CUIT]]="","-",VLOOKUP(compras_mes5[[#This Row],[CUIT]],Lista_CUIT[#All],2,0)),"CUIT NO CARGADO")</f>
        <v>ALONSO RODRIGO JAVIER</v>
      </c>
      <c r="H74" s="431">
        <v>3719.01</v>
      </c>
      <c r="I74" s="426">
        <f>IF(compras_mes5[[#This Row],[NETO GRAVADO]]="","",compras_mes5[[#This Row],[NETO GRAVADO]]*0.21)</f>
        <v>780.99210000000005</v>
      </c>
      <c r="J74" s="426"/>
      <c r="K74" s="426"/>
      <c r="L74" s="426"/>
      <c r="M74" s="426"/>
      <c r="N74" s="426"/>
      <c r="O74" s="426"/>
      <c r="P74" s="424">
        <f>SUM(compras_mes5[[#This Row],[NETO GRAVADO]:[Otros / No Grav.]])</f>
        <v>4500.0021000000006</v>
      </c>
      <c r="Q74" s="432" t="str">
        <f>IFERROR(IF(compras_mes5[[#This Row],[CUIT]]="","-",VLOOKUP(compras_mes5[[#This Row],[CUIT]],Lista_CUIT[#All],3,0)),"CUIT NO CARGADO")</f>
        <v>Gastos Varios</v>
      </c>
      <c r="R74" s="432">
        <f>IFERROR(IF(compras_mes5[[#This Row],[CUIT]]="","-",VLOOKUP(compras_mes5[[#This Row],[CUIT]],Lista_CUIT[#All],4,0)),"CUIT NO CARGADO")</f>
        <v>0</v>
      </c>
    </row>
    <row r="75" spans="2:18">
      <c r="B75" s="425">
        <v>45430</v>
      </c>
      <c r="C75" s="427">
        <v>1</v>
      </c>
      <c r="D75" s="428">
        <v>1</v>
      </c>
      <c r="E75" s="429">
        <v>260</v>
      </c>
      <c r="F75" s="430">
        <v>30717944883</v>
      </c>
      <c r="G75" s="436" t="str">
        <f>IFERROR(IF(compras_mes5[[#This Row],[CUIT]]="","-",VLOOKUP(compras_mes5[[#This Row],[CUIT]],Lista_CUIT[#All],2,0)),"CUIT NO CARGADO")</f>
        <v>SALAZAR CORNEJO AROLDO, MOLINA ROBERTO CRISTIAN Y RUSCITTO JUAN MANUEL  S. CAP I SECC IV</v>
      </c>
      <c r="H75" s="431">
        <v>14876.03</v>
      </c>
      <c r="I75" s="426">
        <f>IF(compras_mes5[[#This Row],[NETO GRAVADO]]="","",compras_mes5[[#This Row],[NETO GRAVADO]]*0.21)</f>
        <v>3123.9663</v>
      </c>
      <c r="J75" s="426"/>
      <c r="K75" s="426"/>
      <c r="L75" s="426"/>
      <c r="M75" s="426"/>
      <c r="N75" s="426"/>
      <c r="O75" s="426"/>
      <c r="P75" s="424">
        <f>SUM(compras_mes5[[#This Row],[NETO GRAVADO]:[Otros / No Grav.]])</f>
        <v>17999.996299999999</v>
      </c>
      <c r="Q75" s="432" t="str">
        <f>IFERROR(IF(compras_mes5[[#This Row],[CUIT]]="","-",VLOOKUP(compras_mes5[[#This Row],[CUIT]],Lista_CUIT[#All],3,0)),"CUIT NO CARGADO")</f>
        <v>Gastos Varios</v>
      </c>
      <c r="R75" s="432">
        <f>IFERROR(IF(compras_mes5[[#This Row],[CUIT]]="","-",VLOOKUP(compras_mes5[[#This Row],[CUIT]],Lista_CUIT[#All],4,0)),"CUIT NO CARGADO")</f>
        <v>0</v>
      </c>
    </row>
    <row r="76" spans="2:18">
      <c r="B76" s="425">
        <v>45430</v>
      </c>
      <c r="C76" s="427">
        <v>1</v>
      </c>
      <c r="D76" s="428">
        <v>8275</v>
      </c>
      <c r="E76" s="429">
        <v>7488</v>
      </c>
      <c r="F76" s="430">
        <v>30590360763</v>
      </c>
      <c r="G76" s="436" t="str">
        <f>IFERROR(IF(compras_mes5[[#This Row],[CUIT]]="","-",VLOOKUP(compras_mes5[[#This Row],[CUIT]],Lista_CUIT[#All],2,0)),"CUIT NO CARGADO")</f>
        <v>CENCOSUD S.A</v>
      </c>
      <c r="H76" s="431">
        <v>25884.3</v>
      </c>
      <c r="I76" s="426">
        <f>IF(compras_mes5[[#This Row],[NETO GRAVADO]]="","",compras_mes5[[#This Row],[NETO GRAVADO]]*0.21)</f>
        <v>5435.7029999999995</v>
      </c>
      <c r="J76" s="426"/>
      <c r="K76" s="426"/>
      <c r="L76" s="426">
        <v>776.53</v>
      </c>
      <c r="M76" s="426"/>
      <c r="N76" s="426">
        <v>1553.06</v>
      </c>
      <c r="O76" s="426"/>
      <c r="P76" s="424">
        <f>SUM(compras_mes5[[#This Row],[NETO GRAVADO]:[Otros / No Grav.]])</f>
        <v>33649.592999999993</v>
      </c>
      <c r="Q76" s="432" t="str">
        <f>IFERROR(IF(compras_mes5[[#This Row],[CUIT]]="","-",VLOOKUP(compras_mes5[[#This Row],[CUIT]],Lista_CUIT[#All],3,0)),"CUIT NO CARGADO")</f>
        <v>Gastos Varios</v>
      </c>
      <c r="R76" s="432">
        <f>IFERROR(IF(compras_mes5[[#This Row],[CUIT]]="","-",VLOOKUP(compras_mes5[[#This Row],[CUIT]],Lista_CUIT[#All],4,0)),"CUIT NO CARGADO")</f>
        <v>0</v>
      </c>
    </row>
    <row r="77" spans="2:18">
      <c r="B77" s="425">
        <v>45430</v>
      </c>
      <c r="C77" s="427">
        <v>1</v>
      </c>
      <c r="D77" s="428">
        <v>13</v>
      </c>
      <c r="E77" s="429">
        <v>9047</v>
      </c>
      <c r="F77" s="430">
        <v>33662613199</v>
      </c>
      <c r="G77" s="436" t="str">
        <f>IFERROR(IF(compras_mes5[[#This Row],[CUIT]]="","-",VLOOKUP(compras_mes5[[#This Row],[CUIT]],Lista_CUIT[#All],2,0)),"CUIT NO CARGADO")</f>
        <v>D M H S A</v>
      </c>
      <c r="H77" s="431">
        <v>24793.38</v>
      </c>
      <c r="I77" s="426">
        <f>IF(compras_mes5[[#This Row],[NETO GRAVADO]]="","",compras_mes5[[#This Row],[NETO GRAVADO]]*0.21)</f>
        <v>5206.6098000000002</v>
      </c>
      <c r="J77" s="426"/>
      <c r="K77" s="426"/>
      <c r="L77" s="426"/>
      <c r="M77" s="426"/>
      <c r="N77" s="426"/>
      <c r="O77" s="426"/>
      <c r="P77" s="424">
        <f>SUM(compras_mes5[[#This Row],[NETO GRAVADO]:[Otros / No Grav.]])</f>
        <v>29999.989800000003</v>
      </c>
      <c r="Q77" s="432" t="str">
        <f>IFERROR(IF(compras_mes5[[#This Row],[CUIT]]="","-",VLOOKUP(compras_mes5[[#This Row],[CUIT]],Lista_CUIT[#All],3,0)),"CUIT NO CARGADO")</f>
        <v>Gastos Varios</v>
      </c>
      <c r="R77" s="432">
        <f>IFERROR(IF(compras_mes5[[#This Row],[CUIT]]="","-",VLOOKUP(compras_mes5[[#This Row],[CUIT]],Lista_CUIT[#All],4,0)),"CUIT NO CARGADO")</f>
        <v>0</v>
      </c>
    </row>
    <row r="78" spans="2:18">
      <c r="B78" s="425">
        <v>45430</v>
      </c>
      <c r="C78" s="427">
        <v>1</v>
      </c>
      <c r="D78" s="428">
        <v>2215</v>
      </c>
      <c r="E78" s="429">
        <v>42884</v>
      </c>
      <c r="F78" s="430">
        <v>30548083156</v>
      </c>
      <c r="G78" s="436" t="str">
        <f>IFERROR(IF(compras_mes5[[#This Row],[CUIT]]="","-",VLOOKUP(compras_mes5[[#This Row],[CUIT]],Lista_CUIT[#All],2,0)),"CUIT NO CARGADO")</f>
        <v>COTO CENTRO INTEGRAL DE COMERCIALIZACION SOCIEDAD ANONIMA</v>
      </c>
      <c r="H78" s="431">
        <v>40484.54</v>
      </c>
      <c r="I78" s="426">
        <v>7667.89</v>
      </c>
      <c r="J78" s="426"/>
      <c r="K78" s="426">
        <v>416.93</v>
      </c>
      <c r="L78" s="426"/>
      <c r="M78" s="426"/>
      <c r="N78" s="426"/>
      <c r="O78" s="426">
        <v>3444.74</v>
      </c>
      <c r="P78" s="424">
        <f>SUM(compras_mes5[[#This Row],[NETO GRAVADO]:[Otros / No Grav.]])</f>
        <v>52014.1</v>
      </c>
      <c r="Q78" s="432" t="str">
        <f>IFERROR(IF(compras_mes5[[#This Row],[CUIT]]="","-",VLOOKUP(compras_mes5[[#This Row],[CUIT]],Lista_CUIT[#All],3,0)),"CUIT NO CARGADO")</f>
        <v>Gastos Varios</v>
      </c>
      <c r="R78" s="432">
        <f>IFERROR(IF(compras_mes5[[#This Row],[CUIT]]="","-",VLOOKUP(compras_mes5[[#This Row],[CUIT]],Lista_CUIT[#All],4,0)),"CUIT NO CARGADO")</f>
        <v>0</v>
      </c>
    </row>
    <row r="79" spans="2:18">
      <c r="B79" s="425">
        <v>45431</v>
      </c>
      <c r="C79" s="427">
        <v>1</v>
      </c>
      <c r="D79" s="428">
        <v>8</v>
      </c>
      <c r="E79" s="429">
        <v>175</v>
      </c>
      <c r="F79" s="430">
        <v>20134664518</v>
      </c>
      <c r="G79" s="436" t="str">
        <f>IFERROR(IF(compras_mes5[[#This Row],[CUIT]]="","-",VLOOKUP(compras_mes5[[#This Row],[CUIT]],Lista_CUIT[#All],2,0)),"CUIT NO CARGADO")</f>
        <v>HOKAMA SERGIO ENRIQUE</v>
      </c>
      <c r="H79" s="431">
        <v>15236.78</v>
      </c>
      <c r="I79" s="426">
        <f>IF(compras_mes5[[#This Row],[NETO GRAVADO]]="","",compras_mes5[[#This Row],[NETO GRAVADO]]*0.21)</f>
        <v>3199.7238000000002</v>
      </c>
      <c r="J79" s="426"/>
      <c r="K79" s="426"/>
      <c r="L79" s="426"/>
      <c r="M79" s="426"/>
      <c r="N79" s="426"/>
      <c r="O79" s="426"/>
      <c r="P79" s="424">
        <f>SUM(compras_mes5[[#This Row],[NETO GRAVADO]:[Otros / No Grav.]])</f>
        <v>18436.503800000002</v>
      </c>
      <c r="Q79" s="432" t="str">
        <f>IFERROR(IF(compras_mes5[[#This Row],[CUIT]]="","-",VLOOKUP(compras_mes5[[#This Row],[CUIT]],Lista_CUIT[#All],3,0)),"CUIT NO CARGADO")</f>
        <v>Gastos Varios</v>
      </c>
      <c r="R79" s="432" t="str">
        <f>IFERROR(IF(compras_mes5[[#This Row],[CUIT]]="","-",VLOOKUP(compras_mes5[[#This Row],[CUIT]],Lista_CUIT[#All],4,0)),"CUIT NO CARGADO")</f>
        <v>BUENOS AIRES</v>
      </c>
    </row>
    <row r="80" spans="2:18">
      <c r="B80" s="425">
        <v>45432</v>
      </c>
      <c r="C80" s="427">
        <v>1</v>
      </c>
      <c r="D80" s="428">
        <v>3</v>
      </c>
      <c r="E80" s="429">
        <v>88</v>
      </c>
      <c r="F80" s="430">
        <v>33715993509</v>
      </c>
      <c r="G80" s="436" t="str">
        <f>IFERROR(IF(compras_mes5[[#This Row],[CUIT]]="","-",VLOOKUP(compras_mes5[[#This Row],[CUIT]],Lista_CUIT[#All],2,0)),"CUIT NO CARGADO")</f>
        <v>+Q NATURAL S.A.</v>
      </c>
      <c r="H80" s="431">
        <v>12991.73</v>
      </c>
      <c r="I80" s="426">
        <f>IF(compras_mes5[[#This Row],[NETO GRAVADO]]="","",compras_mes5[[#This Row],[NETO GRAVADO]]*0.21)</f>
        <v>2728.2632999999996</v>
      </c>
      <c r="J80" s="426"/>
      <c r="K80" s="426"/>
      <c r="L80" s="426"/>
      <c r="M80" s="426"/>
      <c r="N80" s="426"/>
      <c r="O80" s="426"/>
      <c r="P80" s="424">
        <f>SUM(compras_mes5[[#This Row],[NETO GRAVADO]:[Otros / No Grav.]])</f>
        <v>15719.993299999998</v>
      </c>
      <c r="Q80" s="432" t="str">
        <f>IFERROR(IF(compras_mes5[[#This Row],[CUIT]]="","-",VLOOKUP(compras_mes5[[#This Row],[CUIT]],Lista_CUIT[#All],3,0)),"CUIT NO CARGADO")</f>
        <v>Gastos Varios</v>
      </c>
      <c r="R80" s="432">
        <f>IFERROR(IF(compras_mes5[[#This Row],[CUIT]]="","-",VLOOKUP(compras_mes5[[#This Row],[CUIT]],Lista_CUIT[#All],4,0)),"CUIT NO CARGADO")</f>
        <v>0</v>
      </c>
    </row>
    <row r="81" spans="2:19">
      <c r="B81" s="425">
        <v>45432</v>
      </c>
      <c r="C81" s="41">
        <v>1</v>
      </c>
      <c r="D81" s="428">
        <v>8</v>
      </c>
      <c r="E81" s="429">
        <v>184</v>
      </c>
      <c r="F81" s="430">
        <v>20134664518</v>
      </c>
      <c r="G81" s="436" t="str">
        <f>IFERROR(IF(compras_mes5[[#This Row],[CUIT]]="","-",VLOOKUP(compras_mes5[[#This Row],[CUIT]],Lista_CUIT[#All],2,0)),"CUIT NO CARGADO")</f>
        <v>HOKAMA SERGIO ENRIQUE</v>
      </c>
      <c r="H81" s="431">
        <v>60173.14</v>
      </c>
      <c r="I81" s="426">
        <f>IF(compras_mes5[[#This Row],[NETO GRAVADO]]="","",compras_mes5[[#This Row],[NETO GRAVADO]]*0.21)</f>
        <v>12636.359399999999</v>
      </c>
      <c r="J81" s="426"/>
      <c r="K81" s="426"/>
      <c r="L81" s="426"/>
      <c r="M81" s="426"/>
      <c r="N81" s="426"/>
      <c r="O81" s="426"/>
      <c r="P81" s="424">
        <f>SUM(compras_mes5[[#This Row],[NETO GRAVADO]:[Otros / No Grav.]])</f>
        <v>72809.499400000001</v>
      </c>
      <c r="Q81" s="432" t="str">
        <f>IFERROR(IF(compras_mes5[[#This Row],[CUIT]]="","-",VLOOKUP(compras_mes5[[#This Row],[CUIT]],Lista_CUIT[#All],3,0)),"CUIT NO CARGADO")</f>
        <v>Gastos Varios</v>
      </c>
      <c r="R81" s="432" t="str">
        <f>IFERROR(IF(compras_mes5[[#This Row],[CUIT]]="","-",VLOOKUP(compras_mes5[[#This Row],[CUIT]],Lista_CUIT[#All],4,0)),"CUIT NO CARGADO")</f>
        <v>BUENOS AIRES</v>
      </c>
    </row>
    <row r="82" spans="2:19">
      <c r="B82" s="425">
        <v>45432</v>
      </c>
      <c r="C82" s="427">
        <v>1</v>
      </c>
      <c r="D82" s="428">
        <v>2084</v>
      </c>
      <c r="E82" s="429">
        <v>22359</v>
      </c>
      <c r="F82" s="430">
        <v>30548083156</v>
      </c>
      <c r="G82" s="436" t="str">
        <f>IFERROR(IF(compras_mes5[[#This Row],[CUIT]]="","-",VLOOKUP(compras_mes5[[#This Row],[CUIT]],Lista_CUIT[#All],2,0)),"CUIT NO CARGADO")</f>
        <v>COTO CENTRO INTEGRAL DE COMERCIALIZACION SOCIEDAD ANONIMA</v>
      </c>
      <c r="H82" s="431">
        <v>17399.580000000002</v>
      </c>
      <c r="I82" s="426">
        <v>3450.61</v>
      </c>
      <c r="J82" s="426"/>
      <c r="K82" s="426">
        <v>101.65</v>
      </c>
      <c r="L82" s="426"/>
      <c r="M82" s="426"/>
      <c r="N82" s="426"/>
      <c r="O82" s="426">
        <v>1536.91</v>
      </c>
      <c r="P82" s="424">
        <f>SUM(compras_mes5[[#This Row],[NETO GRAVADO]:[Otros / No Grav.]])</f>
        <v>22488.750000000004</v>
      </c>
      <c r="Q82" s="432" t="str">
        <f>IFERROR(IF(compras_mes5[[#This Row],[CUIT]]="","-",VLOOKUP(compras_mes5[[#This Row],[CUIT]],Lista_CUIT[#All],3,0)),"CUIT NO CARGADO")</f>
        <v>Gastos Varios</v>
      </c>
      <c r="R82" s="432">
        <f>IFERROR(IF(compras_mes5[[#This Row],[CUIT]]="","-",VLOOKUP(compras_mes5[[#This Row],[CUIT]],Lista_CUIT[#All],4,0)),"CUIT NO CARGADO")</f>
        <v>0</v>
      </c>
    </row>
    <row r="83" spans="2:19">
      <c r="B83" s="425">
        <v>45434</v>
      </c>
      <c r="C83" s="427">
        <v>1</v>
      </c>
      <c r="D83" s="428">
        <v>2084</v>
      </c>
      <c r="E83" s="429">
        <v>22408</v>
      </c>
      <c r="F83" s="430">
        <v>30548083156</v>
      </c>
      <c r="G83" s="436" t="str">
        <f>IFERROR(IF(compras_mes5[[#This Row],[CUIT]]="","-",VLOOKUP(compras_mes5[[#This Row],[CUIT]],Lista_CUIT[#All],2,0)),"CUIT NO CARGADO")</f>
        <v>COTO CENTRO INTEGRAL DE COMERCIALIZACION SOCIEDAD ANONIMA</v>
      </c>
      <c r="H83" s="431">
        <v>8415.24</v>
      </c>
      <c r="I83" s="426">
        <f>IF(compras_mes5[[#This Row],[NETO GRAVADO]]="","",compras_mes5[[#This Row],[NETO GRAVADO]]*0.21)</f>
        <v>1767.2003999999999</v>
      </c>
      <c r="J83" s="426"/>
      <c r="K83" s="426"/>
      <c r="L83" s="426"/>
      <c r="M83" s="426"/>
      <c r="N83" s="426"/>
      <c r="O83" s="426">
        <v>757.37</v>
      </c>
      <c r="P83" s="424">
        <f>SUM(compras_mes5[[#This Row],[NETO GRAVADO]:[Otros / No Grav.]])</f>
        <v>10939.8104</v>
      </c>
      <c r="Q83" s="432" t="str">
        <f>IFERROR(IF(compras_mes5[[#This Row],[CUIT]]="","-",VLOOKUP(compras_mes5[[#This Row],[CUIT]],Lista_CUIT[#All],3,0)),"CUIT NO CARGADO")</f>
        <v>Gastos Varios</v>
      </c>
      <c r="R83" s="432">
        <f>IFERROR(IF(compras_mes5[[#This Row],[CUIT]]="","-",VLOOKUP(compras_mes5[[#This Row],[CUIT]],Lista_CUIT[#All],4,0)),"CUIT NO CARGADO")</f>
        <v>0</v>
      </c>
    </row>
    <row r="84" spans="2:19">
      <c r="B84" s="425">
        <v>45434</v>
      </c>
      <c r="C84" s="427">
        <v>1</v>
      </c>
      <c r="D84" s="428">
        <v>2188</v>
      </c>
      <c r="E84" s="429">
        <v>120278</v>
      </c>
      <c r="F84" s="430">
        <v>30548083156</v>
      </c>
      <c r="G84" s="436" t="str">
        <f>IFERROR(IF(compras_mes5[[#This Row],[CUIT]]="","-",VLOOKUP(compras_mes5[[#This Row],[CUIT]],Lista_CUIT[#All],2,0)),"CUIT NO CARGADO")</f>
        <v>COTO CENTRO INTEGRAL DE COMERCIALIZACION SOCIEDAD ANONIMA</v>
      </c>
      <c r="H84" s="431">
        <v>45516.61</v>
      </c>
      <c r="I84" s="426">
        <v>7851.85</v>
      </c>
      <c r="J84" s="426"/>
      <c r="K84" s="426">
        <v>853.32</v>
      </c>
      <c r="L84" s="426"/>
      <c r="M84" s="426"/>
      <c r="N84" s="426"/>
      <c r="O84" s="426">
        <v>3928.94</v>
      </c>
      <c r="P84" s="424">
        <f>SUM(compras_mes5[[#This Row],[NETO GRAVADO]:[Otros / No Grav.]])</f>
        <v>58150.720000000001</v>
      </c>
      <c r="Q84" s="432" t="str">
        <f>IFERROR(IF(compras_mes5[[#This Row],[CUIT]]="","-",VLOOKUP(compras_mes5[[#This Row],[CUIT]],Lista_CUIT[#All],3,0)),"CUIT NO CARGADO")</f>
        <v>Gastos Varios</v>
      </c>
      <c r="R84" s="432">
        <f>IFERROR(IF(compras_mes5[[#This Row],[CUIT]]="","-",VLOOKUP(compras_mes5[[#This Row],[CUIT]],Lista_CUIT[#All],4,0)),"CUIT NO CARGADO")</f>
        <v>0</v>
      </c>
    </row>
    <row r="85" spans="2:19">
      <c r="B85" s="425">
        <v>45434</v>
      </c>
      <c r="C85" s="427">
        <v>1</v>
      </c>
      <c r="D85" s="428">
        <v>2188</v>
      </c>
      <c r="E85" s="429">
        <v>120279</v>
      </c>
      <c r="F85" s="430">
        <v>30548083156</v>
      </c>
      <c r="G85" s="436" t="str">
        <f>IFERROR(IF(compras_mes5[[#This Row],[CUIT]]="","-",VLOOKUP(compras_mes5[[#This Row],[CUIT]],Lista_CUIT[#All],2,0)),"CUIT NO CARGADO")</f>
        <v>COTO CENTRO INTEGRAL DE COMERCIALIZACION SOCIEDAD ANONIMA</v>
      </c>
      <c r="H85" s="431">
        <v>32230.87</v>
      </c>
      <c r="I85" s="426">
        <f>IF(compras_mes5[[#This Row],[NETO GRAVADO]]="","",compras_mes5[[#This Row],[NETO GRAVADO]]*0.21)</f>
        <v>6768.4826999999996</v>
      </c>
      <c r="J85" s="426"/>
      <c r="K85" s="426"/>
      <c r="L85" s="426"/>
      <c r="M85" s="426"/>
      <c r="N85" s="426"/>
      <c r="O85" s="426">
        <v>2900.78</v>
      </c>
      <c r="P85" s="424">
        <f>SUM(compras_mes5[[#This Row],[NETO GRAVADO]:[Otros / No Grav.]])</f>
        <v>41900.132699999995</v>
      </c>
      <c r="Q85" s="432" t="str">
        <f>IFERROR(IF(compras_mes5[[#This Row],[CUIT]]="","-",VLOOKUP(compras_mes5[[#This Row],[CUIT]],Lista_CUIT[#All],3,0)),"CUIT NO CARGADO")</f>
        <v>Gastos Varios</v>
      </c>
      <c r="R85" s="432">
        <f>IFERROR(IF(compras_mes5[[#This Row],[CUIT]]="","-",VLOOKUP(compras_mes5[[#This Row],[CUIT]],Lista_CUIT[#All],4,0)),"CUIT NO CARGADO")</f>
        <v>0</v>
      </c>
    </row>
    <row r="86" spans="2:19">
      <c r="B86" s="425">
        <v>45435</v>
      </c>
      <c r="C86" s="41">
        <v>1</v>
      </c>
      <c r="D86" s="428">
        <v>3</v>
      </c>
      <c r="E86" s="429">
        <v>1880</v>
      </c>
      <c r="F86" s="430">
        <v>30718018311</v>
      </c>
      <c r="G86" s="436" t="str">
        <f>IFERROR(IF(compras_mes5[[#This Row],[CUIT]]="","-",VLOOKUP(compras_mes5[[#This Row],[CUIT]],Lista_CUIT[#All],2,0)),"CUIT NO CARGADO")</f>
        <v>ANIMAL BROTHERS VENTA MAYORISTA Y MINORISTA DE ALIMENTOS BALANCEADOS DE SPADOTTO GABRIELA F. Y SPADO</v>
      </c>
      <c r="H86" s="431">
        <v>28355.37</v>
      </c>
      <c r="I86" s="426">
        <f>IF(compras_mes5[[#This Row],[NETO GRAVADO]]="","",compras_mes5[[#This Row],[NETO GRAVADO]]*0.21)</f>
        <v>5954.6277</v>
      </c>
      <c r="J86" s="426"/>
      <c r="K86" s="426"/>
      <c r="L86" s="426"/>
      <c r="M86" s="426"/>
      <c r="N86" s="426"/>
      <c r="O86" s="426"/>
      <c r="P86" s="424">
        <f>SUM(compras_mes5[[#This Row],[NETO GRAVADO]:[Otros / No Grav.]])</f>
        <v>34309.9977</v>
      </c>
      <c r="Q86" s="432" t="str">
        <f>IFERROR(IF(compras_mes5[[#This Row],[CUIT]]="","-",VLOOKUP(compras_mes5[[#This Row],[CUIT]],Lista_CUIT[#All],3,0)),"CUIT NO CARGADO")</f>
        <v>Gastos Varios</v>
      </c>
      <c r="R86" s="432">
        <f>IFERROR(IF(compras_mes5[[#This Row],[CUIT]]="","-",VLOOKUP(compras_mes5[[#This Row],[CUIT]],Lista_CUIT[#All],4,0)),"CUIT NO CARGADO")</f>
        <v>0</v>
      </c>
    </row>
    <row r="87" spans="2:19">
      <c r="B87" s="425">
        <v>45435</v>
      </c>
      <c r="C87" s="427">
        <v>1</v>
      </c>
      <c r="D87" s="428">
        <v>2199</v>
      </c>
      <c r="E87" s="429">
        <v>29395</v>
      </c>
      <c r="F87" s="430">
        <v>30548083156</v>
      </c>
      <c r="G87" s="436" t="str">
        <f>IFERROR(IF(compras_mes5[[#This Row],[CUIT]]="","-",VLOOKUP(compras_mes5[[#This Row],[CUIT]],Lista_CUIT[#All],2,0)),"CUIT NO CARGADO")</f>
        <v>COTO CENTRO INTEGRAL DE COMERCIALIZACION SOCIEDAD ANONIMA</v>
      </c>
      <c r="H87" s="431">
        <v>64608.35</v>
      </c>
      <c r="I87" s="426">
        <v>11669.14</v>
      </c>
      <c r="J87" s="426"/>
      <c r="K87" s="426">
        <v>949.31</v>
      </c>
      <c r="L87" s="426"/>
      <c r="M87" s="426"/>
      <c r="N87" s="426"/>
      <c r="O87" s="426">
        <v>4693.8900000000003</v>
      </c>
      <c r="P87" s="424">
        <f>SUM(compras_mes5[[#This Row],[NETO GRAVADO]:[Otros / No Grav.]])</f>
        <v>81920.689999999988</v>
      </c>
      <c r="Q87" s="432" t="str">
        <f>IFERROR(IF(compras_mes5[[#This Row],[CUIT]]="","-",VLOOKUP(compras_mes5[[#This Row],[CUIT]],Lista_CUIT[#All],3,0)),"CUIT NO CARGADO")</f>
        <v>Gastos Varios</v>
      </c>
      <c r="R87" s="432">
        <f>IFERROR(IF(compras_mes5[[#This Row],[CUIT]]="","-",VLOOKUP(compras_mes5[[#This Row],[CUIT]],Lista_CUIT[#All],4,0)),"CUIT NO CARGADO")</f>
        <v>0</v>
      </c>
    </row>
    <row r="88" spans="2:19">
      <c r="B88" s="425">
        <v>45435</v>
      </c>
      <c r="C88" s="41">
        <v>1</v>
      </c>
      <c r="D88" s="428">
        <v>1678</v>
      </c>
      <c r="E88" s="429">
        <v>38760</v>
      </c>
      <c r="F88" s="430">
        <v>30589621499</v>
      </c>
      <c r="G88" s="436" t="str">
        <f>IFERROR(IF(compras_mes5[[#This Row],[CUIT]]="","-",VLOOKUP(compras_mes5[[#This Row],[CUIT]],Lista_CUIT[#All],2,0)),"CUIT NO CARGADO")</f>
        <v>MAKRO SA</v>
      </c>
      <c r="H88" s="431">
        <v>88683.62</v>
      </c>
      <c r="I88" s="426">
        <v>18432.48</v>
      </c>
      <c r="J88" s="426"/>
      <c r="K88" s="426">
        <v>95.54</v>
      </c>
      <c r="L88" s="426">
        <v>2646.86</v>
      </c>
      <c r="M88" s="426"/>
      <c r="N88" s="426">
        <v>5321.02</v>
      </c>
      <c r="O88" s="426"/>
      <c r="P88" s="424">
        <f>SUM(compras_mes5[[#This Row],[NETO GRAVADO]:[Otros / No Grav.]])</f>
        <v>115179.51999999999</v>
      </c>
      <c r="Q88" s="432" t="str">
        <f>IFERROR(IF(compras_mes5[[#This Row],[CUIT]]="","-",VLOOKUP(compras_mes5[[#This Row],[CUIT]],Lista_CUIT[#All],3,0)),"CUIT NO CARGADO")</f>
        <v>Gastos Varios</v>
      </c>
      <c r="R88" s="432">
        <f>IFERROR(IF(compras_mes5[[#This Row],[CUIT]]="","-",VLOOKUP(compras_mes5[[#This Row],[CUIT]],Lista_CUIT[#All],4,0)),"CUIT NO CARGADO")</f>
        <v>0</v>
      </c>
    </row>
    <row r="89" spans="2:19">
      <c r="B89" s="425">
        <v>45437</v>
      </c>
      <c r="C89" s="427">
        <v>1</v>
      </c>
      <c r="D89" s="428">
        <v>8</v>
      </c>
      <c r="E89" s="429">
        <v>208</v>
      </c>
      <c r="F89" s="430">
        <v>20134664518</v>
      </c>
      <c r="G89" s="436" t="str">
        <f>IFERROR(IF(compras_mes5[[#This Row],[CUIT]]="","-",VLOOKUP(compras_mes5[[#This Row],[CUIT]],Lista_CUIT[#All],2,0)),"CUIT NO CARGADO")</f>
        <v>HOKAMA SERGIO ENRIQUE</v>
      </c>
      <c r="H89" s="431">
        <v>11838.84</v>
      </c>
      <c r="I89" s="426">
        <f>IF(compras_mes5[[#This Row],[NETO GRAVADO]]="","",compras_mes5[[#This Row],[NETO GRAVADO]]*0.21)</f>
        <v>2486.1563999999998</v>
      </c>
      <c r="J89" s="426"/>
      <c r="K89" s="426"/>
      <c r="L89" s="426"/>
      <c r="M89" s="426"/>
      <c r="N89" s="426"/>
      <c r="O89" s="426"/>
      <c r="P89" s="424">
        <f>SUM(compras_mes5[[#This Row],[NETO GRAVADO]:[Otros / No Grav.]])</f>
        <v>14324.9964</v>
      </c>
      <c r="Q89" s="432" t="str">
        <f>IFERROR(IF(compras_mes5[[#This Row],[CUIT]]="","-",VLOOKUP(compras_mes5[[#This Row],[CUIT]],Lista_CUIT[#All],3,0)),"CUIT NO CARGADO")</f>
        <v>Gastos Varios</v>
      </c>
      <c r="R89" s="432" t="str">
        <f>IFERROR(IF(compras_mes5[[#This Row],[CUIT]]="","-",VLOOKUP(compras_mes5[[#This Row],[CUIT]],Lista_CUIT[#All],4,0)),"CUIT NO CARGADO")</f>
        <v>BUENOS AIRES</v>
      </c>
    </row>
    <row r="90" spans="2:19">
      <c r="B90" s="425">
        <v>45438</v>
      </c>
      <c r="C90" s="427">
        <v>1</v>
      </c>
      <c r="D90" s="428">
        <v>8271</v>
      </c>
      <c r="E90" s="429">
        <v>9743</v>
      </c>
      <c r="F90" s="430">
        <v>30590360763</v>
      </c>
      <c r="G90" s="436" t="str">
        <f>IFERROR(IF(compras_mes5[[#This Row],[CUIT]]="","-",VLOOKUP(compras_mes5[[#This Row],[CUIT]],Lista_CUIT[#All],2,0)),"CUIT NO CARGADO")</f>
        <v>CENCOSUD S.A</v>
      </c>
      <c r="H90" s="431">
        <v>34648.94</v>
      </c>
      <c r="I90" s="426">
        <v>6215.83</v>
      </c>
      <c r="J90" s="426"/>
      <c r="K90" s="426">
        <v>530.23</v>
      </c>
      <c r="L90" s="426">
        <v>963.73</v>
      </c>
      <c r="M90" s="426"/>
      <c r="N90" s="426">
        <v>2078.94</v>
      </c>
      <c r="O90" s="426"/>
      <c r="P90" s="424">
        <f>SUM(compras_mes5[[#This Row],[NETO GRAVADO]:[Otros / No Grav.]])</f>
        <v>44437.670000000013</v>
      </c>
      <c r="Q90" s="432" t="str">
        <f>IFERROR(IF(compras_mes5[[#This Row],[CUIT]]="","-",VLOOKUP(compras_mes5[[#This Row],[CUIT]],Lista_CUIT[#All],3,0)),"CUIT NO CARGADO")</f>
        <v>Gastos Varios</v>
      </c>
      <c r="R90" s="432">
        <f>IFERROR(IF(compras_mes5[[#This Row],[CUIT]]="","-",VLOOKUP(compras_mes5[[#This Row],[CUIT]],Lista_CUIT[#All],4,0)),"CUIT NO CARGADO")</f>
        <v>0</v>
      </c>
    </row>
    <row r="91" spans="2:19">
      <c r="B91" s="425">
        <v>45438</v>
      </c>
      <c r="C91" s="427">
        <v>1</v>
      </c>
      <c r="D91" s="428">
        <v>2199</v>
      </c>
      <c r="E91" s="429">
        <v>29475</v>
      </c>
      <c r="F91" s="430">
        <v>30548083156</v>
      </c>
      <c r="G91" s="436" t="str">
        <f>IFERROR(IF(compras_mes5[[#This Row],[CUIT]]="","-",VLOOKUP(compras_mes5[[#This Row],[CUIT]],Lista_CUIT[#All],2,0)),"CUIT NO CARGADO")</f>
        <v>COTO CENTRO INTEGRAL DE COMERCIALIZACION SOCIEDAD ANONIMA</v>
      </c>
      <c r="H91" s="431">
        <v>51157.78</v>
      </c>
      <c r="I91" s="426">
        <v>9195.34</v>
      </c>
      <c r="J91" s="426"/>
      <c r="K91" s="426">
        <v>773.9</v>
      </c>
      <c r="L91" s="426"/>
      <c r="M91" s="426"/>
      <c r="N91" s="426"/>
      <c r="O91" s="426">
        <v>3698.68</v>
      </c>
      <c r="P91" s="424">
        <f>SUM(compras_mes5[[#This Row],[NETO GRAVADO]:[Otros / No Grav.]])</f>
        <v>64825.7</v>
      </c>
      <c r="Q91" s="432" t="str">
        <f>IFERROR(IF(compras_mes5[[#This Row],[CUIT]]="","-",VLOOKUP(compras_mes5[[#This Row],[CUIT]],Lista_CUIT[#All],3,0)),"CUIT NO CARGADO")</f>
        <v>Gastos Varios</v>
      </c>
      <c r="R91" s="432">
        <f>IFERROR(IF(compras_mes5[[#This Row],[CUIT]]="","-",VLOOKUP(compras_mes5[[#This Row],[CUIT]],Lista_CUIT[#All],4,0)),"CUIT NO CARGADO")</f>
        <v>0</v>
      </c>
    </row>
    <row r="92" spans="2:19">
      <c r="B92" s="425">
        <v>45440</v>
      </c>
      <c r="C92" s="41">
        <v>1</v>
      </c>
      <c r="D92" s="428">
        <v>1</v>
      </c>
      <c r="E92" s="429">
        <v>61</v>
      </c>
      <c r="F92" s="430">
        <v>30718503481</v>
      </c>
      <c r="G92" s="436" t="str">
        <f>IFERROR(IF(compras_mes5[[#This Row],[CUIT]]="","-",VLOOKUP(compras_mes5[[#This Row],[CUIT]],Lista_CUIT[#All],2,0)),"CUIT NO CARGADO")</f>
        <v>THE PREMIUM GOODS S.R.L.</v>
      </c>
      <c r="H92" s="431">
        <v>56148.76</v>
      </c>
      <c r="I92" s="426">
        <f>IF(compras_mes5[[#This Row],[NETO GRAVADO]]="","",compras_mes5[[#This Row],[NETO GRAVADO]]*0.21)</f>
        <v>11791.239600000001</v>
      </c>
      <c r="J92" s="426"/>
      <c r="K92" s="426"/>
      <c r="L92" s="426"/>
      <c r="M92" s="426"/>
      <c r="N92" s="426"/>
      <c r="O92" s="426"/>
      <c r="P92" s="424">
        <f>SUM(compras_mes5[[#This Row],[NETO GRAVADO]:[Otros / No Grav.]])</f>
        <v>67939.99960000001</v>
      </c>
      <c r="Q92" s="432" t="str">
        <f>IFERROR(IF(compras_mes5[[#This Row],[CUIT]]="","-",VLOOKUP(compras_mes5[[#This Row],[CUIT]],Lista_CUIT[#All],3,0)),"CUIT NO CARGADO")</f>
        <v>Gastos Varios</v>
      </c>
      <c r="R92" s="432">
        <f>IFERROR(IF(compras_mes5[[#This Row],[CUIT]]="","-",VLOOKUP(compras_mes5[[#This Row],[CUIT]],Lista_CUIT[#All],4,0)),"CUIT NO CARGADO")</f>
        <v>0</v>
      </c>
      <c r="S92" s="225"/>
    </row>
    <row r="93" spans="2:19">
      <c r="B93" s="425">
        <v>45440</v>
      </c>
      <c r="C93" s="427">
        <v>1</v>
      </c>
      <c r="D93" s="428">
        <v>3</v>
      </c>
      <c r="E93" s="429">
        <v>8754</v>
      </c>
      <c r="F93" s="430">
        <v>20928324568</v>
      </c>
      <c r="G93" s="436" t="str">
        <f>IFERROR(IF(compras_mes5[[#This Row],[CUIT]]="","-",VLOOKUP(compras_mes5[[#This Row],[CUIT]],Lista_CUIT[#All],2,0)),"CUIT NO CARGADO")</f>
        <v>LATEULADE DORADO ADRIAN HUGO</v>
      </c>
      <c r="H93" s="431">
        <v>8677.69</v>
      </c>
      <c r="I93" s="426">
        <f>IF(compras_mes5[[#This Row],[NETO GRAVADO]]="","",compras_mes5[[#This Row],[NETO GRAVADO]]*0.21)</f>
        <v>1822.3149000000001</v>
      </c>
      <c r="J93" s="426"/>
      <c r="K93" s="426"/>
      <c r="L93" s="426"/>
      <c r="M93" s="426"/>
      <c r="N93" s="426"/>
      <c r="O93" s="426"/>
      <c r="P93" s="424">
        <f>SUM(compras_mes5[[#This Row],[NETO GRAVADO]:[Otros / No Grav.]])</f>
        <v>10500.0049</v>
      </c>
      <c r="Q93" s="432" t="str">
        <f>IFERROR(IF(compras_mes5[[#This Row],[CUIT]]="","-",VLOOKUP(compras_mes5[[#This Row],[CUIT]],Lista_CUIT[#All],3,0)),"CUIT NO CARGADO")</f>
        <v>Gastos Varios</v>
      </c>
      <c r="R93" s="432">
        <f>IFERROR(IF(compras_mes5[[#This Row],[CUIT]]="","-",VLOOKUP(compras_mes5[[#This Row],[CUIT]],Lista_CUIT[#All],4,0)),"CUIT NO CARGADO")</f>
        <v>0</v>
      </c>
    </row>
    <row r="94" spans="2:19">
      <c r="B94" s="425">
        <v>45440</v>
      </c>
      <c r="C94" s="41">
        <v>1</v>
      </c>
      <c r="D94" s="428">
        <v>1678</v>
      </c>
      <c r="E94" s="429">
        <v>39118</v>
      </c>
      <c r="F94" s="430">
        <v>30589621499</v>
      </c>
      <c r="G94" s="436" t="str">
        <f>IFERROR(IF(compras_mes5[[#This Row],[CUIT]]="","-",VLOOKUP(compras_mes5[[#This Row],[CUIT]],Lista_CUIT[#All],2,0)),"CUIT NO CARGADO")</f>
        <v>MAKRO SA</v>
      </c>
      <c r="H94" s="431">
        <v>45819.3</v>
      </c>
      <c r="I94" s="426">
        <v>8913.0300000000007</v>
      </c>
      <c r="J94" s="426"/>
      <c r="K94" s="426">
        <v>354.51</v>
      </c>
      <c r="L94" s="426">
        <v>1323.93</v>
      </c>
      <c r="M94" s="426"/>
      <c r="N94" s="426">
        <v>2749.16</v>
      </c>
      <c r="O94" s="426">
        <v>170.19</v>
      </c>
      <c r="P94" s="424">
        <f>SUM(compras_mes5[[#This Row],[NETO GRAVADO]:[Otros / No Grav.]])</f>
        <v>59330.12000000001</v>
      </c>
      <c r="Q94" s="432" t="str">
        <f>IFERROR(IF(compras_mes5[[#This Row],[CUIT]]="","-",VLOOKUP(compras_mes5[[#This Row],[CUIT]],Lista_CUIT[#All],3,0)),"CUIT NO CARGADO")</f>
        <v>Gastos Varios</v>
      </c>
      <c r="R94" s="432">
        <f>IFERROR(IF(compras_mes5[[#This Row],[CUIT]]="","-",VLOOKUP(compras_mes5[[#This Row],[CUIT]],Lista_CUIT[#All],4,0)),"CUIT NO CARGADO")</f>
        <v>0</v>
      </c>
    </row>
    <row r="95" spans="2:19">
      <c r="B95" s="425">
        <v>45441</v>
      </c>
      <c r="C95" s="427">
        <v>1</v>
      </c>
      <c r="D95" s="428">
        <v>27</v>
      </c>
      <c r="E95" s="429">
        <v>2473037</v>
      </c>
      <c r="F95" s="430">
        <v>30703088534</v>
      </c>
      <c r="G95" s="436" t="str">
        <f>IFERROR(IF(compras_mes5[[#This Row],[CUIT]]="","-",VLOOKUP(compras_mes5[[#This Row],[CUIT]],Lista_CUIT[#All],2,0)),"CUIT NO CARGADO")</f>
        <v>MERCADO LIBRE SRL</v>
      </c>
      <c r="H95" s="431">
        <v>877098.89</v>
      </c>
      <c r="I95" s="426">
        <f>IF(compras_mes5[[#This Row],[NETO GRAVADO]]="","",compras_mes5[[#This Row],[NETO GRAVADO]]*0.21)</f>
        <v>184190.76689999999</v>
      </c>
      <c r="J95" s="426"/>
      <c r="K95" s="426"/>
      <c r="L95" s="426"/>
      <c r="M95" s="426"/>
      <c r="N95" s="426"/>
      <c r="O95" s="426">
        <v>114022.9</v>
      </c>
      <c r="P95" s="424">
        <f>SUM(compras_mes5[[#This Row],[NETO GRAVADO]:[Otros / No Grav.]])</f>
        <v>1175312.5569</v>
      </c>
      <c r="Q95" s="432" t="str">
        <f>IFERROR(IF(compras_mes5[[#This Row],[CUIT]]="","-",VLOOKUP(compras_mes5[[#This Row],[CUIT]],Lista_CUIT[#All],3,0)),"CUIT NO CARGADO")</f>
        <v>Gastos Varios</v>
      </c>
      <c r="R95" s="432" t="str">
        <f>IFERROR(IF(compras_mes5[[#This Row],[CUIT]]="","-",VLOOKUP(compras_mes5[[#This Row],[CUIT]],Lista_CUIT[#All],4,0)),"CUIT NO CARGADO")</f>
        <v>CABA</v>
      </c>
    </row>
    <row r="96" spans="2:19">
      <c r="B96" s="425">
        <v>45442</v>
      </c>
      <c r="C96" s="41">
        <v>1</v>
      </c>
      <c r="D96" s="42">
        <v>8</v>
      </c>
      <c r="E96" s="43">
        <v>224</v>
      </c>
      <c r="F96" s="44">
        <v>20134664518</v>
      </c>
      <c r="G96" s="437" t="str">
        <f>IFERROR(IF(compras_mes5[[#This Row],[CUIT]]="","-",VLOOKUP(compras_mes5[[#This Row],[CUIT]],Lista_CUIT[#All],2,0)),"CUIT NO CARGADO")</f>
        <v>HOKAMA SERGIO ENRIQUE</v>
      </c>
      <c r="H96" s="46">
        <v>13574.37</v>
      </c>
      <c r="I96" s="426">
        <f>IF(compras_mes5[[#This Row],[NETO GRAVADO]]="","",compras_mes5[[#This Row],[NETO GRAVADO]]*0.21)</f>
        <v>2850.6177000000002</v>
      </c>
      <c r="J96" s="426"/>
      <c r="K96" s="426"/>
      <c r="L96" s="426"/>
      <c r="M96" s="426"/>
      <c r="N96" s="426"/>
      <c r="O96" s="426"/>
      <c r="P96" s="424">
        <f>SUM(compras_mes5[[#This Row],[NETO GRAVADO]:[Otros / No Grav.]])</f>
        <v>16424.987700000001</v>
      </c>
      <c r="Q96" s="49" t="str">
        <f>IFERROR(IF(compras_mes5[[#This Row],[CUIT]]="","-",VLOOKUP(compras_mes5[[#This Row],[CUIT]],Lista_CUIT[#All],3,0)),"CUIT NO CARGADO")</f>
        <v>Gastos Varios</v>
      </c>
      <c r="R96" s="49" t="str">
        <f>IFERROR(IF(compras_mes5[[#This Row],[CUIT]]="","-",VLOOKUP(compras_mes5[[#This Row],[CUIT]],Lista_CUIT[#All],4,0)),"CUIT NO CARGADO")</f>
        <v>BUENOS AIRES</v>
      </c>
    </row>
    <row r="97" spans="2:18">
      <c r="B97" s="425">
        <v>45442</v>
      </c>
      <c r="C97" s="427">
        <v>1</v>
      </c>
      <c r="D97" s="428">
        <v>2188</v>
      </c>
      <c r="E97" s="429">
        <v>120996</v>
      </c>
      <c r="F97" s="430">
        <v>30548083156</v>
      </c>
      <c r="G97" s="436" t="str">
        <f>IFERROR(IF(compras_mes5[[#This Row],[CUIT]]="","-",VLOOKUP(compras_mes5[[#This Row],[CUIT]],Lista_CUIT[#All],2,0)),"CUIT NO CARGADO")</f>
        <v>COTO CENTRO INTEGRAL DE COMERCIALIZACION SOCIEDAD ANONIMA</v>
      </c>
      <c r="H97" s="431">
        <v>28815.42</v>
      </c>
      <c r="I97" s="426">
        <v>4543.3599999999997</v>
      </c>
      <c r="J97" s="426"/>
      <c r="K97" s="426">
        <v>753.94</v>
      </c>
      <c r="L97" s="426"/>
      <c r="M97" s="426"/>
      <c r="N97" s="426"/>
      <c r="O97" s="426">
        <v>2343.04</v>
      </c>
      <c r="P97" s="424">
        <f>SUM(compras_mes5[[#This Row],[NETO GRAVADO]:[Otros / No Grav.]])</f>
        <v>36455.760000000002</v>
      </c>
      <c r="Q97" s="432" t="str">
        <f>IFERROR(IF(compras_mes5[[#This Row],[CUIT]]="","-",VLOOKUP(compras_mes5[[#This Row],[CUIT]],Lista_CUIT[#All],3,0)),"CUIT NO CARGADO")</f>
        <v>Gastos Varios</v>
      </c>
      <c r="R97" s="432">
        <f>IFERROR(IF(compras_mes5[[#This Row],[CUIT]]="","-",VLOOKUP(compras_mes5[[#This Row],[CUIT]],Lista_CUIT[#All],4,0)),"CUIT NO CARGADO")</f>
        <v>0</v>
      </c>
    </row>
    <row r="98" spans="2:18">
      <c r="B98" s="425">
        <v>45443</v>
      </c>
      <c r="C98" s="41">
        <v>1</v>
      </c>
      <c r="D98" s="428">
        <v>8</v>
      </c>
      <c r="E98" s="429">
        <v>1524</v>
      </c>
      <c r="F98" s="430">
        <v>20277381908</v>
      </c>
      <c r="G98" s="436" t="str">
        <f>IFERROR(IF(compras_mes5[[#This Row],[CUIT]]="","-",VLOOKUP(compras_mes5[[#This Row],[CUIT]],Lista_CUIT[#All],2,0)),"CUIT NO CARGADO")</f>
        <v>ALONSO RODRIGO JAVIER</v>
      </c>
      <c r="H98" s="431">
        <v>4958.68</v>
      </c>
      <c r="I98" s="426">
        <f>IF(compras_mes5[[#This Row],[NETO GRAVADO]]="","",compras_mes5[[#This Row],[NETO GRAVADO]]*0.21)</f>
        <v>1041.3227999999999</v>
      </c>
      <c r="J98" s="426"/>
      <c r="K98" s="426"/>
      <c r="L98" s="426"/>
      <c r="M98" s="426"/>
      <c r="N98" s="426"/>
      <c r="O98" s="426"/>
      <c r="P98" s="424">
        <f>SUM(compras_mes5[[#This Row],[NETO GRAVADO]:[Otros / No Grav.]])</f>
        <v>6000.0028000000002</v>
      </c>
      <c r="Q98" s="432" t="str">
        <f>IFERROR(IF(compras_mes5[[#This Row],[CUIT]]="","-",VLOOKUP(compras_mes5[[#This Row],[CUIT]],Lista_CUIT[#All],3,0)),"CUIT NO CARGADO")</f>
        <v>Gastos Varios</v>
      </c>
      <c r="R98" s="432">
        <f>IFERROR(IF(compras_mes5[[#This Row],[CUIT]]="","-",VLOOKUP(compras_mes5[[#This Row],[CUIT]],Lista_CUIT[#All],4,0)),"CUIT NO CARGADO")</f>
        <v>0</v>
      </c>
    </row>
    <row r="99" spans="2:18">
      <c r="B99" s="425">
        <v>45415</v>
      </c>
      <c r="C99" s="427">
        <v>1</v>
      </c>
      <c r="D99" s="428">
        <v>2</v>
      </c>
      <c r="E99" s="429">
        <v>1512</v>
      </c>
      <c r="F99" s="430">
        <v>23080372469</v>
      </c>
      <c r="G99" s="436" t="str">
        <f>IFERROR(IF(compras_mes5[[#This Row],[CUIT]]="","-",VLOOKUP(compras_mes5[[#This Row],[CUIT]],Lista_CUIT[#All],2,0)),"CUIT NO CARGADO")</f>
        <v>PASCUCCIO RUBEN HORACIO</v>
      </c>
      <c r="H99" s="431">
        <v>83820</v>
      </c>
      <c r="I99" s="426">
        <f>IF(compras_mes5[[#This Row],[NETO GRAVADO]]="","",compras_mes5[[#This Row],[NETO GRAVADO]]*0.21)</f>
        <v>17602.2</v>
      </c>
      <c r="J99" s="426"/>
      <c r="K99" s="426"/>
      <c r="L99" s="426"/>
      <c r="M99" s="426"/>
      <c r="N99" s="426"/>
      <c r="O99" s="426"/>
      <c r="P99" s="424">
        <f>SUM(compras_mes5[[#This Row],[NETO GRAVADO]:[Otros / No Grav.]])</f>
        <v>101422.2</v>
      </c>
      <c r="Q99" s="432" t="str">
        <f>IFERROR(IF(compras_mes5[[#This Row],[CUIT]]="","-",VLOOKUP(compras_mes5[[#This Row],[CUIT]],Lista_CUIT[#All],3,0)),"CUIT NO CARGADO")</f>
        <v>Honorarios Legales</v>
      </c>
      <c r="R99" s="432">
        <f>IFERROR(IF(compras_mes5[[#This Row],[CUIT]]="","-",VLOOKUP(compras_mes5[[#This Row],[CUIT]],Lista_CUIT[#All],4,0)),"CUIT NO CARGADO")</f>
        <v>0</v>
      </c>
    </row>
    <row r="100" spans="2:18">
      <c r="B100" s="425">
        <v>45435</v>
      </c>
      <c r="C100" s="427">
        <v>1</v>
      </c>
      <c r="D100" s="428">
        <v>3</v>
      </c>
      <c r="E100" s="429">
        <v>2020</v>
      </c>
      <c r="F100" s="430">
        <v>23168773684</v>
      </c>
      <c r="G100" s="436" t="str">
        <f>IFERROR(IF(compras_mes5[[#This Row],[CUIT]]="","-",VLOOKUP(compras_mes5[[#This Row],[CUIT]],Lista_CUIT[#All],2,0)),"CUIT NO CARGADO")</f>
        <v>CAROSIO ROSANA BEATRIZ</v>
      </c>
      <c r="H100" s="431">
        <v>83820</v>
      </c>
      <c r="I100" s="426">
        <f>IF(compras_mes5[[#This Row],[NETO GRAVADO]]="","",compras_mes5[[#This Row],[NETO GRAVADO]]*0.21)</f>
        <v>17602.2</v>
      </c>
      <c r="J100" s="426"/>
      <c r="K100" s="426"/>
      <c r="L100" s="426"/>
      <c r="M100" s="426"/>
      <c r="N100" s="426"/>
      <c r="O100" s="426"/>
      <c r="P100" s="424">
        <f>SUM(compras_mes5[[#This Row],[NETO GRAVADO]:[Otros / No Grav.]])</f>
        <v>101422.2</v>
      </c>
      <c r="Q100" s="432" t="str">
        <f>IFERROR(IF(compras_mes5[[#This Row],[CUIT]]="","-",VLOOKUP(compras_mes5[[#This Row],[CUIT]],Lista_CUIT[#All],3,0)),"CUIT NO CARGADO")</f>
        <v>Honorarios Legales</v>
      </c>
      <c r="R100" s="432">
        <f>IFERROR(IF(compras_mes5[[#This Row],[CUIT]]="","-",VLOOKUP(compras_mes5[[#This Row],[CUIT]],Lista_CUIT[#All],4,0)),"CUIT NO CARGADO")</f>
        <v>0</v>
      </c>
    </row>
    <row r="101" spans="2:18">
      <c r="B101" s="425">
        <v>45416</v>
      </c>
      <c r="C101" s="427">
        <v>1</v>
      </c>
      <c r="D101" s="428">
        <v>7</v>
      </c>
      <c r="E101" s="429">
        <v>11172</v>
      </c>
      <c r="F101" s="430">
        <v>20309749104</v>
      </c>
      <c r="G101" s="436" t="str">
        <f>IFERROR(IF(compras_mes5[[#This Row],[CUIT]]="","-",VLOOKUP(compras_mes5[[#This Row],[CUIT]],Lista_CUIT[#All],2,0)),"CUIT NO CARGADO")</f>
        <v>NOZIGLIA LEANDRO EZEQUIEL</v>
      </c>
      <c r="H101" s="431">
        <v>30140.83</v>
      </c>
      <c r="I101" s="426">
        <f>IF(compras_mes5[[#This Row],[NETO GRAVADO]]="","",compras_mes5[[#This Row],[NETO GRAVADO]]*0.21)</f>
        <v>6329.5743000000002</v>
      </c>
      <c r="J101" s="426"/>
      <c r="K101" s="426"/>
      <c r="L101" s="426"/>
      <c r="M101" s="426"/>
      <c r="N101" s="426"/>
      <c r="O101" s="426"/>
      <c r="P101" s="424">
        <f>SUM(compras_mes5[[#This Row],[NETO GRAVADO]:[Otros / No Grav.]])</f>
        <v>36470.404300000002</v>
      </c>
      <c r="Q101" s="432" t="str">
        <f>IFERROR(IF(compras_mes5[[#This Row],[CUIT]]="","-",VLOOKUP(compras_mes5[[#This Row],[CUIT]],Lista_CUIT[#All],3,0)),"CUIT NO CARGADO")</f>
        <v>LIBRERÍA</v>
      </c>
      <c r="R101" s="432">
        <f>IFERROR(IF(compras_mes5[[#This Row],[CUIT]]="","-",VLOOKUP(compras_mes5[[#This Row],[CUIT]],Lista_CUIT[#All],4,0)),"CUIT NO CARGADO")</f>
        <v>0</v>
      </c>
    </row>
    <row r="102" spans="2:18">
      <c r="B102" s="425">
        <v>45418</v>
      </c>
      <c r="C102" s="427">
        <v>1</v>
      </c>
      <c r="D102" s="428">
        <v>4</v>
      </c>
      <c r="E102" s="429">
        <v>1639</v>
      </c>
      <c r="F102" s="430">
        <v>20274978350</v>
      </c>
      <c r="G102" s="436" t="str">
        <f>IFERROR(IF(compras_mes5[[#This Row],[CUIT]]="","-",VLOOKUP(compras_mes5[[#This Row],[CUIT]],Lista_CUIT[#All],2,0)),"CUIT NO CARGADO")</f>
        <v>RODRIGUEZ ADRIAN ALBERTO</v>
      </c>
      <c r="H102" s="431">
        <v>27618.18</v>
      </c>
      <c r="I102" s="426">
        <f>IF(compras_mes5[[#This Row],[NETO GRAVADO]]="","",compras_mes5[[#This Row],[NETO GRAVADO]]*0.21)</f>
        <v>5799.8177999999998</v>
      </c>
      <c r="J102" s="426"/>
      <c r="K102" s="426"/>
      <c r="L102" s="426"/>
      <c r="M102" s="426"/>
      <c r="N102" s="426"/>
      <c r="O102" s="426"/>
      <c r="P102" s="424">
        <f>SUM(compras_mes5[[#This Row],[NETO GRAVADO]:[Otros / No Grav.]])</f>
        <v>33417.997799999997</v>
      </c>
      <c r="Q102" s="432" t="str">
        <f>IFERROR(IF(compras_mes5[[#This Row],[CUIT]]="","-",VLOOKUP(compras_mes5[[#This Row],[CUIT]],Lista_CUIT[#All],3,0)),"CUIT NO CARGADO")</f>
        <v>LIBRERÍA</v>
      </c>
      <c r="R102" s="432">
        <f>IFERROR(IF(compras_mes5[[#This Row],[CUIT]]="","-",VLOOKUP(compras_mes5[[#This Row],[CUIT]],Lista_CUIT[#All],4,0)),"CUIT NO CARGADO")</f>
        <v>0</v>
      </c>
    </row>
    <row r="103" spans="2:18">
      <c r="B103" s="425">
        <v>45425</v>
      </c>
      <c r="C103" s="41">
        <v>3</v>
      </c>
      <c r="D103" s="428">
        <v>23</v>
      </c>
      <c r="E103" s="429">
        <v>149</v>
      </c>
      <c r="F103" s="430">
        <v>30679067431</v>
      </c>
      <c r="G103" s="436" t="str">
        <f>IFERROR(IF(compras_mes5[[#This Row],[CUIT]]="","-",VLOOKUP(compras_mes5[[#This Row],[CUIT]],Lista_CUIT[#All],2,0)),"CUIT NO CARGADO")</f>
        <v>LIBRERÍA PELUFFO SRL</v>
      </c>
      <c r="H103" s="431">
        <v>-22045.46</v>
      </c>
      <c r="I103" s="426">
        <f>IF(compras_mes5[[#This Row],[NETO GRAVADO]]="","",compras_mes5[[#This Row],[NETO GRAVADO]]*0.21)</f>
        <v>-4629.5465999999997</v>
      </c>
      <c r="J103" s="426"/>
      <c r="K103" s="426"/>
      <c r="L103" s="426"/>
      <c r="M103" s="426"/>
      <c r="N103" s="426"/>
      <c r="O103" s="426"/>
      <c r="P103" s="424">
        <f>SUM(compras_mes5[[#This Row],[NETO GRAVADO]:[Otros / No Grav.]])</f>
        <v>-26675.006600000001</v>
      </c>
      <c r="Q103" s="432" t="str">
        <f>IFERROR(IF(compras_mes5[[#This Row],[CUIT]]="","-",VLOOKUP(compras_mes5[[#This Row],[CUIT]],Lista_CUIT[#All],3,0)),"CUIT NO CARGADO")</f>
        <v>LIBRERÍA</v>
      </c>
      <c r="R103" s="432">
        <f>IFERROR(IF(compras_mes5[[#This Row],[CUIT]]="","-",VLOOKUP(compras_mes5[[#This Row],[CUIT]],Lista_CUIT[#All],4,0)),"CUIT NO CARGADO")</f>
        <v>0</v>
      </c>
    </row>
    <row r="104" spans="2:18">
      <c r="B104" s="425">
        <v>45425</v>
      </c>
      <c r="C104" s="427">
        <v>1</v>
      </c>
      <c r="D104" s="428">
        <v>23</v>
      </c>
      <c r="E104" s="429">
        <v>4980</v>
      </c>
      <c r="F104" s="430">
        <v>30679067431</v>
      </c>
      <c r="G104" s="436" t="str">
        <f>IFERROR(IF(compras_mes5[[#This Row],[CUIT]]="","-",VLOOKUP(compras_mes5[[#This Row],[CUIT]],Lista_CUIT[#All],2,0)),"CUIT NO CARGADO")</f>
        <v>LIBRERÍA PELUFFO SRL</v>
      </c>
      <c r="H104" s="431">
        <v>66136.36</v>
      </c>
      <c r="I104" s="426">
        <f>IF(compras_mes5[[#This Row],[NETO GRAVADO]]="","",compras_mes5[[#This Row],[NETO GRAVADO]]*0.21)</f>
        <v>13888.6356</v>
      </c>
      <c r="J104" s="426"/>
      <c r="K104" s="426"/>
      <c r="L104" s="426"/>
      <c r="M104" s="426"/>
      <c r="N104" s="426"/>
      <c r="O104" s="426"/>
      <c r="P104" s="424">
        <f>SUM(compras_mes5[[#This Row],[NETO GRAVADO]:[Otros / No Grav.]])</f>
        <v>80024.995599999995</v>
      </c>
      <c r="Q104" s="432" t="str">
        <f>IFERROR(IF(compras_mes5[[#This Row],[CUIT]]="","-",VLOOKUP(compras_mes5[[#This Row],[CUIT]],Lista_CUIT[#All],3,0)),"CUIT NO CARGADO")</f>
        <v>LIBRERÍA</v>
      </c>
      <c r="R104" s="432">
        <f>IFERROR(IF(compras_mes5[[#This Row],[CUIT]]="","-",VLOOKUP(compras_mes5[[#This Row],[CUIT]],Lista_CUIT[#All],4,0)),"CUIT NO CARGADO")</f>
        <v>0</v>
      </c>
    </row>
    <row r="105" spans="2:18">
      <c r="B105" s="425">
        <v>45427</v>
      </c>
      <c r="C105" s="41">
        <v>1</v>
      </c>
      <c r="D105" s="428">
        <v>1</v>
      </c>
      <c r="E105" s="429">
        <v>16545</v>
      </c>
      <c r="F105" s="430">
        <v>30718208692</v>
      </c>
      <c r="G105" s="436" t="str">
        <f>IFERROR(IF(compras_mes5[[#This Row],[CUIT]]="","-",VLOOKUP(compras_mes5[[#This Row],[CUIT]],Lista_CUIT[#All],2,0)),"CUIT NO CARGADO")</f>
        <v>UMP SOLUTIONS &amp; SUPPLIES SRL</v>
      </c>
      <c r="H105" s="431">
        <v>146920.69</v>
      </c>
      <c r="I105" s="426">
        <f>IF(compras_mes5[[#This Row],[NETO GRAVADO]]="","",compras_mes5[[#This Row],[NETO GRAVADO]]*0.21)</f>
        <v>30853.3449</v>
      </c>
      <c r="J105" s="426"/>
      <c r="K105" s="426"/>
      <c r="L105" s="426"/>
      <c r="M105" s="426"/>
      <c r="N105" s="426"/>
      <c r="O105" s="426"/>
      <c r="P105" s="424">
        <f>SUM(compras_mes5[[#This Row],[NETO GRAVADO]:[Otros / No Grav.]])</f>
        <v>177774.0349</v>
      </c>
      <c r="Q105" s="432" t="str">
        <f>IFERROR(IF(compras_mes5[[#This Row],[CUIT]]="","-",VLOOKUP(compras_mes5[[#This Row],[CUIT]],Lista_CUIT[#All],3,0)),"CUIT NO CARGADO")</f>
        <v>LIBRERÍA</v>
      </c>
      <c r="R105" s="432">
        <f>IFERROR(IF(compras_mes5[[#This Row],[CUIT]]="","-",VLOOKUP(compras_mes5[[#This Row],[CUIT]],Lista_CUIT[#All],4,0)),"CUIT NO CARGADO")</f>
        <v>0</v>
      </c>
    </row>
    <row r="106" spans="2:18">
      <c r="B106" s="425">
        <v>45429</v>
      </c>
      <c r="C106" s="427">
        <v>1</v>
      </c>
      <c r="D106" s="428">
        <v>20</v>
      </c>
      <c r="E106" s="429">
        <v>18793</v>
      </c>
      <c r="F106" s="430">
        <v>30717210847</v>
      </c>
      <c r="G106" s="436" t="str">
        <f>IFERROR(IF(compras_mes5[[#This Row],[CUIT]]="","-",VLOOKUP(compras_mes5[[#This Row],[CUIT]],Lista_CUIT[#All],2,0)),"CUIT NO CARGADO")</f>
        <v>STENDY</v>
      </c>
      <c r="H106" s="431">
        <v>57659.5</v>
      </c>
      <c r="I106" s="426">
        <f>IF(compras_mes5[[#This Row],[NETO GRAVADO]]="","",compras_mes5[[#This Row],[NETO GRAVADO]]*0.21)</f>
        <v>12108.494999999999</v>
      </c>
      <c r="J106" s="426"/>
      <c r="K106" s="426"/>
      <c r="L106" s="426"/>
      <c r="M106" s="426"/>
      <c r="N106" s="426"/>
      <c r="O106" s="426"/>
      <c r="P106" s="424">
        <f>SUM(compras_mes5[[#This Row],[NETO GRAVADO]:[Otros / No Grav.]])</f>
        <v>69767.994999999995</v>
      </c>
      <c r="Q106" s="432" t="str">
        <f>IFERROR(IF(compras_mes5[[#This Row],[CUIT]]="","-",VLOOKUP(compras_mes5[[#This Row],[CUIT]],Lista_CUIT[#All],3,0)),"CUIT NO CARGADO")</f>
        <v>LIBRERÍA</v>
      </c>
      <c r="R106" s="432">
        <f>IFERROR(IF(compras_mes5[[#This Row],[CUIT]]="","-",VLOOKUP(compras_mes5[[#This Row],[CUIT]],Lista_CUIT[#All],4,0)),"CUIT NO CARGADO")</f>
        <v>0</v>
      </c>
    </row>
    <row r="107" spans="2:18">
      <c r="B107" s="425">
        <v>45429</v>
      </c>
      <c r="C107" s="427">
        <v>1</v>
      </c>
      <c r="D107" s="428">
        <v>20</v>
      </c>
      <c r="E107" s="429">
        <v>18794</v>
      </c>
      <c r="F107" s="430">
        <v>30717210847</v>
      </c>
      <c r="G107" s="436" t="str">
        <f>IFERROR(IF(compras_mes5[[#This Row],[CUIT]]="","-",VLOOKUP(compras_mes5[[#This Row],[CUIT]],Lista_CUIT[#All],2,0)),"CUIT NO CARGADO")</f>
        <v>STENDY</v>
      </c>
      <c r="H107" s="431">
        <v>61405.09</v>
      </c>
      <c r="I107" s="426">
        <f>IF(compras_mes5[[#This Row],[NETO GRAVADO]]="","",compras_mes5[[#This Row],[NETO GRAVADO]]*0.21)</f>
        <v>12895.068899999998</v>
      </c>
      <c r="J107" s="426"/>
      <c r="K107" s="426"/>
      <c r="L107" s="426"/>
      <c r="M107" s="426"/>
      <c r="N107" s="426"/>
      <c r="O107" s="426"/>
      <c r="P107" s="424">
        <f>SUM(compras_mes5[[#This Row],[NETO GRAVADO]:[Otros / No Grav.]])</f>
        <v>74300.158899999995</v>
      </c>
      <c r="Q107" s="432" t="str">
        <f>IFERROR(IF(compras_mes5[[#This Row],[CUIT]]="","-",VLOOKUP(compras_mes5[[#This Row],[CUIT]],Lista_CUIT[#All],3,0)),"CUIT NO CARGADO")</f>
        <v>LIBRERÍA</v>
      </c>
      <c r="R107" s="432">
        <f>IFERROR(IF(compras_mes5[[#This Row],[CUIT]]="","-",VLOOKUP(compras_mes5[[#This Row],[CUIT]],Lista_CUIT[#All],4,0)),"CUIT NO CARGADO")</f>
        <v>0</v>
      </c>
    </row>
    <row r="108" spans="2:18">
      <c r="B108" s="425">
        <v>45429</v>
      </c>
      <c r="C108" s="41">
        <v>1</v>
      </c>
      <c r="D108" s="428">
        <v>20</v>
      </c>
      <c r="E108" s="429">
        <v>18795</v>
      </c>
      <c r="F108" s="430">
        <v>30717210847</v>
      </c>
      <c r="G108" s="436" t="str">
        <f>IFERROR(IF(compras_mes5[[#This Row],[CUIT]]="","-",VLOOKUP(compras_mes5[[#This Row],[CUIT]],Lista_CUIT[#All],2,0)),"CUIT NO CARGADO")</f>
        <v>STENDY</v>
      </c>
      <c r="H108" s="431">
        <v>52110.74</v>
      </c>
      <c r="I108" s="426">
        <f>IF(compras_mes5[[#This Row],[NETO GRAVADO]]="","",compras_mes5[[#This Row],[NETO GRAVADO]]*0.21)</f>
        <v>10943.2554</v>
      </c>
      <c r="J108" s="426"/>
      <c r="K108" s="426"/>
      <c r="L108" s="426"/>
      <c r="M108" s="426"/>
      <c r="N108" s="426"/>
      <c r="O108" s="426"/>
      <c r="P108" s="424">
        <f>SUM(compras_mes5[[#This Row],[NETO GRAVADO]:[Otros / No Grav.]])</f>
        <v>63053.9954</v>
      </c>
      <c r="Q108" s="432" t="str">
        <f>IFERROR(IF(compras_mes5[[#This Row],[CUIT]]="","-",VLOOKUP(compras_mes5[[#This Row],[CUIT]],Lista_CUIT[#All],3,0)),"CUIT NO CARGADO")</f>
        <v>LIBRERÍA</v>
      </c>
      <c r="R108" s="432">
        <f>IFERROR(IF(compras_mes5[[#This Row],[CUIT]]="","-",VLOOKUP(compras_mes5[[#This Row],[CUIT]],Lista_CUIT[#All],4,0)),"CUIT NO CARGADO")</f>
        <v>0</v>
      </c>
    </row>
    <row r="109" spans="2:18">
      <c r="B109" s="425">
        <v>45419</v>
      </c>
      <c r="C109" s="427">
        <v>1</v>
      </c>
      <c r="D109" s="428">
        <v>1</v>
      </c>
      <c r="E109" s="429">
        <v>2</v>
      </c>
      <c r="F109" s="430">
        <v>30717504824</v>
      </c>
      <c r="G109" s="436" t="str">
        <f>IFERROR(IF(compras_mes5[[#This Row],[CUIT]]="","-",VLOOKUP(compras_mes5[[#This Row],[CUIT]],Lista_CUIT[#All],2,0)),"CUIT NO CARGADO")</f>
        <v>FIDEICOMISO MAMBA</v>
      </c>
      <c r="H109" s="431">
        <v>13154932.1</v>
      </c>
      <c r="I109" s="426"/>
      <c r="J109" s="426"/>
      <c r="K109" s="426">
        <f>compras_mes5[[#This Row],[NETO GRAVADO]]*0.105</f>
        <v>1381267.8705</v>
      </c>
      <c r="L109" s="426"/>
      <c r="M109" s="426"/>
      <c r="N109" s="426"/>
      <c r="O109" s="426"/>
      <c r="P109" s="424">
        <f>SUM(compras_mes5[[#This Row],[NETO GRAVADO]:[Otros / No Grav.]])</f>
        <v>14536199.9705</v>
      </c>
      <c r="Q109" s="432" t="str">
        <f>IFERROR(IF(compras_mes5[[#This Row],[CUIT]]="","-",VLOOKUP(compras_mes5[[#This Row],[CUIT]],Lista_CUIT[#All],3,0)),"CUIT NO CARGADO")</f>
        <v>MANTENIMIENTO</v>
      </c>
      <c r="R109" s="432">
        <f>IFERROR(IF(compras_mes5[[#This Row],[CUIT]]="","-",VLOOKUP(compras_mes5[[#This Row],[CUIT]],Lista_CUIT[#All],4,0)),"CUIT NO CARGADO")</f>
        <v>0</v>
      </c>
    </row>
    <row r="110" spans="2:18">
      <c r="B110" s="425">
        <v>45419</v>
      </c>
      <c r="C110" s="41">
        <v>1</v>
      </c>
      <c r="D110" s="428">
        <v>1</v>
      </c>
      <c r="E110" s="429">
        <v>3</v>
      </c>
      <c r="F110" s="430">
        <v>30717504824</v>
      </c>
      <c r="G110" s="436" t="str">
        <f>IFERROR(IF(compras_mes5[[#This Row],[CUIT]]="","-",VLOOKUP(compras_mes5[[#This Row],[CUIT]],Lista_CUIT[#All],2,0)),"CUIT NO CARGADO")</f>
        <v>FIDEICOMISO MAMBA</v>
      </c>
      <c r="H110" s="431">
        <v>2278009.0499999998</v>
      </c>
      <c r="I110" s="426"/>
      <c r="J110" s="426"/>
      <c r="K110" s="426">
        <f>compras_mes5[[#This Row],[NETO GRAVADO]]*0.105</f>
        <v>239190.95024999997</v>
      </c>
      <c r="L110" s="426"/>
      <c r="M110" s="426"/>
      <c r="N110" s="426"/>
      <c r="O110" s="426"/>
      <c r="P110" s="424">
        <f>SUM(compras_mes5[[#This Row],[NETO GRAVADO]:[Otros / No Grav.]])</f>
        <v>2517200.0002499996</v>
      </c>
      <c r="Q110" s="432" t="str">
        <f>IFERROR(IF(compras_mes5[[#This Row],[CUIT]]="","-",VLOOKUP(compras_mes5[[#This Row],[CUIT]],Lista_CUIT[#All],3,0)),"CUIT NO CARGADO")</f>
        <v>MANTENIMIENTO</v>
      </c>
      <c r="R110" s="432">
        <f>IFERROR(IF(compras_mes5[[#This Row],[CUIT]]="","-",VLOOKUP(compras_mes5[[#This Row],[CUIT]],Lista_CUIT[#All],4,0)),"CUIT NO CARGADO")</f>
        <v>0</v>
      </c>
    </row>
    <row r="111" spans="2:18">
      <c r="B111" s="425">
        <v>45421</v>
      </c>
      <c r="C111" s="427">
        <v>1</v>
      </c>
      <c r="D111" s="428">
        <v>3</v>
      </c>
      <c r="E111" s="429">
        <v>10506</v>
      </c>
      <c r="F111" s="430">
        <v>30679163317</v>
      </c>
      <c r="G111" s="436" t="str">
        <f>IFERROR(IF(compras_mes5[[#This Row],[CUIT]]="","-",VLOOKUP(compras_mes5[[#This Row],[CUIT]],Lista_CUIT[#All],2,0)),"CUIT NO CARGADO")</f>
        <v>RANKO S R L</v>
      </c>
      <c r="H111" s="431">
        <v>130165.29</v>
      </c>
      <c r="I111" s="426">
        <f>IF(compras_mes5[[#This Row],[NETO GRAVADO]]="","",compras_mes5[[#This Row],[NETO GRAVADO]]*0.21)</f>
        <v>27334.710899999998</v>
      </c>
      <c r="J111" s="426"/>
      <c r="K111" s="426"/>
      <c r="L111" s="426"/>
      <c r="M111" s="426"/>
      <c r="N111" s="426"/>
      <c r="O111" s="426"/>
      <c r="P111" s="424">
        <f>SUM(compras_mes5[[#This Row],[NETO GRAVADO]:[Otros / No Grav.]])</f>
        <v>157500.00089999998</v>
      </c>
      <c r="Q111" s="432" t="str">
        <f>IFERROR(IF(compras_mes5[[#This Row],[CUIT]]="","-",VLOOKUP(compras_mes5[[#This Row],[CUIT]],Lista_CUIT[#All],3,0)),"CUIT NO CARGADO")</f>
        <v>Mantenimiento</v>
      </c>
      <c r="R111" s="432">
        <f>IFERROR(IF(compras_mes5[[#This Row],[CUIT]]="","-",VLOOKUP(compras_mes5[[#This Row],[CUIT]],Lista_CUIT[#All],4,0)),"CUIT NO CARGADO")</f>
        <v>0</v>
      </c>
    </row>
    <row r="112" spans="2:18">
      <c r="B112" s="425">
        <v>45423</v>
      </c>
      <c r="C112" s="41">
        <v>1</v>
      </c>
      <c r="D112" s="428">
        <v>3</v>
      </c>
      <c r="E112" s="429">
        <v>11304</v>
      </c>
      <c r="F112" s="430">
        <v>20121637864</v>
      </c>
      <c r="G112" s="436" t="str">
        <f>IFERROR(IF(compras_mes5[[#This Row],[CUIT]]="","-",VLOOKUP(compras_mes5[[#This Row],[CUIT]],Lista_CUIT[#All],2,0)),"CUIT NO CARGADO")</f>
        <v>FERNANDEZ RICARDO ADRIAN</v>
      </c>
      <c r="H112" s="431">
        <v>57512.39</v>
      </c>
      <c r="I112" s="426">
        <f>IF(compras_mes5[[#This Row],[NETO GRAVADO]]="","",compras_mes5[[#This Row],[NETO GRAVADO]]*0.21)</f>
        <v>12077.6019</v>
      </c>
      <c r="J112" s="426"/>
      <c r="K112" s="426"/>
      <c r="L112" s="426"/>
      <c r="M112" s="426"/>
      <c r="N112" s="426"/>
      <c r="O112" s="426"/>
      <c r="P112" s="424">
        <f>SUM(compras_mes5[[#This Row],[NETO GRAVADO]:[Otros / No Grav.]])</f>
        <v>69589.991899999994</v>
      </c>
      <c r="Q112" s="432" t="str">
        <f>IFERROR(IF(compras_mes5[[#This Row],[CUIT]]="","-",VLOOKUP(compras_mes5[[#This Row],[CUIT]],Lista_CUIT[#All],3,0)),"CUIT NO CARGADO")</f>
        <v>MANTENIMIENTO</v>
      </c>
      <c r="R112" s="432">
        <f>IFERROR(IF(compras_mes5[[#This Row],[CUIT]]="","-",VLOOKUP(compras_mes5[[#This Row],[CUIT]],Lista_CUIT[#All],4,0)),"CUIT NO CARGADO")</f>
        <v>0</v>
      </c>
    </row>
    <row r="113" spans="2:18">
      <c r="B113" s="425">
        <v>45423</v>
      </c>
      <c r="C113" s="427">
        <v>1</v>
      </c>
      <c r="D113" s="428">
        <v>3</v>
      </c>
      <c r="E113" s="429">
        <v>11305</v>
      </c>
      <c r="F113" s="430">
        <v>20121637864</v>
      </c>
      <c r="G113" s="436" t="str">
        <f>IFERROR(IF(compras_mes5[[#This Row],[CUIT]]="","-",VLOOKUP(compras_mes5[[#This Row],[CUIT]],Lista_CUIT[#All],2,0)),"CUIT NO CARGADO")</f>
        <v>FERNANDEZ RICARDO ADRIAN</v>
      </c>
      <c r="H113" s="431">
        <v>54636.78</v>
      </c>
      <c r="I113" s="426">
        <f>IF(compras_mes5[[#This Row],[NETO GRAVADO]]="","",compras_mes5[[#This Row],[NETO GRAVADO]]*0.21)</f>
        <v>11473.7238</v>
      </c>
      <c r="J113" s="426"/>
      <c r="K113" s="426"/>
      <c r="L113" s="426"/>
      <c r="M113" s="426"/>
      <c r="N113" s="426"/>
      <c r="O113" s="426"/>
      <c r="P113" s="424">
        <f>SUM(compras_mes5[[#This Row],[NETO GRAVADO]:[Otros / No Grav.]])</f>
        <v>66110.503800000006</v>
      </c>
      <c r="Q113" s="432" t="str">
        <f>IFERROR(IF(compras_mes5[[#This Row],[CUIT]]="","-",VLOOKUP(compras_mes5[[#This Row],[CUIT]],Lista_CUIT[#All],3,0)),"CUIT NO CARGADO")</f>
        <v>MANTENIMIENTO</v>
      </c>
      <c r="R113" s="432">
        <f>IFERROR(IF(compras_mes5[[#This Row],[CUIT]]="","-",VLOOKUP(compras_mes5[[#This Row],[CUIT]],Lista_CUIT[#All],4,0)),"CUIT NO CARGADO")</f>
        <v>0</v>
      </c>
    </row>
    <row r="114" spans="2:18">
      <c r="B114" s="425">
        <v>45427</v>
      </c>
      <c r="C114" s="427">
        <v>1</v>
      </c>
      <c r="D114" s="428">
        <v>3</v>
      </c>
      <c r="E114" s="429">
        <v>10521</v>
      </c>
      <c r="F114" s="430">
        <v>30679163317</v>
      </c>
      <c r="G114" s="436" t="str">
        <f>IFERROR(IF(compras_mes5[[#This Row],[CUIT]]="","-",VLOOKUP(compras_mes5[[#This Row],[CUIT]],Lista_CUIT[#All],2,0)),"CUIT NO CARGADO")</f>
        <v>RANKO S R L</v>
      </c>
      <c r="H114" s="431">
        <v>161610.15</v>
      </c>
      <c r="I114" s="426">
        <f>IF(compras_mes5[[#This Row],[NETO GRAVADO]]="","",compras_mes5[[#This Row],[NETO GRAVADO]]*0.21)</f>
        <v>33938.131499999996</v>
      </c>
      <c r="J114" s="426"/>
      <c r="K114" s="426"/>
      <c r="L114" s="426"/>
      <c r="M114" s="426"/>
      <c r="N114" s="426"/>
      <c r="O114" s="426"/>
      <c r="P114" s="424">
        <f>SUM(compras_mes5[[#This Row],[NETO GRAVADO]:[Otros / No Grav.]])</f>
        <v>195548.28149999998</v>
      </c>
      <c r="Q114" s="432" t="str">
        <f>IFERROR(IF(compras_mes5[[#This Row],[CUIT]]="","-",VLOOKUP(compras_mes5[[#This Row],[CUIT]],Lista_CUIT[#All],3,0)),"CUIT NO CARGADO")</f>
        <v>Mantenimiento</v>
      </c>
      <c r="R114" s="432">
        <f>IFERROR(IF(compras_mes5[[#This Row],[CUIT]]="","-",VLOOKUP(compras_mes5[[#This Row],[CUIT]],Lista_CUIT[#All],4,0)),"CUIT NO CARGADO")</f>
        <v>0</v>
      </c>
    </row>
    <row r="115" spans="2:18">
      <c r="B115" s="425">
        <v>45429</v>
      </c>
      <c r="C115" s="41">
        <v>1</v>
      </c>
      <c r="D115" s="428">
        <v>3</v>
      </c>
      <c r="E115" s="429">
        <v>10538</v>
      </c>
      <c r="F115" s="430">
        <v>30679163317</v>
      </c>
      <c r="G115" s="436" t="str">
        <f>IFERROR(IF(compras_mes5[[#This Row],[CUIT]]="","-",VLOOKUP(compras_mes5[[#This Row],[CUIT]],Lista_CUIT[#All],2,0)),"CUIT NO CARGADO")</f>
        <v>RANKO S R L</v>
      </c>
      <c r="H115" s="431">
        <v>49987.49</v>
      </c>
      <c r="I115" s="426">
        <f>IF(compras_mes5[[#This Row],[NETO GRAVADO]]="","",compras_mes5[[#This Row],[NETO GRAVADO]]*0.21)</f>
        <v>10497.372899999998</v>
      </c>
      <c r="J115" s="426"/>
      <c r="K115" s="426"/>
      <c r="L115" s="426"/>
      <c r="M115" s="426"/>
      <c r="N115" s="426"/>
      <c r="O115" s="426"/>
      <c r="P115" s="424">
        <f>SUM(compras_mes5[[#This Row],[NETO GRAVADO]:[Otros / No Grav.]])</f>
        <v>60484.862899999993</v>
      </c>
      <c r="Q115" s="432" t="str">
        <f>IFERROR(IF(compras_mes5[[#This Row],[CUIT]]="","-",VLOOKUP(compras_mes5[[#This Row],[CUIT]],Lista_CUIT[#All],3,0)),"CUIT NO CARGADO")</f>
        <v>Mantenimiento</v>
      </c>
      <c r="R115" s="432">
        <f>IFERROR(IF(compras_mes5[[#This Row],[CUIT]]="","-",VLOOKUP(compras_mes5[[#This Row],[CUIT]],Lista_CUIT[#All],4,0)),"CUIT NO CARGADO")</f>
        <v>0</v>
      </c>
    </row>
    <row r="116" spans="2:18">
      <c r="B116" s="425">
        <v>45441</v>
      </c>
      <c r="C116" s="41">
        <v>1</v>
      </c>
      <c r="D116" s="428">
        <v>3</v>
      </c>
      <c r="E116" s="429">
        <v>10582</v>
      </c>
      <c r="F116" s="430">
        <v>30679163317</v>
      </c>
      <c r="G116" s="436" t="str">
        <f>IFERROR(IF(compras_mes5[[#This Row],[CUIT]]="","-",VLOOKUP(compras_mes5[[#This Row],[CUIT]],Lista_CUIT[#All],2,0)),"CUIT NO CARGADO")</f>
        <v>RANKO S R L</v>
      </c>
      <c r="H116" s="431">
        <v>49987.49</v>
      </c>
      <c r="I116" s="426">
        <f>IF(compras_mes5[[#This Row],[NETO GRAVADO]]="","",compras_mes5[[#This Row],[NETO GRAVADO]]*0.21)</f>
        <v>10497.372899999998</v>
      </c>
      <c r="J116" s="426"/>
      <c r="K116" s="426"/>
      <c r="L116" s="426"/>
      <c r="M116" s="426"/>
      <c r="N116" s="426"/>
      <c r="O116" s="426"/>
      <c r="P116" s="424">
        <f>SUM(compras_mes5[[#This Row],[NETO GRAVADO]:[Otros / No Grav.]])</f>
        <v>60484.862899999993</v>
      </c>
      <c r="Q116" s="432" t="str">
        <f>IFERROR(IF(compras_mes5[[#This Row],[CUIT]]="","-",VLOOKUP(compras_mes5[[#This Row],[CUIT]],Lista_CUIT[#All],3,0)),"CUIT NO CARGADO")</f>
        <v>Mantenimiento</v>
      </c>
      <c r="R116" s="432">
        <f>IFERROR(IF(compras_mes5[[#This Row],[CUIT]]="","-",VLOOKUP(compras_mes5[[#This Row],[CUIT]],Lista_CUIT[#All],4,0)),"CUIT NO CARGADO")</f>
        <v>0</v>
      </c>
    </row>
    <row r="117" spans="2:18">
      <c r="B117" s="425">
        <v>45441</v>
      </c>
      <c r="C117" s="427">
        <v>1</v>
      </c>
      <c r="D117" s="428">
        <v>3</v>
      </c>
      <c r="E117" s="429">
        <v>10583</v>
      </c>
      <c r="F117" s="430">
        <v>30679163317</v>
      </c>
      <c r="G117" s="436" t="str">
        <f>IFERROR(IF(compras_mes5[[#This Row],[CUIT]]="","-",VLOOKUP(compras_mes5[[#This Row],[CUIT]],Lista_CUIT[#All],2,0)),"CUIT NO CARGADO")</f>
        <v>RANKO S R L</v>
      </c>
      <c r="H117" s="431">
        <v>27257.88</v>
      </c>
      <c r="I117" s="426">
        <f>IF(compras_mes5[[#This Row],[NETO GRAVADO]]="","",compras_mes5[[#This Row],[NETO GRAVADO]]*0.21)</f>
        <v>5724.1548000000003</v>
      </c>
      <c r="J117" s="426"/>
      <c r="K117" s="426"/>
      <c r="L117" s="426"/>
      <c r="M117" s="426"/>
      <c r="N117" s="426"/>
      <c r="O117" s="426"/>
      <c r="P117" s="424">
        <f>SUM(compras_mes5[[#This Row],[NETO GRAVADO]:[Otros / No Grav.]])</f>
        <v>32982.034800000001</v>
      </c>
      <c r="Q117" s="432" t="str">
        <f>IFERROR(IF(compras_mes5[[#This Row],[CUIT]]="","-",VLOOKUP(compras_mes5[[#This Row],[CUIT]],Lista_CUIT[#All],3,0)),"CUIT NO CARGADO")</f>
        <v>Mantenimiento</v>
      </c>
      <c r="R117" s="432">
        <f>IFERROR(IF(compras_mes5[[#This Row],[CUIT]]="","-",VLOOKUP(compras_mes5[[#This Row],[CUIT]],Lista_CUIT[#All],4,0)),"CUIT NO CARGADO")</f>
        <v>0</v>
      </c>
    </row>
    <row r="118" spans="2:18">
      <c r="B118" s="425">
        <v>45443</v>
      </c>
      <c r="C118" s="427">
        <v>1</v>
      </c>
      <c r="D118" s="428">
        <v>3</v>
      </c>
      <c r="E118" s="429">
        <v>10594</v>
      </c>
      <c r="F118" s="430">
        <v>30679163317</v>
      </c>
      <c r="G118" s="436" t="str">
        <f>IFERROR(IF(compras_mes5[[#This Row],[CUIT]]="","-",VLOOKUP(compras_mes5[[#This Row],[CUIT]],Lista_CUIT[#All],2,0)),"CUIT NO CARGADO")</f>
        <v>RANKO S R L</v>
      </c>
      <c r="H118" s="431">
        <v>24993.74</v>
      </c>
      <c r="I118" s="426">
        <f>IF(compras_mes5[[#This Row],[NETO GRAVADO]]="","",compras_mes5[[#This Row],[NETO GRAVADO]]*0.21)</f>
        <v>5248.6854000000003</v>
      </c>
      <c r="J118" s="426"/>
      <c r="K118" s="426"/>
      <c r="L118" s="426"/>
      <c r="M118" s="426"/>
      <c r="N118" s="426"/>
      <c r="O118" s="426"/>
      <c r="P118" s="424">
        <f>SUM(compras_mes5[[#This Row],[NETO GRAVADO]:[Otros / No Grav.]])</f>
        <v>30242.4254</v>
      </c>
      <c r="Q118" s="432" t="str">
        <f>IFERROR(IF(compras_mes5[[#This Row],[CUIT]]="","-",VLOOKUP(compras_mes5[[#This Row],[CUIT]],Lista_CUIT[#All],3,0)),"CUIT NO CARGADO")</f>
        <v>Mantenimiento</v>
      </c>
      <c r="R118" s="432">
        <f>IFERROR(IF(compras_mes5[[#This Row],[CUIT]]="","-",VLOOKUP(compras_mes5[[#This Row],[CUIT]],Lista_CUIT[#All],4,0)),"CUIT NO CARGADO")</f>
        <v>0</v>
      </c>
    </row>
    <row r="119" spans="2:18">
      <c r="B119" s="425">
        <v>45443</v>
      </c>
      <c r="C119" s="427">
        <v>1</v>
      </c>
      <c r="D119" s="428">
        <v>12</v>
      </c>
      <c r="E119" s="429">
        <v>13168</v>
      </c>
      <c r="F119" s="430">
        <v>30694497701</v>
      </c>
      <c r="G119" s="436" t="str">
        <f>IFERROR(IF(compras_mes5[[#This Row],[CUIT]]="","-",VLOOKUP(compras_mes5[[#This Row],[CUIT]],Lista_CUIT[#All],2,0)),"CUIT NO CARGADO")</f>
        <v>DECOR ALUM SRL</v>
      </c>
      <c r="H119" s="431">
        <v>14064.78</v>
      </c>
      <c r="I119" s="426">
        <f>IF(compras_mes5[[#This Row],[NETO GRAVADO]]="","",compras_mes5[[#This Row],[NETO GRAVADO]]*0.21)</f>
        <v>2953.6037999999999</v>
      </c>
      <c r="J119" s="426"/>
      <c r="K119" s="426"/>
      <c r="L119" s="426"/>
      <c r="M119" s="426"/>
      <c r="N119" s="426">
        <v>843.89</v>
      </c>
      <c r="O119" s="426"/>
      <c r="P119" s="424">
        <f>SUM(compras_mes5[[#This Row],[NETO GRAVADO]:[Otros / No Grav.]])</f>
        <v>17862.273799999999</v>
      </c>
      <c r="Q119" s="432" t="str">
        <f>IFERROR(IF(compras_mes5[[#This Row],[CUIT]]="","-",VLOOKUP(compras_mes5[[#This Row],[CUIT]],Lista_CUIT[#All],3,0)),"CUIT NO CARGADO")</f>
        <v>MANTENIMIENTO</v>
      </c>
      <c r="R119" s="432">
        <f>IFERROR(IF(compras_mes5[[#This Row],[CUIT]]="","-",VLOOKUP(compras_mes5[[#This Row],[CUIT]],Lista_CUIT[#All],4,0)),"CUIT NO CARGADO")</f>
        <v>0</v>
      </c>
    </row>
    <row r="120" spans="2:18">
      <c r="B120" s="425">
        <v>45443</v>
      </c>
      <c r="C120" s="41">
        <v>1</v>
      </c>
      <c r="D120" s="428">
        <v>1000</v>
      </c>
      <c r="E120" s="429">
        <v>184239</v>
      </c>
      <c r="F120" s="430">
        <v>30715123483</v>
      </c>
      <c r="G120" s="436" t="str">
        <f>IFERROR(IF(compras_mes5[[#This Row],[CUIT]]="","-",VLOOKUP(compras_mes5[[#This Row],[CUIT]],Lista_CUIT[#All],2,0)),"CUIT NO CARGADO")</f>
        <v>ITPROUSER S.A.</v>
      </c>
      <c r="H120" s="431">
        <v>277623.31</v>
      </c>
      <c r="I120" s="426">
        <f>IF(compras_mes5[[#This Row],[NETO GRAVADO]]="","",compras_mes5[[#This Row],[NETO GRAVADO]]*0.21)</f>
        <v>58300.895099999994</v>
      </c>
      <c r="J120" s="426"/>
      <c r="K120" s="426"/>
      <c r="L120" s="426"/>
      <c r="M120" s="426"/>
      <c r="N120" s="426">
        <v>16657.400000000001</v>
      </c>
      <c r="O120" s="426"/>
      <c r="P120" s="424">
        <f>SUM(compras_mes5[[#This Row],[NETO GRAVADO]:[Otros / No Grav.]])</f>
        <v>352581.60510000004</v>
      </c>
      <c r="Q120" s="432" t="str">
        <f>IFERROR(IF(compras_mes5[[#This Row],[CUIT]]="","-",VLOOKUP(compras_mes5[[#This Row],[CUIT]],Lista_CUIT[#All],3,0)),"CUIT NO CARGADO")</f>
        <v>MANTENIMIENTO</v>
      </c>
      <c r="R120" s="432">
        <f>IFERROR(IF(compras_mes5[[#This Row],[CUIT]]="","-",VLOOKUP(compras_mes5[[#This Row],[CUIT]],Lista_CUIT[#All],4,0)),"CUIT NO CARGADO")</f>
        <v>0</v>
      </c>
    </row>
    <row r="121" spans="2:18">
      <c r="B121" s="468">
        <v>45414</v>
      </c>
      <c r="C121" s="467">
        <v>1</v>
      </c>
      <c r="D121" s="460">
        <v>32</v>
      </c>
      <c r="E121" s="461">
        <v>2337</v>
      </c>
      <c r="F121" s="462">
        <v>30696106068</v>
      </c>
      <c r="G121" s="463" t="str">
        <f>IFERROR(IF(compras_mes5[[#This Row],[CUIT]]="","-",VLOOKUP(compras_mes5[[#This Row],[CUIT]],Lista_CUIT[#All],2,0)),"CUIT NO CARGADO")</f>
        <v>PINTURERIAS LIBERATO SRL</v>
      </c>
      <c r="H121" s="464">
        <v>35036</v>
      </c>
      <c r="I121" s="465">
        <f>IF(compras_mes5[[#This Row],[NETO GRAVADO]]="","",compras_mes5[[#This Row],[NETO GRAVADO]]*0.21)</f>
        <v>7357.5599999999995</v>
      </c>
      <c r="J121" s="465"/>
      <c r="K121" s="465"/>
      <c r="L121" s="465"/>
      <c r="M121" s="465"/>
      <c r="N121" s="465"/>
      <c r="O121" s="465"/>
      <c r="P121" s="455">
        <f>SUM(compras_mes5[[#This Row],[NETO GRAVADO]:[Otros / No Grav.]])</f>
        <v>42393.56</v>
      </c>
      <c r="Q121" s="466" t="str">
        <f>IFERROR(IF(compras_mes5[[#This Row],[CUIT]]="","-",VLOOKUP(compras_mes5[[#This Row],[CUIT]],Lista_CUIT[#All],3,0)),"CUIT NO CARGADO")</f>
        <v>Mantenimiento Locales</v>
      </c>
      <c r="R121" s="466">
        <f>IFERROR(IF(compras_mes5[[#This Row],[CUIT]]="","-",VLOOKUP(compras_mes5[[#This Row],[CUIT]],Lista_CUIT[#All],4,0)),"CUIT NO CARGADO")</f>
        <v>0</v>
      </c>
    </row>
    <row r="122" spans="2:18">
      <c r="B122" s="425">
        <v>45422</v>
      </c>
      <c r="C122" s="427">
        <v>1</v>
      </c>
      <c r="D122" s="428">
        <v>19</v>
      </c>
      <c r="E122" s="429">
        <v>52228</v>
      </c>
      <c r="F122" s="430">
        <v>30640451331</v>
      </c>
      <c r="G122" s="436" t="str">
        <f>IFERROR(IF(compras_mes5[[#This Row],[CUIT]]="","-",VLOOKUP(compras_mes5[[#This Row],[CUIT]],Lista_CUIT[#All],2,0)),"CUIT NO CARGADO")</f>
        <v>CORDOBA MOTOS S.R.L.</v>
      </c>
      <c r="H122" s="431">
        <v>15197.51</v>
      </c>
      <c r="I122" s="426">
        <f>IF(compras_mes5[[#This Row],[NETO GRAVADO]]="","",compras_mes5[[#This Row],[NETO GRAVADO]]*0.21)</f>
        <v>3191.4771000000001</v>
      </c>
      <c r="J122" s="426"/>
      <c r="K122" s="426"/>
      <c r="L122" s="426"/>
      <c r="M122" s="426"/>
      <c r="N122" s="426"/>
      <c r="O122" s="426"/>
      <c r="P122" s="424">
        <f>SUM(compras_mes5[[#This Row],[NETO GRAVADO]:[Otros / No Grav.]])</f>
        <v>18388.987099999998</v>
      </c>
      <c r="Q122" s="432" t="str">
        <f>IFERROR(IF(compras_mes5[[#This Row],[CUIT]]="","-",VLOOKUP(compras_mes5[[#This Row],[CUIT]],Lista_CUIT[#All],3,0)),"CUIT NO CARGADO")</f>
        <v>Mantenimiento Rodado</v>
      </c>
      <c r="R122" s="432">
        <f>IFERROR(IF(compras_mes5[[#This Row],[CUIT]]="","-",VLOOKUP(compras_mes5[[#This Row],[CUIT]],Lista_CUIT[#All],4,0)),"CUIT NO CARGADO")</f>
        <v>0</v>
      </c>
    </row>
    <row r="123" spans="2:18">
      <c r="B123" s="425">
        <v>45425</v>
      </c>
      <c r="C123" s="41">
        <v>1</v>
      </c>
      <c r="D123" s="428">
        <v>7</v>
      </c>
      <c r="E123" s="429">
        <v>32797</v>
      </c>
      <c r="F123" s="430">
        <v>20372347296</v>
      </c>
      <c r="G123" s="436" t="str">
        <f>IFERROR(IF(compras_mes5[[#This Row],[CUIT]]="","-",VLOOKUP(compras_mes5[[#This Row],[CUIT]],Lista_CUIT[#All],2,0)),"CUIT NO CARGADO")</f>
        <v>GHERTNER SEBASTIAN</v>
      </c>
      <c r="H123" s="431">
        <v>398189.14</v>
      </c>
      <c r="I123" s="426"/>
      <c r="J123" s="426"/>
      <c r="K123" s="426">
        <f>compras_mes5[[#This Row],[NETO GRAVADO]]*0.105</f>
        <v>41809.859700000001</v>
      </c>
      <c r="L123" s="426"/>
      <c r="M123" s="426"/>
      <c r="N123" s="426">
        <v>23891.35</v>
      </c>
      <c r="O123" s="426"/>
      <c r="P123" s="424">
        <f>SUM(compras_mes5[[#This Row],[NETO GRAVADO]:[Otros / No Grav.]])</f>
        <v>463890.34970000002</v>
      </c>
      <c r="Q123" s="432" t="str">
        <f>IFERROR(IF(compras_mes5[[#This Row],[CUIT]]="","-",VLOOKUP(compras_mes5[[#This Row],[CUIT]],Lista_CUIT[#All],3,0)),"CUIT NO CARGADO")</f>
        <v>Mantenimiento Rodado</v>
      </c>
      <c r="R123" s="432">
        <f>IFERROR(IF(compras_mes5[[#This Row],[CUIT]]="","-",VLOOKUP(compras_mes5[[#This Row],[CUIT]],Lista_CUIT[#All],4,0)),"CUIT NO CARGADO")</f>
        <v>0</v>
      </c>
    </row>
    <row r="124" spans="2:18">
      <c r="B124" s="425">
        <v>45415</v>
      </c>
      <c r="C124" s="427">
        <v>1</v>
      </c>
      <c r="D124" s="428">
        <v>5</v>
      </c>
      <c r="E124" s="429">
        <v>23184</v>
      </c>
      <c r="F124" s="430">
        <v>30708041722</v>
      </c>
      <c r="G124" s="436" t="str">
        <f>IFERROR(IF(compras_mes5[[#This Row],[CUIT]]="","-",VLOOKUP(compras_mes5[[#This Row],[CUIT]],Lista_CUIT[#All],2,0)),"CUIT NO CARGADO")</f>
        <v>QUETZAL QUIMICA S R L</v>
      </c>
      <c r="H124" s="431">
        <v>592020</v>
      </c>
      <c r="I124" s="426">
        <f>IF(compras_mes5[[#This Row],[NETO GRAVADO]]="","",compras_mes5[[#This Row],[NETO GRAVADO]]*0.21)</f>
        <v>124324.2</v>
      </c>
      <c r="J124" s="426"/>
      <c r="K124" s="426"/>
      <c r="L124" s="426"/>
      <c r="M124" s="426"/>
      <c r="N124" s="426"/>
      <c r="O124" s="426"/>
      <c r="P124" s="424">
        <f>SUM(compras_mes5[[#This Row],[NETO GRAVADO]:[Otros / No Grav.]])</f>
        <v>716344.2</v>
      </c>
      <c r="Q124" s="432" t="str">
        <f>IFERROR(IF(compras_mes5[[#This Row],[CUIT]]="","-",VLOOKUP(compras_mes5[[#This Row],[CUIT]],Lista_CUIT[#All],3,0)),"CUIT NO CARGADO")</f>
        <v>Materia Prima</v>
      </c>
      <c r="R124" s="432">
        <f>IFERROR(IF(compras_mes5[[#This Row],[CUIT]]="","-",VLOOKUP(compras_mes5[[#This Row],[CUIT]],Lista_CUIT[#All],4,0)),"CUIT NO CARGADO")</f>
        <v>0</v>
      </c>
    </row>
    <row r="125" spans="2:18">
      <c r="B125" s="425">
        <v>45419</v>
      </c>
      <c r="C125" s="427">
        <v>1</v>
      </c>
      <c r="D125" s="428">
        <v>4</v>
      </c>
      <c r="E125" s="429">
        <v>46025</v>
      </c>
      <c r="F125" s="430">
        <v>30709863076</v>
      </c>
      <c r="G125" s="436" t="str">
        <f>IFERROR(IF(compras_mes5[[#This Row],[CUIT]]="","-",VLOOKUP(compras_mes5[[#This Row],[CUIT]],Lista_CUIT[#All],2,0)),"CUIT NO CARGADO")</f>
        <v>INDUSTRIAS PLASTICOS SALTA S.R.L.</v>
      </c>
      <c r="H125" s="431">
        <v>336694.22</v>
      </c>
      <c r="I125" s="426">
        <f>IF(compras_mes5[[#This Row],[NETO GRAVADO]]="","",compras_mes5[[#This Row],[NETO GRAVADO]]*0.21)</f>
        <v>70705.786199999988</v>
      </c>
      <c r="J125" s="426"/>
      <c r="K125" s="426"/>
      <c r="L125" s="426"/>
      <c r="M125" s="426"/>
      <c r="N125" s="426"/>
      <c r="O125" s="426"/>
      <c r="P125" s="424">
        <f>SUM(compras_mes5[[#This Row],[NETO GRAVADO]:[Otros / No Grav.]])</f>
        <v>407400.00619999995</v>
      </c>
      <c r="Q125" s="432" t="str">
        <f>IFERROR(IF(compras_mes5[[#This Row],[CUIT]]="","-",VLOOKUP(compras_mes5[[#This Row],[CUIT]],Lista_CUIT[#All],3,0)),"CUIT NO CARGADO")</f>
        <v>Materia Prima</v>
      </c>
      <c r="R125" s="432">
        <f>IFERROR(IF(compras_mes5[[#This Row],[CUIT]]="","-",VLOOKUP(compras_mes5[[#This Row],[CUIT]],Lista_CUIT[#All],4,0)),"CUIT NO CARGADO")</f>
        <v>0</v>
      </c>
    </row>
    <row r="126" spans="2:18">
      <c r="B126" s="425">
        <v>45420</v>
      </c>
      <c r="C126" s="427">
        <v>1</v>
      </c>
      <c r="D126" s="428">
        <v>4</v>
      </c>
      <c r="E126" s="429">
        <v>47</v>
      </c>
      <c r="F126" s="430">
        <v>20308004865</v>
      </c>
      <c r="G126" s="436" t="str">
        <f>IFERROR(IF(compras_mes5[[#This Row],[CUIT]]="","-",VLOOKUP(compras_mes5[[#This Row],[CUIT]],Lista_CUIT[#All],2,0)),"CUIT NO CARGADO")</f>
        <v>VEGA GUSTAVO RAUL</v>
      </c>
      <c r="H126" s="431">
        <v>1090950</v>
      </c>
      <c r="I126" s="426">
        <f>IF(compras_mes5[[#This Row],[NETO GRAVADO]]="","",compras_mes5[[#This Row],[NETO GRAVADO]]*0.21)</f>
        <v>229099.5</v>
      </c>
      <c r="J126" s="426"/>
      <c r="K126" s="426"/>
      <c r="L126" s="426"/>
      <c r="M126" s="426"/>
      <c r="N126" s="426"/>
      <c r="O126" s="426"/>
      <c r="P126" s="424">
        <f>SUM(compras_mes5[[#This Row],[NETO GRAVADO]:[Otros / No Grav.]])</f>
        <v>1320049.5</v>
      </c>
      <c r="Q126" s="432" t="str">
        <f>IFERROR(IF(compras_mes5[[#This Row],[CUIT]]="","-",VLOOKUP(compras_mes5[[#This Row],[CUIT]],Lista_CUIT[#All],3,0)),"CUIT NO CARGADO")</f>
        <v>Materia Prima</v>
      </c>
      <c r="R126" s="432">
        <f>IFERROR(IF(compras_mes5[[#This Row],[CUIT]]="","-",VLOOKUP(compras_mes5[[#This Row],[CUIT]],Lista_CUIT[#All],4,0)),"CUIT NO CARGADO")</f>
        <v>0</v>
      </c>
    </row>
    <row r="127" spans="2:18">
      <c r="B127" s="425">
        <v>45421</v>
      </c>
      <c r="C127" s="427">
        <v>1</v>
      </c>
      <c r="D127" s="428">
        <v>3</v>
      </c>
      <c r="E127" s="429">
        <v>27033</v>
      </c>
      <c r="F127" s="430">
        <v>30578456909</v>
      </c>
      <c r="G127" s="436" t="str">
        <f>IFERROR(IF(compras_mes5[[#This Row],[CUIT]]="","-",VLOOKUP(compras_mes5[[#This Row],[CUIT]],Lista_CUIT[#All],2,0)),"CUIT NO CARGADO")</f>
        <v>SERVIFER SOCIEDAD ANONIMA</v>
      </c>
      <c r="H127" s="431">
        <v>242809.93</v>
      </c>
      <c r="I127" s="426">
        <f>IF(compras_mes5[[#This Row],[NETO GRAVADO]]="","",compras_mes5[[#This Row],[NETO GRAVADO]]*0.21)</f>
        <v>50990.085299999999</v>
      </c>
      <c r="J127" s="426"/>
      <c r="K127" s="426"/>
      <c r="L127" s="426"/>
      <c r="M127" s="426"/>
      <c r="N127" s="426"/>
      <c r="O127" s="426"/>
      <c r="P127" s="424">
        <f>SUM(compras_mes5[[#This Row],[NETO GRAVADO]:[Otros / No Grav.]])</f>
        <v>293800.01529999997</v>
      </c>
      <c r="Q127" s="432" t="str">
        <f>IFERROR(IF(compras_mes5[[#This Row],[CUIT]]="","-",VLOOKUP(compras_mes5[[#This Row],[CUIT]],Lista_CUIT[#All],3,0)),"CUIT NO CARGADO")</f>
        <v>Materia Prima</v>
      </c>
      <c r="R127" s="432">
        <f>IFERROR(IF(compras_mes5[[#This Row],[CUIT]]="","-",VLOOKUP(compras_mes5[[#This Row],[CUIT]],Lista_CUIT[#All],4,0)),"CUIT NO CARGADO")</f>
        <v>0</v>
      </c>
    </row>
    <row r="128" spans="2:18">
      <c r="B128" s="425">
        <v>45422</v>
      </c>
      <c r="C128" s="427">
        <v>1</v>
      </c>
      <c r="D128" s="428">
        <v>11</v>
      </c>
      <c r="E128" s="429">
        <v>4507</v>
      </c>
      <c r="F128" s="430">
        <v>33689726009</v>
      </c>
      <c r="G128" s="436" t="str">
        <f>IFERROR(IF(compras_mes5[[#This Row],[CUIT]]="","-",VLOOKUP(compras_mes5[[#This Row],[CUIT]],Lista_CUIT[#All],2,0)),"CUIT NO CARGADO")</f>
        <v>INSUMA SUR SA</v>
      </c>
      <c r="H128" s="431">
        <v>198475.57</v>
      </c>
      <c r="I128" s="426">
        <f>IF(compras_mes5[[#This Row],[NETO GRAVADO]]="","",compras_mes5[[#This Row],[NETO GRAVADO]]*0.21)</f>
        <v>41679.869700000003</v>
      </c>
      <c r="J128" s="426"/>
      <c r="K128" s="426"/>
      <c r="L128" s="426"/>
      <c r="M128" s="426"/>
      <c r="N128" s="426">
        <v>11908.53</v>
      </c>
      <c r="O128" s="426"/>
      <c r="P128" s="424">
        <f>SUM(compras_mes5[[#This Row],[NETO GRAVADO]:[Otros / No Grav.]])</f>
        <v>252063.96970000002</v>
      </c>
      <c r="Q128" s="432" t="str">
        <f>IFERROR(IF(compras_mes5[[#This Row],[CUIT]]="","-",VLOOKUP(compras_mes5[[#This Row],[CUIT]],Lista_CUIT[#All],3,0)),"CUIT NO CARGADO")</f>
        <v>Materia Prima</v>
      </c>
      <c r="R128" s="432">
        <f>IFERROR(IF(compras_mes5[[#This Row],[CUIT]]="","-",VLOOKUP(compras_mes5[[#This Row],[CUIT]],Lista_CUIT[#All],4,0)),"CUIT NO CARGADO")</f>
        <v>0</v>
      </c>
    </row>
    <row r="129" spans="2:18" s="56" customFormat="1" ht="18.600000000000001" customHeight="1">
      <c r="B129" s="425">
        <v>45426</v>
      </c>
      <c r="C129" s="41">
        <v>1</v>
      </c>
      <c r="D129" s="428">
        <v>5</v>
      </c>
      <c r="E129" s="429">
        <v>23252</v>
      </c>
      <c r="F129" s="430">
        <v>30708041722</v>
      </c>
      <c r="G129" s="436" t="str">
        <f>IFERROR(IF(compras_mes5[[#This Row],[CUIT]]="","-",VLOOKUP(compras_mes5[[#This Row],[CUIT]],Lista_CUIT[#All],2,0)),"CUIT NO CARGADO")</f>
        <v>QUETZAL QUIMICA S R L</v>
      </c>
      <c r="H129" s="431">
        <v>594990</v>
      </c>
      <c r="I129" s="426">
        <f>IF(compras_mes5[[#This Row],[NETO GRAVADO]]="","",compras_mes5[[#This Row],[NETO GRAVADO]]*0.21)</f>
        <v>124947.9</v>
      </c>
      <c r="J129" s="426"/>
      <c r="K129" s="426"/>
      <c r="L129" s="426"/>
      <c r="M129" s="426"/>
      <c r="N129" s="426"/>
      <c r="O129" s="426"/>
      <c r="P129" s="424">
        <f>SUM(compras_mes5[[#This Row],[NETO GRAVADO]:[Otros / No Grav.]])</f>
        <v>719937.9</v>
      </c>
      <c r="Q129" s="432" t="str">
        <f>IFERROR(IF(compras_mes5[[#This Row],[CUIT]]="","-",VLOOKUP(compras_mes5[[#This Row],[CUIT]],Lista_CUIT[#All],3,0)),"CUIT NO CARGADO")</f>
        <v>Materia Prima</v>
      </c>
      <c r="R129" s="432">
        <f>IFERROR(IF(compras_mes5[[#This Row],[CUIT]]="","-",VLOOKUP(compras_mes5[[#This Row],[CUIT]],Lista_CUIT[#All],4,0)),"CUIT NO CARGADO")</f>
        <v>0</v>
      </c>
    </row>
    <row r="130" spans="2:18" s="56" customFormat="1" ht="18.600000000000001" customHeight="1">
      <c r="B130" s="425">
        <v>45426</v>
      </c>
      <c r="C130" s="427">
        <v>1</v>
      </c>
      <c r="D130" s="428">
        <v>6</v>
      </c>
      <c r="E130" s="429">
        <v>24945</v>
      </c>
      <c r="F130" s="430">
        <v>33640878679</v>
      </c>
      <c r="G130" s="436" t="str">
        <f>IFERROR(IF(compras_mes5[[#This Row],[CUIT]]="","-",VLOOKUP(compras_mes5[[#This Row],[CUIT]],Lista_CUIT[#All],2,0)),"CUIT NO CARGADO")</f>
        <v>DHACAM S R L</v>
      </c>
      <c r="H130" s="431">
        <v>481500</v>
      </c>
      <c r="I130" s="426">
        <f>IF(compras_mes5[[#This Row],[NETO GRAVADO]]="","",compras_mes5[[#This Row],[NETO GRAVADO]]*0.21)</f>
        <v>101115</v>
      </c>
      <c r="J130" s="426"/>
      <c r="K130" s="426"/>
      <c r="L130" s="426"/>
      <c r="M130" s="426"/>
      <c r="N130" s="426"/>
      <c r="O130" s="426"/>
      <c r="P130" s="424">
        <f>SUM(compras_mes5[[#This Row],[NETO GRAVADO]:[Otros / No Grav.]])</f>
        <v>582615</v>
      </c>
      <c r="Q130" s="432" t="str">
        <f>IFERROR(IF(compras_mes5[[#This Row],[CUIT]]="","-",VLOOKUP(compras_mes5[[#This Row],[CUIT]],Lista_CUIT[#All],3,0)),"CUIT NO CARGADO")</f>
        <v>Materia Prima</v>
      </c>
      <c r="R130" s="432">
        <f>IFERROR(IF(compras_mes5[[#This Row],[CUIT]]="","-",VLOOKUP(compras_mes5[[#This Row],[CUIT]],Lista_CUIT[#All],4,0)),"CUIT NO CARGADO")</f>
        <v>0</v>
      </c>
    </row>
    <row r="131" spans="2:18" s="56" customFormat="1" ht="18.600000000000001" customHeight="1">
      <c r="B131" s="425">
        <v>45427</v>
      </c>
      <c r="C131" s="427">
        <v>1</v>
      </c>
      <c r="D131" s="428">
        <v>4</v>
      </c>
      <c r="E131" s="429">
        <v>46119</v>
      </c>
      <c r="F131" s="430">
        <v>30709863076</v>
      </c>
      <c r="G131" s="436" t="str">
        <f>IFERROR(IF(compras_mes5[[#This Row],[CUIT]]="","-",VLOOKUP(compras_mes5[[#This Row],[CUIT]],Lista_CUIT[#All],2,0)),"CUIT NO CARGADO")</f>
        <v>INDUSTRIAS PLASTICOS SALTA S.R.L.</v>
      </c>
      <c r="H131" s="431">
        <v>1254240</v>
      </c>
      <c r="I131" s="426">
        <f>IF(compras_mes5[[#This Row],[NETO GRAVADO]]="","",compras_mes5[[#This Row],[NETO GRAVADO]]*0.21)</f>
        <v>263390.39999999997</v>
      </c>
      <c r="J131" s="426"/>
      <c r="K131" s="426"/>
      <c r="L131" s="426"/>
      <c r="M131" s="426"/>
      <c r="N131" s="426"/>
      <c r="O131" s="426"/>
      <c r="P131" s="424">
        <f>SUM(compras_mes5[[#This Row],[NETO GRAVADO]:[Otros / No Grav.]])</f>
        <v>1517630.4</v>
      </c>
      <c r="Q131" s="432" t="str">
        <f>IFERROR(IF(compras_mes5[[#This Row],[CUIT]]="","-",VLOOKUP(compras_mes5[[#This Row],[CUIT]],Lista_CUIT[#All],3,0)),"CUIT NO CARGADO")</f>
        <v>Materia Prima</v>
      </c>
      <c r="R131" s="432">
        <f>IFERROR(IF(compras_mes5[[#This Row],[CUIT]]="","-",VLOOKUP(compras_mes5[[#This Row],[CUIT]],Lista_CUIT[#All],4,0)),"CUIT NO CARGADO")</f>
        <v>0</v>
      </c>
    </row>
    <row r="132" spans="2:18" s="56" customFormat="1" ht="18.600000000000001" customHeight="1">
      <c r="B132" s="425">
        <v>45433</v>
      </c>
      <c r="C132" s="41">
        <v>1</v>
      </c>
      <c r="D132" s="428">
        <v>60</v>
      </c>
      <c r="E132" s="429">
        <v>62809</v>
      </c>
      <c r="F132" s="430">
        <v>30517345039</v>
      </c>
      <c r="G132" s="436" t="str">
        <f>IFERROR(IF(compras_mes5[[#This Row],[CUIT]]="","-",VLOOKUP(compras_mes5[[#This Row],[CUIT]],Lista_CUIT[#All],2,0)),"CUIT NO CARGADO")</f>
        <v>QUIMICA OESTE S.A.</v>
      </c>
      <c r="H132" s="431">
        <v>257925</v>
      </c>
      <c r="I132" s="426">
        <f>IF(compras_mes5[[#This Row],[NETO GRAVADO]]="","",compras_mes5[[#This Row],[NETO GRAVADO]]*0.21)</f>
        <v>54164.25</v>
      </c>
      <c r="J132" s="426"/>
      <c r="K132" s="426"/>
      <c r="L132" s="426"/>
      <c r="M132" s="426"/>
      <c r="N132" s="426">
        <v>15475.5</v>
      </c>
      <c r="O132" s="426"/>
      <c r="P132" s="424">
        <f>SUM(compras_mes5[[#This Row],[NETO GRAVADO]:[Otros / No Grav.]])</f>
        <v>327564.75</v>
      </c>
      <c r="Q132" s="432" t="str">
        <f>IFERROR(IF(compras_mes5[[#This Row],[CUIT]]="","-",VLOOKUP(compras_mes5[[#This Row],[CUIT]],Lista_CUIT[#All],3,0)),"CUIT NO CARGADO")</f>
        <v>Materia Prima</v>
      </c>
      <c r="R132" s="432">
        <f>IFERROR(IF(compras_mes5[[#This Row],[CUIT]]="","-",VLOOKUP(compras_mes5[[#This Row],[CUIT]],Lista_CUIT[#All],4,0)),"CUIT NO CARGADO")</f>
        <v>0</v>
      </c>
    </row>
    <row r="133" spans="2:18" s="56" customFormat="1" ht="18.600000000000001" customHeight="1">
      <c r="B133" s="425">
        <v>45436</v>
      </c>
      <c r="C133" s="427">
        <v>1</v>
      </c>
      <c r="D133" s="428">
        <v>6</v>
      </c>
      <c r="E133" s="429">
        <v>24997</v>
      </c>
      <c r="F133" s="430">
        <v>33640878679</v>
      </c>
      <c r="G133" s="436" t="str">
        <f>IFERROR(IF(compras_mes5[[#This Row],[CUIT]]="","-",VLOOKUP(compras_mes5[[#This Row],[CUIT]],Lista_CUIT[#All],2,0)),"CUIT NO CARGADO")</f>
        <v>DHACAM S R L</v>
      </c>
      <c r="H133" s="431">
        <v>321000</v>
      </c>
      <c r="I133" s="426">
        <f>IF(compras_mes5[[#This Row],[NETO GRAVADO]]="","",compras_mes5[[#This Row],[NETO GRAVADO]]*0.21)</f>
        <v>67410</v>
      </c>
      <c r="J133" s="426"/>
      <c r="K133" s="426"/>
      <c r="L133" s="426"/>
      <c r="M133" s="426"/>
      <c r="N133" s="426"/>
      <c r="O133" s="426"/>
      <c r="P133" s="424">
        <f>SUM(compras_mes5[[#This Row],[NETO GRAVADO]:[Otros / No Grav.]])</f>
        <v>388410</v>
      </c>
      <c r="Q133" s="432" t="str">
        <f>IFERROR(IF(compras_mes5[[#This Row],[CUIT]]="","-",VLOOKUP(compras_mes5[[#This Row],[CUIT]],Lista_CUIT[#All],3,0)),"CUIT NO CARGADO")</f>
        <v>Materia Prima</v>
      </c>
      <c r="R133" s="432">
        <f>IFERROR(IF(compras_mes5[[#This Row],[CUIT]]="","-",VLOOKUP(compras_mes5[[#This Row],[CUIT]],Lista_CUIT[#All],4,0)),"CUIT NO CARGADO")</f>
        <v>0</v>
      </c>
    </row>
    <row r="134" spans="2:18" s="56" customFormat="1" ht="18.600000000000001" customHeight="1">
      <c r="B134" s="425">
        <v>45436</v>
      </c>
      <c r="C134" s="427">
        <v>1</v>
      </c>
      <c r="D134" s="428">
        <v>1</v>
      </c>
      <c r="E134" s="429">
        <v>31142</v>
      </c>
      <c r="F134" s="430">
        <v>30715459368</v>
      </c>
      <c r="G134" s="436" t="str">
        <f>IFERROR(IF(compras_mes5[[#This Row],[CUIT]]="","-",VLOOKUP(compras_mes5[[#This Row],[CUIT]],Lista_CUIT[#All],2,0)),"CUIT NO CARGADO")</f>
        <v>XTR SRL</v>
      </c>
      <c r="H134" s="431">
        <v>23081.82</v>
      </c>
      <c r="I134" s="426">
        <f>IF(compras_mes5[[#This Row],[NETO GRAVADO]]="","",compras_mes5[[#This Row],[NETO GRAVADO]]*0.21)</f>
        <v>4847.1822000000002</v>
      </c>
      <c r="J134" s="426"/>
      <c r="K134" s="426"/>
      <c r="L134" s="426"/>
      <c r="M134" s="426"/>
      <c r="N134" s="426"/>
      <c r="O134" s="426"/>
      <c r="P134" s="424">
        <f>SUM(compras_mes5[[#This Row],[NETO GRAVADO]:[Otros / No Grav.]])</f>
        <v>27929.002199999999</v>
      </c>
      <c r="Q134" s="432" t="str">
        <f>IFERROR(IF(compras_mes5[[#This Row],[CUIT]]="","-",VLOOKUP(compras_mes5[[#This Row],[CUIT]],Lista_CUIT[#All],3,0)),"CUIT NO CARGADO")</f>
        <v>Materia Prima</v>
      </c>
      <c r="R134" s="432">
        <f>IFERROR(IF(compras_mes5[[#This Row],[CUIT]]="","-",VLOOKUP(compras_mes5[[#This Row],[CUIT]],Lista_CUIT[#All],4,0)),"CUIT NO CARGADO")</f>
        <v>0</v>
      </c>
    </row>
    <row r="135" spans="2:18" s="56" customFormat="1" ht="18.600000000000001" customHeight="1">
      <c r="B135" s="425">
        <v>45439</v>
      </c>
      <c r="C135" s="427">
        <v>1</v>
      </c>
      <c r="D135" s="428">
        <v>11</v>
      </c>
      <c r="E135" s="429">
        <v>78648</v>
      </c>
      <c r="F135" s="430">
        <v>30534051049</v>
      </c>
      <c r="G135" s="436" t="str">
        <f>IFERROR(IF(compras_mes5[[#This Row],[CUIT]]="","-",VLOOKUP(compras_mes5[[#This Row],[CUIT]],Lista_CUIT[#All],2,0)),"CUIT NO CARGADO")</f>
        <v>PLIN METAL S A</v>
      </c>
      <c r="H135" s="431">
        <v>1431.72</v>
      </c>
      <c r="I135" s="426"/>
      <c r="J135" s="426"/>
      <c r="K135" s="426">
        <f>compras_mes5[[#This Row],[NETO GRAVADO]]*0.105</f>
        <v>150.3306</v>
      </c>
      <c r="L135" s="426"/>
      <c r="M135" s="426"/>
      <c r="N135" s="426"/>
      <c r="O135" s="426"/>
      <c r="P135" s="424">
        <f>SUM(compras_mes5[[#This Row],[NETO GRAVADO]:[Otros / No Grav.]])</f>
        <v>1582.0506</v>
      </c>
      <c r="Q135" s="432" t="str">
        <f>IFERROR(IF(compras_mes5[[#This Row],[CUIT]]="","-",VLOOKUP(compras_mes5[[#This Row],[CUIT]],Lista_CUIT[#All],3,0)),"CUIT NO CARGADO")</f>
        <v>Materia Prima</v>
      </c>
      <c r="R135" s="432">
        <f>IFERROR(IF(compras_mes5[[#This Row],[CUIT]]="","-",VLOOKUP(compras_mes5[[#This Row],[CUIT]],Lista_CUIT[#All],4,0)),"CUIT NO CARGADO")</f>
        <v>0</v>
      </c>
    </row>
    <row r="136" spans="2:18" s="56" customFormat="1" ht="18.600000000000001" customHeight="1">
      <c r="B136" s="425">
        <v>45441</v>
      </c>
      <c r="C136" s="427">
        <v>1</v>
      </c>
      <c r="D136" s="428">
        <v>9</v>
      </c>
      <c r="E136" s="429">
        <v>5386</v>
      </c>
      <c r="F136" s="430">
        <v>30714863815</v>
      </c>
      <c r="G136" s="436" t="str">
        <f>IFERROR(IF(compras_mes5[[#This Row],[CUIT]]="","-",VLOOKUP(compras_mes5[[#This Row],[CUIT]],Lista_CUIT[#All],2,0)),"CUIT NO CARGADO")</f>
        <v>QUANTUM QUIMICA S.R.L.</v>
      </c>
      <c r="H136" s="431">
        <v>932237.5</v>
      </c>
      <c r="I136" s="426">
        <f>IF(compras_mes5[[#This Row],[NETO GRAVADO]]="","",compras_mes5[[#This Row],[NETO GRAVADO]]*0.21)</f>
        <v>195769.875</v>
      </c>
      <c r="J136" s="426"/>
      <c r="K136" s="426"/>
      <c r="L136" s="426"/>
      <c r="M136" s="426"/>
      <c r="N136" s="426"/>
      <c r="O136" s="426"/>
      <c r="P136" s="424">
        <f>SUM(compras_mes5[[#This Row],[NETO GRAVADO]:[Otros / No Grav.]])</f>
        <v>1128007.375</v>
      </c>
      <c r="Q136" s="432" t="str">
        <f>IFERROR(IF(compras_mes5[[#This Row],[CUIT]]="","-",VLOOKUP(compras_mes5[[#This Row],[CUIT]],Lista_CUIT[#All],3,0)),"CUIT NO CARGADO")</f>
        <v>Materia Prima</v>
      </c>
      <c r="R136" s="432">
        <f>IFERROR(IF(compras_mes5[[#This Row],[CUIT]]="","-",VLOOKUP(compras_mes5[[#This Row],[CUIT]],Lista_CUIT[#All],4,0)),"CUIT NO CARGADO")</f>
        <v>0</v>
      </c>
    </row>
    <row r="137" spans="2:18" s="56" customFormat="1" ht="18.600000000000001" customHeight="1">
      <c r="B137" s="425">
        <v>45441</v>
      </c>
      <c r="C137" s="427">
        <v>1</v>
      </c>
      <c r="D137" s="428">
        <v>60</v>
      </c>
      <c r="E137" s="429">
        <v>62907</v>
      </c>
      <c r="F137" s="430">
        <v>30517345039</v>
      </c>
      <c r="G137" s="436" t="str">
        <f>IFERROR(IF(compras_mes5[[#This Row],[CUIT]]="","-",VLOOKUP(compras_mes5[[#This Row],[CUIT]],Lista_CUIT[#All],2,0)),"CUIT NO CARGADO")</f>
        <v>QUIMICA OESTE S.A.</v>
      </c>
      <c r="H137" s="431">
        <v>294253</v>
      </c>
      <c r="I137" s="426">
        <f>IF(compras_mes5[[#This Row],[NETO GRAVADO]]="","",compras_mes5[[#This Row],[NETO GRAVADO]]*0.21)</f>
        <v>61793.13</v>
      </c>
      <c r="J137" s="426"/>
      <c r="K137" s="426"/>
      <c r="L137" s="426"/>
      <c r="M137" s="426"/>
      <c r="N137" s="426">
        <v>17655.18</v>
      </c>
      <c r="O137" s="426"/>
      <c r="P137" s="424">
        <f>SUM(compras_mes5[[#This Row],[NETO GRAVADO]:[Otros / No Grav.]])</f>
        <v>373701.31</v>
      </c>
      <c r="Q137" s="432" t="str">
        <f>IFERROR(IF(compras_mes5[[#This Row],[CUIT]]="","-",VLOOKUP(compras_mes5[[#This Row],[CUIT]],Lista_CUIT[#All],3,0)),"CUIT NO CARGADO")</f>
        <v>Materia Prima</v>
      </c>
      <c r="R137" s="432">
        <f>IFERROR(IF(compras_mes5[[#This Row],[CUIT]]="","-",VLOOKUP(compras_mes5[[#This Row],[CUIT]],Lista_CUIT[#All],4,0)),"CUIT NO CARGADO")</f>
        <v>0</v>
      </c>
    </row>
    <row r="138" spans="2:18" s="56" customFormat="1" ht="18.600000000000001" customHeight="1">
      <c r="B138" s="425">
        <v>45442</v>
      </c>
      <c r="C138" s="427">
        <v>1</v>
      </c>
      <c r="D138" s="428">
        <v>4</v>
      </c>
      <c r="E138" s="429">
        <v>46277</v>
      </c>
      <c r="F138" s="430">
        <v>30709863076</v>
      </c>
      <c r="G138" s="436" t="str">
        <f>IFERROR(IF(compras_mes5[[#This Row],[CUIT]]="","-",VLOOKUP(compras_mes5[[#This Row],[CUIT]],Lista_CUIT[#All],2,0)),"CUIT NO CARGADO")</f>
        <v>INDUSTRIAS PLASTICOS SALTA S.R.L.</v>
      </c>
      <c r="H138" s="431">
        <v>177851.24</v>
      </c>
      <c r="I138" s="426">
        <f>IF(compras_mes5[[#This Row],[NETO GRAVADO]]="","",compras_mes5[[#This Row],[NETO GRAVADO]]*0.21)</f>
        <v>37348.760399999999</v>
      </c>
      <c r="J138" s="426"/>
      <c r="K138" s="426"/>
      <c r="L138" s="426"/>
      <c r="M138" s="426"/>
      <c r="N138" s="426"/>
      <c r="O138" s="426"/>
      <c r="P138" s="424">
        <f>SUM(compras_mes5[[#This Row],[NETO GRAVADO]:[Otros / No Grav.]])</f>
        <v>215200.00039999999</v>
      </c>
      <c r="Q138" s="432" t="str">
        <f>IFERROR(IF(compras_mes5[[#This Row],[CUIT]]="","-",VLOOKUP(compras_mes5[[#This Row],[CUIT]],Lista_CUIT[#All],3,0)),"CUIT NO CARGADO")</f>
        <v>Materia Prima</v>
      </c>
      <c r="R138" s="432">
        <f>IFERROR(IF(compras_mes5[[#This Row],[CUIT]]="","-",VLOOKUP(compras_mes5[[#This Row],[CUIT]],Lista_CUIT[#All],4,0)),"CUIT NO CARGADO")</f>
        <v>0</v>
      </c>
    </row>
    <row r="139" spans="2:18" s="56" customFormat="1" ht="18.600000000000001" customHeight="1">
      <c r="B139" s="425">
        <v>45418</v>
      </c>
      <c r="C139" s="427">
        <v>1</v>
      </c>
      <c r="D139" s="428">
        <v>6</v>
      </c>
      <c r="E139" s="429">
        <v>9618</v>
      </c>
      <c r="F139" s="430">
        <v>30707603123</v>
      </c>
      <c r="G139" s="436" t="str">
        <f>IFERROR(IF(compras_mes5[[#This Row],[CUIT]]="","-",VLOOKUP(compras_mes5[[#This Row],[CUIT]],Lista_CUIT[#All],2,0)),"CUIT NO CARGADO")</f>
        <v>BI-ORIENT S.A.</v>
      </c>
      <c r="H139" s="431">
        <v>879900</v>
      </c>
      <c r="I139" s="426">
        <f>IF(compras_mes5[[#This Row],[NETO GRAVADO]]="","",compras_mes5[[#This Row],[NETO GRAVADO]]*0.21)</f>
        <v>184779</v>
      </c>
      <c r="J139" s="426"/>
      <c r="K139" s="426"/>
      <c r="L139" s="426"/>
      <c r="M139" s="426"/>
      <c r="N139" s="426"/>
      <c r="O139" s="426"/>
      <c r="P139" s="424">
        <f>SUM(compras_mes5[[#This Row],[NETO GRAVADO]:[Otros / No Grav.]])</f>
        <v>1064679</v>
      </c>
      <c r="Q139" s="432" t="str">
        <f>IFERROR(IF(compras_mes5[[#This Row],[CUIT]]="","-",VLOOKUP(compras_mes5[[#This Row],[CUIT]],Lista_CUIT[#All],3,0)),"CUIT NO CARGADO")</f>
        <v>Material de Empaque</v>
      </c>
      <c r="R139" s="432">
        <f>IFERROR(IF(compras_mes5[[#This Row],[CUIT]]="","-",VLOOKUP(compras_mes5[[#This Row],[CUIT]],Lista_CUIT[#All],4,0)),"CUIT NO CARGADO")</f>
        <v>0</v>
      </c>
    </row>
    <row r="140" spans="2:18" s="56" customFormat="1" ht="18.600000000000001" customHeight="1">
      <c r="B140" s="425">
        <v>45419</v>
      </c>
      <c r="C140" s="427">
        <v>1</v>
      </c>
      <c r="D140" s="428">
        <v>3</v>
      </c>
      <c r="E140" s="429">
        <v>2669</v>
      </c>
      <c r="F140" s="430">
        <v>30715296000</v>
      </c>
      <c r="G140" s="436" t="str">
        <f>IFERROR(IF(compras_mes5[[#This Row],[CUIT]]="","-",VLOOKUP(compras_mes5[[#This Row],[CUIT]],Lista_CUIT[#All],2,0)),"CUIT NO CARGADO")</f>
        <v>TUTTO CERAMICAS SRL</v>
      </c>
      <c r="H140" s="431">
        <v>43719.01</v>
      </c>
      <c r="I140" s="426">
        <f>IF(compras_mes5[[#This Row],[NETO GRAVADO]]="","",compras_mes5[[#This Row],[NETO GRAVADO]]*0.21)</f>
        <v>9180.9920999999995</v>
      </c>
      <c r="J140" s="426"/>
      <c r="K140" s="426"/>
      <c r="L140" s="426"/>
      <c r="M140" s="426"/>
      <c r="N140" s="426"/>
      <c r="O140" s="426"/>
      <c r="P140" s="424">
        <f>SUM(compras_mes5[[#This Row],[NETO GRAVADO]:[Otros / No Grav.]])</f>
        <v>52900.002099999998</v>
      </c>
      <c r="Q140" s="432" t="str">
        <f>IFERROR(IF(compras_mes5[[#This Row],[CUIT]]="","-",VLOOKUP(compras_mes5[[#This Row],[CUIT]],Lista_CUIT[#All],3,0)),"CUIT NO CARGADO")</f>
        <v>Material de Empaque</v>
      </c>
      <c r="R140" s="432">
        <f>IFERROR(IF(compras_mes5[[#This Row],[CUIT]]="","-",VLOOKUP(compras_mes5[[#This Row],[CUIT]],Lista_CUIT[#All],4,0)),"CUIT NO CARGADO")</f>
        <v>0</v>
      </c>
    </row>
    <row r="141" spans="2:18" s="56" customFormat="1" ht="18.600000000000001" customHeight="1">
      <c r="B141" s="425">
        <v>45426</v>
      </c>
      <c r="C141" s="41">
        <v>1</v>
      </c>
      <c r="D141" s="428">
        <v>7</v>
      </c>
      <c r="E141" s="429">
        <v>11637</v>
      </c>
      <c r="F141" s="430">
        <v>30708017759</v>
      </c>
      <c r="G141" s="436" t="str">
        <f>IFERROR(IF(compras_mes5[[#This Row],[CUIT]]="","-",VLOOKUP(compras_mes5[[#This Row],[CUIT]],Lista_CUIT[#All],2,0)),"CUIT NO CARGADO")</f>
        <v>NEW  HIGH PACK  SA</v>
      </c>
      <c r="H141" s="431">
        <v>5923008</v>
      </c>
      <c r="I141" s="426">
        <f>IF(compras_mes5[[#This Row],[NETO GRAVADO]]="","",compras_mes5[[#This Row],[NETO GRAVADO]]*0.21)</f>
        <v>1243831.68</v>
      </c>
      <c r="J141" s="426"/>
      <c r="K141" s="426"/>
      <c r="L141" s="426"/>
      <c r="M141" s="426"/>
      <c r="N141" s="426">
        <v>355380.47999999998</v>
      </c>
      <c r="O141" s="426"/>
      <c r="P141" s="424">
        <f>SUM(compras_mes5[[#This Row],[NETO GRAVADO]:[Otros / No Grav.]])</f>
        <v>7522220.1600000001</v>
      </c>
      <c r="Q141" s="432" t="str">
        <f>IFERROR(IF(compras_mes5[[#This Row],[CUIT]]="","-",VLOOKUP(compras_mes5[[#This Row],[CUIT]],Lista_CUIT[#All],3,0)),"CUIT NO CARGADO")</f>
        <v>Material de Empaque</v>
      </c>
      <c r="R141" s="432">
        <f>IFERROR(IF(compras_mes5[[#This Row],[CUIT]]="","-",VLOOKUP(compras_mes5[[#This Row],[CUIT]],Lista_CUIT[#All],4,0)),"CUIT NO CARGADO")</f>
        <v>0</v>
      </c>
    </row>
    <row r="142" spans="2:18" s="56" customFormat="1" ht="18.600000000000001" customHeight="1">
      <c r="B142" s="425">
        <v>45426</v>
      </c>
      <c r="C142" s="427">
        <v>1</v>
      </c>
      <c r="D142" s="428">
        <v>2</v>
      </c>
      <c r="E142" s="429">
        <v>14127</v>
      </c>
      <c r="F142" s="430">
        <v>30715865188</v>
      </c>
      <c r="G142" s="436" t="str">
        <f>IFERROR(IF(compras_mes5[[#This Row],[CUIT]]="","-",VLOOKUP(compras_mes5[[#This Row],[CUIT]],Lista_CUIT[#All],2,0)),"CUIT NO CARGADO")</f>
        <v>PLACAS AUDAX 3000 S.A.</v>
      </c>
      <c r="H142" s="431">
        <v>108773.21</v>
      </c>
      <c r="I142" s="426">
        <f>IF(compras_mes5[[#This Row],[NETO GRAVADO]]="","",compras_mes5[[#This Row],[NETO GRAVADO]]*0.21)</f>
        <v>22842.374100000001</v>
      </c>
      <c r="J142" s="426"/>
      <c r="K142" s="426"/>
      <c r="L142" s="426"/>
      <c r="M142" s="426"/>
      <c r="N142" s="426"/>
      <c r="O142" s="426"/>
      <c r="P142" s="424">
        <f>SUM(compras_mes5[[#This Row],[NETO GRAVADO]:[Otros / No Grav.]])</f>
        <v>131615.58410000001</v>
      </c>
      <c r="Q142" s="432" t="str">
        <f>IFERROR(IF(compras_mes5[[#This Row],[CUIT]]="","-",VLOOKUP(compras_mes5[[#This Row],[CUIT]],Lista_CUIT[#All],3,0)),"CUIT NO CARGADO")</f>
        <v>Material de Empaque</v>
      </c>
      <c r="R142" s="432">
        <f>IFERROR(IF(compras_mes5[[#This Row],[CUIT]]="","-",VLOOKUP(compras_mes5[[#This Row],[CUIT]],Lista_CUIT[#All],4,0)),"CUIT NO CARGADO")</f>
        <v>0</v>
      </c>
    </row>
    <row r="143" spans="2:18" s="56" customFormat="1" ht="18.600000000000001" customHeight="1">
      <c r="B143" s="425">
        <v>45426</v>
      </c>
      <c r="C143" s="427">
        <v>1</v>
      </c>
      <c r="D143" s="428">
        <v>2</v>
      </c>
      <c r="E143" s="429">
        <v>14128</v>
      </c>
      <c r="F143" s="430">
        <v>30715865188</v>
      </c>
      <c r="G143" s="436" t="str">
        <f>IFERROR(IF(compras_mes5[[#This Row],[CUIT]]="","-",VLOOKUP(compras_mes5[[#This Row],[CUIT]],Lista_CUIT[#All],2,0)),"CUIT NO CARGADO")</f>
        <v>PLACAS AUDAX 3000 S.A.</v>
      </c>
      <c r="H143" s="431">
        <v>22701.78</v>
      </c>
      <c r="I143" s="426">
        <f>IF(compras_mes5[[#This Row],[NETO GRAVADO]]="","",compras_mes5[[#This Row],[NETO GRAVADO]]*0.21)</f>
        <v>4767.3737999999994</v>
      </c>
      <c r="J143" s="426"/>
      <c r="K143" s="426"/>
      <c r="L143" s="426"/>
      <c r="M143" s="426"/>
      <c r="N143" s="426"/>
      <c r="O143" s="426"/>
      <c r="P143" s="424">
        <f>SUM(compras_mes5[[#This Row],[NETO GRAVADO]:[Otros / No Grav.]])</f>
        <v>27469.1538</v>
      </c>
      <c r="Q143" s="432" t="str">
        <f>IFERROR(IF(compras_mes5[[#This Row],[CUIT]]="","-",VLOOKUP(compras_mes5[[#This Row],[CUIT]],Lista_CUIT[#All],3,0)),"CUIT NO CARGADO")</f>
        <v>Material de Empaque</v>
      </c>
      <c r="R143" s="432">
        <f>IFERROR(IF(compras_mes5[[#This Row],[CUIT]]="","-",VLOOKUP(compras_mes5[[#This Row],[CUIT]],Lista_CUIT[#All],4,0)),"CUIT NO CARGADO")</f>
        <v>0</v>
      </c>
    </row>
    <row r="144" spans="2:18" s="56" customFormat="1" ht="18.600000000000001" customHeight="1">
      <c r="B144" s="425">
        <v>45426</v>
      </c>
      <c r="C144" s="427">
        <v>1</v>
      </c>
      <c r="D144" s="428">
        <v>4</v>
      </c>
      <c r="E144" s="429">
        <v>42827</v>
      </c>
      <c r="F144" s="430">
        <v>30585948817</v>
      </c>
      <c r="G144" s="436" t="str">
        <f>IFERROR(IF(compras_mes5[[#This Row],[CUIT]]="","-",VLOOKUP(compras_mes5[[#This Row],[CUIT]],Lista_CUIT[#All],2,0)),"CUIT NO CARGADO")</f>
        <v xml:space="preserve">GLASCAR </v>
      </c>
      <c r="H144" s="431">
        <v>2710153.46</v>
      </c>
      <c r="I144" s="426">
        <f>IF(compras_mes5[[#This Row],[NETO GRAVADO]]="","",compras_mes5[[#This Row],[NETO GRAVADO]]*0.21)</f>
        <v>569132.22659999994</v>
      </c>
      <c r="J144" s="426"/>
      <c r="K144" s="426"/>
      <c r="L144" s="426"/>
      <c r="M144" s="426"/>
      <c r="N144" s="426">
        <v>162609.21</v>
      </c>
      <c r="O144" s="426"/>
      <c r="P144" s="424">
        <f>SUM(compras_mes5[[#This Row],[NETO GRAVADO]:[Otros / No Grav.]])</f>
        <v>3441894.8965999996</v>
      </c>
      <c r="Q144" s="432" t="str">
        <f>IFERROR(IF(compras_mes5[[#This Row],[CUIT]]="","-",VLOOKUP(compras_mes5[[#This Row],[CUIT]],Lista_CUIT[#All],3,0)),"CUIT NO CARGADO")</f>
        <v>Material de Empaque</v>
      </c>
      <c r="R144" s="432">
        <f>IFERROR(IF(compras_mes5[[#This Row],[CUIT]]="","-",VLOOKUP(compras_mes5[[#This Row],[CUIT]],Lista_CUIT[#All],4,0)),"CUIT NO CARGADO")</f>
        <v>0</v>
      </c>
    </row>
    <row r="145" spans="2:18" s="56" customFormat="1" ht="18.600000000000001" customHeight="1">
      <c r="B145" s="425">
        <v>45427</v>
      </c>
      <c r="C145" s="427">
        <v>1</v>
      </c>
      <c r="D145" s="428">
        <v>8</v>
      </c>
      <c r="E145" s="429">
        <v>1299</v>
      </c>
      <c r="F145" s="430">
        <v>20310796736</v>
      </c>
      <c r="G145" s="436" t="str">
        <f>IFERROR(IF(compras_mes5[[#This Row],[CUIT]]="","-",VLOOKUP(compras_mes5[[#This Row],[CUIT]],Lista_CUIT[#All],2,0)),"CUIT NO CARGADO")</f>
        <v>CORREA SEBASTIAN NORBERTO</v>
      </c>
      <c r="H145" s="431">
        <v>41400</v>
      </c>
      <c r="I145" s="426">
        <f>IF(compras_mes5[[#This Row],[NETO GRAVADO]]="","",compras_mes5[[#This Row],[NETO GRAVADO]]*0.21)</f>
        <v>8694</v>
      </c>
      <c r="J145" s="426"/>
      <c r="K145" s="426"/>
      <c r="L145" s="426"/>
      <c r="M145" s="426"/>
      <c r="N145" s="426"/>
      <c r="O145" s="426"/>
      <c r="P145" s="424">
        <f>SUM(compras_mes5[[#This Row],[NETO GRAVADO]:[Otros / No Grav.]])</f>
        <v>50094</v>
      </c>
      <c r="Q145" s="432" t="str">
        <f>IFERROR(IF(compras_mes5[[#This Row],[CUIT]]="","-",VLOOKUP(compras_mes5[[#This Row],[CUIT]],Lista_CUIT[#All],3,0)),"CUIT NO CARGADO")</f>
        <v>Material de Empaque</v>
      </c>
      <c r="R145" s="432">
        <f>IFERROR(IF(compras_mes5[[#This Row],[CUIT]]="","-",VLOOKUP(compras_mes5[[#This Row],[CUIT]],Lista_CUIT[#All],4,0)),"CUIT NO CARGADO")</f>
        <v>0</v>
      </c>
    </row>
    <row r="146" spans="2:18" s="56" customFormat="1" ht="18.600000000000001" customHeight="1">
      <c r="B146" s="425">
        <v>45429</v>
      </c>
      <c r="C146" s="427">
        <v>1</v>
      </c>
      <c r="D146" s="428">
        <v>4</v>
      </c>
      <c r="E146" s="429">
        <v>5278</v>
      </c>
      <c r="F146" s="430">
        <v>20255726103</v>
      </c>
      <c r="G146" s="436" t="str">
        <f>IFERROR(IF(compras_mes5[[#This Row],[CUIT]]="","-",VLOOKUP(compras_mes5[[#This Row],[CUIT]],Lista_CUIT[#All],2,0)),"CUIT NO CARGADO")</f>
        <v>BUSTAMANTE PABLO RODRIGO</v>
      </c>
      <c r="H146" s="431">
        <v>46724.79</v>
      </c>
      <c r="I146" s="426">
        <f>IF(compras_mes5[[#This Row],[NETO GRAVADO]]="","",compras_mes5[[#This Row],[NETO GRAVADO]]*0.21)</f>
        <v>9812.205899999999</v>
      </c>
      <c r="J146" s="426"/>
      <c r="K146" s="426"/>
      <c r="L146" s="426"/>
      <c r="M146" s="426"/>
      <c r="N146" s="426"/>
      <c r="O146" s="426"/>
      <c r="P146" s="424">
        <f>SUM(compras_mes5[[#This Row],[NETO GRAVADO]:[Otros / No Grav.]])</f>
        <v>56536.995900000002</v>
      </c>
      <c r="Q146" s="432" t="str">
        <f>IFERROR(IF(compras_mes5[[#This Row],[CUIT]]="","-",VLOOKUP(compras_mes5[[#This Row],[CUIT]],Lista_CUIT[#All],3,0)),"CUIT NO CARGADO")</f>
        <v>Material de Empaque</v>
      </c>
      <c r="R146" s="432">
        <f>IFERROR(IF(compras_mes5[[#This Row],[CUIT]]="","-",VLOOKUP(compras_mes5[[#This Row],[CUIT]],Lista_CUIT[#All],4,0)),"CUIT NO CARGADO")</f>
        <v>0</v>
      </c>
    </row>
    <row r="147" spans="2:18" s="56" customFormat="1" ht="18.600000000000001" customHeight="1">
      <c r="B147" s="425">
        <v>45432</v>
      </c>
      <c r="C147" s="41">
        <v>1</v>
      </c>
      <c r="D147" s="428">
        <v>3</v>
      </c>
      <c r="E147" s="429">
        <v>2683</v>
      </c>
      <c r="F147" s="430">
        <v>30715296000</v>
      </c>
      <c r="G147" s="436" t="str">
        <f>IFERROR(IF(compras_mes5[[#This Row],[CUIT]]="","-",VLOOKUP(compras_mes5[[#This Row],[CUIT]],Lista_CUIT[#All],2,0)),"CUIT NO CARGADO")</f>
        <v>TUTTO CERAMICAS SRL</v>
      </c>
      <c r="H147" s="431">
        <v>27173.55</v>
      </c>
      <c r="I147" s="426">
        <f>IF(compras_mes5[[#This Row],[NETO GRAVADO]]="","",compras_mes5[[#This Row],[NETO GRAVADO]]*0.21)</f>
        <v>5706.4454999999998</v>
      </c>
      <c r="J147" s="426"/>
      <c r="K147" s="426"/>
      <c r="L147" s="426"/>
      <c r="M147" s="426"/>
      <c r="N147" s="426"/>
      <c r="O147" s="426"/>
      <c r="P147" s="424">
        <f>SUM(compras_mes5[[#This Row],[NETO GRAVADO]:[Otros / No Grav.]])</f>
        <v>32879.995499999997</v>
      </c>
      <c r="Q147" s="432" t="str">
        <f>IFERROR(IF(compras_mes5[[#This Row],[CUIT]]="","-",VLOOKUP(compras_mes5[[#This Row],[CUIT]],Lista_CUIT[#All],3,0)),"CUIT NO CARGADO")</f>
        <v>Material de Empaque</v>
      </c>
      <c r="R147" s="432">
        <f>IFERROR(IF(compras_mes5[[#This Row],[CUIT]]="","-",VLOOKUP(compras_mes5[[#This Row],[CUIT]],Lista_CUIT[#All],4,0)),"CUIT NO CARGADO")</f>
        <v>0</v>
      </c>
    </row>
    <row r="148" spans="2:18" s="56" customFormat="1" ht="18.600000000000001" customHeight="1">
      <c r="B148" s="425">
        <v>45436</v>
      </c>
      <c r="C148" s="427">
        <v>1</v>
      </c>
      <c r="D148" s="428">
        <v>10</v>
      </c>
      <c r="E148" s="429">
        <v>12601</v>
      </c>
      <c r="F148" s="430">
        <v>30708157755</v>
      </c>
      <c r="G148" s="436" t="str">
        <f>IFERROR(IF(compras_mes5[[#This Row],[CUIT]]="","-",VLOOKUP(compras_mes5[[#This Row],[CUIT]],Lista_CUIT[#All],2,0)),"CUIT NO CARGADO")</f>
        <v>EXPOENVASE SRL</v>
      </c>
      <c r="H148" s="431">
        <v>90630</v>
      </c>
      <c r="I148" s="426">
        <f>IF(compras_mes5[[#This Row],[NETO GRAVADO]]="","",compras_mes5[[#This Row],[NETO GRAVADO]]*0.21)</f>
        <v>19032.3</v>
      </c>
      <c r="J148" s="426"/>
      <c r="K148" s="426"/>
      <c r="L148" s="426"/>
      <c r="M148" s="426"/>
      <c r="N148" s="426"/>
      <c r="O148" s="426"/>
      <c r="P148" s="424">
        <f>SUM(compras_mes5[[#This Row],[NETO GRAVADO]:[Otros / No Grav.]])</f>
        <v>109662.3</v>
      </c>
      <c r="Q148" s="432" t="str">
        <f>IFERROR(IF(compras_mes5[[#This Row],[CUIT]]="","-",VLOOKUP(compras_mes5[[#This Row],[CUIT]],Lista_CUIT[#All],3,0)),"CUIT NO CARGADO")</f>
        <v>Material de Empaque</v>
      </c>
      <c r="R148" s="432">
        <f>IFERROR(IF(compras_mes5[[#This Row],[CUIT]]="","-",VLOOKUP(compras_mes5[[#This Row],[CUIT]],Lista_CUIT[#All],4,0)),"CUIT NO CARGADO")</f>
        <v>0</v>
      </c>
    </row>
    <row r="149" spans="2:18" s="56" customFormat="1" ht="18.600000000000001" customHeight="1">
      <c r="B149" s="425">
        <v>45441</v>
      </c>
      <c r="C149" s="427">
        <v>1</v>
      </c>
      <c r="D149" s="428">
        <v>10</v>
      </c>
      <c r="E149" s="429">
        <v>7079</v>
      </c>
      <c r="F149" s="430">
        <v>20217646414</v>
      </c>
      <c r="G149" s="436" t="str">
        <f>IFERROR(IF(compras_mes5[[#This Row],[CUIT]]="","-",VLOOKUP(compras_mes5[[#This Row],[CUIT]],Lista_CUIT[#All],2,0)),"CUIT NO CARGADO")</f>
        <v>FARBER HERMAN</v>
      </c>
      <c r="H149" s="431">
        <v>669480</v>
      </c>
      <c r="I149" s="426">
        <f>IF(compras_mes5[[#This Row],[NETO GRAVADO]]="","",compras_mes5[[#This Row],[NETO GRAVADO]]*0.21)</f>
        <v>140590.79999999999</v>
      </c>
      <c r="J149" s="426"/>
      <c r="K149" s="426"/>
      <c r="L149" s="426"/>
      <c r="M149" s="426"/>
      <c r="N149" s="426"/>
      <c r="O149" s="426"/>
      <c r="P149" s="424">
        <f>SUM(compras_mes5[[#This Row],[NETO GRAVADO]:[Otros / No Grav.]])</f>
        <v>810070.8</v>
      </c>
      <c r="Q149" s="432" t="str">
        <f>IFERROR(IF(compras_mes5[[#This Row],[CUIT]]="","-",VLOOKUP(compras_mes5[[#This Row],[CUIT]],Lista_CUIT[#All],3,0)),"CUIT NO CARGADO")</f>
        <v>Material de Empaque</v>
      </c>
      <c r="R149" s="432">
        <f>IFERROR(IF(compras_mes5[[#This Row],[CUIT]]="","-",VLOOKUP(compras_mes5[[#This Row],[CUIT]],Lista_CUIT[#All],4,0)),"CUIT NO CARGADO")</f>
        <v>0</v>
      </c>
    </row>
    <row r="150" spans="2:18" s="56" customFormat="1" ht="18.600000000000001" customHeight="1">
      <c r="B150" s="425">
        <v>45443</v>
      </c>
      <c r="C150" s="41">
        <v>1</v>
      </c>
      <c r="D150" s="428">
        <v>1</v>
      </c>
      <c r="E150" s="429">
        <v>239</v>
      </c>
      <c r="F150" s="430">
        <v>20077604627</v>
      </c>
      <c r="G150" s="436" t="str">
        <f>IFERROR(IF(compras_mes5[[#This Row],[CUIT]]="","-",VLOOKUP(compras_mes5[[#This Row],[CUIT]],Lista_CUIT[#All],2,0)),"CUIT NO CARGADO")</f>
        <v>OCAÑO ENRIQUE</v>
      </c>
      <c r="H150" s="431">
        <v>7578480</v>
      </c>
      <c r="I150" s="426">
        <f>IF(compras_mes5[[#This Row],[NETO GRAVADO]]="","",compras_mes5[[#This Row],[NETO GRAVADO]]*0.21)</f>
        <v>1591480.8</v>
      </c>
      <c r="J150" s="426"/>
      <c r="K150" s="426"/>
      <c r="L150" s="426"/>
      <c r="M150" s="426"/>
      <c r="N150" s="426"/>
      <c r="O150" s="426"/>
      <c r="P150" s="424">
        <f>SUM(compras_mes5[[#This Row],[NETO GRAVADO]:[Otros / No Grav.]])</f>
        <v>9169960.8000000007</v>
      </c>
      <c r="Q150" s="432" t="str">
        <f>IFERROR(IF(compras_mes5[[#This Row],[CUIT]]="","-",VLOOKUP(compras_mes5[[#This Row],[CUIT]],Lista_CUIT[#All],3,0)),"CUIT NO CARGADO")</f>
        <v>Material de Empaque</v>
      </c>
      <c r="R150" s="432">
        <f>IFERROR(IF(compras_mes5[[#This Row],[CUIT]]="","-",VLOOKUP(compras_mes5[[#This Row],[CUIT]],Lista_CUIT[#All],4,0)),"CUIT NO CARGADO")</f>
        <v>0</v>
      </c>
    </row>
    <row r="151" spans="2:18" s="56" customFormat="1" ht="18.600000000000001" customHeight="1">
      <c r="B151" s="425">
        <v>45440</v>
      </c>
      <c r="C151" s="427">
        <v>1</v>
      </c>
      <c r="D151" s="428">
        <v>2</v>
      </c>
      <c r="E151" s="429">
        <v>4394</v>
      </c>
      <c r="F151" s="430">
        <v>20381035221</v>
      </c>
      <c r="G151" s="436" t="str">
        <f>IFERROR(IF(compras_mes5[[#This Row],[CUIT]]="","-",VLOOKUP(compras_mes5[[#This Row],[CUIT]],Lista_CUIT[#All],2,0)),"CUIT NO CARGADO")</f>
        <v>PERRONE LUCAS</v>
      </c>
      <c r="H151" s="431">
        <v>9504.14</v>
      </c>
      <c r="I151" s="426">
        <f>IF(compras_mes5[[#This Row],[NETO GRAVADO]]="","",compras_mes5[[#This Row],[NETO GRAVADO]]*0.21)</f>
        <v>1995.8693999999998</v>
      </c>
      <c r="J151" s="426"/>
      <c r="K151" s="426"/>
      <c r="L151" s="426"/>
      <c r="M151" s="426"/>
      <c r="N151" s="426"/>
      <c r="O151" s="426"/>
      <c r="P151" s="424">
        <f>SUM(compras_mes5[[#This Row],[NETO GRAVADO]:[Otros / No Grav.]])</f>
        <v>11500.009399999999</v>
      </c>
      <c r="Q151" s="49" t="s">
        <v>2687</v>
      </c>
      <c r="R151" s="432">
        <f>IFERROR(IF(compras_mes5[[#This Row],[CUIT]]="","-",VLOOKUP(compras_mes5[[#This Row],[CUIT]],Lista_CUIT[#All],4,0)),"CUIT NO CARGADO")</f>
        <v>0</v>
      </c>
    </row>
    <row r="152" spans="2:18" s="56" customFormat="1" ht="18.600000000000001" customHeight="1">
      <c r="B152" s="425">
        <v>45414</v>
      </c>
      <c r="C152" s="427">
        <v>1</v>
      </c>
      <c r="D152" s="428">
        <v>5015</v>
      </c>
      <c r="E152" s="429">
        <v>607397</v>
      </c>
      <c r="F152" s="430">
        <v>30574876474</v>
      </c>
      <c r="G152" s="436" t="str">
        <f>IFERROR(IF(compras_mes5[[#This Row],[CUIT]]="","-",VLOOKUP(compras_mes5[[#This Row],[CUIT]],Lista_CUIT[#All],2,0)),"CUIT NO CARGADO")</f>
        <v>AUTOPISTAS URBANAS S A</v>
      </c>
      <c r="H152" s="431">
        <v>155133.67000000001</v>
      </c>
      <c r="I152" s="426">
        <f>IF(compras_mes5[[#This Row],[NETO GRAVADO]]="","",compras_mes5[[#This Row],[NETO GRAVADO]]*0.21)</f>
        <v>32578.0707</v>
      </c>
      <c r="J152" s="426"/>
      <c r="K152" s="426"/>
      <c r="L152" s="426"/>
      <c r="M152" s="426"/>
      <c r="N152" s="426"/>
      <c r="O152" s="426">
        <v>20167.3</v>
      </c>
      <c r="P152" s="424">
        <f>SUM(compras_mes5[[#This Row],[NETO GRAVADO]:[Otros / No Grav.]])</f>
        <v>207879.04070000001</v>
      </c>
      <c r="Q152" s="432" t="str">
        <f>IFERROR(IF(compras_mes5[[#This Row],[CUIT]]="","-",VLOOKUP(compras_mes5[[#This Row],[CUIT]],Lista_CUIT[#All],3,0)),"CUIT NO CARGADO")</f>
        <v>Peajes</v>
      </c>
      <c r="R152" s="432">
        <f>IFERROR(IF(compras_mes5[[#This Row],[CUIT]]="","-",VLOOKUP(compras_mes5[[#This Row],[CUIT]],Lista_CUIT[#All],4,0)),"CUIT NO CARGADO")</f>
        <v>0</v>
      </c>
    </row>
    <row r="153" spans="2:18" s="56" customFormat="1" ht="18.600000000000001" customHeight="1">
      <c r="B153" s="425">
        <v>45415</v>
      </c>
      <c r="C153" s="41">
        <v>1</v>
      </c>
      <c r="D153" s="428">
        <v>629</v>
      </c>
      <c r="E153" s="429">
        <v>5090888</v>
      </c>
      <c r="F153" s="430">
        <v>30663498513</v>
      </c>
      <c r="G153" s="436" t="str">
        <f>IFERROR(IF(compras_mes5[[#This Row],[CUIT]]="","-",VLOOKUP(compras_mes5[[#This Row],[CUIT]],Lista_CUIT[#All],2,0)),"CUIT NO CARGADO")</f>
        <v>GRUPO CONCES. DEL OESTE SA</v>
      </c>
      <c r="H153" s="431">
        <v>10495.72</v>
      </c>
      <c r="I153" s="426">
        <f>IF(compras_mes5[[#This Row],[NETO GRAVADO]]="","",compras_mes5[[#This Row],[NETO GRAVADO]]*0.21)</f>
        <v>2204.1011999999996</v>
      </c>
      <c r="J153" s="426"/>
      <c r="K153" s="426"/>
      <c r="L153" s="426"/>
      <c r="M153" s="426"/>
      <c r="N153" s="426"/>
      <c r="O153" s="426"/>
      <c r="P153" s="424">
        <f>SUM(compras_mes5[[#This Row],[NETO GRAVADO]:[Otros / No Grav.]])</f>
        <v>12699.821199999998</v>
      </c>
      <c r="Q153" s="432" t="str">
        <f>IFERROR(IF(compras_mes5[[#This Row],[CUIT]]="","-",VLOOKUP(compras_mes5[[#This Row],[CUIT]],Lista_CUIT[#All],3,0)),"CUIT NO CARGADO")</f>
        <v>Peajes</v>
      </c>
      <c r="R153" s="432">
        <f>IFERROR(IF(compras_mes5[[#This Row],[CUIT]]="","-",VLOOKUP(compras_mes5[[#This Row],[CUIT]],Lista_CUIT[#All],4,0)),"CUIT NO CARGADO")</f>
        <v>0</v>
      </c>
    </row>
    <row r="154" spans="2:18" s="56" customFormat="1" ht="18.600000000000001" customHeight="1">
      <c r="B154" s="425">
        <v>45415</v>
      </c>
      <c r="C154" s="41">
        <v>1</v>
      </c>
      <c r="D154" s="428">
        <v>711</v>
      </c>
      <c r="E154" s="429">
        <v>5640292</v>
      </c>
      <c r="F154" s="430">
        <v>30677237119</v>
      </c>
      <c r="G154" s="436" t="str">
        <f>IFERROR(IF(compras_mes5[[#This Row],[CUIT]]="","-",VLOOKUP(compras_mes5[[#This Row],[CUIT]],Lista_CUIT[#All],2,0)),"CUIT NO CARGADO")</f>
        <v>AUTOPISTAS DEL SOL S A</v>
      </c>
      <c r="H154" s="431">
        <v>6673.48</v>
      </c>
      <c r="I154" s="426">
        <f>IF(compras_mes5[[#This Row],[NETO GRAVADO]]="","",compras_mes5[[#This Row],[NETO GRAVADO]]*0.21)</f>
        <v>1401.4307999999999</v>
      </c>
      <c r="J154" s="426"/>
      <c r="K154" s="426"/>
      <c r="L154" s="426"/>
      <c r="M154" s="426"/>
      <c r="N154" s="426"/>
      <c r="O154" s="426">
        <v>200.2</v>
      </c>
      <c r="P154" s="424">
        <f>SUM(compras_mes5[[#This Row],[NETO GRAVADO]:[Otros / No Grav.]])</f>
        <v>8275.1108000000004</v>
      </c>
      <c r="Q154" s="432" t="str">
        <f>IFERROR(IF(compras_mes5[[#This Row],[CUIT]]="","-",VLOOKUP(compras_mes5[[#This Row],[CUIT]],Lista_CUIT[#All],3,0)),"CUIT NO CARGADO")</f>
        <v>Peajes</v>
      </c>
      <c r="R154" s="432">
        <f>IFERROR(IF(compras_mes5[[#This Row],[CUIT]]="","-",VLOOKUP(compras_mes5[[#This Row],[CUIT]],Lista_CUIT[#All],4,0)),"CUIT NO CARGADO")</f>
        <v>0</v>
      </c>
    </row>
    <row r="155" spans="2:18" s="56" customFormat="1" ht="18.600000000000001" customHeight="1">
      <c r="B155" s="425">
        <v>45420</v>
      </c>
      <c r="C155" s="41">
        <v>1</v>
      </c>
      <c r="D155" s="428">
        <v>700</v>
      </c>
      <c r="E155" s="429">
        <v>1645579</v>
      </c>
      <c r="F155" s="430">
        <v>30715804812</v>
      </c>
      <c r="G155" s="436" t="str">
        <f>IFERROR(IF(compras_mes5[[#This Row],[CUIT]]="","-",VLOOKUP(compras_mes5[[#This Row],[CUIT]],Lista_CUIT[#All],2,0)),"CUIT NO CARGADO")</f>
        <v>CORREDORES VIALES SOCIEDAD ANONIMA</v>
      </c>
      <c r="H155" s="431">
        <v>206.61</v>
      </c>
      <c r="I155" s="426">
        <f>IF(compras_mes5[[#This Row],[NETO GRAVADO]]="","",compras_mes5[[#This Row],[NETO GRAVADO]]*0.21)</f>
        <v>43.388100000000001</v>
      </c>
      <c r="J155" s="426"/>
      <c r="K155" s="426"/>
      <c r="L155" s="426"/>
      <c r="M155" s="426"/>
      <c r="N155" s="426"/>
      <c r="O155" s="426"/>
      <c r="P155" s="424">
        <f>SUM(compras_mes5[[#This Row],[NETO GRAVADO]:[Otros / No Grav.]])</f>
        <v>249.99810000000002</v>
      </c>
      <c r="Q155" s="432" t="str">
        <f>IFERROR(IF(compras_mes5[[#This Row],[CUIT]]="","-",VLOOKUP(compras_mes5[[#This Row],[CUIT]],Lista_CUIT[#All],3,0)),"CUIT NO CARGADO")</f>
        <v>Peajes</v>
      </c>
      <c r="R155" s="432">
        <f>IFERROR(IF(compras_mes5[[#This Row],[CUIT]]="","-",VLOOKUP(compras_mes5[[#This Row],[CUIT]],Lista_CUIT[#All],4,0)),"CUIT NO CARGADO")</f>
        <v>0</v>
      </c>
    </row>
    <row r="156" spans="2:18" s="56" customFormat="1" ht="18.600000000000001" customHeight="1">
      <c r="B156" s="425">
        <v>45426</v>
      </c>
      <c r="C156" s="41">
        <v>1</v>
      </c>
      <c r="D156" s="428">
        <v>503</v>
      </c>
      <c r="E156" s="429">
        <v>1321117</v>
      </c>
      <c r="F156" s="430">
        <v>30639935872</v>
      </c>
      <c r="G156" s="436" t="str">
        <f>IFERROR(IF(compras_mes5[[#This Row],[CUIT]]="","-",VLOOKUP(compras_mes5[[#This Row],[CUIT]],Lista_CUIT[#All],2,0)),"CUIT NO CARGADO")</f>
        <v>CAMINOS DEL RIO URUGUAY S A DE CONSTRUCCIONES Y CONCESIONES VIALES</v>
      </c>
      <c r="H156" s="431">
        <v>1198.3399999999999</v>
      </c>
      <c r="I156" s="426">
        <f>IF(compras_mes5[[#This Row],[NETO GRAVADO]]="","",compras_mes5[[#This Row],[NETO GRAVADO]]*0.21)</f>
        <v>251.65139999999997</v>
      </c>
      <c r="J156" s="426"/>
      <c r="K156" s="426"/>
      <c r="L156" s="426"/>
      <c r="M156" s="426"/>
      <c r="N156" s="426">
        <v>71.900000000000006</v>
      </c>
      <c r="O156" s="426"/>
      <c r="P156" s="424">
        <f>SUM(compras_mes5[[#This Row],[NETO GRAVADO]:[Otros / No Grav.]])</f>
        <v>1521.8914</v>
      </c>
      <c r="Q156" s="432" t="str">
        <f>IFERROR(IF(compras_mes5[[#This Row],[CUIT]]="","-",VLOOKUP(compras_mes5[[#This Row],[CUIT]],Lista_CUIT[#All],3,0)),"CUIT NO CARGADO")</f>
        <v>Peajes</v>
      </c>
      <c r="R156" s="432">
        <f>IFERROR(IF(compras_mes5[[#This Row],[CUIT]]="","-",VLOOKUP(compras_mes5[[#This Row],[CUIT]],Lista_CUIT[#All],4,0)),"CUIT NO CARGADO")</f>
        <v>0</v>
      </c>
    </row>
    <row r="157" spans="2:18" s="56" customFormat="1" ht="18.600000000000001" customHeight="1">
      <c r="B157" s="425">
        <v>45426</v>
      </c>
      <c r="C157" s="427">
        <v>1</v>
      </c>
      <c r="D157" s="428">
        <v>104</v>
      </c>
      <c r="E157" s="429">
        <v>5760307</v>
      </c>
      <c r="F157" s="430">
        <v>30715804812</v>
      </c>
      <c r="G157" s="436" t="str">
        <f>IFERROR(IF(compras_mes5[[#This Row],[CUIT]]="","-",VLOOKUP(compras_mes5[[#This Row],[CUIT]],Lista_CUIT[#All],2,0)),"CUIT NO CARGADO")</f>
        <v>CORREDORES VIALES SOCIEDAD ANONIMA</v>
      </c>
      <c r="H157" s="431">
        <v>1487.6</v>
      </c>
      <c r="I157" s="426">
        <f>IF(compras_mes5[[#This Row],[NETO GRAVADO]]="","",compras_mes5[[#This Row],[NETO GRAVADO]]*0.21)</f>
        <v>312.39599999999996</v>
      </c>
      <c r="J157" s="426"/>
      <c r="K157" s="426"/>
      <c r="L157" s="426"/>
      <c r="M157" s="426"/>
      <c r="N157" s="426">
        <v>89.26</v>
      </c>
      <c r="O157" s="426"/>
      <c r="P157" s="424">
        <f>SUM(compras_mes5[[#This Row],[NETO GRAVADO]:[Otros / No Grav.]])</f>
        <v>1889.2559999999999</v>
      </c>
      <c r="Q157" s="432" t="str">
        <f>IFERROR(IF(compras_mes5[[#This Row],[CUIT]]="","-",VLOOKUP(compras_mes5[[#This Row],[CUIT]],Lista_CUIT[#All],3,0)),"CUIT NO CARGADO")</f>
        <v>Peajes</v>
      </c>
      <c r="R157" s="432">
        <f>IFERROR(IF(compras_mes5[[#This Row],[CUIT]]="","-",VLOOKUP(compras_mes5[[#This Row],[CUIT]],Lista_CUIT[#All],4,0)),"CUIT NO CARGADO")</f>
        <v>0</v>
      </c>
    </row>
    <row r="158" spans="2:18" s="56" customFormat="1" ht="18.600000000000001" customHeight="1">
      <c r="B158" s="425">
        <v>45429</v>
      </c>
      <c r="C158" s="427">
        <v>1</v>
      </c>
      <c r="D158" s="428">
        <v>5015</v>
      </c>
      <c r="E158" s="429">
        <v>611190</v>
      </c>
      <c r="F158" s="430">
        <v>30574876474</v>
      </c>
      <c r="G158" s="436" t="str">
        <f>IFERROR(IF(compras_mes5[[#This Row],[CUIT]]="","-",VLOOKUP(compras_mes5[[#This Row],[CUIT]],Lista_CUIT[#All],2,0)),"CUIT NO CARGADO")</f>
        <v>AUTOPISTAS URBANAS S A</v>
      </c>
      <c r="H158" s="431">
        <v>119229.46</v>
      </c>
      <c r="I158" s="426">
        <f>IF(compras_mes5[[#This Row],[NETO GRAVADO]]="","",compras_mes5[[#This Row],[NETO GRAVADO]]*0.21)</f>
        <v>25038.186600000001</v>
      </c>
      <c r="J158" s="426"/>
      <c r="K158" s="426"/>
      <c r="L158" s="426"/>
      <c r="M158" s="426"/>
      <c r="N158" s="426"/>
      <c r="O158" s="426">
        <v>15499.77</v>
      </c>
      <c r="P158" s="424">
        <f>SUM(compras_mes5[[#This Row],[NETO GRAVADO]:[Otros / No Grav.]])</f>
        <v>159767.4166</v>
      </c>
      <c r="Q158" s="432" t="str">
        <f>IFERROR(IF(compras_mes5[[#This Row],[CUIT]]="","-",VLOOKUP(compras_mes5[[#This Row],[CUIT]],Lista_CUIT[#All],3,0)),"CUIT NO CARGADO")</f>
        <v>Peajes</v>
      </c>
      <c r="R158" s="432">
        <f>IFERROR(IF(compras_mes5[[#This Row],[CUIT]]="","-",VLOOKUP(compras_mes5[[#This Row],[CUIT]],Lista_CUIT[#All],4,0)),"CUIT NO CARGADO")</f>
        <v>0</v>
      </c>
    </row>
    <row r="159" spans="2:18" s="56" customFormat="1" ht="18.600000000000001" customHeight="1">
      <c r="B159" s="425">
        <v>45429</v>
      </c>
      <c r="C159" s="427">
        <v>1</v>
      </c>
      <c r="D159" s="428">
        <v>629</v>
      </c>
      <c r="E159" s="429">
        <v>5129611</v>
      </c>
      <c r="F159" s="430">
        <v>30663498513</v>
      </c>
      <c r="G159" s="436" t="str">
        <f>IFERROR(IF(compras_mes5[[#This Row],[CUIT]]="","-",VLOOKUP(compras_mes5[[#This Row],[CUIT]],Lista_CUIT[#All],2,0)),"CUIT NO CARGADO")</f>
        <v>GRUPO CONCES. DEL OESTE SA</v>
      </c>
      <c r="H159" s="431">
        <v>9256.06</v>
      </c>
      <c r="I159" s="426">
        <f>IF(compras_mes5[[#This Row],[NETO GRAVADO]]="","",compras_mes5[[#This Row],[NETO GRAVADO]]*0.21)</f>
        <v>1943.7725999999998</v>
      </c>
      <c r="J159" s="426"/>
      <c r="K159" s="426"/>
      <c r="L159" s="426"/>
      <c r="M159" s="426"/>
      <c r="N159" s="426"/>
      <c r="O159" s="426"/>
      <c r="P159" s="424">
        <f>SUM(compras_mes5[[#This Row],[NETO GRAVADO]:[Otros / No Grav.]])</f>
        <v>11199.8326</v>
      </c>
      <c r="Q159" s="432" t="str">
        <f>IFERROR(IF(compras_mes5[[#This Row],[CUIT]]="","-",VLOOKUP(compras_mes5[[#This Row],[CUIT]],Lista_CUIT[#All],3,0)),"CUIT NO CARGADO")</f>
        <v>Peajes</v>
      </c>
      <c r="R159" s="432">
        <f>IFERROR(IF(compras_mes5[[#This Row],[CUIT]]="","-",VLOOKUP(compras_mes5[[#This Row],[CUIT]],Lista_CUIT[#All],4,0)),"CUIT NO CARGADO")</f>
        <v>0</v>
      </c>
    </row>
    <row r="160" spans="2:18" s="56" customFormat="1" ht="18.600000000000001" customHeight="1">
      <c r="B160" s="425">
        <v>45429</v>
      </c>
      <c r="C160" s="427">
        <v>1</v>
      </c>
      <c r="D160" s="428">
        <v>711</v>
      </c>
      <c r="E160" s="429">
        <v>5696813</v>
      </c>
      <c r="F160" s="430">
        <v>30677237119</v>
      </c>
      <c r="G160" s="436" t="str">
        <f>IFERROR(IF(compras_mes5[[#This Row],[CUIT]]="","-",VLOOKUP(compras_mes5[[#This Row],[CUIT]],Lista_CUIT[#All],2,0)),"CUIT NO CARGADO")</f>
        <v>AUTOPISTAS DEL SOL S A</v>
      </c>
      <c r="H160" s="431">
        <v>5867.7</v>
      </c>
      <c r="I160" s="426">
        <f>IF(compras_mes5[[#This Row],[NETO GRAVADO]]="","",compras_mes5[[#This Row],[NETO GRAVADO]]*0.21)</f>
        <v>1232.2169999999999</v>
      </c>
      <c r="J160" s="426"/>
      <c r="K160" s="426"/>
      <c r="L160" s="426"/>
      <c r="M160" s="426"/>
      <c r="N160" s="426"/>
      <c r="O160" s="426">
        <v>176.03</v>
      </c>
      <c r="P160" s="424">
        <f>SUM(compras_mes5[[#This Row],[NETO GRAVADO]:[Otros / No Grav.]])</f>
        <v>7275.9469999999992</v>
      </c>
      <c r="Q160" s="432" t="str">
        <f>IFERROR(IF(compras_mes5[[#This Row],[CUIT]]="","-",VLOOKUP(compras_mes5[[#This Row],[CUIT]],Lista_CUIT[#All],3,0)),"CUIT NO CARGADO")</f>
        <v>Peajes</v>
      </c>
      <c r="R160" s="432">
        <f>IFERROR(IF(compras_mes5[[#This Row],[CUIT]]="","-",VLOOKUP(compras_mes5[[#This Row],[CUIT]],Lista_CUIT[#All],4,0)),"CUIT NO CARGADO")</f>
        <v>0</v>
      </c>
    </row>
    <row r="161" spans="2:18" s="56" customFormat="1" ht="18.600000000000001" customHeight="1">
      <c r="B161" s="425">
        <v>45434</v>
      </c>
      <c r="C161" s="427">
        <v>1</v>
      </c>
      <c r="D161" s="428">
        <v>700</v>
      </c>
      <c r="E161" s="429">
        <v>1674693</v>
      </c>
      <c r="F161" s="430">
        <v>30715804812</v>
      </c>
      <c r="G161" s="436" t="str">
        <f>IFERROR(IF(compras_mes5[[#This Row],[CUIT]]="","-",VLOOKUP(compras_mes5[[#This Row],[CUIT]],Lista_CUIT[#All],2,0)),"CUIT NO CARGADO")</f>
        <v>CORREDORES VIALES SOCIEDAD ANONIMA</v>
      </c>
      <c r="H161" s="431">
        <v>3471.08</v>
      </c>
      <c r="I161" s="426">
        <f>IF(compras_mes5[[#This Row],[NETO GRAVADO]]="","",compras_mes5[[#This Row],[NETO GRAVADO]]*0.21)</f>
        <v>728.92679999999996</v>
      </c>
      <c r="J161" s="426"/>
      <c r="K161" s="426"/>
      <c r="L161" s="426"/>
      <c r="M161" s="426"/>
      <c r="N161" s="426"/>
      <c r="O161" s="426"/>
      <c r="P161" s="424">
        <f>SUM(compras_mes5[[#This Row],[NETO GRAVADO]:[Otros / No Grav.]])</f>
        <v>4200.0068000000001</v>
      </c>
      <c r="Q161" s="432" t="str">
        <f>IFERROR(IF(compras_mes5[[#This Row],[CUIT]]="","-",VLOOKUP(compras_mes5[[#This Row],[CUIT]],Lista_CUIT[#All],3,0)),"CUIT NO CARGADO")</f>
        <v>Peajes</v>
      </c>
      <c r="R161" s="432">
        <f>IFERROR(IF(compras_mes5[[#This Row],[CUIT]]="","-",VLOOKUP(compras_mes5[[#This Row],[CUIT]],Lista_CUIT[#All],4,0)),"CUIT NO CARGADO")</f>
        <v>0</v>
      </c>
    </row>
    <row r="162" spans="2:18" s="56" customFormat="1" ht="18.600000000000001" customHeight="1">
      <c r="B162" s="458">
        <v>45443</v>
      </c>
      <c r="C162" s="459">
        <v>1</v>
      </c>
      <c r="D162" s="460">
        <v>50</v>
      </c>
      <c r="E162" s="461">
        <v>3629542</v>
      </c>
      <c r="F162" s="462">
        <v>30714112836</v>
      </c>
      <c r="G162" s="463" t="str">
        <f>IFERROR(IF(compras_mes5[[#This Row],[CUIT]]="","-",VLOOKUP(compras_mes5[[#This Row],[CUIT]],Lista_CUIT[#All],2,0)),"CUIT NO CARGADO")</f>
        <v>AUTOPISTAS DE BS AS</v>
      </c>
      <c r="H162" s="464">
        <v>23235.54</v>
      </c>
      <c r="I162" s="465">
        <f>IF(compras_mes5[[#This Row],[NETO GRAVADO]]="","",compras_mes5[[#This Row],[NETO GRAVADO]]*0.21)</f>
        <v>4879.4633999999996</v>
      </c>
      <c r="J162" s="465"/>
      <c r="K162" s="465"/>
      <c r="L162" s="465">
        <v>697.07</v>
      </c>
      <c r="M162" s="465"/>
      <c r="N162" s="465"/>
      <c r="O162" s="465"/>
      <c r="P162" s="455">
        <f>SUM(compras_mes5[[#This Row],[NETO GRAVADO]:[Otros / No Grav.]])</f>
        <v>28812.073400000001</v>
      </c>
      <c r="Q162" s="466" t="str">
        <f>IFERROR(IF(compras_mes5[[#This Row],[CUIT]]="","-",VLOOKUP(compras_mes5[[#This Row],[CUIT]],Lista_CUIT[#All],3,0)),"CUIT NO CARGADO")</f>
        <v>Peajes</v>
      </c>
      <c r="R162" s="466">
        <f>IFERROR(IF(compras_mes5[[#This Row],[CUIT]]="","-",VLOOKUP(compras_mes5[[#This Row],[CUIT]],Lista_CUIT[#All],4,0)),"CUIT NO CARGADO")</f>
        <v>0</v>
      </c>
    </row>
    <row r="163" spans="2:18" s="56" customFormat="1" ht="18.600000000000001" customHeight="1">
      <c r="B163" s="425">
        <v>45421</v>
      </c>
      <c r="C163" s="41">
        <v>1</v>
      </c>
      <c r="D163" s="428">
        <v>4</v>
      </c>
      <c r="E163" s="429">
        <v>1502</v>
      </c>
      <c r="F163" s="430">
        <v>20291527575</v>
      </c>
      <c r="G163" s="436" t="str">
        <f>IFERROR(IF(compras_mes5[[#This Row],[CUIT]]="","-",VLOOKUP(compras_mes5[[#This Row],[CUIT]],Lista_CUIT[#All],2,0)),"CUIT NO CARGADO")</f>
        <v>SAFDIE DAVID GABRIEL</v>
      </c>
      <c r="H163" s="431">
        <v>659651.24</v>
      </c>
      <c r="I163" s="426">
        <f>IF(compras_mes5[[#This Row],[NETO GRAVADO]]="","",compras_mes5[[#This Row],[NETO GRAVADO]]*0.21)</f>
        <v>138526.7604</v>
      </c>
      <c r="J163" s="426"/>
      <c r="K163" s="426"/>
      <c r="L163" s="426"/>
      <c r="M163" s="426"/>
      <c r="N163" s="426"/>
      <c r="O163" s="426"/>
      <c r="P163" s="424">
        <f>SUM(compras_mes5[[#This Row],[NETO GRAVADO]:[Otros / No Grav.]])</f>
        <v>798178.00040000002</v>
      </c>
      <c r="Q163" s="432" t="str">
        <f>IFERROR(IF(compras_mes5[[#This Row],[CUIT]]="","-",VLOOKUP(compras_mes5[[#This Row],[CUIT]],Lista_CUIT[#All],3,0)),"CUIT NO CARGADO")</f>
        <v>Productos Venta</v>
      </c>
      <c r="R163" s="432">
        <f>IFERROR(IF(compras_mes5[[#This Row],[CUIT]]="","-",VLOOKUP(compras_mes5[[#This Row],[CUIT]],Lista_CUIT[#All],4,0)),"CUIT NO CARGADO")</f>
        <v>0</v>
      </c>
    </row>
    <row r="164" spans="2:18" s="56" customFormat="1" ht="18.600000000000001" customHeight="1">
      <c r="B164" s="425">
        <v>45442</v>
      </c>
      <c r="C164" s="427">
        <v>1</v>
      </c>
      <c r="D164" s="428">
        <v>6</v>
      </c>
      <c r="E164" s="429">
        <v>514</v>
      </c>
      <c r="F164" s="430">
        <v>20219190469</v>
      </c>
      <c r="G164" s="436" t="str">
        <f>IFERROR(IF(compras_mes5[[#This Row],[CUIT]]="","-",VLOOKUP(compras_mes5[[#This Row],[CUIT]],Lista_CUIT[#All],2,0)),"CUIT NO CARGADO")</f>
        <v>PARADISO ESTEBAN DAMIAN</v>
      </c>
      <c r="H164" s="431">
        <v>416005.49</v>
      </c>
      <c r="I164" s="426">
        <f>IF(compras_mes5[[#This Row],[NETO GRAVADO]]="","",compras_mes5[[#This Row],[NETO GRAVADO]]*0.21)</f>
        <v>87361.152900000001</v>
      </c>
      <c r="J164" s="426"/>
      <c r="K164" s="426"/>
      <c r="L164" s="426"/>
      <c r="M164" s="426"/>
      <c r="N164" s="426"/>
      <c r="O164" s="426"/>
      <c r="P164" s="424">
        <f>SUM(compras_mes5[[#This Row],[NETO GRAVADO]:[Otros / No Grav.]])</f>
        <v>503366.64289999998</v>
      </c>
      <c r="Q164" s="432" t="str">
        <f>IFERROR(IF(compras_mes5[[#This Row],[CUIT]]="","-",VLOOKUP(compras_mes5[[#This Row],[CUIT]],Lista_CUIT[#All],3,0)),"CUIT NO CARGADO")</f>
        <v>Productos Venta</v>
      </c>
      <c r="R164" s="432">
        <f>IFERROR(IF(compras_mes5[[#This Row],[CUIT]]="","-",VLOOKUP(compras_mes5[[#This Row],[CUIT]],Lista_CUIT[#All],4,0)),"CUIT NO CARGADO")</f>
        <v>0</v>
      </c>
    </row>
    <row r="165" spans="2:18" s="56" customFormat="1" ht="18.600000000000001" customHeight="1">
      <c r="B165" s="425">
        <v>45414</v>
      </c>
      <c r="C165" s="427">
        <v>2</v>
      </c>
      <c r="D165" s="428">
        <v>4</v>
      </c>
      <c r="E165" s="429">
        <v>4</v>
      </c>
      <c r="F165" s="430">
        <v>30715946250</v>
      </c>
      <c r="G165" s="436" t="str">
        <f>IFERROR(IF(compras_mes5[[#This Row],[CUIT]]="","-",VLOOKUP(compras_mes5[[#This Row],[CUIT]],Lista_CUIT[#All],2,0)),"CUIT NO CARGADO")</f>
        <v>GLOBAL AESTHETICS PRODUCTS AND SERVICES SRL</v>
      </c>
      <c r="H165" s="431">
        <v>40663.550000000003</v>
      </c>
      <c r="I165" s="426">
        <f>IF(compras_mes5[[#This Row],[NETO GRAVADO]]="","",compras_mes5[[#This Row],[NETO GRAVADO]]*0.21)</f>
        <v>8539.3454999999994</v>
      </c>
      <c r="J165" s="426"/>
      <c r="K165" s="426"/>
      <c r="L165" s="426"/>
      <c r="M165" s="426"/>
      <c r="N165" s="426"/>
      <c r="O165" s="426"/>
      <c r="P165" s="424">
        <f>SUM(compras_mes5[[#This Row],[NETO GRAVADO]:[Otros / No Grav.]])</f>
        <v>49202.895499999999</v>
      </c>
      <c r="Q165" s="432" t="str">
        <f>IFERROR(IF(compras_mes5[[#This Row],[CUIT]]="","-",VLOOKUP(compras_mes5[[#This Row],[CUIT]],Lista_CUIT[#All],3,0)),"CUIT NO CARGADO")</f>
        <v>Productos Venta</v>
      </c>
      <c r="R165" s="432">
        <f>IFERROR(IF(compras_mes5[[#This Row],[CUIT]]="","-",VLOOKUP(compras_mes5[[#This Row],[CUIT]],Lista_CUIT[#All],4,0)),"CUIT NO CARGADO")</f>
        <v>0</v>
      </c>
    </row>
    <row r="166" spans="2:18" s="523" customFormat="1" ht="18.600000000000001" customHeight="1">
      <c r="B166" s="425">
        <v>45414</v>
      </c>
      <c r="C166" s="427">
        <v>1</v>
      </c>
      <c r="D166" s="428">
        <v>6</v>
      </c>
      <c r="E166" s="429">
        <v>3097</v>
      </c>
      <c r="F166" s="430">
        <v>30574603788</v>
      </c>
      <c r="G166" s="436" t="str">
        <f>IFERROR(IF(compras_mes5[[#This Row],[CUIT]]="","-",VLOOKUP(compras_mes5[[#This Row],[CUIT]],Lista_CUIT[#All],2,0)),"CUIT NO CARGADO")</f>
        <v>CODAC SRL</v>
      </c>
      <c r="H166" s="431">
        <v>3191950</v>
      </c>
      <c r="I166" s="426">
        <f>IF(compras_mes5[[#This Row],[NETO GRAVADO]]="","",compras_mes5[[#This Row],[NETO GRAVADO]]*0.21)</f>
        <v>670309.5</v>
      </c>
      <c r="J166" s="426"/>
      <c r="K166" s="426"/>
      <c r="L166" s="426"/>
      <c r="M166" s="426"/>
      <c r="N166" s="426"/>
      <c r="O166" s="426"/>
      <c r="P166" s="424">
        <f>SUM(compras_mes5[[#This Row],[NETO GRAVADO]:[Otros / No Grav.]])</f>
        <v>3862259.5</v>
      </c>
      <c r="Q166" s="432" t="str">
        <f>IFERROR(IF(compras_mes5[[#This Row],[CUIT]]="","-",VLOOKUP(compras_mes5[[#This Row],[CUIT]],Lista_CUIT[#All],3,0)),"CUIT NO CARGADO")</f>
        <v>Productos Venta</v>
      </c>
      <c r="R166" s="432" t="str">
        <f>IFERROR(IF(compras_mes5[[#This Row],[CUIT]]="","-",VLOOKUP(compras_mes5[[#This Row],[CUIT]],Lista_CUIT[#All],4,0)),"CUIT NO CARGADO")</f>
        <v>BUENOS AIRES</v>
      </c>
    </row>
    <row r="167" spans="2:18" s="56" customFormat="1" ht="18.600000000000001" customHeight="1">
      <c r="B167" s="425">
        <v>45414</v>
      </c>
      <c r="C167" s="427">
        <v>1</v>
      </c>
      <c r="D167" s="428">
        <v>6</v>
      </c>
      <c r="E167" s="429">
        <v>3098</v>
      </c>
      <c r="F167" s="430">
        <v>30574603788</v>
      </c>
      <c r="G167" s="436" t="str">
        <f>IFERROR(IF(compras_mes5[[#This Row],[CUIT]]="","-",VLOOKUP(compras_mes5[[#This Row],[CUIT]],Lista_CUIT[#All],2,0)),"CUIT NO CARGADO")</f>
        <v>CODAC SRL</v>
      </c>
      <c r="H167" s="431">
        <v>235400</v>
      </c>
      <c r="I167" s="426">
        <f>IF(compras_mes5[[#This Row],[NETO GRAVADO]]="","",compras_mes5[[#This Row],[NETO GRAVADO]]*0.21)</f>
        <v>49434</v>
      </c>
      <c r="J167" s="426"/>
      <c r="K167" s="426"/>
      <c r="L167" s="426"/>
      <c r="M167" s="426"/>
      <c r="N167" s="426"/>
      <c r="O167" s="426"/>
      <c r="P167" s="424">
        <f>SUM(compras_mes5[[#This Row],[NETO GRAVADO]:[Otros / No Grav.]])</f>
        <v>284834</v>
      </c>
      <c r="Q167" s="432" t="str">
        <f>IFERROR(IF(compras_mes5[[#This Row],[CUIT]]="","-",VLOOKUP(compras_mes5[[#This Row],[CUIT]],Lista_CUIT[#All],3,0)),"CUIT NO CARGADO")</f>
        <v>Productos Venta</v>
      </c>
      <c r="R167" s="432" t="str">
        <f>IFERROR(IF(compras_mes5[[#This Row],[CUIT]]="","-",VLOOKUP(compras_mes5[[#This Row],[CUIT]],Lista_CUIT[#All],4,0)),"CUIT NO CARGADO")</f>
        <v>BUENOS AIRES</v>
      </c>
    </row>
    <row r="168" spans="2:18" s="56" customFormat="1" ht="18.600000000000001" customHeight="1">
      <c r="B168" s="425">
        <v>45414</v>
      </c>
      <c r="C168" s="427">
        <v>1</v>
      </c>
      <c r="D168" s="428">
        <v>6</v>
      </c>
      <c r="E168" s="429">
        <v>3102</v>
      </c>
      <c r="F168" s="430">
        <v>30574603788</v>
      </c>
      <c r="G168" s="436" t="str">
        <f>IFERROR(IF(compras_mes5[[#This Row],[CUIT]]="","-",VLOOKUP(compras_mes5[[#This Row],[CUIT]],Lista_CUIT[#All],2,0)),"CUIT NO CARGADO")</f>
        <v>CODAC SRL</v>
      </c>
      <c r="H168" s="431">
        <v>2082855</v>
      </c>
      <c r="I168" s="426">
        <f>IF(compras_mes5[[#This Row],[NETO GRAVADO]]="","",compras_mes5[[#This Row],[NETO GRAVADO]]*0.21)</f>
        <v>437399.55</v>
      </c>
      <c r="J168" s="426"/>
      <c r="K168" s="426"/>
      <c r="L168" s="426"/>
      <c r="M168" s="426"/>
      <c r="N168" s="426"/>
      <c r="O168" s="426"/>
      <c r="P168" s="424">
        <f>SUM(compras_mes5[[#This Row],[NETO GRAVADO]:[Otros / No Grav.]])</f>
        <v>2520254.5499999998</v>
      </c>
      <c r="Q168" s="432" t="str">
        <f>IFERROR(IF(compras_mes5[[#This Row],[CUIT]]="","-",VLOOKUP(compras_mes5[[#This Row],[CUIT]],Lista_CUIT[#All],3,0)),"CUIT NO CARGADO")</f>
        <v>Productos Venta</v>
      </c>
      <c r="R168" s="432" t="str">
        <f>IFERROR(IF(compras_mes5[[#This Row],[CUIT]]="","-",VLOOKUP(compras_mes5[[#This Row],[CUIT]],Lista_CUIT[#All],4,0)),"CUIT NO CARGADO")</f>
        <v>BUENOS AIRES</v>
      </c>
    </row>
    <row r="169" spans="2:18" s="56" customFormat="1" ht="18.600000000000001" customHeight="1">
      <c r="B169" s="425">
        <v>45427</v>
      </c>
      <c r="C169" s="427">
        <v>1</v>
      </c>
      <c r="D169" s="428">
        <v>6</v>
      </c>
      <c r="E169" s="429">
        <v>3114</v>
      </c>
      <c r="F169" s="430">
        <v>30574603788</v>
      </c>
      <c r="G169" s="436" t="str">
        <f>IFERROR(IF(compras_mes5[[#This Row],[CUIT]]="","-",VLOOKUP(compras_mes5[[#This Row],[CUIT]],Lista_CUIT[#All],2,0)),"CUIT NO CARGADO")</f>
        <v>CODAC SRL</v>
      </c>
      <c r="H169" s="431">
        <v>2274905</v>
      </c>
      <c r="I169" s="426">
        <f>IF(compras_mes5[[#This Row],[NETO GRAVADO]]="","",compras_mes5[[#This Row],[NETO GRAVADO]]*0.21)</f>
        <v>477730.05</v>
      </c>
      <c r="J169" s="426"/>
      <c r="K169" s="426"/>
      <c r="L169" s="426"/>
      <c r="M169" s="426"/>
      <c r="N169" s="426"/>
      <c r="O169" s="426"/>
      <c r="P169" s="424">
        <f>SUM(compras_mes5[[#This Row],[NETO GRAVADO]:[Otros / No Grav.]])</f>
        <v>2752635.05</v>
      </c>
      <c r="Q169" s="432" t="str">
        <f>IFERROR(IF(compras_mes5[[#This Row],[CUIT]]="","-",VLOOKUP(compras_mes5[[#This Row],[CUIT]],Lista_CUIT[#All],3,0)),"CUIT NO CARGADO")</f>
        <v>Productos Venta</v>
      </c>
      <c r="R169" s="432" t="str">
        <f>IFERROR(IF(compras_mes5[[#This Row],[CUIT]]="","-",VLOOKUP(compras_mes5[[#This Row],[CUIT]],Lista_CUIT[#All],4,0)),"CUIT NO CARGADO")</f>
        <v>BUENOS AIRES</v>
      </c>
    </row>
    <row r="170" spans="2:18" s="56" customFormat="1" ht="18.600000000000001" customHeight="1">
      <c r="B170" s="425">
        <v>45429</v>
      </c>
      <c r="C170" s="427">
        <v>3</v>
      </c>
      <c r="D170" s="428">
        <v>6</v>
      </c>
      <c r="E170" s="429">
        <v>467</v>
      </c>
      <c r="F170" s="430">
        <v>30574603788</v>
      </c>
      <c r="G170" s="436" t="str">
        <f>IFERROR(IF(compras_mes5[[#This Row],[CUIT]]="","-",VLOOKUP(compras_mes5[[#This Row],[CUIT]],Lista_CUIT[#All],2,0)),"CUIT NO CARGADO")</f>
        <v>CODAC SRL</v>
      </c>
      <c r="H170" s="431">
        <v>-162750</v>
      </c>
      <c r="I170" s="426">
        <f>IF(compras_mes5[[#This Row],[NETO GRAVADO]]="","",compras_mes5[[#This Row],[NETO GRAVADO]]*0.21)</f>
        <v>-34177.5</v>
      </c>
      <c r="J170" s="426"/>
      <c r="K170" s="426"/>
      <c r="L170" s="426"/>
      <c r="M170" s="426"/>
      <c r="N170" s="426"/>
      <c r="O170" s="426"/>
      <c r="P170" s="424">
        <f>SUM(compras_mes5[[#This Row],[NETO GRAVADO]:[Otros / No Grav.]])</f>
        <v>-196927.5</v>
      </c>
      <c r="Q170" s="432" t="str">
        <f>IFERROR(IF(compras_mes5[[#This Row],[CUIT]]="","-",VLOOKUP(compras_mes5[[#This Row],[CUIT]],Lista_CUIT[#All],3,0)),"CUIT NO CARGADO")</f>
        <v>Productos Venta</v>
      </c>
      <c r="R170" s="432" t="str">
        <f>IFERROR(IF(compras_mes5[[#This Row],[CUIT]]="","-",VLOOKUP(compras_mes5[[#This Row],[CUIT]],Lista_CUIT[#All],4,0)),"CUIT NO CARGADO")</f>
        <v>BUENOS AIRES</v>
      </c>
    </row>
    <row r="171" spans="2:18" s="56" customFormat="1" ht="18.600000000000001" customHeight="1">
      <c r="B171" s="425">
        <v>45429</v>
      </c>
      <c r="C171" s="41">
        <v>1</v>
      </c>
      <c r="D171" s="428">
        <v>6</v>
      </c>
      <c r="E171" s="429">
        <v>3123</v>
      </c>
      <c r="F171" s="430">
        <v>30574603788</v>
      </c>
      <c r="G171" s="436" t="str">
        <f>IFERROR(IF(compras_mes5[[#This Row],[CUIT]]="","-",VLOOKUP(compras_mes5[[#This Row],[CUIT]],Lista_CUIT[#All],2,0)),"CUIT NO CARGADO")</f>
        <v>CODAC SRL</v>
      </c>
      <c r="H171" s="431">
        <v>2965830</v>
      </c>
      <c r="I171" s="426">
        <f>IF(compras_mes5[[#This Row],[NETO GRAVADO]]="","",compras_mes5[[#This Row],[NETO GRAVADO]]*0.21)</f>
        <v>622824.29999999993</v>
      </c>
      <c r="J171" s="426"/>
      <c r="K171" s="426"/>
      <c r="L171" s="426"/>
      <c r="M171" s="426"/>
      <c r="N171" s="426"/>
      <c r="O171" s="426"/>
      <c r="P171" s="424">
        <f>SUM(compras_mes5[[#This Row],[NETO GRAVADO]:[Otros / No Grav.]])</f>
        <v>3588654.3</v>
      </c>
      <c r="Q171" s="432" t="str">
        <f>IFERROR(IF(compras_mes5[[#This Row],[CUIT]]="","-",VLOOKUP(compras_mes5[[#This Row],[CUIT]],Lista_CUIT[#All],3,0)),"CUIT NO CARGADO")</f>
        <v>Productos Venta</v>
      </c>
      <c r="R171" s="432" t="str">
        <f>IFERROR(IF(compras_mes5[[#This Row],[CUIT]]="","-",VLOOKUP(compras_mes5[[#This Row],[CUIT]],Lista_CUIT[#All],4,0)),"CUIT NO CARGADO")</f>
        <v>BUENOS AIRES</v>
      </c>
    </row>
    <row r="172" spans="2:18" s="56" customFormat="1" ht="18.600000000000001" customHeight="1">
      <c r="B172" s="425">
        <v>45432</v>
      </c>
      <c r="C172" s="427">
        <v>1</v>
      </c>
      <c r="D172" s="428">
        <v>6</v>
      </c>
      <c r="E172" s="429">
        <v>3125</v>
      </c>
      <c r="F172" s="430">
        <v>30574603788</v>
      </c>
      <c r="G172" s="436" t="str">
        <f>IFERROR(IF(compras_mes5[[#This Row],[CUIT]]="","-",VLOOKUP(compras_mes5[[#This Row],[CUIT]],Lista_CUIT[#All],2,0)),"CUIT NO CARGADO")</f>
        <v>CODAC SRL</v>
      </c>
      <c r="H172" s="431">
        <v>3222370</v>
      </c>
      <c r="I172" s="426">
        <f>IF(compras_mes5[[#This Row],[NETO GRAVADO]]="","",compras_mes5[[#This Row],[NETO GRAVADO]]*0.21)</f>
        <v>676697.7</v>
      </c>
      <c r="J172" s="426"/>
      <c r="K172" s="426"/>
      <c r="L172" s="426"/>
      <c r="M172" s="426"/>
      <c r="N172" s="426"/>
      <c r="O172" s="426"/>
      <c r="P172" s="424">
        <f>SUM(compras_mes5[[#This Row],[NETO GRAVADO]:[Otros / No Grav.]])</f>
        <v>3899067.7</v>
      </c>
      <c r="Q172" s="432" t="str">
        <f>IFERROR(IF(compras_mes5[[#This Row],[CUIT]]="","-",VLOOKUP(compras_mes5[[#This Row],[CUIT]],Lista_CUIT[#All],3,0)),"CUIT NO CARGADO")</f>
        <v>Productos Venta</v>
      </c>
      <c r="R172" s="432" t="str">
        <f>IFERROR(IF(compras_mes5[[#This Row],[CUIT]]="","-",VLOOKUP(compras_mes5[[#This Row],[CUIT]],Lista_CUIT[#All],4,0)),"CUIT NO CARGADO")</f>
        <v>BUENOS AIRES</v>
      </c>
    </row>
    <row r="173" spans="2:18" s="56" customFormat="1" ht="18.600000000000001" customHeight="1">
      <c r="B173" s="425">
        <v>45434</v>
      </c>
      <c r="C173" s="41">
        <v>3</v>
      </c>
      <c r="D173" s="428">
        <v>6</v>
      </c>
      <c r="E173" s="429">
        <v>468</v>
      </c>
      <c r="F173" s="430">
        <v>30574603788</v>
      </c>
      <c r="G173" s="436" t="str">
        <f>IFERROR(IF(compras_mes5[[#This Row],[CUIT]]="","-",VLOOKUP(compras_mes5[[#This Row],[CUIT]],Lista_CUIT[#All],2,0)),"CUIT NO CARGADO")</f>
        <v>CODAC SRL</v>
      </c>
      <c r="H173" s="431">
        <v>-3467770</v>
      </c>
      <c r="I173" s="426">
        <f>IF(compras_mes5[[#This Row],[NETO GRAVADO]]="","",compras_mes5[[#This Row],[NETO GRAVADO]]*0.21)</f>
        <v>-728231.7</v>
      </c>
      <c r="J173" s="426"/>
      <c r="K173" s="426"/>
      <c r="L173" s="426"/>
      <c r="M173" s="426"/>
      <c r="N173" s="426"/>
      <c r="O173" s="426"/>
      <c r="P173" s="424">
        <f>SUM(compras_mes5[[#This Row],[NETO GRAVADO]:[Otros / No Grav.]])</f>
        <v>-4196001.7</v>
      </c>
      <c r="Q173" s="432" t="str">
        <f>IFERROR(IF(compras_mes5[[#This Row],[CUIT]]="","-",VLOOKUP(compras_mes5[[#This Row],[CUIT]],Lista_CUIT[#All],3,0)),"CUIT NO CARGADO")</f>
        <v>Productos Venta</v>
      </c>
      <c r="R173" s="432" t="str">
        <f>IFERROR(IF(compras_mes5[[#This Row],[CUIT]]="","-",VLOOKUP(compras_mes5[[#This Row],[CUIT]],Lista_CUIT[#All],4,0)),"CUIT NO CARGADO")</f>
        <v>BUENOS AIRES</v>
      </c>
    </row>
    <row r="174" spans="2:18" s="56" customFormat="1" ht="18.600000000000001" customHeight="1">
      <c r="B174" s="425">
        <v>45434</v>
      </c>
      <c r="C174" s="41">
        <v>1</v>
      </c>
      <c r="D174" s="428">
        <v>6</v>
      </c>
      <c r="E174" s="429">
        <v>3133</v>
      </c>
      <c r="F174" s="430">
        <v>30574603788</v>
      </c>
      <c r="G174" s="436" t="str">
        <f>IFERROR(IF(compras_mes5[[#This Row],[CUIT]]="","-",VLOOKUP(compras_mes5[[#This Row],[CUIT]],Lista_CUIT[#All],2,0)),"CUIT NO CARGADO")</f>
        <v>CODAC SRL</v>
      </c>
      <c r="H174" s="431">
        <v>3467770</v>
      </c>
      <c r="I174" s="426">
        <f>IF(compras_mes5[[#This Row],[NETO GRAVADO]]="","",compras_mes5[[#This Row],[NETO GRAVADO]]*0.21)</f>
        <v>728231.7</v>
      </c>
      <c r="J174" s="426"/>
      <c r="K174" s="426"/>
      <c r="L174" s="426"/>
      <c r="M174" s="426"/>
      <c r="N174" s="426"/>
      <c r="O174" s="426"/>
      <c r="P174" s="424">
        <f>SUM(compras_mes5[[#This Row],[NETO GRAVADO]:[Otros / No Grav.]])</f>
        <v>4196001.7</v>
      </c>
      <c r="Q174" s="432" t="str">
        <f>IFERROR(IF(compras_mes5[[#This Row],[CUIT]]="","-",VLOOKUP(compras_mes5[[#This Row],[CUIT]],Lista_CUIT[#All],3,0)),"CUIT NO CARGADO")</f>
        <v>Productos Venta</v>
      </c>
      <c r="R174" s="432" t="str">
        <f>IFERROR(IF(compras_mes5[[#This Row],[CUIT]]="","-",VLOOKUP(compras_mes5[[#This Row],[CUIT]],Lista_CUIT[#All],4,0)),"CUIT NO CARGADO")</f>
        <v>BUENOS AIRES</v>
      </c>
    </row>
    <row r="175" spans="2:18" s="56" customFormat="1" ht="18.600000000000001" customHeight="1">
      <c r="B175" s="425">
        <v>45434</v>
      </c>
      <c r="C175" s="427">
        <v>1</v>
      </c>
      <c r="D175" s="428">
        <v>6</v>
      </c>
      <c r="E175" s="429">
        <v>3134</v>
      </c>
      <c r="F175" s="430">
        <v>30574603788</v>
      </c>
      <c r="G175" s="436" t="str">
        <f>IFERROR(IF(compras_mes5[[#This Row],[CUIT]]="","-",VLOOKUP(compras_mes5[[#This Row],[CUIT]],Lista_CUIT[#All],2,0)),"CUIT NO CARGADO")</f>
        <v>CODAC SRL</v>
      </c>
      <c r="H175" s="431">
        <v>3056575</v>
      </c>
      <c r="I175" s="426">
        <f>IF(compras_mes5[[#This Row],[NETO GRAVADO]]="","",compras_mes5[[#This Row],[NETO GRAVADO]]*0.21)</f>
        <v>641880.75</v>
      </c>
      <c r="J175" s="426"/>
      <c r="K175" s="426"/>
      <c r="L175" s="426"/>
      <c r="M175" s="426"/>
      <c r="N175" s="426"/>
      <c r="O175" s="426"/>
      <c r="P175" s="424">
        <f>SUM(compras_mes5[[#This Row],[NETO GRAVADO]:[Otros / No Grav.]])</f>
        <v>3698455.75</v>
      </c>
      <c r="Q175" s="432" t="str">
        <f>IFERROR(IF(compras_mes5[[#This Row],[CUIT]]="","-",VLOOKUP(compras_mes5[[#This Row],[CUIT]],Lista_CUIT[#All],3,0)),"CUIT NO CARGADO")</f>
        <v>Productos Venta</v>
      </c>
      <c r="R175" s="432" t="str">
        <f>IFERROR(IF(compras_mes5[[#This Row],[CUIT]]="","-",VLOOKUP(compras_mes5[[#This Row],[CUIT]],Lista_CUIT[#All],4,0)),"CUIT NO CARGADO")</f>
        <v>BUENOS AIRES</v>
      </c>
    </row>
    <row r="176" spans="2:18" s="56" customFormat="1" ht="18.600000000000001" customHeight="1">
      <c r="B176" s="425">
        <v>45414</v>
      </c>
      <c r="C176" s="427">
        <v>1</v>
      </c>
      <c r="D176" s="428">
        <v>2</v>
      </c>
      <c r="E176" s="429">
        <v>3666</v>
      </c>
      <c r="F176" s="430">
        <v>30629863571</v>
      </c>
      <c r="G176" s="436" t="str">
        <f>IFERROR(IF(compras_mes5[[#This Row],[CUIT]]="","-",VLOOKUP(compras_mes5[[#This Row],[CUIT]],Lista_CUIT[#All],2,0)),"CUIT NO CARGADO")</f>
        <v>TECNIMAR S R L</v>
      </c>
      <c r="H176" s="431">
        <v>2482701.2400000002</v>
      </c>
      <c r="I176" s="426">
        <f>IF(compras_mes5[[#This Row],[NETO GRAVADO]]="","",compras_mes5[[#This Row],[NETO GRAVADO]]*0.21)</f>
        <v>521367.26040000003</v>
      </c>
      <c r="J176" s="426"/>
      <c r="K176" s="426"/>
      <c r="L176" s="426"/>
      <c r="M176" s="426"/>
      <c r="N176" s="426"/>
      <c r="O176" s="426"/>
      <c r="P176" s="424">
        <f>SUM(compras_mes5[[#This Row],[NETO GRAVADO]:[Otros / No Grav.]])</f>
        <v>3004068.5004000003</v>
      </c>
      <c r="Q176" s="432" t="str">
        <f>IFERROR(IF(compras_mes5[[#This Row],[CUIT]]="","-",VLOOKUP(compras_mes5[[#This Row],[CUIT]],Lista_CUIT[#All],3,0)),"CUIT NO CARGADO")</f>
        <v>Productos Venta</v>
      </c>
      <c r="R176" s="432">
        <f>IFERROR(IF(compras_mes5[[#This Row],[CUIT]]="","-",VLOOKUP(compras_mes5[[#This Row],[CUIT]],Lista_CUIT[#All],4,0)),"CUIT NO CARGADO")</f>
        <v>0</v>
      </c>
    </row>
    <row r="177" spans="2:19" s="56" customFormat="1" ht="18.600000000000001" customHeight="1">
      <c r="B177" s="425">
        <v>45415</v>
      </c>
      <c r="C177" s="427">
        <v>1</v>
      </c>
      <c r="D177" s="428">
        <v>2</v>
      </c>
      <c r="E177" s="429">
        <v>3667</v>
      </c>
      <c r="F177" s="430">
        <v>30629863571</v>
      </c>
      <c r="G177" s="436" t="str">
        <f>IFERROR(IF(compras_mes5[[#This Row],[CUIT]]="","-",VLOOKUP(compras_mes5[[#This Row],[CUIT]],Lista_CUIT[#All],2,0)),"CUIT NO CARGADO")</f>
        <v>TECNIMAR S R L</v>
      </c>
      <c r="H177" s="431">
        <v>3432945.33</v>
      </c>
      <c r="I177" s="426">
        <f>IF(compras_mes5[[#This Row],[NETO GRAVADO]]="","",compras_mes5[[#This Row],[NETO GRAVADO]]*0.21)</f>
        <v>720918.51930000004</v>
      </c>
      <c r="J177" s="426"/>
      <c r="K177" s="426"/>
      <c r="L177" s="426"/>
      <c r="M177" s="426"/>
      <c r="N177" s="426"/>
      <c r="O177" s="426"/>
      <c r="P177" s="424">
        <f>SUM(compras_mes5[[#This Row],[NETO GRAVADO]:[Otros / No Grav.]])</f>
        <v>4153863.8492999999</v>
      </c>
      <c r="Q177" s="432" t="str">
        <f>IFERROR(IF(compras_mes5[[#This Row],[CUIT]]="","-",VLOOKUP(compras_mes5[[#This Row],[CUIT]],Lista_CUIT[#All],3,0)),"CUIT NO CARGADO")</f>
        <v>Productos Venta</v>
      </c>
      <c r="R177" s="432">
        <f>IFERROR(IF(compras_mes5[[#This Row],[CUIT]]="","-",VLOOKUP(compras_mes5[[#This Row],[CUIT]],Lista_CUIT[#All],4,0)),"CUIT NO CARGADO")</f>
        <v>0</v>
      </c>
    </row>
    <row r="178" spans="2:19" s="56" customFormat="1" ht="18.600000000000001" customHeight="1">
      <c r="B178" s="425">
        <v>45418</v>
      </c>
      <c r="C178" s="427">
        <v>1</v>
      </c>
      <c r="D178" s="428">
        <v>1</v>
      </c>
      <c r="E178" s="429">
        <v>96</v>
      </c>
      <c r="F178" s="430">
        <v>30718148207</v>
      </c>
      <c r="G178" s="436" t="str">
        <f>IFERROR(IF(compras_mes5[[#This Row],[CUIT]]="","-",VLOOKUP(compras_mes5[[#This Row],[CUIT]],Lista_CUIT[#All],2,0)),"CUIT NO CARGADO")</f>
        <v>VIPA INTERNATIONAL S.R.L.</v>
      </c>
      <c r="H178" s="431">
        <v>1383600</v>
      </c>
      <c r="I178" s="426">
        <f>IF(compras_mes5[[#This Row],[NETO GRAVADO]]="","",compras_mes5[[#This Row],[NETO GRAVADO]]*0.21)</f>
        <v>290556</v>
      </c>
      <c r="J178" s="426"/>
      <c r="K178" s="426"/>
      <c r="L178" s="426"/>
      <c r="M178" s="426"/>
      <c r="N178" s="426"/>
      <c r="O178" s="426"/>
      <c r="P178" s="424">
        <f>SUM(compras_mes5[[#This Row],[NETO GRAVADO]:[Otros / No Grav.]])</f>
        <v>1674156</v>
      </c>
      <c r="Q178" s="432" t="str">
        <f>IFERROR(IF(compras_mes5[[#This Row],[CUIT]]="","-",VLOOKUP(compras_mes5[[#This Row],[CUIT]],Lista_CUIT[#All],3,0)),"CUIT NO CARGADO")</f>
        <v>Productos Venta</v>
      </c>
      <c r="R178" s="432">
        <f>IFERROR(IF(compras_mes5[[#This Row],[CUIT]]="","-",VLOOKUP(compras_mes5[[#This Row],[CUIT]],Lista_CUIT[#All],4,0)),"CUIT NO CARGADO")</f>
        <v>0</v>
      </c>
    </row>
    <row r="179" spans="2:19" s="56" customFormat="1" ht="18.600000000000001" customHeight="1">
      <c r="B179" s="425">
        <v>45420</v>
      </c>
      <c r="C179" s="427">
        <v>1</v>
      </c>
      <c r="D179" s="428">
        <v>2</v>
      </c>
      <c r="E179" s="429">
        <v>3670</v>
      </c>
      <c r="F179" s="430">
        <v>30629863571</v>
      </c>
      <c r="G179" s="436" t="str">
        <f>IFERROR(IF(compras_mes5[[#This Row],[CUIT]]="","-",VLOOKUP(compras_mes5[[#This Row],[CUIT]],Lista_CUIT[#All],2,0)),"CUIT NO CARGADO")</f>
        <v>TECNIMAR S R L</v>
      </c>
      <c r="H179" s="431">
        <v>1262400</v>
      </c>
      <c r="I179" s="426">
        <f>IF(compras_mes5[[#This Row],[NETO GRAVADO]]="","",compras_mes5[[#This Row],[NETO GRAVADO]]*0.21)</f>
        <v>265104</v>
      </c>
      <c r="J179" s="426"/>
      <c r="K179" s="426"/>
      <c r="L179" s="426"/>
      <c r="M179" s="426"/>
      <c r="N179" s="426"/>
      <c r="O179" s="426"/>
      <c r="P179" s="424">
        <f>SUM(compras_mes5[[#This Row],[NETO GRAVADO]:[Otros / No Grav.]])</f>
        <v>1527504</v>
      </c>
      <c r="Q179" s="432" t="str">
        <f>IFERROR(IF(compras_mes5[[#This Row],[CUIT]]="","-",VLOOKUP(compras_mes5[[#This Row],[CUIT]],Lista_CUIT[#All],3,0)),"CUIT NO CARGADO")</f>
        <v>Productos Venta</v>
      </c>
      <c r="R179" s="432">
        <f>IFERROR(IF(compras_mes5[[#This Row],[CUIT]]="","-",VLOOKUP(compras_mes5[[#This Row],[CUIT]],Lista_CUIT[#All],4,0)),"CUIT NO CARGADO")</f>
        <v>0</v>
      </c>
    </row>
    <row r="180" spans="2:19" s="56" customFormat="1" ht="18.600000000000001" customHeight="1">
      <c r="B180" s="425">
        <v>45425</v>
      </c>
      <c r="C180" s="427">
        <v>1</v>
      </c>
      <c r="D180" s="428">
        <v>2</v>
      </c>
      <c r="E180" s="429">
        <v>3673</v>
      </c>
      <c r="F180" s="430">
        <v>30629863571</v>
      </c>
      <c r="G180" s="436" t="str">
        <f>IFERROR(IF(compras_mes5[[#This Row],[CUIT]]="","-",VLOOKUP(compras_mes5[[#This Row],[CUIT]],Lista_CUIT[#All],2,0)),"CUIT NO CARGADO")</f>
        <v>TECNIMAR S R L</v>
      </c>
      <c r="H180" s="431">
        <v>2379083.38</v>
      </c>
      <c r="I180" s="426">
        <f>IF(compras_mes5[[#This Row],[NETO GRAVADO]]="","",compras_mes5[[#This Row],[NETO GRAVADO]]*0.21)</f>
        <v>499607.50979999994</v>
      </c>
      <c r="J180" s="426"/>
      <c r="K180" s="426"/>
      <c r="L180" s="426"/>
      <c r="M180" s="426"/>
      <c r="N180" s="426"/>
      <c r="O180" s="426"/>
      <c r="P180" s="424">
        <f>SUM(compras_mes5[[#This Row],[NETO GRAVADO]:[Otros / No Grav.]])</f>
        <v>2878690.8898</v>
      </c>
      <c r="Q180" s="432" t="str">
        <f>IFERROR(IF(compras_mes5[[#This Row],[CUIT]]="","-",VLOOKUP(compras_mes5[[#This Row],[CUIT]],Lista_CUIT[#All],3,0)),"CUIT NO CARGADO")</f>
        <v>Productos Venta</v>
      </c>
      <c r="R180" s="432">
        <f>IFERROR(IF(compras_mes5[[#This Row],[CUIT]]="","-",VLOOKUP(compras_mes5[[#This Row],[CUIT]],Lista_CUIT[#All],4,0)),"CUIT NO CARGADO")</f>
        <v>0</v>
      </c>
    </row>
    <row r="181" spans="2:19" s="56" customFormat="1" ht="18.600000000000001" customHeight="1">
      <c r="B181" s="425">
        <v>45427</v>
      </c>
      <c r="C181" s="427">
        <v>1</v>
      </c>
      <c r="D181" s="428">
        <v>1</v>
      </c>
      <c r="E181" s="429">
        <v>97</v>
      </c>
      <c r="F181" s="430">
        <v>30718148207</v>
      </c>
      <c r="G181" s="436" t="str">
        <f>IFERROR(IF(compras_mes5[[#This Row],[CUIT]]="","-",VLOOKUP(compras_mes5[[#This Row],[CUIT]],Lista_CUIT[#All],2,0)),"CUIT NO CARGADO")</f>
        <v>VIPA INTERNATIONAL S.R.L.</v>
      </c>
      <c r="H181" s="431">
        <v>2061815</v>
      </c>
      <c r="I181" s="426">
        <f>IF(compras_mes5[[#This Row],[NETO GRAVADO]]="","",compras_mes5[[#This Row],[NETO GRAVADO]]*0.21)</f>
        <v>432981.14999999997</v>
      </c>
      <c r="J181" s="426"/>
      <c r="K181" s="426"/>
      <c r="L181" s="426"/>
      <c r="M181" s="426"/>
      <c r="N181" s="426"/>
      <c r="O181" s="426"/>
      <c r="P181" s="424">
        <f>SUM(compras_mes5[[#This Row],[NETO GRAVADO]:[Otros / No Grav.]])</f>
        <v>2494796.15</v>
      </c>
      <c r="Q181" s="432" t="str">
        <f>IFERROR(IF(compras_mes5[[#This Row],[CUIT]]="","-",VLOOKUP(compras_mes5[[#This Row],[CUIT]],Lista_CUIT[#All],3,0)),"CUIT NO CARGADO")</f>
        <v>Productos Venta</v>
      </c>
      <c r="R181" s="432">
        <f>IFERROR(IF(compras_mes5[[#This Row],[CUIT]]="","-",VLOOKUP(compras_mes5[[#This Row],[CUIT]],Lista_CUIT[#All],4,0)),"CUIT NO CARGADO")</f>
        <v>0</v>
      </c>
    </row>
    <row r="182" spans="2:19" s="56" customFormat="1" ht="18.600000000000001" customHeight="1">
      <c r="B182" s="425">
        <v>45427</v>
      </c>
      <c r="C182" s="427">
        <v>1</v>
      </c>
      <c r="D182" s="428">
        <v>2</v>
      </c>
      <c r="E182" s="429">
        <v>3677</v>
      </c>
      <c r="F182" s="430">
        <v>30629863571</v>
      </c>
      <c r="G182" s="436" t="str">
        <f>IFERROR(IF(compras_mes5[[#This Row],[CUIT]]="","-",VLOOKUP(compras_mes5[[#This Row],[CUIT]],Lista_CUIT[#All],2,0)),"CUIT NO CARGADO")</f>
        <v>TECNIMAR S R L</v>
      </c>
      <c r="H182" s="431">
        <v>991939.52</v>
      </c>
      <c r="I182" s="426">
        <f>IF(compras_mes5[[#This Row],[NETO GRAVADO]]="","",compras_mes5[[#This Row],[NETO GRAVADO]]*0.21)</f>
        <v>208307.29920000001</v>
      </c>
      <c r="J182" s="426"/>
      <c r="K182" s="426"/>
      <c r="L182" s="426"/>
      <c r="M182" s="426"/>
      <c r="N182" s="426"/>
      <c r="O182" s="426"/>
      <c r="P182" s="424">
        <f>SUM(compras_mes5[[#This Row],[NETO GRAVADO]:[Otros / No Grav.]])</f>
        <v>1200246.8192</v>
      </c>
      <c r="Q182" s="432" t="str">
        <f>IFERROR(IF(compras_mes5[[#This Row],[CUIT]]="","-",VLOOKUP(compras_mes5[[#This Row],[CUIT]],Lista_CUIT[#All],3,0)),"CUIT NO CARGADO")</f>
        <v>Productos Venta</v>
      </c>
      <c r="R182" s="432">
        <f>IFERROR(IF(compras_mes5[[#This Row],[CUIT]]="","-",VLOOKUP(compras_mes5[[#This Row],[CUIT]],Lista_CUIT[#All],4,0)),"CUIT NO CARGADO")</f>
        <v>0</v>
      </c>
    </row>
    <row r="183" spans="2:19" s="56" customFormat="1" ht="18.600000000000001" customHeight="1">
      <c r="B183" s="425">
        <v>45429</v>
      </c>
      <c r="C183" s="427">
        <v>1</v>
      </c>
      <c r="D183" s="428">
        <v>2</v>
      </c>
      <c r="E183" s="429">
        <v>3682</v>
      </c>
      <c r="F183" s="430">
        <v>30629863571</v>
      </c>
      <c r="G183" s="436" t="str">
        <f>IFERROR(IF(compras_mes5[[#This Row],[CUIT]]="","-",VLOOKUP(compras_mes5[[#This Row],[CUIT]],Lista_CUIT[#All],2,0)),"CUIT NO CARGADO")</f>
        <v>TECNIMAR S R L</v>
      </c>
      <c r="H183" s="431">
        <v>272169</v>
      </c>
      <c r="I183" s="426">
        <f>IF(compras_mes5[[#This Row],[NETO GRAVADO]]="","",compras_mes5[[#This Row],[NETO GRAVADO]]*0.21)</f>
        <v>57155.49</v>
      </c>
      <c r="J183" s="426"/>
      <c r="K183" s="426"/>
      <c r="L183" s="426"/>
      <c r="M183" s="426"/>
      <c r="N183" s="426"/>
      <c r="O183" s="426"/>
      <c r="P183" s="424">
        <f>SUM(compras_mes5[[#This Row],[NETO GRAVADO]:[Otros / No Grav.]])</f>
        <v>329324.49</v>
      </c>
      <c r="Q183" s="432" t="str">
        <f>IFERROR(IF(compras_mes5[[#This Row],[CUIT]]="","-",VLOOKUP(compras_mes5[[#This Row],[CUIT]],Lista_CUIT[#All],3,0)),"CUIT NO CARGADO")</f>
        <v>Productos Venta</v>
      </c>
      <c r="R183" s="432">
        <f>IFERROR(IF(compras_mes5[[#This Row],[CUIT]]="","-",VLOOKUP(compras_mes5[[#This Row],[CUIT]],Lista_CUIT[#All],4,0)),"CUIT NO CARGADO")</f>
        <v>0</v>
      </c>
    </row>
    <row r="184" spans="2:19" s="56" customFormat="1" ht="18.600000000000001" customHeight="1">
      <c r="B184" s="425">
        <v>45429</v>
      </c>
      <c r="C184" s="427">
        <v>1</v>
      </c>
      <c r="D184" s="428">
        <v>3</v>
      </c>
      <c r="E184" s="429">
        <v>6813</v>
      </c>
      <c r="F184" s="430">
        <v>30708006420</v>
      </c>
      <c r="G184" s="436" t="str">
        <f>IFERROR(IF(compras_mes5[[#This Row],[CUIT]]="","-",VLOOKUP(compras_mes5[[#This Row],[CUIT]],Lista_CUIT[#All],2,0)),"CUIT NO CARGADO")</f>
        <v>MEDILEA S.A.</v>
      </c>
      <c r="H184" s="431">
        <v>1056500</v>
      </c>
      <c r="I184" s="426">
        <f>IF(compras_mes5[[#This Row],[NETO GRAVADO]]="","",compras_mes5[[#This Row],[NETO GRAVADO]]*0.21)</f>
        <v>221865</v>
      </c>
      <c r="J184" s="426"/>
      <c r="K184" s="426"/>
      <c r="L184" s="426"/>
      <c r="M184" s="426"/>
      <c r="N184" s="426"/>
      <c r="O184" s="426"/>
      <c r="P184" s="424">
        <f>SUM(compras_mes5[[#This Row],[NETO GRAVADO]:[Otros / No Grav.]])</f>
        <v>1278365</v>
      </c>
      <c r="Q184" s="432" t="str">
        <f>IFERROR(IF(compras_mes5[[#This Row],[CUIT]]="","-",VLOOKUP(compras_mes5[[#This Row],[CUIT]],Lista_CUIT[#All],3,0)),"CUIT NO CARGADO")</f>
        <v>Productos Venta</v>
      </c>
      <c r="R184" s="432">
        <f>IFERROR(IF(compras_mes5[[#This Row],[CUIT]]="","-",VLOOKUP(compras_mes5[[#This Row],[CUIT]],Lista_CUIT[#All],4,0)),"CUIT NO CARGADO")</f>
        <v>0</v>
      </c>
    </row>
    <row r="185" spans="2:19" s="56" customFormat="1" ht="18.600000000000001" customHeight="1">
      <c r="B185" s="425">
        <v>45432</v>
      </c>
      <c r="C185" s="427">
        <v>1</v>
      </c>
      <c r="D185" s="428">
        <v>2</v>
      </c>
      <c r="E185" s="429">
        <v>3684</v>
      </c>
      <c r="F185" s="430">
        <v>30629863571</v>
      </c>
      <c r="G185" s="436" t="str">
        <f>IFERROR(IF(compras_mes5[[#This Row],[CUIT]]="","-",VLOOKUP(compras_mes5[[#This Row],[CUIT]],Lista_CUIT[#All],2,0)),"CUIT NO CARGADO")</f>
        <v>TECNIMAR S R L</v>
      </c>
      <c r="H185" s="431">
        <v>3395008.38</v>
      </c>
      <c r="I185" s="426">
        <f>IF(compras_mes5[[#This Row],[NETO GRAVADO]]="","",compras_mes5[[#This Row],[NETO GRAVADO]]*0.21)</f>
        <v>712951.7598</v>
      </c>
      <c r="J185" s="426"/>
      <c r="K185" s="426"/>
      <c r="L185" s="426"/>
      <c r="M185" s="426"/>
      <c r="N185" s="426"/>
      <c r="O185" s="426"/>
      <c r="P185" s="424">
        <f>SUM(compras_mes5[[#This Row],[NETO GRAVADO]:[Otros / No Grav.]])</f>
        <v>4107960.1398</v>
      </c>
      <c r="Q185" s="432" t="str">
        <f>IFERROR(IF(compras_mes5[[#This Row],[CUIT]]="","-",VLOOKUP(compras_mes5[[#This Row],[CUIT]],Lista_CUIT[#All],3,0)),"CUIT NO CARGADO")</f>
        <v>Productos Venta</v>
      </c>
      <c r="R185" s="432">
        <f>IFERROR(IF(compras_mes5[[#This Row],[CUIT]]="","-",VLOOKUP(compras_mes5[[#This Row],[CUIT]],Lista_CUIT[#All],4,0)),"CUIT NO CARGADO")</f>
        <v>0</v>
      </c>
      <c r="S185" s="56" t="s">
        <v>1826</v>
      </c>
    </row>
    <row r="186" spans="2:19" s="56" customFormat="1" ht="18.75" customHeight="1">
      <c r="B186" s="425">
        <v>45433</v>
      </c>
      <c r="C186" s="427">
        <v>1</v>
      </c>
      <c r="D186" s="428">
        <v>2</v>
      </c>
      <c r="E186" s="429">
        <v>2681</v>
      </c>
      <c r="F186" s="430">
        <v>30715811622</v>
      </c>
      <c r="G186" s="436" t="str">
        <f>IFERROR(IF(compras_mes5[[#This Row],[CUIT]]="","-",VLOOKUP(compras_mes5[[#This Row],[CUIT]],Lista_CUIT[#All],2,0)),"CUIT NO CARGADO")</f>
        <v>VTEC SRL</v>
      </c>
      <c r="H186" s="431">
        <v>690008.64</v>
      </c>
      <c r="I186" s="426">
        <f>IF(compras_mes5[[#This Row],[NETO GRAVADO]]="","",compras_mes5[[#This Row],[NETO GRAVADO]]*0.21)</f>
        <v>144901.8144</v>
      </c>
      <c r="J186" s="426"/>
      <c r="K186" s="426"/>
      <c r="L186" s="426"/>
      <c r="M186" s="426"/>
      <c r="N186" s="426"/>
      <c r="O186" s="426"/>
      <c r="P186" s="424">
        <f>SUM(compras_mes5[[#This Row],[NETO GRAVADO]:[Otros / No Grav.]])</f>
        <v>834910.45440000005</v>
      </c>
      <c r="Q186" s="432" t="str">
        <f>IFERROR(IF(compras_mes5[[#This Row],[CUIT]]="","-",VLOOKUP(compras_mes5[[#This Row],[CUIT]],Lista_CUIT[#All],3,0)),"CUIT NO CARGADO")</f>
        <v>Productos Venta</v>
      </c>
      <c r="R186" s="432">
        <f>IFERROR(IF(compras_mes5[[#This Row],[CUIT]]="","-",VLOOKUP(compras_mes5[[#This Row],[CUIT]],Lista_CUIT[#All],4,0)),"CUIT NO CARGADO")</f>
        <v>0</v>
      </c>
      <c r="S186" s="56" t="s">
        <v>1826</v>
      </c>
    </row>
    <row r="187" spans="2:19" s="56" customFormat="1" ht="18" customHeight="1">
      <c r="B187" s="425">
        <v>45433</v>
      </c>
      <c r="C187" s="427">
        <v>1</v>
      </c>
      <c r="D187" s="428">
        <v>2</v>
      </c>
      <c r="E187" s="429">
        <v>3687</v>
      </c>
      <c r="F187" s="430">
        <v>30629863571</v>
      </c>
      <c r="G187" s="436" t="str">
        <f>IFERROR(IF(compras_mes5[[#This Row],[CUIT]]="","-",VLOOKUP(compras_mes5[[#This Row],[CUIT]],Lista_CUIT[#All],2,0)),"CUIT NO CARGADO")</f>
        <v>TECNIMAR S R L</v>
      </c>
      <c r="H187" s="431">
        <v>3610264</v>
      </c>
      <c r="I187" s="426">
        <f>IF(compras_mes5[[#This Row],[NETO GRAVADO]]="","",compras_mes5[[#This Row],[NETO GRAVADO]]*0.21)</f>
        <v>758155.44</v>
      </c>
      <c r="J187" s="426"/>
      <c r="K187" s="426"/>
      <c r="L187" s="426"/>
      <c r="M187" s="426"/>
      <c r="N187" s="426"/>
      <c r="O187" s="426"/>
      <c r="P187" s="424">
        <f>SUM(compras_mes5[[#This Row],[NETO GRAVADO]:[Otros / No Grav.]])</f>
        <v>4368419.4399999995</v>
      </c>
      <c r="Q187" s="432" t="str">
        <f>IFERROR(IF(compras_mes5[[#This Row],[CUIT]]="","-",VLOOKUP(compras_mes5[[#This Row],[CUIT]],Lista_CUIT[#All],3,0)),"CUIT NO CARGADO")</f>
        <v>Productos Venta</v>
      </c>
      <c r="R187" s="432">
        <f>IFERROR(IF(compras_mes5[[#This Row],[CUIT]]="","-",VLOOKUP(compras_mes5[[#This Row],[CUIT]],Lista_CUIT[#All],4,0)),"CUIT NO CARGADO")</f>
        <v>0</v>
      </c>
    </row>
    <row r="188" spans="2:19" s="56" customFormat="1" ht="16.5" customHeight="1">
      <c r="B188" s="425">
        <v>45433</v>
      </c>
      <c r="C188" s="427">
        <v>1</v>
      </c>
      <c r="D188" s="428">
        <v>5</v>
      </c>
      <c r="E188" s="429">
        <v>21193</v>
      </c>
      <c r="F188" s="430">
        <v>30616146447</v>
      </c>
      <c r="G188" s="436" t="str">
        <f>IFERROR(IF(compras_mes5[[#This Row],[CUIT]]="","-",VLOOKUP(compras_mes5[[#This Row],[CUIT]],Lista_CUIT[#All],2,0)),"CUIT NO CARGADO")</f>
        <v>EGEO SOCIEDAD DE RESPONSABILIDAD LIMITADA</v>
      </c>
      <c r="H188" s="431">
        <v>720000</v>
      </c>
      <c r="I188" s="426">
        <f>IF(compras_mes5[[#This Row],[NETO GRAVADO]]="","",compras_mes5[[#This Row],[NETO GRAVADO]]*0.21)</f>
        <v>151200</v>
      </c>
      <c r="J188" s="426"/>
      <c r="K188" s="426"/>
      <c r="L188" s="426"/>
      <c r="M188" s="426"/>
      <c r="N188" s="426"/>
      <c r="O188" s="426"/>
      <c r="P188" s="424">
        <f>SUM(compras_mes5[[#This Row],[NETO GRAVADO]:[Otros / No Grav.]])</f>
        <v>871200</v>
      </c>
      <c r="Q188" s="432" t="str">
        <f>IFERROR(IF(compras_mes5[[#This Row],[CUIT]]="","-",VLOOKUP(compras_mes5[[#This Row],[CUIT]],Lista_CUIT[#All],3,0)),"CUIT NO CARGADO")</f>
        <v>Productos Venta</v>
      </c>
      <c r="R188" s="432">
        <f>IFERROR(IF(compras_mes5[[#This Row],[CUIT]]="","-",VLOOKUP(compras_mes5[[#This Row],[CUIT]],Lista_CUIT[#All],4,0)),"CUIT NO CARGADO")</f>
        <v>0</v>
      </c>
    </row>
    <row r="189" spans="2:19" s="56" customFormat="1" ht="15.75" customHeight="1">
      <c r="B189" s="425">
        <v>45434</v>
      </c>
      <c r="C189" s="427">
        <v>1</v>
      </c>
      <c r="D189" s="428">
        <v>2</v>
      </c>
      <c r="E189" s="429">
        <v>3688</v>
      </c>
      <c r="F189" s="430">
        <v>30629863571</v>
      </c>
      <c r="G189" s="436" t="str">
        <f>IFERROR(IF(compras_mes5[[#This Row],[CUIT]]="","-",VLOOKUP(compras_mes5[[#This Row],[CUIT]],Lista_CUIT[#All],2,0)),"CUIT NO CARGADO")</f>
        <v>TECNIMAR S R L</v>
      </c>
      <c r="H189" s="431">
        <v>1839266.86</v>
      </c>
      <c r="I189" s="426">
        <f>IF(compras_mes5[[#This Row],[NETO GRAVADO]]="","",compras_mes5[[#This Row],[NETO GRAVADO]]*0.21)</f>
        <v>386246.04060000001</v>
      </c>
      <c r="J189" s="426"/>
      <c r="K189" s="426"/>
      <c r="L189" s="426"/>
      <c r="M189" s="426"/>
      <c r="N189" s="426"/>
      <c r="O189" s="426"/>
      <c r="P189" s="424">
        <f>SUM(compras_mes5[[#This Row],[NETO GRAVADO]:[Otros / No Grav.]])</f>
        <v>2225512.9006000003</v>
      </c>
      <c r="Q189" s="432" t="str">
        <f>IFERROR(IF(compras_mes5[[#This Row],[CUIT]]="","-",VLOOKUP(compras_mes5[[#This Row],[CUIT]],Lista_CUIT[#All],3,0)),"CUIT NO CARGADO")</f>
        <v>Productos Venta</v>
      </c>
      <c r="R189" s="432">
        <f>IFERROR(IF(compras_mes5[[#This Row],[CUIT]]="","-",VLOOKUP(compras_mes5[[#This Row],[CUIT]],Lista_CUIT[#All],4,0)),"CUIT NO CARGADO")</f>
        <v>0</v>
      </c>
    </row>
    <row r="190" spans="2:19" ht="15" customHeight="1">
      <c r="B190" s="425">
        <v>45436</v>
      </c>
      <c r="C190" s="427">
        <v>1</v>
      </c>
      <c r="D190" s="428">
        <v>2</v>
      </c>
      <c r="E190" s="429">
        <v>3692</v>
      </c>
      <c r="F190" s="430">
        <v>30629863571</v>
      </c>
      <c r="G190" s="436" t="str">
        <f>IFERROR(IF(compras_mes5[[#This Row],[CUIT]]="","-",VLOOKUP(compras_mes5[[#This Row],[CUIT]],Lista_CUIT[#All],2,0)),"CUIT NO CARGADO")</f>
        <v>TECNIMAR S R L</v>
      </c>
      <c r="H190" s="431">
        <v>1691744.05</v>
      </c>
      <c r="I190" s="426">
        <f>IF(compras_mes5[[#This Row],[NETO GRAVADO]]="","",compras_mes5[[#This Row],[NETO GRAVADO]]*0.21)</f>
        <v>355266.25050000002</v>
      </c>
      <c r="J190" s="426"/>
      <c r="K190" s="426"/>
      <c r="L190" s="426"/>
      <c r="M190" s="426"/>
      <c r="N190" s="426"/>
      <c r="O190" s="426"/>
      <c r="P190" s="424">
        <f>SUM(compras_mes5[[#This Row],[NETO GRAVADO]:[Otros / No Grav.]])</f>
        <v>2047010.3005000001</v>
      </c>
      <c r="Q190" s="432" t="str">
        <f>IFERROR(IF(compras_mes5[[#This Row],[CUIT]]="","-",VLOOKUP(compras_mes5[[#This Row],[CUIT]],Lista_CUIT[#All],3,0)),"CUIT NO CARGADO")</f>
        <v>Productos Venta</v>
      </c>
      <c r="R190" s="432">
        <f>IFERROR(IF(compras_mes5[[#This Row],[CUIT]]="","-",VLOOKUP(compras_mes5[[#This Row],[CUIT]],Lista_CUIT[#All],4,0)),"CUIT NO CARGADO")</f>
        <v>0</v>
      </c>
    </row>
    <row r="191" spans="2:19" ht="15" customHeight="1">
      <c r="B191" s="425">
        <v>45441</v>
      </c>
      <c r="C191" s="41">
        <v>1</v>
      </c>
      <c r="D191" s="428">
        <v>2</v>
      </c>
      <c r="E191" s="429">
        <v>3697</v>
      </c>
      <c r="F191" s="430">
        <v>30629863571</v>
      </c>
      <c r="G191" s="436" t="str">
        <f>IFERROR(IF(compras_mes5[[#This Row],[CUIT]]="","-",VLOOKUP(compras_mes5[[#This Row],[CUIT]],Lista_CUIT[#All],2,0)),"CUIT NO CARGADO")</f>
        <v>TECNIMAR S R L</v>
      </c>
      <c r="H191" s="431">
        <v>797440.14</v>
      </c>
      <c r="I191" s="426">
        <f>IF(compras_mes5[[#This Row],[NETO GRAVADO]]="","",compras_mes5[[#This Row],[NETO GRAVADO]]*0.21)</f>
        <v>167462.42939999999</v>
      </c>
      <c r="J191" s="426"/>
      <c r="K191" s="426"/>
      <c r="L191" s="426"/>
      <c r="M191" s="426"/>
      <c r="N191" s="426"/>
      <c r="O191" s="426"/>
      <c r="P191" s="424">
        <f>SUM(compras_mes5[[#This Row],[NETO GRAVADO]:[Otros / No Grav.]])</f>
        <v>964902.56940000004</v>
      </c>
      <c r="Q191" s="432" t="str">
        <f>IFERROR(IF(compras_mes5[[#This Row],[CUIT]]="","-",VLOOKUP(compras_mes5[[#This Row],[CUIT]],Lista_CUIT[#All],3,0)),"CUIT NO CARGADO")</f>
        <v>Productos Venta</v>
      </c>
      <c r="R191" s="432">
        <f>IFERROR(IF(compras_mes5[[#This Row],[CUIT]]="","-",VLOOKUP(compras_mes5[[#This Row],[CUIT]],Lista_CUIT[#All],4,0)),"CUIT NO CARGADO")</f>
        <v>0</v>
      </c>
    </row>
    <row r="192" spans="2:19" ht="15" customHeight="1">
      <c r="B192" s="425">
        <v>45442</v>
      </c>
      <c r="C192" s="427">
        <v>1</v>
      </c>
      <c r="D192" s="428">
        <v>2</v>
      </c>
      <c r="E192" s="429">
        <v>3698</v>
      </c>
      <c r="F192" s="430">
        <v>30629863571</v>
      </c>
      <c r="G192" s="436" t="str">
        <f>IFERROR(IF(compras_mes5[[#This Row],[CUIT]]="","-",VLOOKUP(compras_mes5[[#This Row],[CUIT]],Lista_CUIT[#All],2,0)),"CUIT NO CARGADO")</f>
        <v>TECNIMAR S R L</v>
      </c>
      <c r="H192" s="431">
        <v>1716514.76</v>
      </c>
      <c r="I192" s="426">
        <f>IF(compras_mes5[[#This Row],[NETO GRAVADO]]="","",compras_mes5[[#This Row],[NETO GRAVADO]]*0.21)</f>
        <v>360468.09960000002</v>
      </c>
      <c r="J192" s="426"/>
      <c r="K192" s="426"/>
      <c r="L192" s="426"/>
      <c r="M192" s="426"/>
      <c r="N192" s="426"/>
      <c r="O192" s="426"/>
      <c r="P192" s="424">
        <f>SUM(compras_mes5[[#This Row],[NETO GRAVADO]:[Otros / No Grav.]])</f>
        <v>2076982.8596000001</v>
      </c>
      <c r="Q192" s="432" t="str">
        <f>IFERROR(IF(compras_mes5[[#This Row],[CUIT]]="","-",VLOOKUP(compras_mes5[[#This Row],[CUIT]],Lista_CUIT[#All],3,0)),"CUIT NO CARGADO")</f>
        <v>Productos Venta</v>
      </c>
      <c r="R192" s="432">
        <f>IFERROR(IF(compras_mes5[[#This Row],[CUIT]]="","-",VLOOKUP(compras_mes5[[#This Row],[CUIT]],Lista_CUIT[#All],4,0)),"CUIT NO CARGADO")</f>
        <v>0</v>
      </c>
    </row>
    <row r="193" spans="2:19" ht="15" customHeight="1">
      <c r="B193" s="425">
        <v>45442</v>
      </c>
      <c r="C193" s="427">
        <v>1</v>
      </c>
      <c r="D193" s="428">
        <v>5</v>
      </c>
      <c r="E193" s="429">
        <v>21235</v>
      </c>
      <c r="F193" s="430">
        <v>30616146447</v>
      </c>
      <c r="G193" s="436" t="str">
        <f>IFERROR(IF(compras_mes5[[#This Row],[CUIT]]="","-",VLOOKUP(compras_mes5[[#This Row],[CUIT]],Lista_CUIT[#All],2,0)),"CUIT NO CARGADO")</f>
        <v>EGEO SOCIEDAD DE RESPONSABILIDAD LIMITADA</v>
      </c>
      <c r="H193" s="431">
        <v>720000</v>
      </c>
      <c r="I193" s="426">
        <f>IF(compras_mes5[[#This Row],[NETO GRAVADO]]="","",compras_mes5[[#This Row],[NETO GRAVADO]]*0.21)</f>
        <v>151200</v>
      </c>
      <c r="J193" s="426"/>
      <c r="K193" s="426"/>
      <c r="L193" s="426"/>
      <c r="M193" s="426"/>
      <c r="N193" s="426"/>
      <c r="O193" s="426"/>
      <c r="P193" s="424">
        <f>SUM(compras_mes5[[#This Row],[NETO GRAVADO]:[Otros / No Grav.]])</f>
        <v>871200</v>
      </c>
      <c r="Q193" s="432" t="str">
        <f>IFERROR(IF(compras_mes5[[#This Row],[CUIT]]="","-",VLOOKUP(compras_mes5[[#This Row],[CUIT]],Lista_CUIT[#All],3,0)),"CUIT NO CARGADO")</f>
        <v>Productos Venta</v>
      </c>
      <c r="R193" s="432">
        <f>IFERROR(IF(compras_mes5[[#This Row],[CUIT]]="","-",VLOOKUP(compras_mes5[[#This Row],[CUIT]],Lista_CUIT[#All],4,0)),"CUIT NO CARGADO")</f>
        <v>0</v>
      </c>
      <c r="S193" t="s">
        <v>1826</v>
      </c>
    </row>
    <row r="194" spans="2:19" ht="15.75" customHeight="1">
      <c r="B194" s="425">
        <v>45415</v>
      </c>
      <c r="C194" s="41">
        <v>1</v>
      </c>
      <c r="D194" s="428">
        <v>3099</v>
      </c>
      <c r="E194" s="429">
        <v>119655</v>
      </c>
      <c r="F194" s="430">
        <v>30678814357</v>
      </c>
      <c r="G194" s="436" t="str">
        <f>IFERROR(IF(compras_mes5[[#This Row],[CUIT]]="","-",VLOOKUP(compras_mes5[[#This Row],[CUIT]],Lista_CUIT[#All],2,0)),"CUIT NO CARGADO")</f>
        <v>TELEFONICA MOVILES ARG</v>
      </c>
      <c r="H194" s="431">
        <v>95280</v>
      </c>
      <c r="I194" s="426"/>
      <c r="J194" s="426">
        <f>compras_mes5[[#This Row],[NETO GRAVADO]]*0.27</f>
        <v>25725.600000000002</v>
      </c>
      <c r="K194" s="426"/>
      <c r="L194" s="426">
        <v>2858.4</v>
      </c>
      <c r="M194" s="426"/>
      <c r="N194" s="426">
        <v>5716.8</v>
      </c>
      <c r="O194" s="426"/>
      <c r="P194" s="424">
        <f>SUM(compras_mes5[[#This Row],[NETO GRAVADO]:[Otros / No Grav.]])</f>
        <v>129580.8</v>
      </c>
      <c r="Q194" s="432" t="str">
        <f>IFERROR(IF(compras_mes5[[#This Row],[CUIT]]="","-",VLOOKUP(compras_mes5[[#This Row],[CUIT]],Lista_CUIT[#All],3,0)),"CUIT NO CARGADO")</f>
        <v>Servicios Gas, Luz, etc.</v>
      </c>
      <c r="R194" s="432">
        <f>IFERROR(IF(compras_mes5[[#This Row],[CUIT]]="","-",VLOOKUP(compras_mes5[[#This Row],[CUIT]],Lista_CUIT[#All],4,0)),"CUIT NO CARGADO")</f>
        <v>0</v>
      </c>
    </row>
    <row r="195" spans="2:19">
      <c r="B195" s="425">
        <v>45418</v>
      </c>
      <c r="C195" s="41">
        <v>1</v>
      </c>
      <c r="D195" s="428">
        <v>3</v>
      </c>
      <c r="E195" s="429">
        <v>21821</v>
      </c>
      <c r="F195" s="430">
        <v>33707953549</v>
      </c>
      <c r="G195" s="436" t="str">
        <f>IFERROR(IF(compras_mes5[[#This Row],[CUIT]]="","-",VLOOKUP(compras_mes5[[#This Row],[CUIT]],Lista_CUIT[#All],2,0)),"CUIT NO CARGADO")</f>
        <v>TELESMART</v>
      </c>
      <c r="H195" s="431">
        <v>17000</v>
      </c>
      <c r="I195" s="426">
        <f>IF(compras_mes5[[#This Row],[NETO GRAVADO]]="","",compras_mes5[[#This Row],[NETO GRAVADO]]*0.21)</f>
        <v>3570</v>
      </c>
      <c r="J195" s="426"/>
      <c r="K195" s="426"/>
      <c r="L195" s="426"/>
      <c r="M195" s="426"/>
      <c r="N195" s="426"/>
      <c r="O195" s="426"/>
      <c r="P195" s="424">
        <f>SUM(compras_mes5[[#This Row],[NETO GRAVADO]:[Otros / No Grav.]])</f>
        <v>20570</v>
      </c>
      <c r="Q195" s="432" t="str">
        <f>IFERROR(IF(compras_mes5[[#This Row],[CUIT]]="","-",VLOOKUP(compras_mes5[[#This Row],[CUIT]],Lista_CUIT[#All],3,0)),"CUIT NO CARGADO")</f>
        <v>Servicios Gas, Luz, etc.</v>
      </c>
      <c r="R195" s="432">
        <f>IFERROR(IF(compras_mes5[[#This Row],[CUIT]]="","-",VLOOKUP(compras_mes5[[#This Row],[CUIT]],Lista_CUIT[#All],4,0)),"CUIT NO CARGADO")</f>
        <v>0</v>
      </c>
    </row>
    <row r="196" spans="2:19">
      <c r="B196" s="425">
        <v>45418</v>
      </c>
      <c r="C196" s="427">
        <v>1</v>
      </c>
      <c r="D196" s="428">
        <v>63</v>
      </c>
      <c r="E196" s="429">
        <v>2822312</v>
      </c>
      <c r="F196" s="430">
        <v>30640897267</v>
      </c>
      <c r="G196" s="436" t="str">
        <f>IFERROR(IF(compras_mes5[[#This Row],[CUIT]]="","-",VLOOKUP(compras_mes5[[#This Row],[CUIT]],Lista_CUIT[#All],2,0)),"CUIT NO CARGADO")</f>
        <v>TELECENTRO S.A.</v>
      </c>
      <c r="H196" s="431">
        <v>42715.7</v>
      </c>
      <c r="I196" s="426">
        <f>IF(compras_mes5[[#This Row],[NETO GRAVADO]]="","",compras_mes5[[#This Row],[NETO GRAVADO]]*0.21)</f>
        <v>8970.2969999999987</v>
      </c>
      <c r="J196" s="426"/>
      <c r="K196" s="426"/>
      <c r="L196" s="426">
        <v>1281.47</v>
      </c>
      <c r="M196" s="426"/>
      <c r="N196" s="426">
        <v>2562.94</v>
      </c>
      <c r="O196" s="426"/>
      <c r="P196" s="424">
        <f>SUM(compras_mes5[[#This Row],[NETO GRAVADO]:[Otros / No Grav.]])</f>
        <v>55530.406999999999</v>
      </c>
      <c r="Q196" s="432" t="str">
        <f>IFERROR(IF(compras_mes5[[#This Row],[CUIT]]="","-",VLOOKUP(compras_mes5[[#This Row],[CUIT]],Lista_CUIT[#All],3,0)),"CUIT NO CARGADO")</f>
        <v>Servicios Gas, Luz, etc.</v>
      </c>
      <c r="R196" s="432">
        <f>IFERROR(IF(compras_mes5[[#This Row],[CUIT]]="","-",VLOOKUP(compras_mes5[[#This Row],[CUIT]],Lista_CUIT[#All],4,0)),"CUIT NO CARGADO")</f>
        <v>0</v>
      </c>
      <c r="S196" t="s">
        <v>1826</v>
      </c>
    </row>
    <row r="197" spans="2:19">
      <c r="B197" s="425">
        <v>45418</v>
      </c>
      <c r="C197" s="427">
        <v>1</v>
      </c>
      <c r="D197" s="428">
        <v>63</v>
      </c>
      <c r="E197" s="429">
        <v>2823122</v>
      </c>
      <c r="F197" s="430">
        <v>30640897267</v>
      </c>
      <c r="G197" s="436" t="str">
        <f>IFERROR(IF(compras_mes5[[#This Row],[CUIT]]="","-",VLOOKUP(compras_mes5[[#This Row],[CUIT]],Lista_CUIT[#All],2,0)),"CUIT NO CARGADO")</f>
        <v>TELECENTRO S.A.</v>
      </c>
      <c r="H197" s="431">
        <v>42715.7</v>
      </c>
      <c r="I197" s="426">
        <f>IF(compras_mes5[[#This Row],[NETO GRAVADO]]="","",compras_mes5[[#This Row],[NETO GRAVADO]]*0.21)</f>
        <v>8970.2969999999987</v>
      </c>
      <c r="J197" s="426"/>
      <c r="K197" s="426"/>
      <c r="L197" s="426">
        <v>1281.47</v>
      </c>
      <c r="M197" s="426"/>
      <c r="N197" s="426">
        <v>2562.94</v>
      </c>
      <c r="O197" s="426"/>
      <c r="P197" s="424">
        <f>SUM(compras_mes5[[#This Row],[NETO GRAVADO]:[Otros / No Grav.]])</f>
        <v>55530.406999999999</v>
      </c>
      <c r="Q197" s="432" t="str">
        <f>IFERROR(IF(compras_mes5[[#This Row],[CUIT]]="","-",VLOOKUP(compras_mes5[[#This Row],[CUIT]],Lista_CUIT[#All],3,0)),"CUIT NO CARGADO")</f>
        <v>Servicios Gas, Luz, etc.</v>
      </c>
      <c r="R197" s="432">
        <f>IFERROR(IF(compras_mes5[[#This Row],[CUIT]]="","-",VLOOKUP(compras_mes5[[#This Row],[CUIT]],Lista_CUIT[#All],4,0)),"CUIT NO CARGADO")</f>
        <v>0</v>
      </c>
      <c r="S197" t="s">
        <v>1826</v>
      </c>
    </row>
    <row r="198" spans="2:19">
      <c r="B198" s="425">
        <v>45421</v>
      </c>
      <c r="C198" s="427">
        <v>1</v>
      </c>
      <c r="D198" s="428">
        <v>3101</v>
      </c>
      <c r="E198" s="429">
        <v>85599</v>
      </c>
      <c r="F198" s="430">
        <v>30678814357</v>
      </c>
      <c r="G198" s="436" t="str">
        <f>IFERROR(IF(compras_mes5[[#This Row],[CUIT]]="","-",VLOOKUP(compras_mes5[[#This Row],[CUIT]],Lista_CUIT[#All],2,0)),"CUIT NO CARGADO")</f>
        <v>TELEFONICA MOVILES ARG</v>
      </c>
      <c r="H198" s="431">
        <v>28119</v>
      </c>
      <c r="I198" s="426"/>
      <c r="J198" s="426">
        <f>compras_mes5[[#This Row],[NETO GRAVADO]]*0.27</f>
        <v>7592.13</v>
      </c>
      <c r="K198" s="426"/>
      <c r="L198" s="426">
        <v>843.57</v>
      </c>
      <c r="M198" s="426"/>
      <c r="N198" s="426">
        <v>1687.14</v>
      </c>
      <c r="O198" s="426"/>
      <c r="P198" s="424">
        <f>SUM(compras_mes5[[#This Row],[NETO GRAVADO]:[Otros / No Grav.]])</f>
        <v>38241.839999999997</v>
      </c>
      <c r="Q198" s="432" t="str">
        <f>IFERROR(IF(compras_mes5[[#This Row],[CUIT]]="","-",VLOOKUP(compras_mes5[[#This Row],[CUIT]],Lista_CUIT[#All],3,0)),"CUIT NO CARGADO")</f>
        <v>Servicios Gas, Luz, etc.</v>
      </c>
      <c r="R198" s="432">
        <f>IFERROR(IF(compras_mes5[[#This Row],[CUIT]]="","-",VLOOKUP(compras_mes5[[#This Row],[CUIT]],Lista_CUIT[#All],4,0)),"CUIT NO CARGADO")</f>
        <v>0</v>
      </c>
      <c r="S198" t="s">
        <v>1826</v>
      </c>
    </row>
    <row r="199" spans="2:19">
      <c r="B199" s="425">
        <v>45422</v>
      </c>
      <c r="C199" s="427">
        <v>1</v>
      </c>
      <c r="D199" s="428">
        <v>6364</v>
      </c>
      <c r="E199" s="429">
        <v>8313120</v>
      </c>
      <c r="F199" s="430">
        <v>30639453738</v>
      </c>
      <c r="G199" s="436" t="str">
        <f>IFERROR(IF(compras_mes5[[#This Row],[CUIT]]="","-",VLOOKUP(compras_mes5[[#This Row],[CUIT]],Lista_CUIT[#All],2,0)),"CUIT NO CARGADO")</f>
        <v>TELECOM ARG SA</v>
      </c>
      <c r="H199" s="431">
        <v>185990.08</v>
      </c>
      <c r="I199" s="426">
        <f>168132.06*0.21</f>
        <v>35307.732599999996</v>
      </c>
      <c r="J199" s="426">
        <f>17858.02*0.27</f>
        <v>4821.6654000000008</v>
      </c>
      <c r="K199" s="426"/>
      <c r="L199" s="426"/>
      <c r="M199" s="426"/>
      <c r="N199" s="426">
        <v>10378.93</v>
      </c>
      <c r="O199" s="426">
        <v>5640.8</v>
      </c>
      <c r="P199" s="424">
        <f>SUM(compras_mes5[[#This Row],[NETO GRAVADO]:[Otros / No Grav.]])</f>
        <v>242139.20799999996</v>
      </c>
      <c r="Q199" s="432" t="str">
        <f>IFERROR(IF(compras_mes5[[#This Row],[CUIT]]="","-",VLOOKUP(compras_mes5[[#This Row],[CUIT]],Lista_CUIT[#All],3,0)),"CUIT NO CARGADO")</f>
        <v>Servicios Gas, Luz, etc.</v>
      </c>
      <c r="R199" s="432">
        <f>IFERROR(IF(compras_mes5[[#This Row],[CUIT]]="","-",VLOOKUP(compras_mes5[[#This Row],[CUIT]],Lista_CUIT[#All],4,0)),"CUIT NO CARGADO")</f>
        <v>0</v>
      </c>
    </row>
    <row r="200" spans="2:19">
      <c r="B200" s="425">
        <v>45430</v>
      </c>
      <c r="C200" s="427">
        <v>1</v>
      </c>
      <c r="D200" s="428">
        <v>4264</v>
      </c>
      <c r="E200" s="429">
        <v>3738689</v>
      </c>
      <c r="F200" s="430">
        <v>30639453738</v>
      </c>
      <c r="G200" s="436" t="str">
        <f>IFERROR(IF(compras_mes5[[#This Row],[CUIT]]="","-",VLOOKUP(compras_mes5[[#This Row],[CUIT]],Lista_CUIT[#All],2,0)),"CUIT NO CARGADO")</f>
        <v>TELECOM ARG SA</v>
      </c>
      <c r="H200" s="431">
        <v>64650</v>
      </c>
      <c r="I200" s="426">
        <f>IF(compras_mes5[[#This Row],[NETO GRAVADO]]="","",compras_mes5[[#This Row],[NETO GRAVADO]]*0.21)</f>
        <v>13576.5</v>
      </c>
      <c r="J200" s="426"/>
      <c r="K200" s="426"/>
      <c r="L200" s="426"/>
      <c r="M200" s="426"/>
      <c r="N200" s="426">
        <v>5818.5</v>
      </c>
      <c r="O200" s="426"/>
      <c r="P200" s="424">
        <f>SUM(compras_mes5[[#This Row],[NETO GRAVADO]:[Otros / No Grav.]])</f>
        <v>84045</v>
      </c>
      <c r="Q200" s="432" t="str">
        <f>IFERROR(IF(compras_mes5[[#This Row],[CUIT]]="","-",VLOOKUP(compras_mes5[[#This Row],[CUIT]],Lista_CUIT[#All],3,0)),"CUIT NO CARGADO")</f>
        <v>Servicios Gas, Luz, etc.</v>
      </c>
      <c r="R200" s="432">
        <f>IFERROR(IF(compras_mes5[[#This Row],[CUIT]]="","-",VLOOKUP(compras_mes5[[#This Row],[CUIT]],Lista_CUIT[#All],4,0)),"CUIT NO CARGADO")</f>
        <v>0</v>
      </c>
    </row>
    <row r="201" spans="2:19">
      <c r="B201" s="425">
        <v>45430</v>
      </c>
      <c r="C201" s="427">
        <v>1</v>
      </c>
      <c r="D201" s="428">
        <v>4264</v>
      </c>
      <c r="E201" s="429">
        <v>3746978</v>
      </c>
      <c r="F201" s="430">
        <v>30639453738</v>
      </c>
      <c r="G201" s="436" t="str">
        <f>IFERROR(IF(compras_mes5[[#This Row],[CUIT]]="","-",VLOOKUP(compras_mes5[[#This Row],[CUIT]],Lista_CUIT[#All],2,0)),"CUIT NO CARGADO")</f>
        <v>TELECOM ARG SA</v>
      </c>
      <c r="H201" s="431">
        <v>48000</v>
      </c>
      <c r="I201" s="426">
        <f>IF(compras_mes5[[#This Row],[NETO GRAVADO]]="","",compras_mes5[[#This Row],[NETO GRAVADO]]*0.21)</f>
        <v>10080</v>
      </c>
      <c r="J201" s="426"/>
      <c r="K201" s="426"/>
      <c r="L201" s="426"/>
      <c r="M201" s="426"/>
      <c r="N201" s="426">
        <v>1440</v>
      </c>
      <c r="O201" s="426"/>
      <c r="P201" s="424">
        <f>SUM(compras_mes5[[#This Row],[NETO GRAVADO]:[Otros / No Grav.]])</f>
        <v>59520</v>
      </c>
      <c r="Q201" s="432" t="str">
        <f>IFERROR(IF(compras_mes5[[#This Row],[CUIT]]="","-",VLOOKUP(compras_mes5[[#This Row],[CUIT]],Lista_CUIT[#All],3,0)),"CUIT NO CARGADO")</f>
        <v>Servicios Gas, Luz, etc.</v>
      </c>
      <c r="R201" s="432">
        <f>IFERROR(IF(compras_mes5[[#This Row],[CUIT]]="","-",VLOOKUP(compras_mes5[[#This Row],[CUIT]],Lista_CUIT[#All],4,0)),"CUIT NO CARGADO")</f>
        <v>0</v>
      </c>
    </row>
    <row r="202" spans="2:19">
      <c r="B202" s="425">
        <v>45430</v>
      </c>
      <c r="C202" s="427">
        <v>1</v>
      </c>
      <c r="D202" s="428">
        <v>4264</v>
      </c>
      <c r="E202" s="429">
        <v>3785384</v>
      </c>
      <c r="F202" s="430">
        <v>30639453738</v>
      </c>
      <c r="G202" s="436" t="str">
        <f>IFERROR(IF(compras_mes5[[#This Row],[CUIT]]="","-",VLOOKUP(compras_mes5[[#This Row],[CUIT]],Lista_CUIT[#All],2,0)),"CUIT NO CARGADO")</f>
        <v>TELECOM ARG SA</v>
      </c>
      <c r="H202" s="431">
        <v>129300</v>
      </c>
      <c r="I202" s="426">
        <f>IF(compras_mes5[[#This Row],[NETO GRAVADO]]="","",compras_mes5[[#This Row],[NETO GRAVADO]]*0.21)</f>
        <v>27153</v>
      </c>
      <c r="J202" s="426"/>
      <c r="K202" s="426"/>
      <c r="L202" s="426"/>
      <c r="M202" s="426"/>
      <c r="N202" s="426">
        <v>11637</v>
      </c>
      <c r="O202" s="426"/>
      <c r="P202" s="424">
        <f>SUM(compras_mes5[[#This Row],[NETO GRAVADO]:[Otros / No Grav.]])</f>
        <v>168090</v>
      </c>
      <c r="Q202" s="432" t="str">
        <f>IFERROR(IF(compras_mes5[[#This Row],[CUIT]]="","-",VLOOKUP(compras_mes5[[#This Row],[CUIT]],Lista_CUIT[#All],3,0)),"CUIT NO CARGADO")</f>
        <v>Servicios Gas, Luz, etc.</v>
      </c>
      <c r="R202" s="432">
        <f>IFERROR(IF(compras_mes5[[#This Row],[CUIT]]="","-",VLOOKUP(compras_mes5[[#This Row],[CUIT]],Lista_CUIT[#All],4,0)),"CUIT NO CARGADO")</f>
        <v>0</v>
      </c>
    </row>
    <row r="203" spans="2:19" ht="14.25" customHeight="1">
      <c r="B203" s="425">
        <v>45434</v>
      </c>
      <c r="C203" s="427">
        <v>1</v>
      </c>
      <c r="D203" s="428">
        <v>5</v>
      </c>
      <c r="E203" s="429">
        <v>3037559</v>
      </c>
      <c r="F203" s="430">
        <v>30702652975</v>
      </c>
      <c r="G203" s="436" t="str">
        <f>IFERROR(IF(compras_mes5[[#This Row],[CUIT]]="","-",VLOOKUP(compras_mes5[[#This Row],[CUIT]],Lista_CUIT[#All],2,0)),"CUIT NO CARGADO")</f>
        <v>NSS SA</v>
      </c>
      <c r="H203" s="431">
        <v>29073.03</v>
      </c>
      <c r="I203" s="426">
        <f>IF(compras_mes5[[#This Row],[NETO GRAVADO]]="","",compras_mes5[[#This Row],[NETO GRAVADO]]*0.21)</f>
        <v>6105.3362999999999</v>
      </c>
      <c r="J203" s="426"/>
      <c r="K203" s="426"/>
      <c r="L203" s="426"/>
      <c r="M203" s="426"/>
      <c r="N203" s="426">
        <v>1744.38</v>
      </c>
      <c r="O203" s="426"/>
      <c r="P203" s="424">
        <f>SUM(compras_mes5[[#This Row],[NETO GRAVADO]:[Otros / No Grav.]])</f>
        <v>36922.746299999999</v>
      </c>
      <c r="Q203" s="432" t="str">
        <f>IFERROR(IF(compras_mes5[[#This Row],[CUIT]]="","-",VLOOKUP(compras_mes5[[#This Row],[CUIT]],Lista_CUIT[#All],3,0)),"CUIT NO CARGADO")</f>
        <v>Servicios Gas, Luz, etc.</v>
      </c>
      <c r="R203" s="432">
        <f>IFERROR(IF(compras_mes5[[#This Row],[CUIT]]="","-",VLOOKUP(compras_mes5[[#This Row],[CUIT]],Lista_CUIT[#All],4,0)),"CUIT NO CARGADO")</f>
        <v>0</v>
      </c>
    </row>
    <row r="204" spans="2:19">
      <c r="B204" s="367">
        <v>45439</v>
      </c>
      <c r="C204" s="375">
        <v>1</v>
      </c>
      <c r="D204" s="368">
        <v>8</v>
      </c>
      <c r="E204" s="369">
        <v>4852</v>
      </c>
      <c r="F204" s="366">
        <v>30717096068</v>
      </c>
      <c r="G204" s="371" t="str">
        <f>IFERROR(IF(compras_mes5[[#This Row],[CUIT]]="","-",VLOOKUP(compras_mes5[[#This Row],[CUIT]],Lista_CUIT[#All],2,0)),"CUIT NO CARGADO")</f>
        <v>GADARO S.A.</v>
      </c>
      <c r="H204" s="372">
        <v>350413.22</v>
      </c>
      <c r="I204" s="373">
        <f>IF(compras_mes5[[#This Row],[NETO GRAVADO]]="","",compras_mes5[[#This Row],[NETO GRAVADO]]*0.21)</f>
        <v>73586.776199999993</v>
      </c>
      <c r="J204" s="373"/>
      <c r="K204" s="373"/>
      <c r="L204" s="373"/>
      <c r="M204" s="373"/>
      <c r="N204" s="373"/>
      <c r="O204" s="373"/>
      <c r="P204" s="483">
        <f>SUM(compras_mes5[[#This Row],[NETO GRAVADO]:[Otros / No Grav.]])</f>
        <v>423999.99619999994</v>
      </c>
      <c r="Q204" s="374" t="str">
        <f>IFERROR(IF(compras_mes5[[#This Row],[CUIT]]="","-",VLOOKUP(compras_mes5[[#This Row],[CUIT]],Lista_CUIT[#All],3,0)),"CUIT NO CARGADO")</f>
        <v>Servicios Gas, Luz, etc.</v>
      </c>
      <c r="R204" s="374">
        <f>IFERROR(IF(compras_mes5[[#This Row],[CUIT]]="","-",VLOOKUP(compras_mes5[[#This Row],[CUIT]],Lista_CUIT[#All],4,0)),"CUIT NO CARGADO")</f>
        <v>0</v>
      </c>
    </row>
    <row r="205" spans="2:19">
      <c r="B205" s="425">
        <v>45415</v>
      </c>
      <c r="C205" s="427">
        <v>1</v>
      </c>
      <c r="D205" s="428">
        <v>4</v>
      </c>
      <c r="E205" s="429">
        <v>74148</v>
      </c>
      <c r="F205" s="430">
        <v>30714749206</v>
      </c>
      <c r="G205" s="436" t="str">
        <f>IFERROR(IF(compras_mes5[[#This Row],[CUIT]]="","-",VLOOKUP(compras_mes5[[#This Row],[CUIT]],Lista_CUIT[#All],2,0)),"CUIT NO CARGADO")</f>
        <v>EBOX S.A.</v>
      </c>
      <c r="H205" s="431">
        <v>58637.1</v>
      </c>
      <c r="I205" s="426"/>
      <c r="J205" s="426"/>
      <c r="K205" s="426">
        <f>compras_mes5[[#This Row],[NETO GRAVADO]]*0.105</f>
        <v>6156.8954999999996</v>
      </c>
      <c r="L205" s="426"/>
      <c r="M205" s="426"/>
      <c r="N205" s="426"/>
      <c r="O205" s="426"/>
      <c r="P205" s="424">
        <f>SUM(compras_mes5[[#This Row],[NETO GRAVADO]:[Otros / No Grav.]])</f>
        <v>64793.995499999997</v>
      </c>
      <c r="Q205" s="49" t="s">
        <v>79</v>
      </c>
      <c r="R205" s="432">
        <f>IFERROR(IF(compras_mes5[[#This Row],[CUIT]]="","-",VLOOKUP(compras_mes5[[#This Row],[CUIT]],Lista_CUIT[#All],4,0)),"CUIT NO CARGADO")</f>
        <v>0</v>
      </c>
    </row>
    <row r="206" spans="2:19">
      <c r="B206" s="425">
        <v>45435</v>
      </c>
      <c r="C206" s="41">
        <v>1</v>
      </c>
      <c r="D206" s="428">
        <v>7</v>
      </c>
      <c r="E206" s="429">
        <v>125610</v>
      </c>
      <c r="F206" s="430">
        <v>30656515224</v>
      </c>
      <c r="G206" s="436" t="str">
        <f>IFERROR(IF(compras_mes5[[#This Row],[CUIT]]="","-",VLOOKUP(compras_mes5[[#This Row],[CUIT]],Lista_CUIT[#All],2,0)),"CUIT NO CARGADO")</f>
        <v>DEPOSITO FISCAL BUENOS AIRES SA</v>
      </c>
      <c r="H206" s="431">
        <v>151000</v>
      </c>
      <c r="I206" s="426">
        <f>IF(compras_mes5[[#This Row],[NETO GRAVADO]]="","",compras_mes5[[#This Row],[NETO GRAVADO]]*0.21)</f>
        <v>31710</v>
      </c>
      <c r="J206" s="426"/>
      <c r="K206" s="426"/>
      <c r="L206" s="426"/>
      <c r="M206" s="426"/>
      <c r="N206" s="426">
        <v>9060</v>
      </c>
      <c r="O206" s="426"/>
      <c r="P206" s="424">
        <f>SUM(compras_mes5[[#This Row],[NETO GRAVADO]:[Otros / No Grav.]])</f>
        <v>191770</v>
      </c>
      <c r="Q206" s="49" t="s">
        <v>79</v>
      </c>
      <c r="R206" s="432">
        <f>IFERROR(IF(compras_mes5[[#This Row],[CUIT]]="","-",VLOOKUP(compras_mes5[[#This Row],[CUIT]],Lista_CUIT[#All],4,0)),"CUIT NO CARGADO")</f>
        <v>0</v>
      </c>
    </row>
    <row r="207" spans="2:19">
      <c r="B207" s="96" t="s">
        <v>103</v>
      </c>
      <c r="C207" s="96"/>
      <c r="D207" s="96"/>
      <c r="E207" s="96"/>
      <c r="F207" s="96"/>
      <c r="G207" s="97"/>
      <c r="H207" s="98">
        <f>SUBTOTAL(109,compras_mes5[NETO GRAVADO])</f>
        <v>98625998.23999998</v>
      </c>
      <c r="I207" s="98">
        <f>SUBTOTAL(109,compras_mes5[IVA 21 %])</f>
        <v>17277978.888199996</v>
      </c>
      <c r="J207" s="98">
        <f>SUBTOTAL(109,compras_mes5[IVA 27%])</f>
        <v>38139.395400000001</v>
      </c>
      <c r="K207" s="98">
        <f>SUBTOTAL(109,compras_mes5[IVA 10,5%])</f>
        <v>1680722.5463749999</v>
      </c>
      <c r="L207" s="98">
        <f>SUBTOTAL(109,compras_mes5[PERC. IVA])</f>
        <v>18890.75</v>
      </c>
      <c r="M207" s="98">
        <f>SUBTOTAL(109,compras_mes5[PERC IIBB 
BS AS])</f>
        <v>0</v>
      </c>
      <c r="N207" s="98">
        <f>SUBTOTAL(109,compras_mes5[PERC. IIBB CABA])</f>
        <v>735477.34</v>
      </c>
      <c r="O207" s="98">
        <f>SUBTOTAL(109,compras_mes5[Otros / No Grav.])</f>
        <v>332733.7300000001</v>
      </c>
      <c r="P207" s="98">
        <f>SUBTOTAL(109,compras_mes5[TOTAL])</f>
        <v>118709940.88997498</v>
      </c>
      <c r="Q207" s="96"/>
      <c r="R207" s="96"/>
    </row>
    <row r="208" spans="2:19">
      <c r="B208" s="40"/>
      <c r="C208" s="41"/>
      <c r="D208" s="42"/>
      <c r="E208" s="43"/>
      <c r="F208" s="44"/>
      <c r="G208" s="129"/>
      <c r="H208" s="46"/>
      <c r="I208" s="47"/>
      <c r="J208" s="47"/>
      <c r="K208" s="47"/>
      <c r="L208" s="47"/>
      <c r="M208" s="47"/>
      <c r="N208" s="47"/>
      <c r="O208" s="47"/>
      <c r="P208" s="48"/>
      <c r="Q208" s="49"/>
      <c r="R208" s="49"/>
    </row>
    <row r="209" spans="4:18" ht="21">
      <c r="D209" s="712" t="s">
        <v>15</v>
      </c>
      <c r="E209" s="712"/>
      <c r="F209" s="712"/>
      <c r="G209" s="712"/>
      <c r="H209" s="712"/>
      <c r="I209" s="712"/>
      <c r="J209" s="712"/>
      <c r="K209" s="712"/>
      <c r="L209" s="712"/>
      <c r="O209" s="128"/>
      <c r="P209" s="128"/>
    </row>
    <row r="210" spans="4:18" ht="15.75">
      <c r="D210" s="73" t="s">
        <v>0</v>
      </c>
      <c r="E210" s="74" t="s">
        <v>26</v>
      </c>
      <c r="F210" s="74" t="s">
        <v>16</v>
      </c>
      <c r="G210" s="438" t="s">
        <v>5</v>
      </c>
      <c r="H210" s="74" t="s">
        <v>17</v>
      </c>
      <c r="I210" s="74" t="s">
        <v>7</v>
      </c>
      <c r="J210" s="75" t="s">
        <v>18</v>
      </c>
      <c r="K210" s="75" t="s">
        <v>19</v>
      </c>
      <c r="L210" s="76" t="s">
        <v>20</v>
      </c>
      <c r="M210" s="238" t="s">
        <v>1825</v>
      </c>
      <c r="R210" s="33"/>
    </row>
    <row r="211" spans="4:18">
      <c r="D211" s="50"/>
      <c r="E211" s="80"/>
      <c r="F211" s="187" t="s">
        <v>2242</v>
      </c>
      <c r="G211" s="439">
        <v>4611.55</v>
      </c>
      <c r="H211" s="81">
        <f>extracto_banco_mes5[[#This Row],[NETO]]*0.21</f>
        <v>968.42550000000006</v>
      </c>
      <c r="I211" s="81"/>
      <c r="J211" s="81">
        <v>8045.26</v>
      </c>
      <c r="K211" s="81">
        <v>98.18</v>
      </c>
      <c r="L211" s="81"/>
      <c r="M211" s="237">
        <f>SUM(extracto_banco_mes5[[#This Row],[NETO]:[PERC IIBB]])</f>
        <v>13723.415500000001</v>
      </c>
    </row>
    <row r="212" spans="4:18">
      <c r="D212" s="50"/>
      <c r="E212" s="80"/>
      <c r="F212" s="187" t="s">
        <v>1882</v>
      </c>
      <c r="G212" s="439">
        <v>2007.09</v>
      </c>
      <c r="H212" s="81">
        <f>extracto_banco_mes5[[#This Row],[NETO]]*0.21</f>
        <v>421.48889999999994</v>
      </c>
      <c r="I212" s="81"/>
      <c r="J212" s="81">
        <v>4643.3900000000003</v>
      </c>
      <c r="K212" s="81">
        <v>60.21</v>
      </c>
      <c r="L212" s="81"/>
      <c r="M212" s="237">
        <f>SUM(extracto_banco_mes5[[#This Row],[NETO]:[PERC IIBB]])</f>
        <v>7132.1788999999999</v>
      </c>
    </row>
    <row r="213" spans="4:18">
      <c r="D213" s="50"/>
      <c r="E213" s="80"/>
      <c r="F213" s="187" t="s">
        <v>2243</v>
      </c>
      <c r="G213" s="439">
        <v>143495</v>
      </c>
      <c r="H213" s="81">
        <f>extracto_banco_mes5[[#This Row],[NETO]]*0.21</f>
        <v>30133.949999999997</v>
      </c>
      <c r="I213" s="81"/>
      <c r="J213" s="81"/>
      <c r="K213" s="81">
        <v>4304.8500000000004</v>
      </c>
      <c r="L213" s="81"/>
      <c r="M213" s="237">
        <f>SUM(extracto_banco_mes5[[#This Row],[NETO]:[PERC IIBB]])</f>
        <v>177933.80000000002</v>
      </c>
    </row>
    <row r="214" spans="4:18">
      <c r="D214" s="50"/>
      <c r="E214" s="80"/>
      <c r="F214" s="187" t="s">
        <v>2235</v>
      </c>
      <c r="G214" s="439">
        <v>74867.92</v>
      </c>
      <c r="H214" s="81">
        <v>15501.990000000002</v>
      </c>
      <c r="I214" s="81">
        <v>110.1366</v>
      </c>
      <c r="J214" s="81"/>
      <c r="K214" s="81">
        <v>2034.15</v>
      </c>
      <c r="L214" s="232"/>
      <c r="M214" s="237">
        <f>SUM(extracto_banco_mes5[[#This Row],[NETO]:[PERC IIBB]])</f>
        <v>92514.196599999996</v>
      </c>
    </row>
    <row r="215" spans="4:18">
      <c r="D215" s="50"/>
      <c r="E215" s="80"/>
      <c r="F215" s="187" t="s">
        <v>2236</v>
      </c>
      <c r="G215" s="439">
        <v>23669</v>
      </c>
      <c r="H215" s="81">
        <f>extracto_banco_mes5[[#This Row],[NETO]]*0.21</f>
        <v>4970.49</v>
      </c>
      <c r="I215" s="81"/>
      <c r="J215" s="81">
        <v>1417.5</v>
      </c>
      <c r="K215" s="81">
        <v>708.75</v>
      </c>
      <c r="L215" s="232"/>
      <c r="M215" s="237">
        <f>SUM(extracto_banco_mes5[[#This Row],[NETO]:[PERC IIBB]])</f>
        <v>30765.739999999998</v>
      </c>
    </row>
    <row r="216" spans="4:18">
      <c r="D216" s="50"/>
      <c r="E216" s="80"/>
      <c r="F216" s="187" t="s">
        <v>2235</v>
      </c>
      <c r="G216" s="439">
        <v>3600</v>
      </c>
      <c r="H216" s="81">
        <f>extracto_banco_mes5[[#This Row],[NETO]]*0.21</f>
        <v>756</v>
      </c>
      <c r="I216" s="81"/>
      <c r="J216" s="81"/>
      <c r="K216" s="81">
        <v>108</v>
      </c>
      <c r="L216" s="232"/>
      <c r="M216" s="237">
        <f>SUM(extracto_banco_mes5[[#This Row],[NETO]:[PERC IIBB]])</f>
        <v>4464</v>
      </c>
    </row>
    <row r="217" spans="4:18">
      <c r="D217" s="50"/>
      <c r="E217" s="80"/>
      <c r="F217" s="187" t="s">
        <v>2244</v>
      </c>
      <c r="G217" s="439">
        <v>1111.9000000000001</v>
      </c>
      <c r="H217" s="81">
        <f>extracto_banco_mes5[[#This Row],[NETO]]*0.21</f>
        <v>233.49900000000002</v>
      </c>
      <c r="I217" s="81"/>
      <c r="J217" s="81">
        <v>6204.42</v>
      </c>
      <c r="K217" s="81"/>
      <c r="L217" s="232"/>
      <c r="M217" s="237">
        <f>SUM(extracto_banco_mes5[[#This Row],[NETO]:[PERC IIBB]])</f>
        <v>7549.8190000000004</v>
      </c>
    </row>
    <row r="218" spans="4:18">
      <c r="D218" s="450"/>
      <c r="E218" s="451"/>
      <c r="F218" s="187" t="s">
        <v>2236</v>
      </c>
      <c r="G218" s="452">
        <v>1500</v>
      </c>
      <c r="H218" s="81">
        <f>extracto_banco_mes5[[#This Row],[NETO]]*0.21</f>
        <v>315</v>
      </c>
      <c r="I218" s="453"/>
      <c r="J218" s="453"/>
      <c r="K218" s="453"/>
      <c r="L218" s="453"/>
      <c r="M218" s="237">
        <f>SUM(extracto_banco_mes5[[#This Row],[NETO]:[PERC IIBB]])</f>
        <v>1815</v>
      </c>
    </row>
    <row r="219" spans="4:18">
      <c r="D219" s="450"/>
      <c r="E219" s="451"/>
      <c r="F219" s="187" t="s">
        <v>2241</v>
      </c>
      <c r="G219" s="452">
        <v>606255.9</v>
      </c>
      <c r="H219" s="453">
        <v>73043.880000000019</v>
      </c>
      <c r="I219" s="453">
        <v>27134.929499999998</v>
      </c>
      <c r="J219" s="453"/>
      <c r="K219" s="453">
        <v>11704.402000000002</v>
      </c>
      <c r="L219" s="453"/>
      <c r="M219" s="454">
        <f>SUM(extracto_banco_mes5[[#This Row],[NETO]:[PERC IIBB]])</f>
        <v>718139.1115</v>
      </c>
    </row>
    <row r="220" spans="4:18">
      <c r="D220" s="82" t="s">
        <v>103</v>
      </c>
      <c r="E220" s="80"/>
      <c r="F220" s="80"/>
      <c r="G220" s="440">
        <f>SUBTOTAL(109,extracto_banco_mes5[NETO])</f>
        <v>861118.36</v>
      </c>
      <c r="H220" s="83">
        <f>SUBTOTAL(109,extracto_banco_mes5[IVA 21%])</f>
        <v>126344.72340000002</v>
      </c>
      <c r="I220" s="83">
        <f>SUBTOTAL(109,extracto_banco_mes5[IVA 10,5%])</f>
        <v>27245.0661</v>
      </c>
      <c r="J220" s="83">
        <f>SUBTOTAL(109,extracto_banco_mes5[RET IIBB CABA])</f>
        <v>20310.57</v>
      </c>
      <c r="K220" s="83">
        <f>SUBTOTAL(109,extracto_banco_mes5[PERC IVA])</f>
        <v>19018.542000000001</v>
      </c>
      <c r="L220" s="83">
        <f>SUBTOTAL(109,extracto_banco_mes5[PERC IIBB])</f>
        <v>0</v>
      </c>
      <c r="M220" s="260"/>
    </row>
    <row r="221" spans="4:18">
      <c r="D221" s="233"/>
      <c r="E221" s="234"/>
      <c r="F221" s="234"/>
      <c r="G221" s="441"/>
      <c r="H221" s="235"/>
      <c r="I221" s="235"/>
      <c r="J221" s="235"/>
      <c r="K221" s="235"/>
      <c r="L221" s="235"/>
      <c r="M221" s="236"/>
    </row>
    <row r="222" spans="4:18" ht="21">
      <c r="D222" s="712" t="s">
        <v>25</v>
      </c>
      <c r="E222" s="712"/>
      <c r="F222" s="712"/>
      <c r="G222" s="712"/>
      <c r="H222" s="712"/>
      <c r="I222" s="712"/>
      <c r="J222" s="712"/>
      <c r="K222" s="712"/>
    </row>
    <row r="223" spans="4:18">
      <c r="D223" s="51" t="s">
        <v>0</v>
      </c>
      <c r="E223" s="51" t="s">
        <v>2</v>
      </c>
      <c r="F223" s="51" t="s">
        <v>74</v>
      </c>
      <c r="G223" s="442" t="s">
        <v>3</v>
      </c>
      <c r="H223" s="51" t="s">
        <v>4</v>
      </c>
      <c r="I223" s="52" t="s">
        <v>10</v>
      </c>
      <c r="J223" s="51" t="s">
        <v>13</v>
      </c>
      <c r="K223" s="51" t="s">
        <v>38</v>
      </c>
    </row>
    <row r="224" spans="4:18">
      <c r="D224" s="50"/>
      <c r="E224" s="42"/>
      <c r="F224" s="219"/>
      <c r="G224" s="443"/>
      <c r="H224" s="443" t="str">
        <f>IFERROR(IF(factura_c_mes5[[#This Row],[CUIT]]="","-",VLOOKUP(factura_c_mes5[[#This Row],[CUIT]],Lista_CUIT[#All],2,0)),"CUIT NO CARGADO")</f>
        <v>-</v>
      </c>
      <c r="I224" s="220"/>
      <c r="J224" s="221" t="str">
        <f>IFERROR(IF(factura_c_mes5[[#This Row],[CUIT]]="","-",VLOOKUP(factura_c_mes5[[#This Row],[CUIT]],Lista_CUIT[#All],3,0)),"CUIT NO CARGADO")</f>
        <v>-</v>
      </c>
      <c r="K224" s="221" t="str">
        <f>IFERROR(IF(factura_c_mes5[[#This Row],[CUIT]]="","-",VLOOKUP(factura_c_mes5[[#This Row],[CUIT]],Lista_CUIT[#All],4,0)),"CUIT NO CARGADO")</f>
        <v>-</v>
      </c>
    </row>
    <row r="225" spans="2:18">
      <c r="D225" s="50">
        <v>45428</v>
      </c>
      <c r="E225" s="42">
        <v>2</v>
      </c>
      <c r="F225" s="219">
        <v>808</v>
      </c>
      <c r="G225" s="443">
        <v>27326105177</v>
      </c>
      <c r="H225" s="443" t="str">
        <f>IFERROR(IF(factura_c_mes5[[#This Row],[CUIT]]="","-",VLOOKUP(factura_c_mes5[[#This Row],[CUIT]],Lista_CUIT[#All],2,0)),"CUIT NO CARGADO")</f>
        <v>CORLETTO ROMINA ALEJANDRA</v>
      </c>
      <c r="I225" s="220">
        <v>45000</v>
      </c>
      <c r="J225" s="54" t="s">
        <v>79</v>
      </c>
      <c r="K225" s="54">
        <f>IFERROR(IF(factura_c_mes5[[#This Row],[CUIT]]="","-",VLOOKUP(factura_c_mes5[[#This Row],[CUIT]],Lista_CUIT[#All],4,0)),"CUIT NO CARGADO")</f>
        <v>0</v>
      </c>
    </row>
    <row r="226" spans="2:18">
      <c r="D226" s="50">
        <v>45415</v>
      </c>
      <c r="E226" s="42">
        <v>2</v>
      </c>
      <c r="F226" s="219">
        <v>1460</v>
      </c>
      <c r="G226" s="443">
        <v>23277121859</v>
      </c>
      <c r="H226" s="443" t="str">
        <f>IFERROR(IF(factura_c_mes5[[#This Row],[CUIT]]="","-",VLOOKUP(factura_c_mes5[[#This Row],[CUIT]],Lista_CUIT[#All],2,0)),"CUIT NO CARGADO")</f>
        <v>BARCELONAMOTOS</v>
      </c>
      <c r="I226" s="220">
        <v>6500</v>
      </c>
      <c r="J226" s="54" t="str">
        <f>IFERROR(IF(factura_c_mes5[[#This Row],[CUIT]]="","-",VLOOKUP(factura_c_mes5[[#This Row],[CUIT]],Lista_CUIT[#All],3,0)),"CUIT NO CARGADO")</f>
        <v>Gastos Varios</v>
      </c>
      <c r="K226" s="54">
        <f>IFERROR(IF(factura_c_mes5[[#This Row],[CUIT]]="","-",VLOOKUP(factura_c_mes5[[#This Row],[CUIT]],Lista_CUIT[#All],4,0)),"CUIT NO CARGADO")</f>
        <v>0</v>
      </c>
    </row>
    <row r="227" spans="2:18">
      <c r="D227" s="50">
        <v>45419</v>
      </c>
      <c r="E227" s="42">
        <v>2</v>
      </c>
      <c r="F227" s="219">
        <v>4197</v>
      </c>
      <c r="G227" s="443">
        <v>20136536320</v>
      </c>
      <c r="H227" s="443" t="str">
        <f>IFERROR(IF(factura_c_mes5[[#This Row],[CUIT]]="","-",VLOOKUP(factura_c_mes5[[#This Row],[CUIT]],Lista_CUIT[#All],2,0)),"CUIT NO CARGADO")</f>
        <v>FONTENLA ERNESTO MARIO</v>
      </c>
      <c r="I227" s="220">
        <v>1140</v>
      </c>
      <c r="J227" s="221" t="str">
        <f>IFERROR(IF(factura_c_mes5[[#This Row],[CUIT]]="","-",VLOOKUP(factura_c_mes5[[#This Row],[CUIT]],Lista_CUIT[#All],3,0)),"CUIT NO CARGADO")</f>
        <v>Gastos Varios</v>
      </c>
      <c r="K227" s="221" t="str">
        <f>IFERROR(IF(factura_c_mes5[[#This Row],[CUIT]]="","-",VLOOKUP(factura_c_mes5[[#This Row],[CUIT]],Lista_CUIT[#All],4,0)),"CUIT NO CARGADO")</f>
        <v>CABA</v>
      </c>
    </row>
    <row r="228" spans="2:18">
      <c r="D228" s="50">
        <v>45425</v>
      </c>
      <c r="E228" s="42">
        <v>2</v>
      </c>
      <c r="F228" s="219">
        <v>4213</v>
      </c>
      <c r="G228" s="443">
        <v>20136536320</v>
      </c>
      <c r="H228" s="443" t="str">
        <f>IFERROR(IF(factura_c_mes5[[#This Row],[CUIT]]="","-",VLOOKUP(factura_c_mes5[[#This Row],[CUIT]],Lista_CUIT[#All],2,0)),"CUIT NO CARGADO")</f>
        <v>FONTENLA ERNESTO MARIO</v>
      </c>
      <c r="I228" s="220">
        <v>5500</v>
      </c>
      <c r="J228" s="221" t="str">
        <f>IFERROR(IF(factura_c_mes5[[#This Row],[CUIT]]="","-",VLOOKUP(factura_c_mes5[[#This Row],[CUIT]],Lista_CUIT[#All],3,0)),"CUIT NO CARGADO")</f>
        <v>Gastos Varios</v>
      </c>
      <c r="K228" s="221" t="str">
        <f>IFERROR(IF(factura_c_mes5[[#This Row],[CUIT]]="","-",VLOOKUP(factura_c_mes5[[#This Row],[CUIT]],Lista_CUIT[#All],4,0)),"CUIT NO CARGADO")</f>
        <v>CABA</v>
      </c>
    </row>
    <row r="229" spans="2:18">
      <c r="D229" s="50">
        <v>45428</v>
      </c>
      <c r="E229" s="42">
        <v>2</v>
      </c>
      <c r="F229" s="219">
        <v>4218</v>
      </c>
      <c r="G229" s="443">
        <v>20136536320</v>
      </c>
      <c r="H229" s="443" t="str">
        <f>IFERROR(IF(factura_c_mes5[[#This Row],[CUIT]]="","-",VLOOKUP(factura_c_mes5[[#This Row],[CUIT]],Lista_CUIT[#All],2,0)),"CUIT NO CARGADO")</f>
        <v>FONTENLA ERNESTO MARIO</v>
      </c>
      <c r="I229" s="220">
        <v>20000</v>
      </c>
      <c r="J229" s="54" t="str">
        <f>IFERROR(IF(factura_c_mes5[[#This Row],[CUIT]]="","-",VLOOKUP(factura_c_mes5[[#This Row],[CUIT]],Lista_CUIT[#All],3,0)),"CUIT NO CARGADO")</f>
        <v>Gastos Varios</v>
      </c>
      <c r="K229" s="54" t="str">
        <f>IFERROR(IF(factura_c_mes5[[#This Row],[CUIT]]="","-",VLOOKUP(factura_c_mes5[[#This Row],[CUIT]],Lista_CUIT[#All],4,0)),"CUIT NO CARGADO")</f>
        <v>CABA</v>
      </c>
    </row>
    <row r="230" spans="2:18">
      <c r="D230" s="50">
        <v>45428</v>
      </c>
      <c r="E230" s="42">
        <v>3</v>
      </c>
      <c r="F230" s="219">
        <v>114</v>
      </c>
      <c r="G230" s="443">
        <v>23161391999</v>
      </c>
      <c r="H230" s="443" t="str">
        <f>IFERROR(IF(factura_c_mes5[[#This Row],[CUIT]]="","-",VLOOKUP(factura_c_mes5[[#This Row],[CUIT]],Lista_CUIT[#All],2,0)),"CUIT NO CARGADO")</f>
        <v>LAHITTE MARIO ALBERTO</v>
      </c>
      <c r="I230" s="220">
        <v>177000</v>
      </c>
      <c r="J230" s="54" t="str">
        <f>IFERROR(IF(factura_c_mes5[[#This Row],[CUIT]]="","-",VLOOKUP(factura_c_mes5[[#This Row],[CUIT]],Lista_CUIT[#All],3,0)),"CUIT NO CARGADO")</f>
        <v>Gastos Varios</v>
      </c>
      <c r="K230" s="54">
        <f>IFERROR(IF(factura_c_mes5[[#This Row],[CUIT]]="","-",VLOOKUP(factura_c_mes5[[#This Row],[CUIT]],Lista_CUIT[#All],4,0)),"CUIT NO CARGADO")</f>
        <v>0</v>
      </c>
    </row>
    <row r="231" spans="2:18">
      <c r="D231" s="50">
        <v>45428</v>
      </c>
      <c r="E231" s="42">
        <v>3</v>
      </c>
      <c r="F231" s="219">
        <v>1074</v>
      </c>
      <c r="G231" s="443">
        <v>20173025557</v>
      </c>
      <c r="H231" s="443" t="str">
        <f>IFERROR(IF(factura_c_mes5[[#This Row],[CUIT]]="","-",VLOOKUP(factura_c_mes5[[#This Row],[CUIT]],Lista_CUIT[#All],2,0)),"CUIT NO CARGADO")</f>
        <v>MARAUDA HECTOR</v>
      </c>
      <c r="I231" s="220">
        <v>4500</v>
      </c>
      <c r="J231" s="221" t="str">
        <f>IFERROR(IF(factura_c_mes5[[#This Row],[CUIT]]="","-",VLOOKUP(factura_c_mes5[[#This Row],[CUIT]],Lista_CUIT[#All],3,0)),"CUIT NO CARGADO")</f>
        <v>Gastos Varios</v>
      </c>
      <c r="K231" s="221">
        <f>IFERROR(IF(factura_c_mes5[[#This Row],[CUIT]]="","-",VLOOKUP(factura_c_mes5[[#This Row],[CUIT]],Lista_CUIT[#All],4,0)),"CUIT NO CARGADO")</f>
        <v>0</v>
      </c>
    </row>
    <row r="232" spans="2:18">
      <c r="D232" s="50">
        <v>45430</v>
      </c>
      <c r="E232" s="42">
        <v>2</v>
      </c>
      <c r="F232" s="219">
        <v>4225</v>
      </c>
      <c r="G232" s="443">
        <v>20136536320</v>
      </c>
      <c r="H232" s="443" t="str">
        <f>IFERROR(IF(factura_c_mes5[[#This Row],[CUIT]]="","-",VLOOKUP(factura_c_mes5[[#This Row],[CUIT]],Lista_CUIT[#All],2,0)),"CUIT NO CARGADO")</f>
        <v>FONTENLA ERNESTO MARIO</v>
      </c>
      <c r="I232" s="220">
        <v>2600</v>
      </c>
      <c r="J232" s="221" t="str">
        <f>IFERROR(IF(factura_c_mes5[[#This Row],[CUIT]]="","-",VLOOKUP(factura_c_mes5[[#This Row],[CUIT]],Lista_CUIT[#All],3,0)),"CUIT NO CARGADO")</f>
        <v>Gastos Varios</v>
      </c>
      <c r="K232" s="221" t="str">
        <f>IFERROR(IF(factura_c_mes5[[#This Row],[CUIT]]="","-",VLOOKUP(factura_c_mes5[[#This Row],[CUIT]],Lista_CUIT[#All],4,0)),"CUIT NO CARGADO")</f>
        <v>CABA</v>
      </c>
    </row>
    <row r="233" spans="2:18">
      <c r="D233" s="50">
        <v>45439</v>
      </c>
      <c r="E233" s="42">
        <v>2</v>
      </c>
      <c r="F233" s="219">
        <v>4244</v>
      </c>
      <c r="G233" s="443">
        <v>20136536320</v>
      </c>
      <c r="H233" s="443" t="str">
        <f>IFERROR(IF(factura_c_mes5[[#This Row],[CUIT]]="","-",VLOOKUP(factura_c_mes5[[#This Row],[CUIT]],Lista_CUIT[#All],2,0)),"CUIT NO CARGADO")</f>
        <v>FONTENLA ERNESTO MARIO</v>
      </c>
      <c r="I233" s="220">
        <v>5500</v>
      </c>
      <c r="J233" s="221" t="str">
        <f>IFERROR(IF(factura_c_mes5[[#This Row],[CUIT]]="","-",VLOOKUP(factura_c_mes5[[#This Row],[CUIT]],Lista_CUIT[#All],3,0)),"CUIT NO CARGADO")</f>
        <v>Gastos Varios</v>
      </c>
      <c r="K233" s="221" t="str">
        <f>IFERROR(IF(factura_c_mes5[[#This Row],[CUIT]]="","-",VLOOKUP(factura_c_mes5[[#This Row],[CUIT]],Lista_CUIT[#All],4,0)),"CUIT NO CARGADO")</f>
        <v>CABA</v>
      </c>
    </row>
    <row r="234" spans="2:18">
      <c r="D234" s="50">
        <v>45440</v>
      </c>
      <c r="E234" s="42">
        <v>4</v>
      </c>
      <c r="F234" s="219">
        <v>973</v>
      </c>
      <c r="G234" s="443">
        <v>23242717589</v>
      </c>
      <c r="H234" s="443" t="str">
        <f>IFERROR(IF(factura_c_mes5[[#This Row],[CUIT]]="","-",VLOOKUP(factura_c_mes5[[#This Row],[CUIT]],Lista_CUIT[#All],2,0)),"CUIT NO CARGADO")</f>
        <v>PANIZO DIEGO SEBASTIAN</v>
      </c>
      <c r="I234" s="220">
        <v>14390</v>
      </c>
      <c r="J234" s="221" t="str">
        <f>IFERROR(IF(factura_c_mes5[[#This Row],[CUIT]]="","-",VLOOKUP(factura_c_mes5[[#This Row],[CUIT]],Lista_CUIT[#All],3,0)),"CUIT NO CARGADO")</f>
        <v>Gastos Varios</v>
      </c>
      <c r="K234" s="221">
        <f>IFERROR(IF(factura_c_mes5[[#This Row],[CUIT]]="","-",VLOOKUP(factura_c_mes5[[#This Row],[CUIT]],Lista_CUIT[#All],4,0)),"CUIT NO CARGADO")</f>
        <v>0</v>
      </c>
    </row>
    <row r="235" spans="2:18">
      <c r="D235" s="50">
        <v>45440</v>
      </c>
      <c r="E235" s="42">
        <v>4</v>
      </c>
      <c r="F235" s="219">
        <v>974</v>
      </c>
      <c r="G235" s="443">
        <v>23242717589</v>
      </c>
      <c r="H235" s="443" t="str">
        <f>IFERROR(IF(factura_c_mes5[[#This Row],[CUIT]]="","-",VLOOKUP(factura_c_mes5[[#This Row],[CUIT]],Lista_CUIT[#All],2,0)),"CUIT NO CARGADO")</f>
        <v>PANIZO DIEGO SEBASTIAN</v>
      </c>
      <c r="I235" s="220">
        <v>6200</v>
      </c>
      <c r="J235" s="221" t="str">
        <f>IFERROR(IF(factura_c_mes5[[#This Row],[CUIT]]="","-",VLOOKUP(factura_c_mes5[[#This Row],[CUIT]],Lista_CUIT[#All],3,0)),"CUIT NO CARGADO")</f>
        <v>Gastos Varios</v>
      </c>
      <c r="K235" s="221">
        <f>IFERROR(IF(factura_c_mes5[[#This Row],[CUIT]]="","-",VLOOKUP(factura_c_mes5[[#This Row],[CUIT]],Lista_CUIT[#All],4,0)),"CUIT NO CARGADO")</f>
        <v>0</v>
      </c>
    </row>
    <row r="236" spans="2:18" ht="17.25" customHeight="1">
      <c r="D236" s="50">
        <v>45433</v>
      </c>
      <c r="E236" s="42">
        <v>2</v>
      </c>
      <c r="F236" s="219">
        <v>149667</v>
      </c>
      <c r="G236" s="443">
        <v>30525525046</v>
      </c>
      <c r="H236" s="443" t="str">
        <f>IFERROR(IF(factura_c_mes5[[#This Row],[CUIT]]="","-",VLOOKUP(factura_c_mes5[[#This Row],[CUIT]],Lista_CUIT[#All],2,0)),"CUIT NO CARGADO")</f>
        <v>CAMARA ARGENTINA DE COMERCIO Y SERVICIOS</v>
      </c>
      <c r="I236" s="220">
        <v>10000</v>
      </c>
      <c r="J236" s="54" t="s">
        <v>2698</v>
      </c>
      <c r="K236" s="221">
        <f>IFERROR(IF(factura_c_mes5[[#This Row],[CUIT]]="","-",VLOOKUP(factura_c_mes5[[#This Row],[CUIT]],Lista_CUIT[#All],4,0)),"CUIT NO CARGADO")</f>
        <v>0</v>
      </c>
    </row>
    <row r="237" spans="2:18">
      <c r="D237" s="50">
        <v>45415</v>
      </c>
      <c r="E237" s="42">
        <v>1</v>
      </c>
      <c r="F237" s="219">
        <v>14</v>
      </c>
      <c r="G237" s="443">
        <v>20394167216</v>
      </c>
      <c r="H237" s="443" t="str">
        <f>IFERROR(IF(factura_c_mes5[[#This Row],[CUIT]]="","-",VLOOKUP(factura_c_mes5[[#This Row],[CUIT]],Lista_CUIT[#All],2,0)),"CUIT NO CARGADO")</f>
        <v>CASTILLO SANTIAGO JESUS</v>
      </c>
      <c r="I237" s="220">
        <v>460000</v>
      </c>
      <c r="J237" s="221" t="str">
        <f>IFERROR(IF(factura_c_mes5[[#This Row],[CUIT]]="","-",VLOOKUP(factura_c_mes5[[#This Row],[CUIT]],Lista_CUIT[#All],3,0)),"CUIT NO CARGADO")</f>
        <v>Honorarios Administrativos</v>
      </c>
      <c r="K237" s="221">
        <f>IFERROR(IF(factura_c_mes5[[#This Row],[CUIT]]="","-",VLOOKUP(factura_c_mes5[[#This Row],[CUIT]],Lista_CUIT[#All],4,0)),"CUIT NO CARGADO")</f>
        <v>0</v>
      </c>
    </row>
    <row r="238" spans="2:18">
      <c r="D238" s="50">
        <v>45420</v>
      </c>
      <c r="E238" s="42">
        <v>1</v>
      </c>
      <c r="F238" s="219">
        <v>9</v>
      </c>
      <c r="G238" s="443">
        <v>20420115882</v>
      </c>
      <c r="H238" s="443" t="str">
        <f>IFERROR(IF(factura_c_mes5[[#This Row],[CUIT]]="","-",VLOOKUP(factura_c_mes5[[#This Row],[CUIT]],Lista_CUIT[#All],2,0)),"CUIT NO CARGADO")</f>
        <v>CASTILLO MARIANO JAVIER</v>
      </c>
      <c r="I238" s="220">
        <v>700000</v>
      </c>
      <c r="J238" s="221" t="str">
        <f>IFERROR(IF(factura_c_mes5[[#This Row],[CUIT]]="","-",VLOOKUP(factura_c_mes5[[#This Row],[CUIT]],Lista_CUIT[#All],3,0)),"CUIT NO CARGADO")</f>
        <v>Honorarios Administrativos</v>
      </c>
      <c r="K238" s="221">
        <f>IFERROR(IF(factura_c_mes5[[#This Row],[CUIT]]="","-",VLOOKUP(factura_c_mes5[[#This Row],[CUIT]],Lista_CUIT[#All],4,0)),"CUIT NO CARGADO")</f>
        <v>0</v>
      </c>
    </row>
    <row r="239" spans="2:18">
      <c r="B239" s="56"/>
      <c r="C239" s="56"/>
      <c r="D239" s="50">
        <v>45414</v>
      </c>
      <c r="E239" s="42">
        <v>3</v>
      </c>
      <c r="F239" s="219">
        <v>844</v>
      </c>
      <c r="G239" s="443">
        <v>20086277523</v>
      </c>
      <c r="H239" s="443" t="str">
        <f>IFERROR(IF(factura_c_mes5[[#This Row],[CUIT]]="","-",VLOOKUP(factura_c_mes5[[#This Row],[CUIT]],Lista_CUIT[#All],2,0)),"CUIT NO CARGADO")</f>
        <v>BOTINDARI JUAN CARLOS</v>
      </c>
      <c r="I239" s="220">
        <v>200000</v>
      </c>
      <c r="J239" s="221" t="str">
        <f>IFERROR(IF(factura_c_mes5[[#This Row],[CUIT]]="","-",VLOOKUP(factura_c_mes5[[#This Row],[CUIT]],Lista_CUIT[#All],3,0)),"CUIT NO CARGADO")</f>
        <v>Honorarios Contables</v>
      </c>
      <c r="K239" s="221">
        <f>IFERROR(IF(factura_c_mes5[[#This Row],[CUIT]]="","-",VLOOKUP(factura_c_mes5[[#This Row],[CUIT]],Lista_CUIT[#All],4,0)),"CUIT NO CARGADO")</f>
        <v>0</v>
      </c>
      <c r="L239" s="56"/>
      <c r="M239" s="56"/>
      <c r="N239" s="56"/>
      <c r="O239" s="56"/>
      <c r="P239" s="56"/>
      <c r="Q239" s="56"/>
      <c r="R239" s="56"/>
    </row>
    <row r="240" spans="2:18">
      <c r="D240" s="50">
        <v>45419</v>
      </c>
      <c r="E240" s="42">
        <v>2</v>
      </c>
      <c r="F240" s="219">
        <v>289</v>
      </c>
      <c r="G240" s="443">
        <v>23319210954</v>
      </c>
      <c r="H240" s="443" t="str">
        <f>IFERROR(IF(factura_c_mes5[[#This Row],[CUIT]]="","-",VLOOKUP(factura_c_mes5[[#This Row],[CUIT]],Lista_CUIT[#All],2,0)),"CUIT NO CARGADO")</f>
        <v>CAFFARATTI ROMINA PAOLA</v>
      </c>
      <c r="I240" s="220">
        <v>135200</v>
      </c>
      <c r="J240" s="221" t="str">
        <f>IFERROR(IF(factura_c_mes5[[#This Row],[CUIT]]="","-",VLOOKUP(factura_c_mes5[[#This Row],[CUIT]],Lista_CUIT[#All],3,0)),"CUIT NO CARGADO")</f>
        <v>Honorarios Contables</v>
      </c>
      <c r="K240" s="221">
        <f>IFERROR(IF(factura_c_mes5[[#This Row],[CUIT]]="","-",VLOOKUP(factura_c_mes5[[#This Row],[CUIT]],Lista_CUIT[#All],4,0)),"CUIT NO CARGADO")</f>
        <v>0</v>
      </c>
    </row>
    <row r="241" spans="2:13">
      <c r="D241" s="50">
        <v>45415</v>
      </c>
      <c r="E241" s="42">
        <v>1</v>
      </c>
      <c r="F241" s="219">
        <v>20</v>
      </c>
      <c r="G241" s="443">
        <v>23259889359</v>
      </c>
      <c r="H241" s="443" t="str">
        <f>IFERROR(IF(factura_c_mes5[[#This Row],[CUIT]]="","-",VLOOKUP(factura_c_mes5[[#This Row],[CUIT]],Lista_CUIT[#All],2,0)),"CUIT NO CARGADO")</f>
        <v>KALAYDJIAN JUAN JOSE</v>
      </c>
      <c r="I241" s="220">
        <v>180000</v>
      </c>
      <c r="J241" s="221" t="str">
        <f>IFERROR(IF(factura_c_mes5[[#This Row],[CUIT]]="","-",VLOOKUP(factura_c_mes5[[#This Row],[CUIT]],Lista_CUIT[#All],3,0)),"CUIT NO CARGADO")</f>
        <v>Honorarios Legales</v>
      </c>
      <c r="K241" s="221">
        <f>IFERROR(IF(factura_c_mes5[[#This Row],[CUIT]]="","-",VLOOKUP(factura_c_mes5[[#This Row],[CUIT]],Lista_CUIT[#All],4,0)),"CUIT NO CARGADO")</f>
        <v>0</v>
      </c>
    </row>
    <row r="242" spans="2:13">
      <c r="D242" s="50">
        <v>45415</v>
      </c>
      <c r="E242" s="42">
        <v>3</v>
      </c>
      <c r="F242" s="219">
        <v>478</v>
      </c>
      <c r="G242" s="443">
        <v>20210551574</v>
      </c>
      <c r="H242" s="443" t="str">
        <f>IFERROR(IF(factura_c_mes5[[#This Row],[CUIT]]="","-",VLOOKUP(factura_c_mes5[[#This Row],[CUIT]],Lista_CUIT[#All],2,0)),"CUIT NO CARGADO")</f>
        <v>REUS JORGE DIEGO</v>
      </c>
      <c r="I242" s="220">
        <v>190500</v>
      </c>
      <c r="J242" s="221" t="str">
        <f>IFERROR(IF(factura_c_mes5[[#This Row],[CUIT]]="","-",VLOOKUP(factura_c_mes5[[#This Row],[CUIT]],Lista_CUIT[#All],3,0)),"CUIT NO CARGADO")</f>
        <v>Honorarios Legales</v>
      </c>
      <c r="K242" s="221">
        <f>IFERROR(IF(factura_c_mes5[[#This Row],[CUIT]]="","-",VLOOKUP(factura_c_mes5[[#This Row],[CUIT]],Lista_CUIT[#All],4,0)),"CUIT NO CARGADO")</f>
        <v>0</v>
      </c>
    </row>
    <row r="243" spans="2:13">
      <c r="D243" s="50">
        <v>45443</v>
      </c>
      <c r="E243" s="42">
        <v>4</v>
      </c>
      <c r="F243" s="219">
        <v>430</v>
      </c>
      <c r="G243" s="443">
        <v>23222942934</v>
      </c>
      <c r="H243" s="443" t="str">
        <f>IFERROR(IF(factura_c_mes5[[#This Row],[CUIT]]="","-",VLOOKUP(factura_c_mes5[[#This Row],[CUIT]],Lista_CUIT[#All],2,0)),"CUIT NO CARGADO")</f>
        <v>FIORI SILVIA LORENA</v>
      </c>
      <c r="I243" s="220">
        <v>72000</v>
      </c>
      <c r="J243" s="221" t="str">
        <f>IFERROR(IF(factura_c_mes5[[#This Row],[CUIT]]="","-",VLOOKUP(factura_c_mes5[[#This Row],[CUIT]],Lista_CUIT[#All],3,0)),"CUIT NO CARGADO")</f>
        <v>Honorarios Profesionales</v>
      </c>
      <c r="K243" s="221">
        <f>IFERROR(IF(factura_c_mes5[[#This Row],[CUIT]]="","-",VLOOKUP(factura_c_mes5[[#This Row],[CUIT]],Lista_CUIT[#All],4,0)),"CUIT NO CARGADO")</f>
        <v>0</v>
      </c>
    </row>
    <row r="244" spans="2:13" ht="19.149999999999999" customHeight="1">
      <c r="D244" s="50">
        <v>45440</v>
      </c>
      <c r="E244" s="42">
        <v>1</v>
      </c>
      <c r="F244" s="219">
        <v>48</v>
      </c>
      <c r="G244" s="443">
        <v>20176922363</v>
      </c>
      <c r="H244" s="443" t="str">
        <f>IFERROR(IF(factura_c_mes5[[#This Row],[CUIT]]="","-",VLOOKUP(factura_c_mes5[[#This Row],[CUIT]],Lista_CUIT[#All],2,0)),"CUIT NO CARGADO")</f>
        <v>CASTILLO JUAN RAMON</v>
      </c>
      <c r="I244" s="220">
        <v>200000</v>
      </c>
      <c r="J244" s="221" t="str">
        <f>IFERROR(IF(factura_c_mes5[[#This Row],[CUIT]]="","-",VLOOKUP(factura_c_mes5[[#This Row],[CUIT]],Lista_CUIT[#All],3,0)),"CUIT NO CARGADO")</f>
        <v>Honorarios Profesionales</v>
      </c>
      <c r="K244" s="221">
        <f>IFERROR(IF(factura_c_mes5[[#This Row],[CUIT]]="","-",VLOOKUP(factura_c_mes5[[#This Row],[CUIT]],Lista_CUIT[#All],4,0)),"CUIT NO CARGADO")</f>
        <v>0</v>
      </c>
    </row>
    <row r="245" spans="2:13" ht="28.9" customHeight="1">
      <c r="D245" s="50">
        <v>45436</v>
      </c>
      <c r="E245" s="42">
        <v>3</v>
      </c>
      <c r="F245" s="219">
        <v>484</v>
      </c>
      <c r="G245" s="443">
        <v>20958560177</v>
      </c>
      <c r="H245" s="443" t="str">
        <f>IFERROR(IF(factura_c_mes5[[#This Row],[CUIT]]="","-",VLOOKUP(factura_c_mes5[[#This Row],[CUIT]],Lista_CUIT[#All],2,0)),"CUIT NO CARGADO")</f>
        <v>KARAM ASMAR MAIKEL GORGE</v>
      </c>
      <c r="I245" s="220">
        <v>2008936</v>
      </c>
      <c r="J245" s="221" t="str">
        <f>IFERROR(IF(factura_c_mes5[[#This Row],[CUIT]]="","-",VLOOKUP(factura_c_mes5[[#This Row],[CUIT]],Lista_CUIT[#All],3,0)),"CUIT NO CARGADO")</f>
        <v>Materia Prima</v>
      </c>
      <c r="K245" s="221">
        <f>IFERROR(IF(factura_c_mes5[[#This Row],[CUIT]]="","-",VLOOKUP(factura_c_mes5[[#This Row],[CUIT]],Lista_CUIT[#All],4,0)),"CUIT NO CARGADO")</f>
        <v>0</v>
      </c>
    </row>
    <row r="246" spans="2:13">
      <c r="D246" s="50">
        <v>45415</v>
      </c>
      <c r="E246" s="42">
        <v>1</v>
      </c>
      <c r="F246" s="219">
        <v>73</v>
      </c>
      <c r="G246" s="443">
        <v>20299505430</v>
      </c>
      <c r="H246" s="443" t="str">
        <f>IFERROR(IF(factura_c_mes5[[#This Row],[CUIT]]="","-",VLOOKUP(factura_c_mes5[[#This Row],[CUIT]],Lista_CUIT[#All],2,0)),"CUIT NO CARGADO")</f>
        <v>PRADO EMILIANO HERNAN</v>
      </c>
      <c r="I246" s="220">
        <v>1143005</v>
      </c>
      <c r="J246" s="221" t="str">
        <f>IFERROR(IF(factura_c_mes5[[#This Row],[CUIT]]="","-",VLOOKUP(factura_c_mes5[[#This Row],[CUIT]],Lista_CUIT[#All],3,0)),"CUIT NO CARGADO")</f>
        <v>Material de Empaque</v>
      </c>
      <c r="K246" s="221">
        <f>IFERROR(IF(factura_c_mes5[[#This Row],[CUIT]]="","-",VLOOKUP(factura_c_mes5[[#This Row],[CUIT]],Lista_CUIT[#All],4,0)),"CUIT NO CARGADO")</f>
        <v>0</v>
      </c>
    </row>
    <row r="247" spans="2:13">
      <c r="D247" s="50">
        <v>45420</v>
      </c>
      <c r="E247" s="42">
        <v>2</v>
      </c>
      <c r="F247" s="219">
        <v>348</v>
      </c>
      <c r="G247" s="443">
        <v>20300814094</v>
      </c>
      <c r="H247" s="443" t="str">
        <f>IFERROR(IF(factura_c_mes5[[#This Row],[CUIT]]="","-",VLOOKUP(factura_c_mes5[[#This Row],[CUIT]],Lista_CUIT[#All],2,0)),"CUIT NO CARGADO")</f>
        <v>FARRAPEIRA OSCAR MAXIMO</v>
      </c>
      <c r="I247" s="220">
        <v>1305084</v>
      </c>
      <c r="J247" s="221" t="str">
        <f>IFERROR(IF(factura_c_mes5[[#This Row],[CUIT]]="","-",VLOOKUP(factura_c_mes5[[#This Row],[CUIT]],Lista_CUIT[#All],3,0)),"CUIT NO CARGADO")</f>
        <v>Material de Empaque</v>
      </c>
      <c r="K247" s="221">
        <f>IFERROR(IF(factura_c_mes5[[#This Row],[CUIT]]="","-",VLOOKUP(factura_c_mes5[[#This Row],[CUIT]],Lista_CUIT[#All],4,0)),"CUIT NO CARGADO")</f>
        <v>0</v>
      </c>
    </row>
    <row r="248" spans="2:13">
      <c r="D248" s="50">
        <v>45439</v>
      </c>
      <c r="E248" s="42">
        <v>8</v>
      </c>
      <c r="F248" s="219">
        <v>598</v>
      </c>
      <c r="G248" s="443">
        <v>27409592487</v>
      </c>
      <c r="H248" s="443" t="str">
        <f>IFERROR(IF(factura_c_mes5[[#This Row],[CUIT]]="","-",VLOOKUP(factura_c_mes5[[#This Row],[CUIT]],Lista_CUIT[#All],2,0)),"CUIT NO CARGADO")</f>
        <v>BAUDONE ANTONELLA AGOSTINA</v>
      </c>
      <c r="I248" s="220">
        <v>144000</v>
      </c>
      <c r="J248" s="221" t="str">
        <f>IFERROR(IF(factura_c_mes5[[#This Row],[CUIT]]="","-",VLOOKUP(factura_c_mes5[[#This Row],[CUIT]],Lista_CUIT[#All],3,0)),"CUIT NO CARGADO")</f>
        <v>Material de Empaque</v>
      </c>
      <c r="K248" s="221">
        <f>IFERROR(IF(factura_c_mes5[[#This Row],[CUIT]]="","-",VLOOKUP(factura_c_mes5[[#This Row],[CUIT]],Lista_CUIT[#All],4,0)),"CUIT NO CARGADO")</f>
        <v>0</v>
      </c>
    </row>
    <row r="249" spans="2:13">
      <c r="D249" s="55" t="s">
        <v>103</v>
      </c>
      <c r="E249" s="55"/>
      <c r="F249" s="55"/>
      <c r="G249" s="57"/>
      <c r="H249" s="57"/>
      <c r="I249" s="58">
        <f>SUBTOTAL(109,factura_c_mes5[TOTAL])</f>
        <v>7037055</v>
      </c>
      <c r="J249" s="55"/>
      <c r="K249" s="55"/>
    </row>
    <row r="250" spans="2:13">
      <c r="D250" s="222"/>
      <c r="E250" s="222"/>
      <c r="F250" s="222"/>
      <c r="G250" s="223"/>
      <c r="H250" s="223"/>
      <c r="I250" s="224"/>
      <c r="J250" s="222"/>
      <c r="K250" s="222"/>
    </row>
    <row r="251" spans="2:13" ht="26.25">
      <c r="B251" s="720" t="s">
        <v>29</v>
      </c>
      <c r="C251" s="720"/>
      <c r="D251" s="720"/>
      <c r="E251" s="720"/>
      <c r="F251" s="720"/>
      <c r="G251" s="720"/>
      <c r="H251" s="720"/>
      <c r="I251" s="720"/>
      <c r="J251" s="720"/>
      <c r="K251" s="716">
        <f>N1</f>
        <v>45047</v>
      </c>
      <c r="L251" s="716"/>
      <c r="M251" s="716"/>
    </row>
    <row r="253" spans="2:13" ht="21">
      <c r="B253" s="713" t="s">
        <v>1711</v>
      </c>
      <c r="C253" s="713"/>
    </row>
    <row r="254" spans="2:13" ht="15.75">
      <c r="B254" s="60" t="s">
        <v>0</v>
      </c>
      <c r="C254" s="61" t="s">
        <v>1</v>
      </c>
      <c r="D254" s="61" t="s">
        <v>21</v>
      </c>
      <c r="E254" s="61" t="s">
        <v>22</v>
      </c>
      <c r="F254" s="61" t="s">
        <v>3</v>
      </c>
      <c r="G254" s="444" t="s">
        <v>4</v>
      </c>
      <c r="H254" s="61" t="s">
        <v>23</v>
      </c>
      <c r="I254" s="61" t="s">
        <v>17</v>
      </c>
      <c r="J254" s="61" t="s">
        <v>7</v>
      </c>
      <c r="K254" s="61" t="s">
        <v>24</v>
      </c>
      <c r="L254" s="61" t="s">
        <v>10</v>
      </c>
      <c r="M254" s="62" t="s">
        <v>38</v>
      </c>
    </row>
    <row r="255" spans="2:13">
      <c r="B255" s="40"/>
      <c r="C255" s="41"/>
      <c r="D255" s="42"/>
      <c r="E255" s="43"/>
      <c r="F255" s="44"/>
      <c r="G255" s="185" t="str">
        <f>IFERROR(IF(venta_a_mes5[[#This Row],[CUIT]]="","-",VLOOKUP(venta_a_mes5[[#This Row],[CUIT]],Lista_CUIT[#All],2,0)),"CUIT NO CARGADO")</f>
        <v>-</v>
      </c>
      <c r="H255" s="100"/>
      <c r="I255" s="101"/>
      <c r="J255" s="65"/>
      <c r="K255" s="65"/>
      <c r="L255" s="65">
        <f>SUM(venta_a_mes5[[#This Row],[IMPORTE NETO]:[EXENTO]])</f>
        <v>0</v>
      </c>
      <c r="M255" s="59"/>
    </row>
    <row r="256" spans="2:13">
      <c r="B256" s="40"/>
      <c r="C256" s="41"/>
      <c r="D256" s="42"/>
      <c r="E256" s="43"/>
      <c r="F256" s="44"/>
      <c r="G256" s="185" t="str">
        <f>IFERROR(IF(venta_a_mes5[[#This Row],[CUIT]]="","-",VLOOKUP(venta_a_mes5[[#This Row],[CUIT]],Lista_CUIT[#All],2,0)),"CUIT NO CARGADO")</f>
        <v>-</v>
      </c>
      <c r="H256" s="100"/>
      <c r="I256" s="101"/>
      <c r="J256" s="65"/>
      <c r="K256" s="65"/>
      <c r="L256" s="65">
        <f>SUM(venta_a_mes5[[#This Row],[IMPORTE NETO]:[EXENTO]])</f>
        <v>0</v>
      </c>
      <c r="M256" s="59"/>
    </row>
    <row r="257" spans="2:13">
      <c r="B257" s="40"/>
      <c r="C257" s="41"/>
      <c r="D257" s="42"/>
      <c r="E257" s="43"/>
      <c r="F257" s="44"/>
      <c r="G257" s="185" t="str">
        <f>IFERROR(IF(venta_a_mes5[[#This Row],[CUIT]]="","-",VLOOKUP(venta_a_mes5[[#This Row],[CUIT]],Lista_CUIT[#All],2,0)),"CUIT NO CARGADO")</f>
        <v>-</v>
      </c>
      <c r="H257" s="100"/>
      <c r="I257" s="101"/>
      <c r="J257" s="65"/>
      <c r="K257" s="65"/>
      <c r="L257" s="65">
        <f>SUM(venta_a_mes5[[#This Row],[IMPORTE NETO]:[EXENTO]])</f>
        <v>0</v>
      </c>
      <c r="M257" s="59"/>
    </row>
    <row r="258" spans="2:13">
      <c r="B258" s="40"/>
      <c r="C258" s="41"/>
      <c r="D258" s="42"/>
      <c r="E258" s="43"/>
      <c r="F258" s="44"/>
      <c r="G258" s="185" t="str">
        <f>IFERROR(IF(venta_a_mes5[[#This Row],[CUIT]]="","-",VLOOKUP(venta_a_mes5[[#This Row],[CUIT]],Lista_CUIT[#All],2,0)),"CUIT NO CARGADO")</f>
        <v>-</v>
      </c>
      <c r="H258" s="100"/>
      <c r="I258" s="101"/>
      <c r="J258" s="65"/>
      <c r="K258" s="65"/>
      <c r="L258" s="65">
        <f>SUM(venta_a_mes5[[#This Row],[IMPORTE NETO]:[EXENTO]])</f>
        <v>0</v>
      </c>
      <c r="M258" s="59"/>
    </row>
    <row r="259" spans="2:13">
      <c r="B259" s="40"/>
      <c r="C259" s="41"/>
      <c r="D259" s="42"/>
      <c r="E259" s="43"/>
      <c r="F259" s="44"/>
      <c r="G259" s="185" t="str">
        <f>IFERROR(IF(venta_a_mes5[[#This Row],[CUIT]]="","-",VLOOKUP(venta_a_mes5[[#This Row],[CUIT]],Lista_CUIT[#All],2,0)),"CUIT NO CARGADO")</f>
        <v>-</v>
      </c>
      <c r="H259" s="100"/>
      <c r="I259" s="101"/>
      <c r="J259" s="65"/>
      <c r="K259" s="65"/>
      <c r="L259" s="65">
        <f>SUM(venta_a_mes5[[#This Row],[IMPORTE NETO]:[EXENTO]])</f>
        <v>0</v>
      </c>
      <c r="M259" s="59"/>
    </row>
    <row r="260" spans="2:13">
      <c r="B260" s="226" t="s">
        <v>103</v>
      </c>
      <c r="C260" s="227"/>
      <c r="D260" s="227"/>
      <c r="E260" s="227"/>
      <c r="F260" s="227"/>
      <c r="G260" s="445"/>
      <c r="H260" s="228">
        <f>SUBTOTAL(109,venta_a_mes5[IMPORTE NETO])</f>
        <v>0</v>
      </c>
      <c r="I260" s="229">
        <f>SUBTOTAL(109,venta_a_mes5[IVA 21%])</f>
        <v>0</v>
      </c>
      <c r="J260" s="230">
        <f>SUBTOTAL(109,venta_a_mes5[IVA 10,5%])</f>
        <v>0</v>
      </c>
      <c r="K260" s="230">
        <f>SUBTOTAL(109,venta_a_mes5[EXENTO])</f>
        <v>0</v>
      </c>
      <c r="L260" s="230">
        <f>SUBTOTAL(109,venta_a_mes5[TOTAL])</f>
        <v>0</v>
      </c>
      <c r="M260" s="231">
        <f>SUBTOTAL(103,venta_a_mes5[Provincia])</f>
        <v>0</v>
      </c>
    </row>
    <row r="263" spans="2:13" ht="21">
      <c r="B263" s="713" t="s">
        <v>31</v>
      </c>
      <c r="C263" s="713"/>
    </row>
    <row r="264" spans="2:13" ht="15.75">
      <c r="B264" s="60" t="s">
        <v>0</v>
      </c>
      <c r="C264" s="61" t="s">
        <v>1</v>
      </c>
      <c r="D264" s="61" t="s">
        <v>21</v>
      </c>
      <c r="E264" s="61" t="s">
        <v>22</v>
      </c>
      <c r="F264" s="61" t="s">
        <v>3</v>
      </c>
      <c r="G264" s="444" t="s">
        <v>4</v>
      </c>
      <c r="H264" s="61" t="s">
        <v>23</v>
      </c>
      <c r="I264" s="61" t="s">
        <v>17</v>
      </c>
      <c r="J264" s="61" t="s">
        <v>7</v>
      </c>
      <c r="K264" s="61" t="s">
        <v>24</v>
      </c>
      <c r="L264" s="61" t="s">
        <v>10</v>
      </c>
      <c r="M264" s="62" t="s">
        <v>38</v>
      </c>
    </row>
    <row r="265" spans="2:13">
      <c r="B265" s="40"/>
      <c r="C265" s="41"/>
      <c r="D265" s="42"/>
      <c r="E265" s="43"/>
      <c r="F265" s="44"/>
      <c r="G265" s="446" t="str">
        <f>IFERROR(IF(ventas_b_mes5[[#This Row],[CUIT]]="","-",VLOOKUP(ventas_b_mes5[[#This Row],[CUIT]],Lista_CUIT[#All],2,0)),"CUIT NO CARGADO")</f>
        <v>-</v>
      </c>
      <c r="H265" s="64"/>
      <c r="I265" s="64"/>
      <c r="J265" s="64"/>
      <c r="K265" s="64"/>
      <c r="L265" s="64">
        <f>SUM(ventas_b_mes5[[#This Row],[IMPORTE NETO]:[EXENTO]])</f>
        <v>0</v>
      </c>
      <c r="M265" s="59"/>
    </row>
    <row r="266" spans="2:13">
      <c r="B266" s="40"/>
      <c r="C266" s="41"/>
      <c r="D266" s="42"/>
      <c r="E266" s="43"/>
      <c r="F266" s="44"/>
      <c r="G266" s="446"/>
      <c r="H266" s="64"/>
      <c r="I266" s="64"/>
      <c r="J266" s="64"/>
      <c r="K266" s="64"/>
      <c r="L266" s="64">
        <f>SUM(ventas_b_mes5[[#This Row],[IMPORTE NETO]:[EXENTO]])</f>
        <v>0</v>
      </c>
      <c r="M266" s="59"/>
    </row>
    <row r="267" spans="2:13">
      <c r="B267" s="40"/>
      <c r="C267" s="41"/>
      <c r="D267" s="42"/>
      <c r="E267" s="43"/>
      <c r="F267" s="44"/>
      <c r="G267" s="446"/>
      <c r="H267" s="64"/>
      <c r="I267" s="64"/>
      <c r="J267" s="64"/>
      <c r="K267" s="64"/>
      <c r="L267" s="64">
        <f>SUM(ventas_b_mes5[[#This Row],[IMPORTE NETO]:[EXENTO]])</f>
        <v>0</v>
      </c>
      <c r="M267" s="59"/>
    </row>
    <row r="268" spans="2:13">
      <c r="B268" s="40"/>
      <c r="C268" s="41"/>
      <c r="D268" s="42"/>
      <c r="E268" s="43"/>
      <c r="F268" s="44"/>
      <c r="G268" s="446"/>
      <c r="H268" s="64"/>
      <c r="I268" s="64"/>
      <c r="J268" s="64"/>
      <c r="K268" s="64"/>
      <c r="L268" s="64">
        <f>SUM(ventas_b_mes5[[#This Row],[IMPORTE NETO]:[EXENTO]])</f>
        <v>0</v>
      </c>
      <c r="M268" s="59"/>
    </row>
    <row r="269" spans="2:13">
      <c r="B269" s="40"/>
      <c r="C269" s="41"/>
      <c r="D269" s="42"/>
      <c r="E269" s="43"/>
      <c r="F269" s="44"/>
      <c r="G269" s="446"/>
      <c r="H269" s="64"/>
      <c r="I269" s="64"/>
      <c r="J269" s="64"/>
      <c r="K269" s="64"/>
      <c r="L269" s="64">
        <f>SUM(ventas_b_mes5[[#This Row],[IMPORTE NETO]:[EXENTO]])</f>
        <v>0</v>
      </c>
      <c r="M269" s="59"/>
    </row>
    <row r="270" spans="2:13">
      <c r="B270" s="40"/>
      <c r="C270" s="41"/>
      <c r="D270" s="42"/>
      <c r="E270" s="43"/>
      <c r="F270" s="44"/>
      <c r="G270" s="446"/>
      <c r="H270" s="64"/>
      <c r="I270" s="64"/>
      <c r="J270" s="64"/>
      <c r="K270" s="64"/>
      <c r="L270" s="64">
        <f>SUM(ventas_b_mes5[[#This Row],[IMPORTE NETO]:[EXENTO]])</f>
        <v>0</v>
      </c>
      <c r="M270" s="59"/>
    </row>
    <row r="271" spans="2:13">
      <c r="B271" s="66" t="s">
        <v>103</v>
      </c>
      <c r="C271" s="67"/>
      <c r="D271" s="67"/>
      <c r="E271" s="67"/>
      <c r="F271" s="67"/>
      <c r="G271" s="447"/>
      <c r="H271" s="77">
        <f>SUBTOTAL(109,ventas_b_mes5[IMPORTE NETO])</f>
        <v>0</v>
      </c>
      <c r="I271" s="77">
        <f>SUBTOTAL(109,ventas_b_mes5[IVA 21%])</f>
        <v>0</v>
      </c>
      <c r="J271" s="78">
        <f>SUBTOTAL(109,ventas_b_mes5[IVA 10,5%])</f>
        <v>0</v>
      </c>
      <c r="K271" s="78">
        <f>SUBTOTAL(109,ventas_b_mes5[EXENTO])</f>
        <v>0</v>
      </c>
      <c r="L271" s="78">
        <f>SUBTOTAL(109,ventas_b_mes5[TOTAL])</f>
        <v>0</v>
      </c>
      <c r="M271" s="68">
        <f>SUBTOTAL(103,ventas_b_mes5[Provincia])</f>
        <v>0</v>
      </c>
    </row>
    <row r="278" spans="3:12" ht="15.75" thickBot="1"/>
    <row r="279" spans="3:12" ht="15.75" thickTop="1">
      <c r="C279" s="726" t="s">
        <v>66</v>
      </c>
      <c r="D279" s="726"/>
      <c r="E279" s="726"/>
      <c r="F279" s="726"/>
      <c r="G279" s="726"/>
      <c r="H279" s="32"/>
      <c r="I279" s="32"/>
      <c r="J279" s="32"/>
    </row>
    <row r="280" spans="3:12" ht="15.75">
      <c r="C280" s="114" t="s">
        <v>67</v>
      </c>
      <c r="D280" s="115" t="s">
        <v>68</v>
      </c>
      <c r="E280" s="115" t="s">
        <v>105</v>
      </c>
      <c r="F280" s="115" t="s">
        <v>3</v>
      </c>
      <c r="G280" s="448" t="s">
        <v>4</v>
      </c>
      <c r="H280" s="116" t="s">
        <v>69</v>
      </c>
      <c r="I280" s="116" t="s">
        <v>70</v>
      </c>
      <c r="J280" s="116" t="s">
        <v>71</v>
      </c>
      <c r="K280" s="116" t="s">
        <v>72</v>
      </c>
      <c r="L280" s="116" t="s">
        <v>73</v>
      </c>
    </row>
    <row r="281" spans="3:12">
      <c r="C281" s="117"/>
      <c r="D281" s="118"/>
      <c r="E281" s="118"/>
      <c r="F281" s="119"/>
      <c r="G281" s="53" t="str">
        <f>IFERROR(IF(Retenciones_mes5[[#This Row],[CUIT]]="","-",VLOOKUP(Retenciones_mes5[[#This Row],[CUIT]],Lista_CUIT[#All],2,0)),"CUIT NO CARGADO")</f>
        <v>-</v>
      </c>
      <c r="H281" s="120"/>
      <c r="I281" s="120"/>
      <c r="J281" s="120"/>
      <c r="K281" s="120"/>
      <c r="L281" s="120"/>
    </row>
    <row r="282" spans="3:12">
      <c r="C282" s="117"/>
      <c r="D282" s="118"/>
      <c r="E282" s="118"/>
      <c r="F282" s="119"/>
      <c r="G282" s="53" t="str">
        <f>IFERROR(IF(Retenciones_mes5[[#This Row],[CUIT]]="","-",VLOOKUP(Retenciones_mes5[[#This Row],[CUIT]],Lista_CUIT[#All],2,0)),"CUIT NO CARGADO")</f>
        <v>-</v>
      </c>
      <c r="H282" s="120"/>
      <c r="I282" s="120"/>
      <c r="J282" s="120"/>
      <c r="K282" s="120"/>
      <c r="L282" s="120"/>
    </row>
    <row r="283" spans="3:12">
      <c r="C283" s="117"/>
      <c r="D283" s="118"/>
      <c r="E283" s="118"/>
      <c r="F283" s="119"/>
      <c r="G283" s="53" t="str">
        <f>IFERROR(IF(Retenciones_mes5[[#This Row],[CUIT]]="","-",VLOOKUP(Retenciones_mes5[[#This Row],[CUIT]],Lista_CUIT[#All],2,0)),"CUIT NO CARGADO")</f>
        <v>-</v>
      </c>
      <c r="H283" s="120"/>
      <c r="I283" s="120"/>
      <c r="J283" s="120"/>
      <c r="K283" s="120"/>
      <c r="L283" s="120"/>
    </row>
    <row r="284" spans="3:12">
      <c r="C284" s="117"/>
      <c r="D284" s="118"/>
      <c r="E284" s="118"/>
      <c r="F284" s="119"/>
      <c r="G284" s="53" t="str">
        <f>IFERROR(IF(Retenciones_mes5[[#This Row],[CUIT]]="","-",VLOOKUP(Retenciones_mes5[[#This Row],[CUIT]],Lista_CUIT[#All],2,0)),"CUIT NO CARGADO")</f>
        <v>-</v>
      </c>
      <c r="H284" s="120"/>
      <c r="I284" s="120"/>
      <c r="J284" s="120"/>
      <c r="K284" s="120"/>
      <c r="L284" s="120"/>
    </row>
    <row r="285" spans="3:12">
      <c r="D285" s="118"/>
      <c r="E285" s="118"/>
      <c r="G285" s="53" t="str">
        <f>IFERROR(IF(Retenciones_mes5[[#This Row],[CUIT]]="","-",VLOOKUP(Retenciones_mes5[[#This Row],[CUIT]],Lista_CUIT[#All],2,0)),"CUIT NO CARGADO")</f>
        <v>-</v>
      </c>
    </row>
    <row r="286" spans="3:12">
      <c r="C286" s="33"/>
    </row>
  </sheetData>
  <mergeCells count="20">
    <mergeCell ref="C279:G279"/>
    <mergeCell ref="B4:E4"/>
    <mergeCell ref="G4:H4"/>
    <mergeCell ref="J4:K4"/>
    <mergeCell ref="M4:N4"/>
    <mergeCell ref="D222:K222"/>
    <mergeCell ref="B251:J251"/>
    <mergeCell ref="K251:M251"/>
    <mergeCell ref="B253:C253"/>
    <mergeCell ref="B263:C263"/>
    <mergeCell ref="P4:R4"/>
    <mergeCell ref="D209:L209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65:L270">
      <formula1>IF($C265=8,H265&lt;0,H265&gt;=0)</formula1>
    </dataValidation>
    <dataValidation type="custom" allowBlank="1" showInputMessage="1" showErrorMessage="1" sqref="L255:L256">
      <formula1>IF($C8=3,L8&lt;0,L8&gt;=0)</formula1>
    </dataValidation>
    <dataValidation type="whole" allowBlank="1" showInputMessage="1" showErrorMessage="1" sqref="C265:C270">
      <formula1>6</formula1>
      <formula2>8</formula2>
    </dataValidation>
    <dataValidation type="custom" allowBlank="1" showInputMessage="1" showErrorMessage="1" sqref="H255:K255 H257:K257 H259:K259">
      <formula1>IF($C255=3,H255&lt;0,H255&gt;=0)</formula1>
    </dataValidation>
    <dataValidation type="whole" allowBlank="1" showInputMessage="1" showErrorMessage="1" sqref="C255:C259 C208 C8:C206">
      <formula1>1</formula1>
      <formula2>3</formula2>
    </dataValidation>
    <dataValidation type="date" allowBlank="1" showInputMessage="1" showErrorMessage="1" sqref="B208 B255:B259 B265:B270 D224:D248 D211:D219 B8:B206">
      <formula1>40179</formula1>
      <formula2>TODAY()</formula2>
    </dataValidation>
    <dataValidation type="whole" allowBlank="1" showInputMessage="1" showErrorMessage="1" sqref="F255:F259 F265:F270 G224:G248 F8:F206">
      <formula1>20000000000</formula1>
      <formula2>33999999999</formula2>
    </dataValidation>
    <dataValidation type="whole" allowBlank="1" showInputMessage="1" showErrorMessage="1" sqref="E255:E259 E265:E270 F224:F248 E8:E206">
      <formula1>1</formula1>
      <formula2>99999999</formula2>
    </dataValidation>
    <dataValidation type="whole" allowBlank="1" showInputMessage="1" showErrorMessage="1" sqref="D255:D259 D265:D270 E224:E248 D8:D206">
      <formula1>1</formula1>
      <formula2>9999</formula2>
    </dataValidation>
    <dataValidation type="custom" allowBlank="1" showInputMessage="1" showErrorMessage="1" sqref="L257">
      <formula1>IF($C12=3,L12&lt;0,L12&gt;=0)</formula1>
    </dataValidation>
    <dataValidation type="custom" allowBlank="1" showInputMessage="1" showErrorMessage="1" sqref="L258:L259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8:O64 H66:O206 H65:I65 K65:O65">
      <formula1>IF($C8=3,H8&lt;0,H8&gt;=0)</formula1>
    </dataValidation>
  </dataValidations>
  <pageMargins left="0.7" right="0.7" top="0.75" bottom="0.75" header="0.3" footer="0.3"/>
  <pageSetup paperSize="9" scale="43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XFC283"/>
  <sheetViews>
    <sheetView showGridLines="0" topLeftCell="B183" zoomScale="115" zoomScaleNormal="115" workbookViewId="0">
      <selection activeCell="I206" sqref="I206:K206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140625" customWidth="1"/>
    <col min="4" max="4" width="13.28515625" customWidth="1"/>
    <col min="5" max="5" width="14.5703125" customWidth="1"/>
    <col min="6" max="6" width="23.140625" customWidth="1"/>
    <col min="7" max="7" width="25.28515625" style="433" customWidth="1"/>
    <col min="8" max="8" width="28.42578125" customWidth="1"/>
    <col min="9" max="9" width="17" customWidth="1"/>
    <col min="10" max="10" width="23.140625" customWidth="1"/>
    <col min="11" max="11" width="15.28515625" bestFit="1" customWidth="1"/>
    <col min="12" max="13" width="15.42578125" bestFit="1" customWidth="1"/>
    <col min="14" max="14" width="15.85546875" bestFit="1" customWidth="1"/>
    <col min="15" max="15" width="12.85546875" customWidth="1"/>
    <col min="16" max="16" width="23.140625" customWidth="1"/>
    <col min="17" max="17" width="20.140625" bestFit="1" customWidth="1"/>
    <col min="18" max="18" width="15.7109375" bestFit="1" customWidth="1"/>
    <col min="19" max="19" width="8" customWidth="1"/>
    <col min="20" max="20" width="16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3" width="11.5703125" hidden="1"/>
    <col min="16384" max="16384" width="9.28515625" customWidth="1"/>
  </cols>
  <sheetData>
    <row r="1" spans="1:26" ht="28.5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EDATE('Ene-24'!N1,4)</f>
        <v>45047</v>
      </c>
      <c r="O1" s="711"/>
      <c r="P1" s="711"/>
      <c r="Q1" s="711"/>
      <c r="R1" s="711"/>
    </row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SUM(compras_mes576[[#Totals],[NETO GRAVADO]])+extracto_banco_mes580[[#Totals],[NETO]]</f>
        <v>99487116.599999949</v>
      </c>
      <c r="C4" s="718"/>
      <c r="D4" s="718"/>
      <c r="E4" s="718"/>
      <c r="F4" s="39"/>
      <c r="G4" s="719">
        <f>compras_mes576[[#Totals],[IVA 21 %]]+compras_mes576[[#Totals],[IVA 27%]]+compras_mes576[[#Totals],[IVA 10,5%]]+extracto_banco_mes580[[#Totals],[IVA 21%]]+extracto_banco_mes580[[#Totals],[IVA 10,5%]]</f>
        <v>19150430.612999994</v>
      </c>
      <c r="H4" s="719"/>
      <c r="I4" s="39"/>
      <c r="J4" s="725">
        <f>venta_a_mes578[[#Totals],[IMPORTE NETO]]+ventas_b_mes579[[#Totals],[IMPORTE NETO]]</f>
        <v>0</v>
      </c>
      <c r="K4" s="725"/>
      <c r="L4" s="39"/>
      <c r="M4" s="725">
        <f>venta_a_mes578[[#Totals],[IVA 21%]]+venta_a_mes578[[#Totals],[IVA 10,5%]]+ventas_b_mes579[[#Totals],[IVA 21%]]+ventas_b_mes579[[#Totals],[IVA 10,5%]]</f>
        <v>0</v>
      </c>
      <c r="N4" s="725"/>
      <c r="O4" s="39"/>
      <c r="P4" s="721">
        <f>G4-M4</f>
        <v>19150430.612999994</v>
      </c>
      <c r="Q4" s="722"/>
      <c r="R4" s="722"/>
    </row>
    <row r="5" spans="1:26">
      <c r="H5" s="215"/>
    </row>
    <row r="6" spans="1:26" s="2" customFormat="1">
      <c r="B6" s="40"/>
      <c r="C6" s="41"/>
      <c r="D6" s="42"/>
      <c r="E6" s="43"/>
      <c r="F6" s="44"/>
      <c r="G6" s="129"/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43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>
      <c r="B8" s="425" t="s">
        <v>2245</v>
      </c>
      <c r="C8" s="90">
        <v>1</v>
      </c>
      <c r="D8" s="91">
        <v>1</v>
      </c>
      <c r="E8" s="92">
        <v>720</v>
      </c>
      <c r="F8" s="93">
        <v>30715889486</v>
      </c>
      <c r="G8" s="435" t="str">
        <f>IFERROR(IF(compras_mes576[[#This Row],[CUIT]]="","-",VLOOKUP(compras_mes576[[#This Row],[CUIT]],Lista_CUIT[#All],2,0)),"CUIT NO CARGADO")</f>
        <v>EXPOESTETICA</v>
      </c>
      <c r="H8" s="95">
        <v>396000</v>
      </c>
      <c r="I8" s="426">
        <f>IF(compras_mes576[[#This Row],[NETO GRAVADO]]="","",compras_mes576[[#This Row],[NETO GRAVADO]]*0.21)</f>
        <v>83160</v>
      </c>
      <c r="J8" s="426"/>
      <c r="K8" s="426"/>
      <c r="L8" s="426"/>
      <c r="M8" s="426"/>
      <c r="N8" s="426"/>
      <c r="O8" s="426"/>
      <c r="P8" s="87">
        <f>SUM(compras_mes576[[#This Row],[NETO GRAVADO]:[Otros / No Grav.]])</f>
        <v>479160</v>
      </c>
      <c r="Q8" s="88" t="str">
        <f>IFERROR(IF(compras_mes576[[#This Row],[CUIT]]="","-",VLOOKUP(compras_mes576[[#This Row],[CUIT]],Lista_CUIT[#All],3,0)),"CUIT NO CARGADO")</f>
        <v>Gastos Comercializacion - Feria</v>
      </c>
      <c r="R8" s="88" t="str">
        <f>IFERROR(IF(compras_mes576[[#This Row],[CUIT]]="","-",VLOOKUP(compras_mes576[[#This Row],[CUIT]],Lista_CUIT[#All],4,0)),"CUIT NO CARGADO")</f>
        <v>BUENOS AIRES</v>
      </c>
    </row>
    <row r="9" spans="1:26">
      <c r="B9" s="425" t="s">
        <v>2245</v>
      </c>
      <c r="C9" s="90">
        <v>1</v>
      </c>
      <c r="D9" s="91">
        <v>1</v>
      </c>
      <c r="E9" s="92">
        <v>503</v>
      </c>
      <c r="F9" s="93">
        <v>20131206144</v>
      </c>
      <c r="G9" s="436" t="str">
        <f>IFERROR(IF(compras_mes576[[#This Row],[CUIT]]="","-",VLOOKUP(compras_mes576[[#This Row],[CUIT]],Lista_CUIT[#All],2,0)),"CUIT NO CARGADO")</f>
        <v>CHAMORRO MANUEL</v>
      </c>
      <c r="H9" s="95">
        <v>707700</v>
      </c>
      <c r="I9" s="426">
        <f>IF(compras_mes576[[#This Row],[NETO GRAVADO]]="","",compras_mes576[[#This Row],[NETO GRAVADO]]*0.21)</f>
        <v>148617</v>
      </c>
      <c r="J9" s="426"/>
      <c r="K9" s="426"/>
      <c r="L9" s="426"/>
      <c r="M9" s="426"/>
      <c r="N9" s="426"/>
      <c r="O9" s="426"/>
      <c r="P9" s="424">
        <f>SUM(compras_mes576[[#This Row],[NETO GRAVADO]:[Otros / No Grav.]])</f>
        <v>856317</v>
      </c>
      <c r="Q9" s="432" t="str">
        <f>IFERROR(IF(compras_mes576[[#This Row],[CUIT]]="","-",VLOOKUP(compras_mes576[[#This Row],[CUIT]],Lista_CUIT[#All],3,0)),"CUIT NO CARGADO")</f>
        <v>Alquiler</v>
      </c>
      <c r="R9" s="432">
        <f>IFERROR(IF(compras_mes576[[#This Row],[CUIT]]="","-",VLOOKUP(compras_mes576[[#This Row],[CUIT]],Lista_CUIT[#All],4,0)),"CUIT NO CARGADO")</f>
        <v>0</v>
      </c>
    </row>
    <row r="10" spans="1:26">
      <c r="B10" s="425" t="s">
        <v>2246</v>
      </c>
      <c r="C10" s="90">
        <v>1</v>
      </c>
      <c r="D10" s="91">
        <v>6</v>
      </c>
      <c r="E10" s="92">
        <v>3098</v>
      </c>
      <c r="F10" s="93">
        <v>30574603788</v>
      </c>
      <c r="G10" s="436" t="str">
        <f>IFERROR(IF(compras_mes576[[#This Row],[CUIT]]="","-",VLOOKUP(compras_mes576[[#This Row],[CUIT]],Lista_CUIT[#All],2,0)),"CUIT NO CARGADO")</f>
        <v>CODAC SRL</v>
      </c>
      <c r="H10" s="95">
        <v>235400</v>
      </c>
      <c r="I10" s="426">
        <f>IF(compras_mes576[[#This Row],[NETO GRAVADO]]="","",compras_mes576[[#This Row],[NETO GRAVADO]]*0.21)</f>
        <v>49434</v>
      </c>
      <c r="J10" s="426"/>
      <c r="K10" s="426"/>
      <c r="L10" s="426"/>
      <c r="M10" s="426"/>
      <c r="N10" s="426"/>
      <c r="O10" s="426"/>
      <c r="P10" s="424">
        <f>SUM(compras_mes576[[#This Row],[NETO GRAVADO]:[Otros / No Grav.]])</f>
        <v>284834</v>
      </c>
      <c r="Q10" s="432" t="str">
        <f>IFERROR(IF(compras_mes576[[#This Row],[CUIT]]="","-",VLOOKUP(compras_mes576[[#This Row],[CUIT]],Lista_CUIT[#All],3,0)),"CUIT NO CARGADO")</f>
        <v>Productos Venta</v>
      </c>
      <c r="R10" s="432" t="str">
        <f>IFERROR(IF(compras_mes576[[#This Row],[CUIT]]="","-",VLOOKUP(compras_mes576[[#This Row],[CUIT]],Lista_CUIT[#All],4,0)),"CUIT NO CARGADO")</f>
        <v>BUENOS AIRES</v>
      </c>
      <c r="T10" s="33">
        <f>SUM(P8:P194)</f>
        <v>117844333.41689998</v>
      </c>
    </row>
    <row r="11" spans="1:26">
      <c r="B11" s="425" t="s">
        <v>2246</v>
      </c>
      <c r="C11" s="90">
        <v>1</v>
      </c>
      <c r="D11" s="91">
        <v>5015</v>
      </c>
      <c r="E11" s="92">
        <v>607397</v>
      </c>
      <c r="F11" s="93">
        <v>30574876474</v>
      </c>
      <c r="G11" s="436" t="str">
        <f>IFERROR(IF(compras_mes576[[#This Row],[CUIT]]="","-",VLOOKUP(compras_mes576[[#This Row],[CUIT]],Lista_CUIT[#All],2,0)),"CUIT NO CARGADO")</f>
        <v>AUTOPISTAS URBANAS S A</v>
      </c>
      <c r="H11" s="95">
        <v>155133.67000000001</v>
      </c>
      <c r="I11" s="426">
        <f>IF(compras_mes576[[#This Row],[NETO GRAVADO]]="","",compras_mes576[[#This Row],[NETO GRAVADO]]*0.21)</f>
        <v>32578.0707</v>
      </c>
      <c r="J11" s="426"/>
      <c r="K11" s="426"/>
      <c r="L11" s="426"/>
      <c r="M11" s="426"/>
      <c r="N11" s="426"/>
      <c r="O11" s="426">
        <v>20167.3</v>
      </c>
      <c r="P11" s="455">
        <f>SUM(compras_mes576[[#This Row],[NETO GRAVADO]:[Otros / No Grav.]])</f>
        <v>207879.04070000001</v>
      </c>
      <c r="Q11" s="432" t="str">
        <f>IFERROR(IF(compras_mes576[[#This Row],[CUIT]]="","-",VLOOKUP(compras_mes576[[#This Row],[CUIT]],Lista_CUIT[#All],3,0)),"CUIT NO CARGADO")</f>
        <v>Peajes</v>
      </c>
      <c r="R11" s="432">
        <f>IFERROR(IF(compras_mes576[[#This Row],[CUIT]]="","-",VLOOKUP(compras_mes576[[#This Row],[CUIT]],Lista_CUIT[#All],4,0)),"CUIT NO CARGADO")</f>
        <v>0</v>
      </c>
    </row>
    <row r="12" spans="1:26">
      <c r="B12" s="425" t="s">
        <v>2246</v>
      </c>
      <c r="C12" s="90">
        <v>1</v>
      </c>
      <c r="D12" s="91">
        <v>1678</v>
      </c>
      <c r="E12" s="92">
        <v>37376</v>
      </c>
      <c r="F12" s="93">
        <v>30589621499</v>
      </c>
      <c r="G12" s="436" t="str">
        <f>IFERROR(IF(compras_mes576[[#This Row],[CUIT]]="","-",VLOOKUP(compras_mes576[[#This Row],[CUIT]],Lista_CUIT[#All],2,0)),"CUIT NO CARGADO")</f>
        <v>MAKRO SA</v>
      </c>
      <c r="H12" s="95">
        <v>61459.97</v>
      </c>
      <c r="I12" s="426">
        <f>58518.83*0.21</f>
        <v>12288.954299999999</v>
      </c>
      <c r="J12" s="426"/>
      <c r="K12" s="426">
        <f>2941.14*0.105</f>
        <v>308.81969999999995</v>
      </c>
      <c r="L12" s="426">
        <v>1799.68</v>
      </c>
      <c r="M12" s="426"/>
      <c r="N12" s="426">
        <v>3687.6</v>
      </c>
      <c r="O12" s="426"/>
      <c r="P12" s="455">
        <f>SUM(compras_mes576[[#This Row],[NETO GRAVADO]:[Otros / No Grav.]])</f>
        <v>79545.02399999999</v>
      </c>
      <c r="Q12" s="432" t="str">
        <f>IFERROR(IF(compras_mes576[[#This Row],[CUIT]]="","-",VLOOKUP(compras_mes576[[#This Row],[CUIT]],Lista_CUIT[#All],3,0)),"CUIT NO CARGADO")</f>
        <v>Gastos Varios</v>
      </c>
      <c r="R12" s="432">
        <f>IFERROR(IF(compras_mes576[[#This Row],[CUIT]]="","-",VLOOKUP(compras_mes576[[#This Row],[CUIT]],Lista_CUIT[#All],4,0)),"CUIT NO CARGADO")</f>
        <v>0</v>
      </c>
    </row>
    <row r="13" spans="1:26">
      <c r="B13" s="425" t="s">
        <v>2246</v>
      </c>
      <c r="C13" s="90">
        <v>1</v>
      </c>
      <c r="D13" s="91">
        <v>6</v>
      </c>
      <c r="E13" s="92">
        <v>3097</v>
      </c>
      <c r="F13" s="93">
        <v>30574603788</v>
      </c>
      <c r="G13" s="436" t="str">
        <f>IFERROR(IF(compras_mes576[[#This Row],[CUIT]]="","-",VLOOKUP(compras_mes576[[#This Row],[CUIT]],Lista_CUIT[#All],2,0)),"CUIT NO CARGADO")</f>
        <v>CODAC SRL</v>
      </c>
      <c r="H13" s="95">
        <v>3191950</v>
      </c>
      <c r="I13" s="426">
        <f>IF(compras_mes576[[#This Row],[NETO GRAVADO]]="","",compras_mes576[[#This Row],[NETO GRAVADO]]*0.21)</f>
        <v>670309.5</v>
      </c>
      <c r="J13" s="426"/>
      <c r="K13" s="426"/>
      <c r="L13" s="426"/>
      <c r="M13" s="426"/>
      <c r="N13" s="426"/>
      <c r="O13" s="426"/>
      <c r="P13" s="424">
        <f>SUM(compras_mes576[[#This Row],[NETO GRAVADO]:[Otros / No Grav.]])</f>
        <v>3862259.5</v>
      </c>
      <c r="Q13" s="432" t="str">
        <f>IFERROR(IF(compras_mes576[[#This Row],[CUIT]]="","-",VLOOKUP(compras_mes576[[#This Row],[CUIT]],Lista_CUIT[#All],3,0)),"CUIT NO CARGADO")</f>
        <v>Productos Venta</v>
      </c>
      <c r="R13" s="432" t="str">
        <f>IFERROR(IF(compras_mes576[[#This Row],[CUIT]]="","-",VLOOKUP(compras_mes576[[#This Row],[CUIT]],Lista_CUIT[#All],4,0)),"CUIT NO CARGADO")</f>
        <v>BUENOS AIRES</v>
      </c>
    </row>
    <row r="14" spans="1:26">
      <c r="B14" s="425" t="s">
        <v>2246</v>
      </c>
      <c r="C14" s="90">
        <v>1</v>
      </c>
      <c r="D14" s="91">
        <v>6</v>
      </c>
      <c r="E14" s="92">
        <v>3102</v>
      </c>
      <c r="F14" s="93">
        <v>30574603788</v>
      </c>
      <c r="G14" s="436" t="str">
        <f>IFERROR(IF(compras_mes576[[#This Row],[CUIT]]="","-",VLOOKUP(compras_mes576[[#This Row],[CUIT]],Lista_CUIT[#All],2,0)),"CUIT NO CARGADO")</f>
        <v>CODAC SRL</v>
      </c>
      <c r="H14" s="95">
        <v>2082855</v>
      </c>
      <c r="I14" s="426">
        <f>IF(compras_mes576[[#This Row],[NETO GRAVADO]]="","",compras_mes576[[#This Row],[NETO GRAVADO]]*0.21)</f>
        <v>437399.55</v>
      </c>
      <c r="J14" s="426"/>
      <c r="K14" s="426"/>
      <c r="L14" s="426"/>
      <c r="M14" s="426"/>
      <c r="N14" s="426"/>
      <c r="O14" s="426"/>
      <c r="P14" s="424">
        <f>SUM(compras_mes576[[#This Row],[NETO GRAVADO]:[Otros / No Grav.]])</f>
        <v>2520254.5499999998</v>
      </c>
      <c r="Q14" s="432" t="str">
        <f>IFERROR(IF(compras_mes576[[#This Row],[CUIT]]="","-",VLOOKUP(compras_mes576[[#This Row],[CUIT]],Lista_CUIT[#All],3,0)),"CUIT NO CARGADO")</f>
        <v>Productos Venta</v>
      </c>
      <c r="R14" s="432" t="str">
        <f>IFERROR(IF(compras_mes576[[#This Row],[CUIT]]="","-",VLOOKUP(compras_mes576[[#This Row],[CUIT]],Lista_CUIT[#All],4,0)),"CUIT NO CARGADO")</f>
        <v>BUENOS AIRES</v>
      </c>
    </row>
    <row r="15" spans="1:26">
      <c r="B15" s="425" t="s">
        <v>2246</v>
      </c>
      <c r="C15" s="90">
        <v>1</v>
      </c>
      <c r="D15" s="91">
        <v>2</v>
      </c>
      <c r="E15" s="92">
        <v>3666</v>
      </c>
      <c r="F15" s="93">
        <v>30629863571</v>
      </c>
      <c r="G15" s="436" t="str">
        <f>IFERROR(IF(compras_mes576[[#This Row],[CUIT]]="","-",VLOOKUP(compras_mes576[[#This Row],[CUIT]],Lista_CUIT[#All],2,0)),"CUIT NO CARGADO")</f>
        <v>TECNIMAR S R L</v>
      </c>
      <c r="H15" s="95">
        <v>2482701.2400000002</v>
      </c>
      <c r="I15" s="426">
        <f>IF(compras_mes576[[#This Row],[NETO GRAVADO]]="","",compras_mes576[[#This Row],[NETO GRAVADO]]*0.21)</f>
        <v>521367.26040000003</v>
      </c>
      <c r="J15" s="426"/>
      <c r="K15" s="426"/>
      <c r="L15" s="426"/>
      <c r="M15" s="426"/>
      <c r="N15" s="426"/>
      <c r="O15" s="426"/>
      <c r="P15" s="424">
        <f>SUM(compras_mes576[[#This Row],[NETO GRAVADO]:[Otros / No Grav.]])</f>
        <v>3004068.5004000003</v>
      </c>
      <c r="Q15" s="432" t="str">
        <f>IFERROR(IF(compras_mes576[[#This Row],[CUIT]]="","-",VLOOKUP(compras_mes576[[#This Row],[CUIT]],Lista_CUIT[#All],3,0)),"CUIT NO CARGADO")</f>
        <v>Productos Venta</v>
      </c>
      <c r="R15" s="432">
        <f>IFERROR(IF(compras_mes576[[#This Row],[CUIT]]="","-",VLOOKUP(compras_mes576[[#This Row],[CUIT]],Lista_CUIT[#All],4,0)),"CUIT NO CARGADO")</f>
        <v>0</v>
      </c>
    </row>
    <row r="16" spans="1:26">
      <c r="B16" s="425" t="s">
        <v>2246</v>
      </c>
      <c r="C16" s="90">
        <v>1</v>
      </c>
      <c r="D16" s="91">
        <v>6328</v>
      </c>
      <c r="E16" s="92">
        <v>939</v>
      </c>
      <c r="F16" s="93">
        <v>30638485733</v>
      </c>
      <c r="G16" s="437" t="str">
        <f>IFERROR(IF(compras_mes576[[#This Row],[CUIT]]="","-",VLOOKUP(compras_mes576[[#This Row],[CUIT]],Lista_CUIT[#All],2,0)),"CUIT NO CARGADO")</f>
        <v>DABRA SOCIEDAD ANONIMA</v>
      </c>
      <c r="H16" s="95">
        <v>56527.29</v>
      </c>
      <c r="I16" s="426">
        <f>IF(compras_mes576[[#This Row],[NETO GRAVADO]]="","",compras_mes576[[#This Row],[NETO GRAVADO]]*0.21)</f>
        <v>11870.7309</v>
      </c>
      <c r="J16" s="426"/>
      <c r="K16" s="426"/>
      <c r="L16" s="426"/>
      <c r="M16" s="426"/>
      <c r="N16" s="426">
        <v>3391.64</v>
      </c>
      <c r="O16" s="426"/>
      <c r="P16" s="456">
        <f>SUM(compras_mes576[[#This Row],[NETO GRAVADO]:[Otros / No Grav.]])</f>
        <v>71789.660900000003</v>
      </c>
      <c r="Q16" s="49" t="str">
        <f>IFERROR(IF(compras_mes576[[#This Row],[CUIT]]="","-",VLOOKUP(compras_mes576[[#This Row],[CUIT]],Lista_CUIT[#All],3,0)),"CUIT NO CARGADO")</f>
        <v>Gastos Varios</v>
      </c>
      <c r="R16" s="49">
        <f>IFERROR(IF(compras_mes576[[#This Row],[CUIT]]="","-",VLOOKUP(compras_mes576[[#This Row],[CUIT]],Lista_CUIT[#All],4,0)),"CUIT NO CARGADO")</f>
        <v>0</v>
      </c>
    </row>
    <row r="17" spans="2:18">
      <c r="B17" s="425" t="s">
        <v>2246</v>
      </c>
      <c r="C17" s="90">
        <v>2</v>
      </c>
      <c r="D17" s="91">
        <v>4</v>
      </c>
      <c r="E17" s="92">
        <v>4</v>
      </c>
      <c r="F17" s="93">
        <v>30715946250</v>
      </c>
      <c r="G17" s="436" t="str">
        <f>IFERROR(IF(compras_mes576[[#This Row],[CUIT]]="","-",VLOOKUP(compras_mes576[[#This Row],[CUIT]],Lista_CUIT[#All],2,0)),"CUIT NO CARGADO")</f>
        <v>GLOBAL AESTHETICS PRODUCTS AND SERVICES SRL</v>
      </c>
      <c r="H17" s="95">
        <v>40663.550000000003</v>
      </c>
      <c r="I17" s="426">
        <f>IF(compras_mes576[[#This Row],[NETO GRAVADO]]="","",compras_mes576[[#This Row],[NETO GRAVADO]]*0.21)</f>
        <v>8539.3454999999994</v>
      </c>
      <c r="J17" s="426"/>
      <c r="K17" s="426"/>
      <c r="L17" s="426"/>
      <c r="M17" s="426"/>
      <c r="N17" s="426"/>
      <c r="O17" s="426"/>
      <c r="P17" s="424">
        <f>SUM(compras_mes576[[#This Row],[NETO GRAVADO]:[Otros / No Grav.]])</f>
        <v>49202.895499999999</v>
      </c>
      <c r="Q17" s="432" t="str">
        <f>IFERROR(IF(compras_mes576[[#This Row],[CUIT]]="","-",VLOOKUP(compras_mes576[[#This Row],[CUIT]],Lista_CUIT[#All],3,0)),"CUIT NO CARGADO")</f>
        <v>Productos Venta</v>
      </c>
      <c r="R17" s="432">
        <f>IFERROR(IF(compras_mes576[[#This Row],[CUIT]]="","-",VLOOKUP(compras_mes576[[#This Row],[CUIT]],Lista_CUIT[#All],4,0)),"CUIT NO CARGADO")</f>
        <v>0</v>
      </c>
    </row>
    <row r="18" spans="2:18">
      <c r="B18" s="425" t="s">
        <v>2247</v>
      </c>
      <c r="C18" s="90">
        <v>1</v>
      </c>
      <c r="D18" s="91">
        <v>711</v>
      </c>
      <c r="E18" s="92">
        <v>5640292</v>
      </c>
      <c r="F18" s="93">
        <v>30677237119</v>
      </c>
      <c r="G18" s="436" t="str">
        <f>IFERROR(IF(compras_mes576[[#This Row],[CUIT]]="","-",VLOOKUP(compras_mes576[[#This Row],[CUIT]],Lista_CUIT[#All],2,0)),"CUIT NO CARGADO")</f>
        <v>AUTOPISTAS DEL SOL S A</v>
      </c>
      <c r="H18" s="95">
        <v>6673.48</v>
      </c>
      <c r="I18" s="426">
        <f>IF(compras_mes576[[#This Row],[NETO GRAVADO]]="","",compras_mes576[[#This Row],[NETO GRAVADO]]*0.21)</f>
        <v>1401.4307999999999</v>
      </c>
      <c r="J18" s="426"/>
      <c r="K18" s="426"/>
      <c r="L18" s="426"/>
      <c r="M18" s="426"/>
      <c r="N18" s="426"/>
      <c r="O18" s="426">
        <v>200.2</v>
      </c>
      <c r="P18" s="455">
        <f>SUM(compras_mes576[[#This Row],[NETO GRAVADO]:[Otros / No Grav.]])</f>
        <v>8275.1108000000004</v>
      </c>
      <c r="Q18" s="432" t="str">
        <f>IFERROR(IF(compras_mes576[[#This Row],[CUIT]]="","-",VLOOKUP(compras_mes576[[#This Row],[CUIT]],Lista_CUIT[#All],3,0)),"CUIT NO CARGADO")</f>
        <v>Peajes</v>
      </c>
      <c r="R18" s="432">
        <f>IFERROR(IF(compras_mes576[[#This Row],[CUIT]]="","-",VLOOKUP(compras_mes576[[#This Row],[CUIT]],Lista_CUIT[#All],4,0)),"CUIT NO CARGADO")</f>
        <v>0</v>
      </c>
    </row>
    <row r="19" spans="2:18">
      <c r="B19" s="425" t="s">
        <v>2247</v>
      </c>
      <c r="C19" s="90">
        <v>1</v>
      </c>
      <c r="D19" s="91">
        <v>4</v>
      </c>
      <c r="E19" s="92">
        <v>74148</v>
      </c>
      <c r="F19" s="93">
        <v>30714749206</v>
      </c>
      <c r="G19" s="436" t="str">
        <f>IFERROR(IF(compras_mes576[[#This Row],[CUIT]]="","-",VLOOKUP(compras_mes576[[#This Row],[CUIT]],Lista_CUIT[#All],2,0)),"CUIT NO CARGADO")</f>
        <v>EBOX S.A.</v>
      </c>
      <c r="H19" s="95">
        <v>58637.1</v>
      </c>
      <c r="I19" s="426"/>
      <c r="J19" s="426"/>
      <c r="K19" s="426">
        <f>compras_mes576[[#This Row],[NETO GRAVADO]]*0.105</f>
        <v>6156.8954999999996</v>
      </c>
      <c r="L19" s="426"/>
      <c r="M19" s="426"/>
      <c r="N19" s="426"/>
      <c r="O19" s="426"/>
      <c r="P19" s="455">
        <f>SUM(compras_mes576[[#This Row],[NETO GRAVADO]:[Otros / No Grav.]])</f>
        <v>64793.995499999997</v>
      </c>
      <c r="Q19" s="432" t="str">
        <f>IFERROR(IF(compras_mes576[[#This Row],[CUIT]]="","-",VLOOKUP(compras_mes576[[#This Row],[CUIT]],Lista_CUIT[#All],3,0)),"CUIT NO CARGADO")</f>
        <v>Servicios Informatica</v>
      </c>
      <c r="R19" s="432">
        <f>IFERROR(IF(compras_mes576[[#This Row],[CUIT]]="","-",VLOOKUP(compras_mes576[[#This Row],[CUIT]],Lista_CUIT[#All],4,0)),"CUIT NO CARGADO")</f>
        <v>0</v>
      </c>
    </row>
    <row r="20" spans="2:18">
      <c r="B20" s="425" t="s">
        <v>2247</v>
      </c>
      <c r="C20" s="90">
        <v>1</v>
      </c>
      <c r="D20" s="91">
        <v>14</v>
      </c>
      <c r="E20" s="92">
        <v>12250</v>
      </c>
      <c r="F20" s="93">
        <v>30715186256</v>
      </c>
      <c r="G20" s="436" t="str">
        <f>IFERROR(IF(compras_mes576[[#This Row],[CUIT]]="","-",VLOOKUP(compras_mes576[[#This Row],[CUIT]],Lista_CUIT[#All],2,0)),"CUIT NO CARGADO")</f>
        <v>FRIGORIFICO ALIMENTIC</v>
      </c>
      <c r="H20" s="95">
        <v>37858.050000000003</v>
      </c>
      <c r="I20" s="426">
        <f>3553.72*0.21</f>
        <v>746.2811999999999</v>
      </c>
      <c r="J20" s="426"/>
      <c r="K20" s="426">
        <f>34304.33*0.105</f>
        <v>3601.9546500000001</v>
      </c>
      <c r="L20" s="426"/>
      <c r="M20" s="426"/>
      <c r="N20" s="426"/>
      <c r="O20" s="426"/>
      <c r="P20" s="455">
        <f>SUM(compras_mes576[[#This Row],[NETO GRAVADO]:[Otros / No Grav.]])</f>
        <v>42206.28585</v>
      </c>
      <c r="Q20" s="432" t="str">
        <f>IFERROR(IF(compras_mes576[[#This Row],[CUIT]]="","-",VLOOKUP(compras_mes576[[#This Row],[CUIT]],Lista_CUIT[#All],3,0)),"CUIT NO CARGADO")</f>
        <v>Gastos Comercializacion - Feria</v>
      </c>
      <c r="R20" s="432">
        <f>IFERROR(IF(compras_mes576[[#This Row],[CUIT]]="","-",VLOOKUP(compras_mes576[[#This Row],[CUIT]],Lista_CUIT[#All],4,0)),"CUIT NO CARGADO")</f>
        <v>0</v>
      </c>
    </row>
    <row r="21" spans="2:18">
      <c r="B21" s="425" t="s">
        <v>2247</v>
      </c>
      <c r="C21" s="90">
        <v>1</v>
      </c>
      <c r="D21" s="91">
        <v>5</v>
      </c>
      <c r="E21" s="92">
        <v>23184</v>
      </c>
      <c r="F21" s="93">
        <v>30708041722</v>
      </c>
      <c r="G21" s="436" t="str">
        <f>IFERROR(IF(compras_mes576[[#This Row],[CUIT]]="","-",VLOOKUP(compras_mes576[[#This Row],[CUIT]],Lista_CUIT[#All],2,0)),"CUIT NO CARGADO")</f>
        <v>QUETZAL QUIMICA S R L</v>
      </c>
      <c r="H21" s="95">
        <v>592020</v>
      </c>
      <c r="I21" s="426">
        <f>IF(compras_mes576[[#This Row],[NETO GRAVADO]]="","",compras_mes576[[#This Row],[NETO GRAVADO]]*0.21)</f>
        <v>124324.2</v>
      </c>
      <c r="J21" s="426"/>
      <c r="K21" s="426"/>
      <c r="L21" s="426"/>
      <c r="M21" s="426"/>
      <c r="N21" s="426"/>
      <c r="O21" s="426"/>
      <c r="P21" s="424">
        <f>SUM(compras_mes576[[#This Row],[NETO GRAVADO]:[Otros / No Grav.]])</f>
        <v>716344.2</v>
      </c>
      <c r="Q21" s="432" t="str">
        <f>IFERROR(IF(compras_mes576[[#This Row],[CUIT]]="","-",VLOOKUP(compras_mes576[[#This Row],[CUIT]],Lista_CUIT[#All],3,0)),"CUIT NO CARGADO")</f>
        <v>Materia Prima</v>
      </c>
      <c r="R21" s="432">
        <f>IFERROR(IF(compras_mes576[[#This Row],[CUIT]]="","-",VLOOKUP(compras_mes576[[#This Row],[CUIT]],Lista_CUIT[#All],4,0)),"CUIT NO CARGADO")</f>
        <v>0</v>
      </c>
    </row>
    <row r="22" spans="2:18">
      <c r="B22" s="425" t="s">
        <v>2247</v>
      </c>
      <c r="C22" s="90">
        <v>1</v>
      </c>
      <c r="D22" s="91">
        <v>629</v>
      </c>
      <c r="E22" s="92">
        <v>5090888</v>
      </c>
      <c r="F22" s="93">
        <v>30663498513</v>
      </c>
      <c r="G22" s="436" t="str">
        <f>IFERROR(IF(compras_mes576[[#This Row],[CUIT]]="","-",VLOOKUP(compras_mes576[[#This Row],[CUIT]],Lista_CUIT[#All],2,0)),"CUIT NO CARGADO")</f>
        <v>GRUPO CONCES. DEL OESTE SA</v>
      </c>
      <c r="H22" s="95">
        <v>10495.72</v>
      </c>
      <c r="I22" s="426">
        <f>IF(compras_mes576[[#This Row],[NETO GRAVADO]]="","",compras_mes576[[#This Row],[NETO GRAVADO]]*0.21)</f>
        <v>2204.1011999999996</v>
      </c>
      <c r="J22" s="426"/>
      <c r="K22" s="426"/>
      <c r="L22" s="426"/>
      <c r="M22" s="426"/>
      <c r="N22" s="426"/>
      <c r="O22" s="426"/>
      <c r="P22" s="424">
        <f>SUM(compras_mes576[[#This Row],[NETO GRAVADO]:[Otros / No Grav.]])</f>
        <v>12699.821199999998</v>
      </c>
      <c r="Q22" s="432" t="str">
        <f>IFERROR(IF(compras_mes576[[#This Row],[CUIT]]="","-",VLOOKUP(compras_mes576[[#This Row],[CUIT]],Lista_CUIT[#All],3,0)),"CUIT NO CARGADO")</f>
        <v>Peajes</v>
      </c>
      <c r="R22" s="432">
        <f>IFERROR(IF(compras_mes576[[#This Row],[CUIT]]="","-",VLOOKUP(compras_mes576[[#This Row],[CUIT]],Lista_CUIT[#All],4,0)),"CUIT NO CARGADO")</f>
        <v>0</v>
      </c>
    </row>
    <row r="23" spans="2:18">
      <c r="B23" s="425" t="s">
        <v>2247</v>
      </c>
      <c r="C23" s="90">
        <v>1</v>
      </c>
      <c r="D23" s="91">
        <v>3099</v>
      </c>
      <c r="E23" s="92">
        <v>119655</v>
      </c>
      <c r="F23" s="93">
        <v>30678814357</v>
      </c>
      <c r="G23" s="436" t="str">
        <f>IFERROR(IF(compras_mes576[[#This Row],[CUIT]]="","-",VLOOKUP(compras_mes576[[#This Row],[CUIT]],Lista_CUIT[#All],2,0)),"CUIT NO CARGADO")</f>
        <v>TELEFONICA MOVILES ARG</v>
      </c>
      <c r="H23" s="95">
        <v>95280</v>
      </c>
      <c r="I23" s="426"/>
      <c r="J23" s="426">
        <f>compras_mes576[[#This Row],[NETO GRAVADO]]*0.27</f>
        <v>25725.600000000002</v>
      </c>
      <c r="K23" s="426"/>
      <c r="L23" s="426">
        <v>2858.4</v>
      </c>
      <c r="M23" s="426"/>
      <c r="N23" s="426">
        <v>5716.8</v>
      </c>
      <c r="O23" s="426"/>
      <c r="P23" s="455">
        <f>SUM(compras_mes576[[#This Row],[NETO GRAVADO]:[Otros / No Grav.]])</f>
        <v>129580.8</v>
      </c>
      <c r="Q23" s="432" t="str">
        <f>IFERROR(IF(compras_mes576[[#This Row],[CUIT]]="","-",VLOOKUP(compras_mes576[[#This Row],[CUIT]],Lista_CUIT[#All],3,0)),"CUIT NO CARGADO")</f>
        <v>Servicios Gas, Luz, etc.</v>
      </c>
      <c r="R23" s="432">
        <f>IFERROR(IF(compras_mes576[[#This Row],[CUIT]]="","-",VLOOKUP(compras_mes576[[#This Row],[CUIT]],Lista_CUIT[#All],4,0)),"CUIT NO CARGADO")</f>
        <v>0</v>
      </c>
    </row>
    <row r="24" spans="2:18">
      <c r="B24" s="425" t="s">
        <v>2247</v>
      </c>
      <c r="C24" s="90">
        <v>1</v>
      </c>
      <c r="D24" s="91">
        <v>2</v>
      </c>
      <c r="E24" s="92">
        <v>1512</v>
      </c>
      <c r="F24" s="93">
        <v>23080372469</v>
      </c>
      <c r="G24" s="436" t="str">
        <f>IFERROR(IF(compras_mes576[[#This Row],[CUIT]]="","-",VLOOKUP(compras_mes576[[#This Row],[CUIT]],Lista_CUIT[#All],2,0)),"CUIT NO CARGADO")</f>
        <v>PASCUCCIO RUBEN HORACIO</v>
      </c>
      <c r="H24" s="95">
        <v>83820</v>
      </c>
      <c r="I24" s="426">
        <f>IF(compras_mes576[[#This Row],[NETO GRAVADO]]="","",compras_mes576[[#This Row],[NETO GRAVADO]]*0.21)</f>
        <v>17602.2</v>
      </c>
      <c r="J24" s="426"/>
      <c r="K24" s="426"/>
      <c r="L24" s="426"/>
      <c r="M24" s="426"/>
      <c r="N24" s="426"/>
      <c r="O24" s="426"/>
      <c r="P24" s="424">
        <f>SUM(compras_mes576[[#This Row],[NETO GRAVADO]:[Otros / No Grav.]])</f>
        <v>101422.2</v>
      </c>
      <c r="Q24" s="432" t="str">
        <f>IFERROR(IF(compras_mes576[[#This Row],[CUIT]]="","-",VLOOKUP(compras_mes576[[#This Row],[CUIT]],Lista_CUIT[#All],3,0)),"CUIT NO CARGADO")</f>
        <v>Honorarios Legales</v>
      </c>
      <c r="R24" s="432">
        <f>IFERROR(IF(compras_mes576[[#This Row],[CUIT]]="","-",VLOOKUP(compras_mes576[[#This Row],[CUIT]],Lista_CUIT[#All],4,0)),"CUIT NO CARGADO")</f>
        <v>0</v>
      </c>
    </row>
    <row r="25" spans="2:18">
      <c r="B25" s="425" t="s">
        <v>2247</v>
      </c>
      <c r="C25" s="90">
        <v>1</v>
      </c>
      <c r="D25" s="91">
        <v>1</v>
      </c>
      <c r="E25" s="92">
        <v>115</v>
      </c>
      <c r="F25" s="93">
        <v>30716010313</v>
      </c>
      <c r="G25" s="436" t="str">
        <f>IFERROR(IF(compras_mes576[[#This Row],[CUIT]]="","-",VLOOKUP(compras_mes576[[#This Row],[CUIT]],Lista_CUIT[#All],2,0)),"CUIT NO CARGADO")</f>
        <v>H UNO 1469 S.A.</v>
      </c>
      <c r="H25" s="95">
        <v>46000</v>
      </c>
      <c r="I25" s="426">
        <f>IF(compras_mes576[[#This Row],[NETO GRAVADO]]="","",compras_mes576[[#This Row],[NETO GRAVADO]]*0.21)</f>
        <v>9660</v>
      </c>
      <c r="J25" s="426"/>
      <c r="K25" s="426"/>
      <c r="L25" s="426"/>
      <c r="M25" s="426"/>
      <c r="N25" s="426"/>
      <c r="O25" s="426"/>
      <c r="P25" s="424">
        <f>SUM(compras_mes576[[#This Row],[NETO GRAVADO]:[Otros / No Grav.]])</f>
        <v>55660</v>
      </c>
      <c r="Q25" s="432" t="str">
        <f>IFERROR(IF(compras_mes576[[#This Row],[CUIT]]="","-",VLOOKUP(compras_mes576[[#This Row],[CUIT]],Lista_CUIT[#All],3,0)),"CUIT NO CARGADO")</f>
        <v>Alquiler</v>
      </c>
      <c r="R25" s="432">
        <f>IFERROR(IF(compras_mes576[[#This Row],[CUIT]]="","-",VLOOKUP(compras_mes576[[#This Row],[CUIT]],Lista_CUIT[#All],4,0)),"CUIT NO CARGADO")</f>
        <v>0</v>
      </c>
    </row>
    <row r="26" spans="2:18">
      <c r="B26" s="425" t="s">
        <v>2247</v>
      </c>
      <c r="C26" s="90">
        <v>1</v>
      </c>
      <c r="D26" s="91">
        <v>2</v>
      </c>
      <c r="E26" s="92">
        <v>3667</v>
      </c>
      <c r="F26" s="93">
        <v>30629863571</v>
      </c>
      <c r="G26" s="436" t="str">
        <f>IFERROR(IF(compras_mes576[[#This Row],[CUIT]]="","-",VLOOKUP(compras_mes576[[#This Row],[CUIT]],Lista_CUIT[#All],2,0)),"CUIT NO CARGADO")</f>
        <v>TECNIMAR S R L</v>
      </c>
      <c r="H26" s="95">
        <v>3432945.33</v>
      </c>
      <c r="I26" s="426">
        <f>IF(compras_mes576[[#This Row],[NETO GRAVADO]]="","",compras_mes576[[#This Row],[NETO GRAVADO]]*0.21)</f>
        <v>720918.51930000004</v>
      </c>
      <c r="J26" s="426"/>
      <c r="K26" s="426"/>
      <c r="L26" s="426"/>
      <c r="M26" s="426"/>
      <c r="N26" s="426"/>
      <c r="O26" s="426"/>
      <c r="P26" s="424">
        <f>SUM(compras_mes576[[#This Row],[NETO GRAVADO]:[Otros / No Grav.]])</f>
        <v>4153863.8492999999</v>
      </c>
      <c r="Q26" s="432" t="str">
        <f>IFERROR(IF(compras_mes576[[#This Row],[CUIT]]="","-",VLOOKUP(compras_mes576[[#This Row],[CUIT]],Lista_CUIT[#All],3,0)),"CUIT NO CARGADO")</f>
        <v>Productos Venta</v>
      </c>
      <c r="R26" s="432">
        <f>IFERROR(IF(compras_mes576[[#This Row],[CUIT]]="","-",VLOOKUP(compras_mes576[[#This Row],[CUIT]],Lista_CUIT[#All],4,0)),"CUIT NO CARGADO")</f>
        <v>0</v>
      </c>
    </row>
    <row r="27" spans="2:18">
      <c r="B27" s="425" t="s">
        <v>2248</v>
      </c>
      <c r="C27" s="90">
        <v>1</v>
      </c>
      <c r="D27" s="91">
        <v>7</v>
      </c>
      <c r="E27" s="92">
        <v>1243</v>
      </c>
      <c r="F27" s="93">
        <v>30713842504</v>
      </c>
      <c r="G27" s="436" t="str">
        <f>IFERROR(IF(compras_mes576[[#This Row],[CUIT]]="","-",VLOOKUP(compras_mes576[[#This Row],[CUIT]],Lista_CUIT[#All],2,0)),"CUIT NO CARGADO")</f>
        <v>CAOBA GROUP SRL</v>
      </c>
      <c r="H27" s="95">
        <v>54369.53</v>
      </c>
      <c r="I27" s="426">
        <f>IF(compras_mes576[[#This Row],[NETO GRAVADO]]="","",compras_mes576[[#This Row],[NETO GRAVADO]]*0.21)</f>
        <v>11417.601299999998</v>
      </c>
      <c r="J27" s="426"/>
      <c r="K27" s="426"/>
      <c r="L27" s="426"/>
      <c r="M27" s="426"/>
      <c r="N27" s="426"/>
      <c r="O27" s="426"/>
      <c r="P27" s="424">
        <f>SUM(compras_mes576[[#This Row],[NETO GRAVADO]:[Otros / No Grav.]])</f>
        <v>65787.131299999994</v>
      </c>
      <c r="Q27" s="432" t="str">
        <f>IFERROR(IF(compras_mes576[[#This Row],[CUIT]]="","-",VLOOKUP(compras_mes576[[#This Row],[CUIT]],Lista_CUIT[#All],3,0)),"CUIT NO CARGADO")</f>
        <v>Gastos Varios</v>
      </c>
      <c r="R27" s="432">
        <f>IFERROR(IF(compras_mes576[[#This Row],[CUIT]]="","-",VLOOKUP(compras_mes576[[#This Row],[CUIT]],Lista_CUIT[#All],4,0)),"CUIT NO CARGADO")</f>
        <v>0</v>
      </c>
    </row>
    <row r="28" spans="2:18">
      <c r="B28" s="425" t="s">
        <v>2248</v>
      </c>
      <c r="C28" s="90">
        <v>1</v>
      </c>
      <c r="D28" s="91">
        <v>8100</v>
      </c>
      <c r="E28" s="92">
        <v>26987</v>
      </c>
      <c r="F28" s="93">
        <v>30678774495</v>
      </c>
      <c r="G28" s="436" t="str">
        <f>IFERROR(IF(compras_mes576[[#This Row],[CUIT]]="","-",VLOOKUP(compras_mes576[[#This Row],[CUIT]],Lista_CUIT[#All],2,0)),"CUIT NO CARGADO")</f>
        <v>OPER. DE EST. DE SERV. SA</v>
      </c>
      <c r="H28" s="95">
        <v>40343.75</v>
      </c>
      <c r="I28" s="426">
        <f>IF(compras_mes576[[#This Row],[NETO GRAVADO]]="","",compras_mes576[[#This Row],[NETO GRAVADO]]*0.21)</f>
        <v>8472.1875</v>
      </c>
      <c r="J28" s="426"/>
      <c r="K28" s="426"/>
      <c r="L28" s="426"/>
      <c r="M28" s="426"/>
      <c r="N28" s="426"/>
      <c r="O28" s="426">
        <v>6991.05</v>
      </c>
      <c r="P28" s="455">
        <f>SUM(compras_mes576[[#This Row],[NETO GRAVADO]:[Otros / No Grav.]])</f>
        <v>55806.987500000003</v>
      </c>
      <c r="Q28" s="432" t="str">
        <f>IFERROR(IF(compras_mes576[[#This Row],[CUIT]]="","-",VLOOKUP(compras_mes576[[#This Row],[CUIT]],Lista_CUIT[#All],3,0)),"CUIT NO CARGADO")</f>
        <v>Combustible</v>
      </c>
      <c r="R28" s="432">
        <f>IFERROR(IF(compras_mes576[[#This Row],[CUIT]]="","-",VLOOKUP(compras_mes576[[#This Row],[CUIT]],Lista_CUIT[#All],4,0)),"CUIT NO CARGADO")</f>
        <v>0</v>
      </c>
    </row>
    <row r="29" spans="2:18">
      <c r="B29" s="425" t="s">
        <v>2248</v>
      </c>
      <c r="C29" s="90">
        <v>1</v>
      </c>
      <c r="D29" s="91">
        <v>7</v>
      </c>
      <c r="E29" s="92">
        <v>11172</v>
      </c>
      <c r="F29" s="93">
        <v>20309749104</v>
      </c>
      <c r="G29" s="436" t="str">
        <f>IFERROR(IF(compras_mes576[[#This Row],[CUIT]]="","-",VLOOKUP(compras_mes576[[#This Row],[CUIT]],Lista_CUIT[#All],2,0)),"CUIT NO CARGADO")</f>
        <v>NOZIGLIA LEANDRO EZEQUIEL</v>
      </c>
      <c r="H29" s="95">
        <v>30140.83</v>
      </c>
      <c r="I29" s="426">
        <f>IF(compras_mes576[[#This Row],[NETO GRAVADO]]="","",compras_mes576[[#This Row],[NETO GRAVADO]]*0.21)</f>
        <v>6329.5743000000002</v>
      </c>
      <c r="J29" s="426"/>
      <c r="K29" s="426"/>
      <c r="L29" s="426"/>
      <c r="M29" s="426"/>
      <c r="N29" s="426"/>
      <c r="O29" s="426"/>
      <c r="P29" s="424">
        <f>SUM(compras_mes576[[#This Row],[NETO GRAVADO]:[Otros / No Grav.]])</f>
        <v>36470.404300000002</v>
      </c>
      <c r="Q29" s="432" t="str">
        <f>IFERROR(IF(compras_mes576[[#This Row],[CUIT]]="","-",VLOOKUP(compras_mes576[[#This Row],[CUIT]],Lista_CUIT[#All],3,0)),"CUIT NO CARGADO")</f>
        <v>LIBRERÍA</v>
      </c>
      <c r="R29" s="432">
        <f>IFERROR(IF(compras_mes576[[#This Row],[CUIT]]="","-",VLOOKUP(compras_mes576[[#This Row],[CUIT]],Lista_CUIT[#All],4,0)),"CUIT NO CARGADO")</f>
        <v>0</v>
      </c>
    </row>
    <row r="30" spans="2:18">
      <c r="B30" s="425" t="s">
        <v>2248</v>
      </c>
      <c r="C30" s="90">
        <v>1</v>
      </c>
      <c r="D30" s="91">
        <v>7</v>
      </c>
      <c r="E30" s="92">
        <v>2672</v>
      </c>
      <c r="F30" s="93">
        <v>20134664518</v>
      </c>
      <c r="G30" s="436" t="str">
        <f>IFERROR(IF(compras_mes576[[#This Row],[CUIT]]="","-",VLOOKUP(compras_mes576[[#This Row],[CUIT]],Lista_CUIT[#All],2,0)),"CUIT NO CARGADO")</f>
        <v>HOKAMA SERGIO ENRIQUE</v>
      </c>
      <c r="H30" s="95">
        <v>48145.18</v>
      </c>
      <c r="I30" s="426">
        <f>IF(compras_mes576[[#This Row],[NETO GRAVADO]]="","",compras_mes576[[#This Row],[NETO GRAVADO]]*0.21)</f>
        <v>10110.487799999999</v>
      </c>
      <c r="J30" s="426"/>
      <c r="K30" s="426"/>
      <c r="L30" s="426"/>
      <c r="M30" s="426"/>
      <c r="N30" s="426"/>
      <c r="O30" s="426"/>
      <c r="P30" s="424">
        <f>SUM(compras_mes576[[#This Row],[NETO GRAVADO]:[Otros / No Grav.]])</f>
        <v>58255.667799999996</v>
      </c>
      <c r="Q30" s="432" t="str">
        <f>IFERROR(IF(compras_mes576[[#This Row],[CUIT]]="","-",VLOOKUP(compras_mes576[[#This Row],[CUIT]],Lista_CUIT[#All],3,0)),"CUIT NO CARGADO")</f>
        <v>Gastos Varios</v>
      </c>
      <c r="R30" s="432" t="str">
        <f>IFERROR(IF(compras_mes576[[#This Row],[CUIT]]="","-",VLOOKUP(compras_mes576[[#This Row],[CUIT]],Lista_CUIT[#All],4,0)),"CUIT NO CARGADO")</f>
        <v>BUENOS AIRES</v>
      </c>
    </row>
    <row r="31" spans="2:18">
      <c r="B31" s="425" t="s">
        <v>2249</v>
      </c>
      <c r="C31" s="90">
        <v>1</v>
      </c>
      <c r="D31" s="91">
        <v>8012</v>
      </c>
      <c r="E31" s="92">
        <v>27781</v>
      </c>
      <c r="F31" s="93">
        <v>30678774495</v>
      </c>
      <c r="G31" s="436" t="str">
        <f>IFERROR(IF(compras_mes576[[#This Row],[CUIT]]="","-",VLOOKUP(compras_mes576[[#This Row],[CUIT]],Lista_CUIT[#All],2,0)),"CUIT NO CARGADO")</f>
        <v>OPER. DE EST. DE SERV. SA</v>
      </c>
      <c r="H31" s="95">
        <v>25076.11</v>
      </c>
      <c r="I31" s="426">
        <f>IF(compras_mes576[[#This Row],[NETO GRAVADO]]="","",compras_mes576[[#This Row],[NETO GRAVADO]]*0.21)</f>
        <v>5265.9831000000004</v>
      </c>
      <c r="J31" s="426"/>
      <c r="K31" s="426"/>
      <c r="L31" s="426"/>
      <c r="M31" s="426"/>
      <c r="N31" s="426"/>
      <c r="O31" s="426">
        <v>4166.95</v>
      </c>
      <c r="P31" s="455">
        <f>SUM(compras_mes576[[#This Row],[NETO GRAVADO]:[Otros / No Grav.]])</f>
        <v>34509.043100000003</v>
      </c>
      <c r="Q31" s="432" t="str">
        <f>IFERROR(IF(compras_mes576[[#This Row],[CUIT]]="","-",VLOOKUP(compras_mes576[[#This Row],[CUIT]],Lista_CUIT[#All],3,0)),"CUIT NO CARGADO")</f>
        <v>Combustible</v>
      </c>
      <c r="R31" s="432">
        <f>IFERROR(IF(compras_mes576[[#This Row],[CUIT]]="","-",VLOOKUP(compras_mes576[[#This Row],[CUIT]],Lista_CUIT[#All],4,0)),"CUIT NO CARGADO")</f>
        <v>0</v>
      </c>
    </row>
    <row r="32" spans="2:18">
      <c r="B32" s="425" t="s">
        <v>2249</v>
      </c>
      <c r="C32" s="90">
        <v>1</v>
      </c>
      <c r="D32" s="91">
        <v>4767</v>
      </c>
      <c r="E32" s="92">
        <v>1325</v>
      </c>
      <c r="F32" s="93">
        <v>30685849751</v>
      </c>
      <c r="G32" s="436" t="str">
        <f>IFERROR(IF(compras_mes576[[#This Row],[CUIT]]="","-",VLOOKUP(compras_mes576[[#This Row],[CUIT]],Lista_CUIT[#All],2,0)),"CUIT NO CARGADO")</f>
        <v>DIA ARGENTINA S A</v>
      </c>
      <c r="H32" s="95">
        <v>13293.09</v>
      </c>
      <c r="I32" s="426">
        <f>10979.33*0.21</f>
        <v>2305.6592999999998</v>
      </c>
      <c r="J32" s="426"/>
      <c r="K32" s="426">
        <f>2313.76*0.105</f>
        <v>242.94480000000001</v>
      </c>
      <c r="L32" s="426"/>
      <c r="M32" s="426"/>
      <c r="N32" s="426"/>
      <c r="O32" s="426"/>
      <c r="P32" s="455">
        <f>SUM(compras_mes576[[#This Row],[NETO GRAVADO]:[Otros / No Grav.]])</f>
        <v>15841.694099999999</v>
      </c>
      <c r="Q32" s="432" t="str">
        <f>IFERROR(IF(compras_mes576[[#This Row],[CUIT]]="","-",VLOOKUP(compras_mes576[[#This Row],[CUIT]],Lista_CUIT[#All],3,0)),"CUIT NO CARGADO")</f>
        <v>Gastos Varios</v>
      </c>
      <c r="R32" s="432">
        <f>IFERROR(IF(compras_mes576[[#This Row],[CUIT]]="","-",VLOOKUP(compras_mes576[[#This Row],[CUIT]],Lista_CUIT[#All],4,0)),"CUIT NO CARGADO")</f>
        <v>0</v>
      </c>
    </row>
    <row r="33" spans="2:18">
      <c r="B33" s="425" t="s">
        <v>2250</v>
      </c>
      <c r="C33" s="90">
        <v>1</v>
      </c>
      <c r="D33" s="91">
        <v>6</v>
      </c>
      <c r="E33" s="92">
        <v>9618</v>
      </c>
      <c r="F33" s="93">
        <v>30707603123</v>
      </c>
      <c r="G33" s="436" t="str">
        <f>IFERROR(IF(compras_mes576[[#This Row],[CUIT]]="","-",VLOOKUP(compras_mes576[[#This Row],[CUIT]],Lista_CUIT[#All],2,0)),"CUIT NO CARGADO")</f>
        <v>BI-ORIENT S.A.</v>
      </c>
      <c r="H33" s="95">
        <v>879900</v>
      </c>
      <c r="I33" s="426">
        <f>IF(compras_mes576[[#This Row],[NETO GRAVADO]]="","",compras_mes576[[#This Row],[NETO GRAVADO]]*0.21)</f>
        <v>184779</v>
      </c>
      <c r="J33" s="426"/>
      <c r="K33" s="426"/>
      <c r="L33" s="426"/>
      <c r="M33" s="426"/>
      <c r="N33" s="426"/>
      <c r="O33" s="426"/>
      <c r="P33" s="424">
        <f>SUM(compras_mes576[[#This Row],[NETO GRAVADO]:[Otros / No Grav.]])</f>
        <v>1064679</v>
      </c>
      <c r="Q33" s="432" t="str">
        <f>IFERROR(IF(compras_mes576[[#This Row],[CUIT]]="","-",VLOOKUP(compras_mes576[[#This Row],[CUIT]],Lista_CUIT[#All],3,0)),"CUIT NO CARGADO")</f>
        <v>Material de Empaque</v>
      </c>
      <c r="R33" s="432">
        <f>IFERROR(IF(compras_mes576[[#This Row],[CUIT]]="","-",VLOOKUP(compras_mes576[[#This Row],[CUIT]],Lista_CUIT[#All],4,0)),"CUIT NO CARGADO")</f>
        <v>0</v>
      </c>
    </row>
    <row r="34" spans="2:18">
      <c r="B34" s="425" t="s">
        <v>2250</v>
      </c>
      <c r="C34" s="90">
        <v>1</v>
      </c>
      <c r="D34" s="91">
        <v>4</v>
      </c>
      <c r="E34" s="92">
        <v>1639</v>
      </c>
      <c r="F34" s="93">
        <v>20274978350</v>
      </c>
      <c r="G34" s="436" t="str">
        <f>IFERROR(IF(compras_mes576[[#This Row],[CUIT]]="","-",VLOOKUP(compras_mes576[[#This Row],[CUIT]],Lista_CUIT[#All],2,0)),"CUIT NO CARGADO")</f>
        <v>RODRIGUEZ ADRIAN ALBERTO</v>
      </c>
      <c r="H34" s="95">
        <v>27618.18</v>
      </c>
      <c r="I34" s="426">
        <f>IF(compras_mes576[[#This Row],[NETO GRAVADO]]="","",compras_mes576[[#This Row],[NETO GRAVADO]]*0.21)</f>
        <v>5799.8177999999998</v>
      </c>
      <c r="J34" s="426"/>
      <c r="K34" s="426"/>
      <c r="L34" s="426"/>
      <c r="M34" s="426"/>
      <c r="N34" s="426"/>
      <c r="O34" s="426"/>
      <c r="P34" s="424">
        <f>SUM(compras_mes576[[#This Row],[NETO GRAVADO]:[Otros / No Grav.]])</f>
        <v>33417.997799999997</v>
      </c>
      <c r="Q34" s="432" t="str">
        <f>IFERROR(IF(compras_mes576[[#This Row],[CUIT]]="","-",VLOOKUP(compras_mes576[[#This Row],[CUIT]],Lista_CUIT[#All],3,0)),"CUIT NO CARGADO")</f>
        <v>LIBRERÍA</v>
      </c>
      <c r="R34" s="432">
        <f>IFERROR(IF(compras_mes576[[#This Row],[CUIT]]="","-",VLOOKUP(compras_mes576[[#This Row],[CUIT]],Lista_CUIT[#All],4,0)),"CUIT NO CARGADO")</f>
        <v>0</v>
      </c>
    </row>
    <row r="35" spans="2:18">
      <c r="B35" s="425" t="s">
        <v>2250</v>
      </c>
      <c r="C35" s="90">
        <v>1</v>
      </c>
      <c r="D35" s="91">
        <v>2188</v>
      </c>
      <c r="E35" s="92">
        <v>118920</v>
      </c>
      <c r="F35" s="93">
        <v>30548083156</v>
      </c>
      <c r="G35" s="436" t="str">
        <f>IFERROR(IF(compras_mes576[[#This Row],[CUIT]]="","-",VLOOKUP(compras_mes576[[#This Row],[CUIT]],Lista_CUIT[#All],2,0)),"CUIT NO CARGADO")</f>
        <v>COTO CENTRO INTEGRAL DE COMERCIALIZACION SOCIEDAD ANONIMA</v>
      </c>
      <c r="H35" s="95">
        <v>19831.78</v>
      </c>
      <c r="I35" s="426">
        <f>15007.43*0.21</f>
        <v>3151.5603000000001</v>
      </c>
      <c r="J35" s="426"/>
      <c r="K35" s="426">
        <f>4824.35*0.105</f>
        <v>506.55675000000002</v>
      </c>
      <c r="L35" s="426"/>
      <c r="M35" s="426"/>
      <c r="N35" s="426"/>
      <c r="O35" s="426">
        <v>1608.39</v>
      </c>
      <c r="P35" s="455">
        <f>SUM(compras_mes576[[#This Row],[NETO GRAVADO]:[Otros / No Grav.]])</f>
        <v>25098.287049999999</v>
      </c>
      <c r="Q35" s="432" t="str">
        <f>IFERROR(IF(compras_mes576[[#This Row],[CUIT]]="","-",VLOOKUP(compras_mes576[[#This Row],[CUIT]],Lista_CUIT[#All],3,0)),"CUIT NO CARGADO")</f>
        <v>Gastos Varios</v>
      </c>
      <c r="R35" s="432">
        <f>IFERROR(IF(compras_mes576[[#This Row],[CUIT]]="","-",VLOOKUP(compras_mes576[[#This Row],[CUIT]],Lista_CUIT[#All],4,0)),"CUIT NO CARGADO")</f>
        <v>0</v>
      </c>
    </row>
    <row r="36" spans="2:18">
      <c r="B36" s="425" t="s">
        <v>2250</v>
      </c>
      <c r="C36" s="90">
        <v>1</v>
      </c>
      <c r="D36" s="91">
        <v>3</v>
      </c>
      <c r="E36" s="92">
        <v>21821</v>
      </c>
      <c r="F36" s="93">
        <v>33707953549</v>
      </c>
      <c r="G36" s="436" t="str">
        <f>IFERROR(IF(compras_mes576[[#This Row],[CUIT]]="","-",VLOOKUP(compras_mes576[[#This Row],[CUIT]],Lista_CUIT[#All],2,0)),"CUIT NO CARGADO")</f>
        <v>TELESMART</v>
      </c>
      <c r="H36" s="95">
        <v>17000</v>
      </c>
      <c r="I36" s="426">
        <f>IF(compras_mes576[[#This Row],[NETO GRAVADO]]="","",compras_mes576[[#This Row],[NETO GRAVADO]]*0.21)</f>
        <v>3570</v>
      </c>
      <c r="J36" s="426"/>
      <c r="K36" s="426"/>
      <c r="L36" s="426"/>
      <c r="M36" s="426"/>
      <c r="N36" s="426"/>
      <c r="O36" s="426"/>
      <c r="P36" s="424">
        <f>SUM(compras_mes576[[#This Row],[NETO GRAVADO]:[Otros / No Grav.]])</f>
        <v>20570</v>
      </c>
      <c r="Q36" s="432" t="str">
        <f>IFERROR(IF(compras_mes576[[#This Row],[CUIT]]="","-",VLOOKUP(compras_mes576[[#This Row],[CUIT]],Lista_CUIT[#All],3,0)),"CUIT NO CARGADO")</f>
        <v>Servicios Gas, Luz, etc.</v>
      </c>
      <c r="R36" s="432">
        <f>IFERROR(IF(compras_mes576[[#This Row],[CUIT]]="","-",VLOOKUP(compras_mes576[[#This Row],[CUIT]],Lista_CUIT[#All],4,0)),"CUIT NO CARGADO")</f>
        <v>0</v>
      </c>
    </row>
    <row r="37" spans="2:18">
      <c r="B37" s="425" t="s">
        <v>2250</v>
      </c>
      <c r="C37" s="90">
        <v>1</v>
      </c>
      <c r="D37" s="91">
        <v>63</v>
      </c>
      <c r="E37" s="92">
        <v>2822312</v>
      </c>
      <c r="F37" s="93">
        <v>30640897267</v>
      </c>
      <c r="G37" s="436" t="str">
        <f>IFERROR(IF(compras_mes576[[#This Row],[CUIT]]="","-",VLOOKUP(compras_mes576[[#This Row],[CUIT]],Lista_CUIT[#All],2,0)),"CUIT NO CARGADO")</f>
        <v>TELECENTRO S.A.</v>
      </c>
      <c r="H37" s="95">
        <v>42715.7</v>
      </c>
      <c r="I37" s="426">
        <f>IF(compras_mes576[[#This Row],[NETO GRAVADO]]="","",compras_mes576[[#This Row],[NETO GRAVADO]]*0.21)</f>
        <v>8970.2969999999987</v>
      </c>
      <c r="J37" s="426"/>
      <c r="K37" s="426"/>
      <c r="L37" s="426">
        <v>1281.47</v>
      </c>
      <c r="M37" s="426"/>
      <c r="N37" s="426">
        <v>2562.94</v>
      </c>
      <c r="O37" s="426"/>
      <c r="P37" s="455">
        <f>SUM(compras_mes576[[#This Row],[NETO GRAVADO]:[Otros / No Grav.]])</f>
        <v>55530.406999999999</v>
      </c>
      <c r="Q37" s="432" t="str">
        <f>IFERROR(IF(compras_mes576[[#This Row],[CUIT]]="","-",VLOOKUP(compras_mes576[[#This Row],[CUIT]],Lista_CUIT[#All],3,0)),"CUIT NO CARGADO")</f>
        <v>Servicios Gas, Luz, etc.</v>
      </c>
      <c r="R37" s="432">
        <f>IFERROR(IF(compras_mes576[[#This Row],[CUIT]]="","-",VLOOKUP(compras_mes576[[#This Row],[CUIT]],Lista_CUIT[#All],4,0)),"CUIT NO CARGADO")</f>
        <v>0</v>
      </c>
    </row>
    <row r="38" spans="2:18">
      <c r="B38" s="425" t="s">
        <v>2250</v>
      </c>
      <c r="C38" s="90">
        <v>1</v>
      </c>
      <c r="D38" s="91">
        <v>63</v>
      </c>
      <c r="E38" s="92">
        <v>2823122</v>
      </c>
      <c r="F38" s="93">
        <v>30640897267</v>
      </c>
      <c r="G38" s="436" t="str">
        <f>IFERROR(IF(compras_mes576[[#This Row],[CUIT]]="","-",VLOOKUP(compras_mes576[[#This Row],[CUIT]],Lista_CUIT[#All],2,0)),"CUIT NO CARGADO")</f>
        <v>TELECENTRO S.A.</v>
      </c>
      <c r="H38" s="95">
        <v>42715.7</v>
      </c>
      <c r="I38" s="426">
        <f>IF(compras_mes576[[#This Row],[NETO GRAVADO]]="","",compras_mes576[[#This Row],[NETO GRAVADO]]*0.21)</f>
        <v>8970.2969999999987</v>
      </c>
      <c r="J38" s="426"/>
      <c r="K38" s="426"/>
      <c r="L38" s="426">
        <v>1281.47</v>
      </c>
      <c r="M38" s="426"/>
      <c r="N38" s="426">
        <v>2562.94</v>
      </c>
      <c r="O38" s="426"/>
      <c r="P38" s="455">
        <f>SUM(compras_mes576[[#This Row],[NETO GRAVADO]:[Otros / No Grav.]])</f>
        <v>55530.406999999999</v>
      </c>
      <c r="Q38" s="432" t="str">
        <f>IFERROR(IF(compras_mes576[[#This Row],[CUIT]]="","-",VLOOKUP(compras_mes576[[#This Row],[CUIT]],Lista_CUIT[#All],3,0)),"CUIT NO CARGADO")</f>
        <v>Servicios Gas, Luz, etc.</v>
      </c>
      <c r="R38" s="432">
        <f>IFERROR(IF(compras_mes576[[#This Row],[CUIT]]="","-",VLOOKUP(compras_mes576[[#This Row],[CUIT]],Lista_CUIT[#All],4,0)),"CUIT NO CARGADO")</f>
        <v>0</v>
      </c>
    </row>
    <row r="39" spans="2:18">
      <c r="B39" s="425" t="s">
        <v>2250</v>
      </c>
      <c r="C39" s="90">
        <v>1</v>
      </c>
      <c r="D39" s="91">
        <v>1</v>
      </c>
      <c r="E39" s="92">
        <v>96</v>
      </c>
      <c r="F39" s="93">
        <v>30718148207</v>
      </c>
      <c r="G39" s="436" t="str">
        <f>IFERROR(IF(compras_mes576[[#This Row],[CUIT]]="","-",VLOOKUP(compras_mes576[[#This Row],[CUIT]],Lista_CUIT[#All],2,0)),"CUIT NO CARGADO")</f>
        <v>VIPA INTERNATIONAL S.R.L.</v>
      </c>
      <c r="H39" s="95">
        <v>1383600</v>
      </c>
      <c r="I39" s="426">
        <f>IF(compras_mes576[[#This Row],[NETO GRAVADO]]="","",compras_mes576[[#This Row],[NETO GRAVADO]]*0.21)</f>
        <v>290556</v>
      </c>
      <c r="J39" s="426"/>
      <c r="K39" s="426"/>
      <c r="L39" s="426"/>
      <c r="M39" s="426"/>
      <c r="N39" s="426"/>
      <c r="O39" s="426"/>
      <c r="P39" s="424">
        <f>SUM(compras_mes576[[#This Row],[NETO GRAVADO]:[Otros / No Grav.]])</f>
        <v>1674156</v>
      </c>
      <c r="Q39" s="432" t="str">
        <f>IFERROR(IF(compras_mes576[[#This Row],[CUIT]]="","-",VLOOKUP(compras_mes576[[#This Row],[CUIT]],Lista_CUIT[#All],3,0)),"CUIT NO CARGADO")</f>
        <v>Productos Venta</v>
      </c>
      <c r="R39" s="432">
        <f>IFERROR(IF(compras_mes576[[#This Row],[CUIT]]="","-",VLOOKUP(compras_mes576[[#This Row],[CUIT]],Lista_CUIT[#All],4,0)),"CUIT NO CARGADO")</f>
        <v>0</v>
      </c>
    </row>
    <row r="40" spans="2:18">
      <c r="B40" s="425" t="s">
        <v>2251</v>
      </c>
      <c r="C40" s="90">
        <v>1</v>
      </c>
      <c r="D40" s="91">
        <v>3</v>
      </c>
      <c r="E40" s="92">
        <v>2669</v>
      </c>
      <c r="F40" s="93">
        <v>30715296000</v>
      </c>
      <c r="G40" s="436" t="str">
        <f>IFERROR(IF(compras_mes576[[#This Row],[CUIT]]="","-",VLOOKUP(compras_mes576[[#This Row],[CUIT]],Lista_CUIT[#All],2,0)),"CUIT NO CARGADO")</f>
        <v>TUTTO CERAMICAS SRL</v>
      </c>
      <c r="H40" s="95">
        <v>43719.01</v>
      </c>
      <c r="I40" s="426">
        <f>IF(compras_mes576[[#This Row],[NETO GRAVADO]]="","",compras_mes576[[#This Row],[NETO GRAVADO]]*0.21)</f>
        <v>9180.9920999999995</v>
      </c>
      <c r="J40" s="426"/>
      <c r="K40" s="426"/>
      <c r="L40" s="426"/>
      <c r="M40" s="426"/>
      <c r="N40" s="426"/>
      <c r="O40" s="426"/>
      <c r="P40" s="424">
        <f>SUM(compras_mes576[[#This Row],[NETO GRAVADO]:[Otros / No Grav.]])</f>
        <v>52900.002099999998</v>
      </c>
      <c r="Q40" s="432" t="str">
        <f>IFERROR(IF(compras_mes576[[#This Row],[CUIT]]="","-",VLOOKUP(compras_mes576[[#This Row],[CUIT]],Lista_CUIT[#All],3,0)),"CUIT NO CARGADO")</f>
        <v>Material de Empaque</v>
      </c>
      <c r="R40" s="432">
        <f>IFERROR(IF(compras_mes576[[#This Row],[CUIT]]="","-",VLOOKUP(compras_mes576[[#This Row],[CUIT]],Lista_CUIT[#All],4,0)),"CUIT NO CARGADO")</f>
        <v>0</v>
      </c>
    </row>
    <row r="41" spans="2:18">
      <c r="B41" s="425" t="s">
        <v>2251</v>
      </c>
      <c r="C41" s="90">
        <v>1</v>
      </c>
      <c r="D41" s="91">
        <v>4</v>
      </c>
      <c r="E41" s="92">
        <v>46025</v>
      </c>
      <c r="F41" s="93">
        <v>30709863076</v>
      </c>
      <c r="G41" s="436" t="str">
        <f>IFERROR(IF(compras_mes576[[#This Row],[CUIT]]="","-",VLOOKUP(compras_mes576[[#This Row],[CUIT]],Lista_CUIT[#All],2,0)),"CUIT NO CARGADO")</f>
        <v>INDUSTRIAS PLASTICOS SALTA S.R.L.</v>
      </c>
      <c r="H41" s="95">
        <v>336694.22</v>
      </c>
      <c r="I41" s="426">
        <f>IF(compras_mes576[[#This Row],[NETO GRAVADO]]="","",compras_mes576[[#This Row],[NETO GRAVADO]]*0.21)</f>
        <v>70705.786199999988</v>
      </c>
      <c r="J41" s="426"/>
      <c r="K41" s="426"/>
      <c r="L41" s="426"/>
      <c r="M41" s="426"/>
      <c r="N41" s="426"/>
      <c r="O41" s="426"/>
      <c r="P41" s="424">
        <f>SUM(compras_mes576[[#This Row],[NETO GRAVADO]:[Otros / No Grav.]])</f>
        <v>407400.00619999995</v>
      </c>
      <c r="Q41" s="432" t="str">
        <f>IFERROR(IF(compras_mes576[[#This Row],[CUIT]]="","-",VLOOKUP(compras_mes576[[#This Row],[CUIT]],Lista_CUIT[#All],3,0)),"CUIT NO CARGADO")</f>
        <v>Materia Prima</v>
      </c>
      <c r="R41" s="432">
        <f>IFERROR(IF(compras_mes576[[#This Row],[CUIT]]="","-",VLOOKUP(compras_mes576[[#This Row],[CUIT]],Lista_CUIT[#All],4,0)),"CUIT NO CARGADO")</f>
        <v>0</v>
      </c>
    </row>
    <row r="42" spans="2:18">
      <c r="B42" s="425" t="s">
        <v>2251</v>
      </c>
      <c r="C42" s="90">
        <v>1</v>
      </c>
      <c r="D42" s="91">
        <v>653</v>
      </c>
      <c r="E42" s="92">
        <v>18016</v>
      </c>
      <c r="F42" s="93">
        <v>30529403522</v>
      </c>
      <c r="G42" s="436" t="str">
        <f>IFERROR(IF(compras_mes576[[#This Row],[CUIT]]="","-",VLOOKUP(compras_mes576[[#This Row],[CUIT]],Lista_CUIT[#All],2,0)),"CUIT NO CARGADO")</f>
        <v>CASTILLO S A C I F I A</v>
      </c>
      <c r="H42" s="95">
        <v>178708.07</v>
      </c>
      <c r="I42" s="426">
        <f>IF(compras_mes576[[#This Row],[NETO GRAVADO]]="","",compras_mes576[[#This Row],[NETO GRAVADO]]*0.21)</f>
        <v>37528.6947</v>
      </c>
      <c r="J42" s="426"/>
      <c r="K42" s="426"/>
      <c r="L42" s="426"/>
      <c r="M42" s="426"/>
      <c r="N42" s="426"/>
      <c r="O42" s="426">
        <v>5361.24</v>
      </c>
      <c r="P42" s="455">
        <f>SUM(compras_mes576[[#This Row],[NETO GRAVADO]:[Otros / No Grav.]])</f>
        <v>221598.00469999999</v>
      </c>
      <c r="Q42" s="432" t="str">
        <f>IFERROR(IF(compras_mes576[[#This Row],[CUIT]]="","-",VLOOKUP(compras_mes576[[#This Row],[CUIT]],Lista_CUIT[#All],3,0)),"CUIT NO CARGADO")</f>
        <v>Gastos Varios</v>
      </c>
      <c r="R42" s="432">
        <f>IFERROR(IF(compras_mes576[[#This Row],[CUIT]]="","-",VLOOKUP(compras_mes576[[#This Row],[CUIT]],Lista_CUIT[#All],4,0)),"CUIT NO CARGADO")</f>
        <v>0</v>
      </c>
    </row>
    <row r="43" spans="2:18">
      <c r="B43" s="425" t="s">
        <v>2251</v>
      </c>
      <c r="C43" s="90">
        <v>1</v>
      </c>
      <c r="D43" s="91">
        <v>2084</v>
      </c>
      <c r="E43" s="92">
        <v>22083</v>
      </c>
      <c r="F43" s="93">
        <v>30548083156</v>
      </c>
      <c r="G43" s="436" t="str">
        <f>IFERROR(IF(compras_mes576[[#This Row],[CUIT]]="","-",VLOOKUP(compras_mes576[[#This Row],[CUIT]],Lista_CUIT[#All],2,0)),"CUIT NO CARGADO")</f>
        <v>COTO CENTRO INTEGRAL DE COMERCIALIZACION SOCIEDAD ANONIMA</v>
      </c>
      <c r="H43" s="95">
        <v>14102.63</v>
      </c>
      <c r="I43" s="426">
        <f>IF(compras_mes576[[#This Row],[NETO GRAVADO]]="","",compras_mes576[[#This Row],[NETO GRAVADO]]*0.21)</f>
        <v>2961.5522999999998</v>
      </c>
      <c r="J43" s="426"/>
      <c r="K43" s="426"/>
      <c r="L43" s="426"/>
      <c r="M43" s="426"/>
      <c r="N43" s="426"/>
      <c r="O43" s="426">
        <v>1269.24</v>
      </c>
      <c r="P43" s="455">
        <f>SUM(compras_mes576[[#This Row],[NETO GRAVADO]:[Otros / No Grav.]])</f>
        <v>18333.422300000002</v>
      </c>
      <c r="Q43" s="432" t="str">
        <f>IFERROR(IF(compras_mes576[[#This Row],[CUIT]]="","-",VLOOKUP(compras_mes576[[#This Row],[CUIT]],Lista_CUIT[#All],3,0)),"CUIT NO CARGADO")</f>
        <v>Gastos Varios</v>
      </c>
      <c r="R43" s="432">
        <f>IFERROR(IF(compras_mes576[[#This Row],[CUIT]]="","-",VLOOKUP(compras_mes576[[#This Row],[CUIT]],Lista_CUIT[#All],4,0)),"CUIT NO CARGADO")</f>
        <v>0</v>
      </c>
    </row>
    <row r="44" spans="2:18">
      <c r="B44" s="425" t="s">
        <v>2251</v>
      </c>
      <c r="C44" s="90">
        <v>1</v>
      </c>
      <c r="D44" s="91">
        <v>1</v>
      </c>
      <c r="E44" s="92">
        <v>2</v>
      </c>
      <c r="F44" s="93">
        <v>30717504824</v>
      </c>
      <c r="G44" s="436" t="str">
        <f>IFERROR(IF(compras_mes576[[#This Row],[CUIT]]="","-",VLOOKUP(compras_mes576[[#This Row],[CUIT]],Lista_CUIT[#All],2,0)),"CUIT NO CARGADO")</f>
        <v>FIDEICOMISO MAMBA</v>
      </c>
      <c r="H44" s="95">
        <v>13154932.1</v>
      </c>
      <c r="I44" s="426"/>
      <c r="J44" s="426"/>
      <c r="K44" s="426">
        <f>compras_mes576[[#This Row],[NETO GRAVADO]]*0.105</f>
        <v>1381267.8705</v>
      </c>
      <c r="L44" s="426"/>
      <c r="M44" s="426"/>
      <c r="N44" s="426"/>
      <c r="O44" s="426"/>
      <c r="P44" s="455">
        <f>SUM(compras_mes576[[#This Row],[NETO GRAVADO]:[Otros / No Grav.]])</f>
        <v>14536199.9705</v>
      </c>
      <c r="Q44" s="432" t="str">
        <f>IFERROR(IF(compras_mes576[[#This Row],[CUIT]]="","-",VLOOKUP(compras_mes576[[#This Row],[CUIT]],Lista_CUIT[#All],3,0)),"CUIT NO CARGADO")</f>
        <v>MANTENIMIENTO</v>
      </c>
      <c r="R44" s="432">
        <f>IFERROR(IF(compras_mes576[[#This Row],[CUIT]]="","-",VLOOKUP(compras_mes576[[#This Row],[CUIT]],Lista_CUIT[#All],4,0)),"CUIT NO CARGADO")</f>
        <v>0</v>
      </c>
    </row>
    <row r="45" spans="2:18">
      <c r="B45" s="425" t="s">
        <v>2251</v>
      </c>
      <c r="C45" s="90">
        <v>1</v>
      </c>
      <c r="D45" s="91">
        <v>1</v>
      </c>
      <c r="E45" s="92">
        <v>3</v>
      </c>
      <c r="F45" s="93">
        <v>30717504824</v>
      </c>
      <c r="G45" s="436" t="str">
        <f>IFERROR(IF(compras_mes576[[#This Row],[CUIT]]="","-",VLOOKUP(compras_mes576[[#This Row],[CUIT]],Lista_CUIT[#All],2,0)),"CUIT NO CARGADO")</f>
        <v>FIDEICOMISO MAMBA</v>
      </c>
      <c r="H45" s="95">
        <v>2278009.0499999998</v>
      </c>
      <c r="I45" s="426"/>
      <c r="J45" s="426"/>
      <c r="K45" s="426">
        <f>compras_mes576[[#This Row],[NETO GRAVADO]]*0.105</f>
        <v>239190.95024999997</v>
      </c>
      <c r="L45" s="426"/>
      <c r="M45" s="426"/>
      <c r="N45" s="426"/>
      <c r="O45" s="426"/>
      <c r="P45" s="455">
        <f>SUM(compras_mes576[[#This Row],[NETO GRAVADO]:[Otros / No Grav.]])</f>
        <v>2517200.0002499996</v>
      </c>
      <c r="Q45" s="432" t="str">
        <f>IFERROR(IF(compras_mes576[[#This Row],[CUIT]]="","-",VLOOKUP(compras_mes576[[#This Row],[CUIT]],Lista_CUIT[#All],3,0)),"CUIT NO CARGADO")</f>
        <v>MANTENIMIENTO</v>
      </c>
      <c r="R45" s="432">
        <f>IFERROR(IF(compras_mes576[[#This Row],[CUIT]]="","-",VLOOKUP(compras_mes576[[#This Row],[CUIT]],Lista_CUIT[#All],4,0)),"CUIT NO CARGADO")</f>
        <v>0</v>
      </c>
    </row>
    <row r="46" spans="2:18">
      <c r="B46" s="425" t="s">
        <v>2251</v>
      </c>
      <c r="C46" s="90">
        <v>1</v>
      </c>
      <c r="D46" s="91">
        <v>2</v>
      </c>
      <c r="E46" s="92">
        <v>258</v>
      </c>
      <c r="F46" s="93">
        <v>27309896063</v>
      </c>
      <c r="G46" s="436" t="str">
        <f>IFERROR(IF(compras_mes576[[#This Row],[CUIT]]="","-",VLOOKUP(compras_mes576[[#This Row],[CUIT]],Lista_CUIT[#All],2,0)),"CUIT NO CARGADO")</f>
        <v>BATTELLINI MARIA SOLEDAD</v>
      </c>
      <c r="H46" s="95">
        <v>550000</v>
      </c>
      <c r="I46" s="426">
        <f>IF(compras_mes576[[#This Row],[NETO GRAVADO]]="","",compras_mes576[[#This Row],[NETO GRAVADO]]*0.21)</f>
        <v>115500</v>
      </c>
      <c r="J46" s="426"/>
      <c r="K46" s="426"/>
      <c r="L46" s="426"/>
      <c r="M46" s="426"/>
      <c r="N46" s="426"/>
      <c r="O46" s="426"/>
      <c r="P46" s="424">
        <f>SUM(compras_mes576[[#This Row],[NETO GRAVADO]:[Otros / No Grav.]])</f>
        <v>665500</v>
      </c>
      <c r="Q46" s="432" t="str">
        <f>IFERROR(IF(compras_mes576[[#This Row],[CUIT]]="","-",VLOOKUP(compras_mes576[[#This Row],[CUIT]],Lista_CUIT[#All],3,0)),"CUIT NO CARGADO")</f>
        <v>Alquiler</v>
      </c>
      <c r="R46" s="432">
        <f>IFERROR(IF(compras_mes576[[#This Row],[CUIT]]="","-",VLOOKUP(compras_mes576[[#This Row],[CUIT]],Lista_CUIT[#All],4,0)),"CUIT NO CARGADO")</f>
        <v>0</v>
      </c>
    </row>
    <row r="47" spans="2:18">
      <c r="B47" s="425" t="s">
        <v>2252</v>
      </c>
      <c r="C47" s="90">
        <v>1</v>
      </c>
      <c r="D47" s="91">
        <v>700</v>
      </c>
      <c r="E47" s="92">
        <v>1645579</v>
      </c>
      <c r="F47" s="93">
        <v>30715804812</v>
      </c>
      <c r="G47" s="436" t="str">
        <f>IFERROR(IF(compras_mes576[[#This Row],[CUIT]]="","-",VLOOKUP(compras_mes576[[#This Row],[CUIT]],Lista_CUIT[#All],2,0)),"CUIT NO CARGADO")</f>
        <v>CORREDORES VIALES SOCIEDAD ANONIMA</v>
      </c>
      <c r="H47" s="95">
        <v>206.61</v>
      </c>
      <c r="I47" s="426">
        <f>IF(compras_mes576[[#This Row],[NETO GRAVADO]]="","",compras_mes576[[#This Row],[NETO GRAVADO]]*0.21)</f>
        <v>43.388100000000001</v>
      </c>
      <c r="J47" s="426"/>
      <c r="K47" s="426"/>
      <c r="L47" s="426"/>
      <c r="M47" s="426"/>
      <c r="N47" s="426"/>
      <c r="O47" s="426"/>
      <c r="P47" s="424">
        <f>SUM(compras_mes576[[#This Row],[NETO GRAVADO]:[Otros / No Grav.]])</f>
        <v>249.99810000000002</v>
      </c>
      <c r="Q47" s="432" t="str">
        <f>IFERROR(IF(compras_mes576[[#This Row],[CUIT]]="","-",VLOOKUP(compras_mes576[[#This Row],[CUIT]],Lista_CUIT[#All],3,0)),"CUIT NO CARGADO")</f>
        <v>Peajes</v>
      </c>
      <c r="R47" s="432">
        <f>IFERROR(IF(compras_mes576[[#This Row],[CUIT]]="","-",VLOOKUP(compras_mes576[[#This Row],[CUIT]],Lista_CUIT[#All],4,0)),"CUIT NO CARGADO")</f>
        <v>0</v>
      </c>
    </row>
    <row r="48" spans="2:18">
      <c r="B48" s="425" t="s">
        <v>2252</v>
      </c>
      <c r="C48" s="90">
        <v>1</v>
      </c>
      <c r="D48" s="91">
        <v>11073</v>
      </c>
      <c r="E48" s="92">
        <v>424</v>
      </c>
      <c r="F48" s="93">
        <v>30590360763</v>
      </c>
      <c r="G48" s="436" t="str">
        <f>IFERROR(IF(compras_mes576[[#This Row],[CUIT]]="","-",VLOOKUP(compras_mes576[[#This Row],[CUIT]],Lista_CUIT[#All],2,0)),"CUIT NO CARGADO")</f>
        <v>CENCOSUD S.A</v>
      </c>
      <c r="H48" s="95">
        <v>8173.01</v>
      </c>
      <c r="I48" s="426">
        <f>6726.86*0.21</f>
        <v>1412.6405999999999</v>
      </c>
      <c r="J48" s="426"/>
      <c r="K48" s="426">
        <f>1446.15*0.105</f>
        <v>151.84575000000001</v>
      </c>
      <c r="L48" s="426">
        <v>223.5</v>
      </c>
      <c r="M48" s="426"/>
      <c r="N48" s="426">
        <v>490.38</v>
      </c>
      <c r="O48" s="426"/>
      <c r="P48" s="455">
        <f>SUM(compras_mes576[[#This Row],[NETO GRAVADO]:[Otros / No Grav.]])</f>
        <v>10451.37635</v>
      </c>
      <c r="Q48" s="432" t="str">
        <f>IFERROR(IF(compras_mes576[[#This Row],[CUIT]]="","-",VLOOKUP(compras_mes576[[#This Row],[CUIT]],Lista_CUIT[#All],3,0)),"CUIT NO CARGADO")</f>
        <v>Gastos Varios</v>
      </c>
      <c r="R48" s="432">
        <f>IFERROR(IF(compras_mes576[[#This Row],[CUIT]]="","-",VLOOKUP(compras_mes576[[#This Row],[CUIT]],Lista_CUIT[#All],4,0)),"CUIT NO CARGADO")</f>
        <v>0</v>
      </c>
    </row>
    <row r="49" spans="2:18">
      <c r="B49" s="425" t="s">
        <v>2252</v>
      </c>
      <c r="C49" s="90">
        <v>1</v>
      </c>
      <c r="D49" s="91">
        <v>2</v>
      </c>
      <c r="E49" s="92">
        <v>3670</v>
      </c>
      <c r="F49" s="93">
        <v>30629863571</v>
      </c>
      <c r="G49" s="436" t="str">
        <f>IFERROR(IF(compras_mes576[[#This Row],[CUIT]]="","-",VLOOKUP(compras_mes576[[#This Row],[CUIT]],Lista_CUIT[#All],2,0)),"CUIT NO CARGADO")</f>
        <v>TECNIMAR S R L</v>
      </c>
      <c r="H49" s="95">
        <v>1262400</v>
      </c>
      <c r="I49" s="426">
        <f>IF(compras_mes576[[#This Row],[NETO GRAVADO]]="","",compras_mes576[[#This Row],[NETO GRAVADO]]*0.21)</f>
        <v>265104</v>
      </c>
      <c r="J49" s="426"/>
      <c r="K49" s="426"/>
      <c r="L49" s="426"/>
      <c r="M49" s="426"/>
      <c r="N49" s="426"/>
      <c r="O49" s="426"/>
      <c r="P49" s="424">
        <f>SUM(compras_mes576[[#This Row],[NETO GRAVADO]:[Otros / No Grav.]])</f>
        <v>1527504</v>
      </c>
      <c r="Q49" s="432" t="str">
        <f>IFERROR(IF(compras_mes576[[#This Row],[CUIT]]="","-",VLOOKUP(compras_mes576[[#This Row],[CUIT]],Lista_CUIT[#All],3,0)),"CUIT NO CARGADO")</f>
        <v>Productos Venta</v>
      </c>
      <c r="R49" s="432">
        <f>IFERROR(IF(compras_mes576[[#This Row],[CUIT]]="","-",VLOOKUP(compras_mes576[[#This Row],[CUIT]],Lista_CUIT[#All],4,0)),"CUIT NO CARGADO")</f>
        <v>0</v>
      </c>
    </row>
    <row r="50" spans="2:18">
      <c r="B50" s="425" t="s">
        <v>2252</v>
      </c>
      <c r="C50" s="90">
        <v>1</v>
      </c>
      <c r="D50" s="91">
        <v>4</v>
      </c>
      <c r="E50" s="92">
        <v>47</v>
      </c>
      <c r="F50" s="93">
        <v>20308004865</v>
      </c>
      <c r="G50" s="436" t="str">
        <f>IFERROR(IF(compras_mes576[[#This Row],[CUIT]]="","-",VLOOKUP(compras_mes576[[#This Row],[CUIT]],Lista_CUIT[#All],2,0)),"CUIT NO CARGADO")</f>
        <v>VEGA GUSTAVO RAUL</v>
      </c>
      <c r="H50" s="95">
        <v>1090950</v>
      </c>
      <c r="I50" s="426">
        <f>IF(compras_mes576[[#This Row],[NETO GRAVADO]]="","",compras_mes576[[#This Row],[NETO GRAVADO]]*0.21)</f>
        <v>229099.5</v>
      </c>
      <c r="J50" s="426"/>
      <c r="K50" s="426"/>
      <c r="L50" s="426"/>
      <c r="M50" s="426"/>
      <c r="N50" s="426"/>
      <c r="O50" s="426"/>
      <c r="P50" s="424">
        <f>SUM(compras_mes576[[#This Row],[NETO GRAVADO]:[Otros / No Grav.]])</f>
        <v>1320049.5</v>
      </c>
      <c r="Q50" s="432" t="str">
        <f>IFERROR(IF(compras_mes576[[#This Row],[CUIT]]="","-",VLOOKUP(compras_mes576[[#This Row],[CUIT]],Lista_CUIT[#All],3,0)),"CUIT NO CARGADO")</f>
        <v>Materia Prima</v>
      </c>
      <c r="R50" s="432">
        <f>IFERROR(IF(compras_mes576[[#This Row],[CUIT]]="","-",VLOOKUP(compras_mes576[[#This Row],[CUIT]],Lista_CUIT[#All],4,0)),"CUIT NO CARGADO")</f>
        <v>0</v>
      </c>
    </row>
    <row r="51" spans="2:18">
      <c r="B51" s="425" t="s">
        <v>2253</v>
      </c>
      <c r="C51" s="90">
        <v>1</v>
      </c>
      <c r="D51" s="91">
        <v>3</v>
      </c>
      <c r="E51" s="92">
        <v>10506</v>
      </c>
      <c r="F51" s="93">
        <v>30679163317</v>
      </c>
      <c r="G51" s="436" t="str">
        <f>IFERROR(IF(compras_mes576[[#This Row],[CUIT]]="","-",VLOOKUP(compras_mes576[[#This Row],[CUIT]],Lista_CUIT[#All],2,0)),"CUIT NO CARGADO")</f>
        <v>RANKO S R L</v>
      </c>
      <c r="H51" s="95">
        <v>130165.29</v>
      </c>
      <c r="I51" s="426">
        <f>IF(compras_mes576[[#This Row],[NETO GRAVADO]]="","",compras_mes576[[#This Row],[NETO GRAVADO]]*0.21)</f>
        <v>27334.710899999998</v>
      </c>
      <c r="J51" s="426"/>
      <c r="K51" s="426"/>
      <c r="L51" s="426"/>
      <c r="M51" s="426"/>
      <c r="N51" s="426"/>
      <c r="O51" s="426"/>
      <c r="P51" s="424">
        <f>SUM(compras_mes576[[#This Row],[NETO GRAVADO]:[Otros / No Grav.]])</f>
        <v>157500.00089999998</v>
      </c>
      <c r="Q51" s="432" t="str">
        <f>IFERROR(IF(compras_mes576[[#This Row],[CUIT]]="","-",VLOOKUP(compras_mes576[[#This Row],[CUIT]],Lista_CUIT[#All],3,0)),"CUIT NO CARGADO")</f>
        <v>Mantenimiento</v>
      </c>
      <c r="R51" s="432">
        <f>IFERROR(IF(compras_mes576[[#This Row],[CUIT]]="","-",VLOOKUP(compras_mes576[[#This Row],[CUIT]],Lista_CUIT[#All],4,0)),"CUIT NO CARGADO")</f>
        <v>0</v>
      </c>
    </row>
    <row r="52" spans="2:18">
      <c r="B52" s="425" t="s">
        <v>2253</v>
      </c>
      <c r="C52" s="90">
        <v>1</v>
      </c>
      <c r="D52" s="91">
        <v>4</v>
      </c>
      <c r="E52" s="92">
        <v>1502</v>
      </c>
      <c r="F52" s="93">
        <v>20291527575</v>
      </c>
      <c r="G52" s="436" t="str">
        <f>IFERROR(IF(compras_mes576[[#This Row],[CUIT]]="","-",VLOOKUP(compras_mes576[[#This Row],[CUIT]],Lista_CUIT[#All],2,0)),"CUIT NO CARGADO")</f>
        <v>SAFDIE DAVID GABRIEL</v>
      </c>
      <c r="H52" s="95">
        <v>659651.24</v>
      </c>
      <c r="I52" s="426">
        <f>IF(compras_mes576[[#This Row],[NETO GRAVADO]]="","",compras_mes576[[#This Row],[NETO GRAVADO]]*0.21)</f>
        <v>138526.7604</v>
      </c>
      <c r="J52" s="426"/>
      <c r="K52" s="426"/>
      <c r="L52" s="426"/>
      <c r="M52" s="426"/>
      <c r="N52" s="426"/>
      <c r="O52" s="426"/>
      <c r="P52" s="424">
        <f>SUM(compras_mes576[[#This Row],[NETO GRAVADO]:[Otros / No Grav.]])</f>
        <v>798178.00040000002</v>
      </c>
      <c r="Q52" s="432" t="str">
        <f>IFERROR(IF(compras_mes576[[#This Row],[CUIT]]="","-",VLOOKUP(compras_mes576[[#This Row],[CUIT]],Lista_CUIT[#All],3,0)),"CUIT NO CARGADO")</f>
        <v>Productos Venta</v>
      </c>
      <c r="R52" s="432">
        <f>IFERROR(IF(compras_mes576[[#This Row],[CUIT]]="","-",VLOOKUP(compras_mes576[[#This Row],[CUIT]],Lista_CUIT[#All],4,0)),"CUIT NO CARGADO")</f>
        <v>0</v>
      </c>
    </row>
    <row r="53" spans="2:18">
      <c r="B53" s="425" t="s">
        <v>2253</v>
      </c>
      <c r="C53" s="90">
        <v>1</v>
      </c>
      <c r="D53" s="91">
        <v>3101</v>
      </c>
      <c r="E53" s="92">
        <v>85599</v>
      </c>
      <c r="F53" s="93">
        <v>30678814357</v>
      </c>
      <c r="G53" s="436" t="str">
        <f>IFERROR(IF(compras_mes576[[#This Row],[CUIT]]="","-",VLOOKUP(compras_mes576[[#This Row],[CUIT]],Lista_CUIT[#All],2,0)),"CUIT NO CARGADO")</f>
        <v>TELEFONICA MOVILES ARG</v>
      </c>
      <c r="H53" s="95">
        <v>28119</v>
      </c>
      <c r="I53" s="426"/>
      <c r="J53" s="426">
        <f>compras_mes576[[#This Row],[NETO GRAVADO]]*0.27</f>
        <v>7592.13</v>
      </c>
      <c r="K53" s="426"/>
      <c r="L53" s="426">
        <v>843.57</v>
      </c>
      <c r="M53" s="426"/>
      <c r="N53" s="426">
        <v>1687.14</v>
      </c>
      <c r="O53" s="426"/>
      <c r="P53" s="455">
        <f>SUM(compras_mes576[[#This Row],[NETO GRAVADO]:[Otros / No Grav.]])</f>
        <v>38241.839999999997</v>
      </c>
      <c r="Q53" s="432" t="str">
        <f>IFERROR(IF(compras_mes576[[#This Row],[CUIT]]="","-",VLOOKUP(compras_mes576[[#This Row],[CUIT]],Lista_CUIT[#All],3,0)),"CUIT NO CARGADO")</f>
        <v>Servicios Gas, Luz, etc.</v>
      </c>
      <c r="R53" s="432">
        <f>IFERROR(IF(compras_mes576[[#This Row],[CUIT]]="","-",VLOOKUP(compras_mes576[[#This Row],[CUIT]],Lista_CUIT[#All],4,0)),"CUIT NO CARGADO")</f>
        <v>0</v>
      </c>
    </row>
    <row r="54" spans="2:18">
      <c r="B54" s="425" t="s">
        <v>2253</v>
      </c>
      <c r="C54" s="90">
        <v>1</v>
      </c>
      <c r="D54" s="91">
        <v>1</v>
      </c>
      <c r="E54" s="92">
        <v>7397</v>
      </c>
      <c r="F54" s="93">
        <v>30716872463</v>
      </c>
      <c r="G54" s="436" t="str">
        <f>IFERROR(IF(compras_mes576[[#This Row],[CUIT]]="","-",VLOOKUP(compras_mes576[[#This Row],[CUIT]],Lista_CUIT[#All],2,0)),"CUIT NO CARGADO")</f>
        <v>COMERCIAL MGM S.R.L</v>
      </c>
      <c r="H54" s="95">
        <v>43979.19</v>
      </c>
      <c r="I54" s="426"/>
      <c r="J54" s="426"/>
      <c r="K54" s="426">
        <f>compras_mes576[[#This Row],[NETO GRAVADO]]*0.105</f>
        <v>4617.81495</v>
      </c>
      <c r="L54" s="426"/>
      <c r="M54" s="426"/>
      <c r="N54" s="426"/>
      <c r="O54" s="426"/>
      <c r="P54" s="455">
        <f>SUM(compras_mes576[[#This Row],[NETO GRAVADO]:[Otros / No Grav.]])</f>
        <v>48597.004950000002</v>
      </c>
      <c r="Q54" s="432" t="str">
        <f>IFERROR(IF(compras_mes576[[#This Row],[CUIT]]="","-",VLOOKUP(compras_mes576[[#This Row],[CUIT]],Lista_CUIT[#All],3,0)),"CUIT NO CARGADO")</f>
        <v>Gastos Varios</v>
      </c>
      <c r="R54" s="432">
        <f>IFERROR(IF(compras_mes576[[#This Row],[CUIT]]="","-",VLOOKUP(compras_mes576[[#This Row],[CUIT]],Lista_CUIT[#All],4,0)),"CUIT NO CARGADO")</f>
        <v>0</v>
      </c>
    </row>
    <row r="55" spans="2:18">
      <c r="B55" s="425" t="s">
        <v>2253</v>
      </c>
      <c r="C55" s="90">
        <v>1</v>
      </c>
      <c r="D55" s="91">
        <v>3</v>
      </c>
      <c r="E55" s="92">
        <v>27033</v>
      </c>
      <c r="F55" s="93">
        <v>30578456909</v>
      </c>
      <c r="G55" s="436" t="str">
        <f>IFERROR(IF(compras_mes576[[#This Row],[CUIT]]="","-",VLOOKUP(compras_mes576[[#This Row],[CUIT]],Lista_CUIT[#All],2,0)),"CUIT NO CARGADO")</f>
        <v>SERVIFER SOCIEDAD ANONIMA</v>
      </c>
      <c r="H55" s="95">
        <v>242809.93</v>
      </c>
      <c r="I55" s="426">
        <f>IF(compras_mes576[[#This Row],[NETO GRAVADO]]="","",compras_mes576[[#This Row],[NETO GRAVADO]]*0.21)</f>
        <v>50990.085299999999</v>
      </c>
      <c r="J55" s="426"/>
      <c r="K55" s="426"/>
      <c r="L55" s="426"/>
      <c r="M55" s="426"/>
      <c r="N55" s="426"/>
      <c r="O55" s="426"/>
      <c r="P55" s="424">
        <f>SUM(compras_mes576[[#This Row],[NETO GRAVADO]:[Otros / No Grav.]])</f>
        <v>293800.01529999997</v>
      </c>
      <c r="Q55" s="432" t="str">
        <f>IFERROR(IF(compras_mes576[[#This Row],[CUIT]]="","-",VLOOKUP(compras_mes576[[#This Row],[CUIT]],Lista_CUIT[#All],3,0)),"CUIT NO CARGADO")</f>
        <v>Materia Prima</v>
      </c>
      <c r="R55" s="432">
        <f>IFERROR(IF(compras_mes576[[#This Row],[CUIT]]="","-",VLOOKUP(compras_mes576[[#This Row],[CUIT]],Lista_CUIT[#All],4,0)),"CUIT NO CARGADO")</f>
        <v>0</v>
      </c>
    </row>
    <row r="56" spans="2:18">
      <c r="B56" s="425" t="s">
        <v>2254</v>
      </c>
      <c r="C56" s="90">
        <v>1</v>
      </c>
      <c r="D56" s="91">
        <v>11</v>
      </c>
      <c r="E56" s="92">
        <v>4507</v>
      </c>
      <c r="F56" s="93">
        <v>33689726009</v>
      </c>
      <c r="G56" s="436" t="str">
        <f>IFERROR(IF(compras_mes576[[#This Row],[CUIT]]="","-",VLOOKUP(compras_mes576[[#This Row],[CUIT]],Lista_CUIT[#All],2,0)),"CUIT NO CARGADO")</f>
        <v>INSUMA SUR SA</v>
      </c>
      <c r="H56" s="95">
        <v>198475.57</v>
      </c>
      <c r="I56" s="426">
        <f>IF(compras_mes576[[#This Row],[NETO GRAVADO]]="","",compras_mes576[[#This Row],[NETO GRAVADO]]*0.21)</f>
        <v>41679.869700000003</v>
      </c>
      <c r="J56" s="426"/>
      <c r="K56" s="426"/>
      <c r="L56" s="426"/>
      <c r="M56" s="426"/>
      <c r="N56" s="426">
        <v>11908.53</v>
      </c>
      <c r="O56" s="426"/>
      <c r="P56" s="455">
        <f>SUM(compras_mes576[[#This Row],[NETO GRAVADO]:[Otros / No Grav.]])</f>
        <v>252063.96970000002</v>
      </c>
      <c r="Q56" s="432" t="str">
        <f>IFERROR(IF(compras_mes576[[#This Row],[CUIT]]="","-",VLOOKUP(compras_mes576[[#This Row],[CUIT]],Lista_CUIT[#All],3,0)),"CUIT NO CARGADO")</f>
        <v>Materia Prima</v>
      </c>
      <c r="R56" s="432">
        <f>IFERROR(IF(compras_mes576[[#This Row],[CUIT]]="","-",VLOOKUP(compras_mes576[[#This Row],[CUIT]],Lista_CUIT[#All],4,0)),"CUIT NO CARGADO")</f>
        <v>0</v>
      </c>
    </row>
    <row r="57" spans="2:18">
      <c r="B57" s="425" t="s">
        <v>2254</v>
      </c>
      <c r="C57" s="90">
        <v>1</v>
      </c>
      <c r="D57" s="91">
        <v>6852</v>
      </c>
      <c r="E57" s="92">
        <v>24090</v>
      </c>
      <c r="F57" s="93">
        <v>30678774495</v>
      </c>
      <c r="G57" s="436" t="str">
        <f>IFERROR(IF(compras_mes576[[#This Row],[CUIT]]="","-",VLOOKUP(compras_mes576[[#This Row],[CUIT]],Lista_CUIT[#All],2,0)),"CUIT NO CARGADO")</f>
        <v>OPER. DE EST. DE SERV. SA</v>
      </c>
      <c r="H57" s="95">
        <v>6540.58</v>
      </c>
      <c r="I57" s="426">
        <f>IF(compras_mes576[[#This Row],[NETO GRAVADO]]="","",compras_mes576[[#This Row],[NETO GRAVADO]]*0.21)</f>
        <v>1373.5218</v>
      </c>
      <c r="J57" s="426"/>
      <c r="K57" s="426"/>
      <c r="L57" s="426"/>
      <c r="M57" s="426"/>
      <c r="N57" s="426"/>
      <c r="O57" s="426">
        <v>1085.9000000000001</v>
      </c>
      <c r="P57" s="455">
        <f>SUM(compras_mes576[[#This Row],[NETO GRAVADO]:[Otros / No Grav.]])</f>
        <v>9000.0018</v>
      </c>
      <c r="Q57" s="432" t="str">
        <f>IFERROR(IF(compras_mes576[[#This Row],[CUIT]]="","-",VLOOKUP(compras_mes576[[#This Row],[CUIT]],Lista_CUIT[#All],3,0)),"CUIT NO CARGADO")</f>
        <v>Combustible</v>
      </c>
      <c r="R57" s="432">
        <f>IFERROR(IF(compras_mes576[[#This Row],[CUIT]]="","-",VLOOKUP(compras_mes576[[#This Row],[CUIT]],Lista_CUIT[#All],4,0)),"CUIT NO CARGADO")</f>
        <v>0</v>
      </c>
    </row>
    <row r="58" spans="2:18">
      <c r="B58" s="425" t="s">
        <v>2254</v>
      </c>
      <c r="C58" s="90">
        <v>1</v>
      </c>
      <c r="D58" s="91">
        <v>6364</v>
      </c>
      <c r="E58" s="92">
        <v>8313120</v>
      </c>
      <c r="F58" s="93">
        <v>30639453738</v>
      </c>
      <c r="G58" s="436" t="str">
        <f>IFERROR(IF(compras_mes576[[#This Row],[CUIT]]="","-",VLOOKUP(compras_mes576[[#This Row],[CUIT]],Lista_CUIT[#All],2,0)),"CUIT NO CARGADO")</f>
        <v>TELECOM ARG SA</v>
      </c>
      <c r="H58" s="95">
        <v>185990.08</v>
      </c>
      <c r="I58" s="426">
        <f>168132.06*0.21</f>
        <v>35307.732599999996</v>
      </c>
      <c r="J58" s="426">
        <f>17858.02*0.27</f>
        <v>4821.6654000000008</v>
      </c>
      <c r="K58" s="426"/>
      <c r="L58" s="426"/>
      <c r="M58" s="426"/>
      <c r="N58" s="426">
        <v>10378.93</v>
      </c>
      <c r="O58" s="426">
        <v>5640.8</v>
      </c>
      <c r="P58" s="455">
        <f>SUM(compras_mes576[[#This Row],[NETO GRAVADO]:[Otros / No Grav.]])</f>
        <v>242139.20799999996</v>
      </c>
      <c r="Q58" s="432" t="str">
        <f>IFERROR(IF(compras_mes576[[#This Row],[CUIT]]="","-",VLOOKUP(compras_mes576[[#This Row],[CUIT]],Lista_CUIT[#All],3,0)),"CUIT NO CARGADO")</f>
        <v>Servicios Gas, Luz, etc.</v>
      </c>
      <c r="R58" s="432">
        <f>IFERROR(IF(compras_mes576[[#This Row],[CUIT]]="","-",VLOOKUP(compras_mes576[[#This Row],[CUIT]],Lista_CUIT[#All],4,0)),"CUIT NO CARGADO")</f>
        <v>0</v>
      </c>
    </row>
    <row r="59" spans="2:18">
      <c r="B59" s="425" t="s">
        <v>2254</v>
      </c>
      <c r="C59" s="90">
        <v>1</v>
      </c>
      <c r="D59" s="91">
        <v>19</v>
      </c>
      <c r="E59" s="92">
        <v>52228</v>
      </c>
      <c r="F59" s="93">
        <v>30640451331</v>
      </c>
      <c r="G59" s="436" t="str">
        <f>IFERROR(IF(compras_mes576[[#This Row],[CUIT]]="","-",VLOOKUP(compras_mes576[[#This Row],[CUIT]],Lista_CUIT[#All],2,0)),"CUIT NO CARGADO")</f>
        <v>CORDOBA MOTOS S.R.L.</v>
      </c>
      <c r="H59" s="95">
        <v>15197.51</v>
      </c>
      <c r="I59" s="426">
        <f>IF(compras_mes576[[#This Row],[NETO GRAVADO]]="","",compras_mes576[[#This Row],[NETO GRAVADO]]*0.21)</f>
        <v>3191.4771000000001</v>
      </c>
      <c r="J59" s="426"/>
      <c r="K59" s="426"/>
      <c r="L59" s="426"/>
      <c r="M59" s="426"/>
      <c r="N59" s="426"/>
      <c r="O59" s="426"/>
      <c r="P59" s="424">
        <f>SUM(compras_mes576[[#This Row],[NETO GRAVADO]:[Otros / No Grav.]])</f>
        <v>18388.987099999998</v>
      </c>
      <c r="Q59" s="432" t="str">
        <f>IFERROR(IF(compras_mes576[[#This Row],[CUIT]]="","-",VLOOKUP(compras_mes576[[#This Row],[CUIT]],Lista_CUIT[#All],3,0)),"CUIT NO CARGADO")</f>
        <v>Mantenimiento Rodado</v>
      </c>
      <c r="R59" s="432">
        <f>IFERROR(IF(compras_mes576[[#This Row],[CUIT]]="","-",VLOOKUP(compras_mes576[[#This Row],[CUIT]],Lista_CUIT[#All],4,0)),"CUIT NO CARGADO")</f>
        <v>0</v>
      </c>
    </row>
    <row r="60" spans="2:18">
      <c r="B60" s="425" t="s">
        <v>2255</v>
      </c>
      <c r="C60" s="90">
        <v>1</v>
      </c>
      <c r="D60" s="91">
        <v>3</v>
      </c>
      <c r="E60" s="92">
        <v>11304</v>
      </c>
      <c r="F60" s="93">
        <v>20121637864</v>
      </c>
      <c r="G60" s="436" t="str">
        <f>IFERROR(IF(compras_mes576[[#This Row],[CUIT]]="","-",VLOOKUP(compras_mes576[[#This Row],[CUIT]],Lista_CUIT[#All],2,0)),"CUIT NO CARGADO")</f>
        <v>FERNANDEZ RICARDO ADRIAN</v>
      </c>
      <c r="H60" s="95">
        <v>57512.39</v>
      </c>
      <c r="I60" s="426">
        <f>IF(compras_mes576[[#This Row],[NETO GRAVADO]]="","",compras_mes576[[#This Row],[NETO GRAVADO]]*0.21)</f>
        <v>12077.6019</v>
      </c>
      <c r="J60" s="426"/>
      <c r="K60" s="426"/>
      <c r="L60" s="426"/>
      <c r="M60" s="426"/>
      <c r="N60" s="426"/>
      <c r="O60" s="426"/>
      <c r="P60" s="424">
        <f>SUM(compras_mes576[[#This Row],[NETO GRAVADO]:[Otros / No Grav.]])</f>
        <v>69589.991899999994</v>
      </c>
      <c r="Q60" s="432" t="str">
        <f>IFERROR(IF(compras_mes576[[#This Row],[CUIT]]="","-",VLOOKUP(compras_mes576[[#This Row],[CUIT]],Lista_CUIT[#All],3,0)),"CUIT NO CARGADO")</f>
        <v>MANTENIMIENTO</v>
      </c>
      <c r="R60" s="432">
        <f>IFERROR(IF(compras_mes576[[#This Row],[CUIT]]="","-",VLOOKUP(compras_mes576[[#This Row],[CUIT]],Lista_CUIT[#All],4,0)),"CUIT NO CARGADO")</f>
        <v>0</v>
      </c>
    </row>
    <row r="61" spans="2:18">
      <c r="B61" s="425" t="s">
        <v>2255</v>
      </c>
      <c r="C61" s="90">
        <v>1</v>
      </c>
      <c r="D61" s="91">
        <v>14</v>
      </c>
      <c r="E61" s="92">
        <v>12362</v>
      </c>
      <c r="F61" s="93">
        <v>30715186256</v>
      </c>
      <c r="G61" s="436" t="str">
        <f>IFERROR(IF(compras_mes576[[#This Row],[CUIT]]="","-",VLOOKUP(compras_mes576[[#This Row],[CUIT]],Lista_CUIT[#All],2,0)),"CUIT NO CARGADO")</f>
        <v>FRIGORIFICO ALIMENTIC</v>
      </c>
      <c r="H61" s="95">
        <v>55634.43</v>
      </c>
      <c r="I61" s="426">
        <f>11360.23*0.21</f>
        <v>2385.6482999999998</v>
      </c>
      <c r="J61" s="426"/>
      <c r="K61" s="426">
        <f>44274.2*0.105</f>
        <v>4648.7909999999993</v>
      </c>
      <c r="L61" s="426"/>
      <c r="M61" s="426"/>
      <c r="N61" s="426"/>
      <c r="O61" s="426"/>
      <c r="P61" s="455">
        <f>SUM(compras_mes576[[#This Row],[NETO GRAVADO]:[Otros / No Grav.]])</f>
        <v>62668.869299999998</v>
      </c>
      <c r="Q61" s="432" t="str">
        <f>IFERROR(IF(compras_mes576[[#This Row],[CUIT]]="","-",VLOOKUP(compras_mes576[[#This Row],[CUIT]],Lista_CUIT[#All],3,0)),"CUIT NO CARGADO")</f>
        <v>Gastos Comercializacion - Feria</v>
      </c>
      <c r="R61" s="432">
        <f>IFERROR(IF(compras_mes576[[#This Row],[CUIT]]="","-",VLOOKUP(compras_mes576[[#This Row],[CUIT]],Lista_CUIT[#All],4,0)),"CUIT NO CARGADO")</f>
        <v>0</v>
      </c>
    </row>
    <row r="62" spans="2:18">
      <c r="B62" s="425" t="s">
        <v>2255</v>
      </c>
      <c r="C62" s="90">
        <v>1</v>
      </c>
      <c r="D62" s="91">
        <v>3</v>
      </c>
      <c r="E62" s="92">
        <v>11305</v>
      </c>
      <c r="F62" s="93">
        <v>20121637864</v>
      </c>
      <c r="G62" s="436" t="str">
        <f>IFERROR(IF(compras_mes576[[#This Row],[CUIT]]="","-",VLOOKUP(compras_mes576[[#This Row],[CUIT]],Lista_CUIT[#All],2,0)),"CUIT NO CARGADO")</f>
        <v>FERNANDEZ RICARDO ADRIAN</v>
      </c>
      <c r="H62" s="95">
        <v>54636.78</v>
      </c>
      <c r="I62" s="426">
        <f>IF(compras_mes576[[#This Row],[NETO GRAVADO]]="","",compras_mes576[[#This Row],[NETO GRAVADO]]*0.21)</f>
        <v>11473.7238</v>
      </c>
      <c r="J62" s="426"/>
      <c r="K62" s="426"/>
      <c r="L62" s="426"/>
      <c r="M62" s="426"/>
      <c r="N62" s="426"/>
      <c r="O62" s="426"/>
      <c r="P62" s="424">
        <f>SUM(compras_mes576[[#This Row],[NETO GRAVADO]:[Otros / No Grav.]])</f>
        <v>66110.503800000006</v>
      </c>
      <c r="Q62" s="432" t="str">
        <f>IFERROR(IF(compras_mes576[[#This Row],[CUIT]]="","-",VLOOKUP(compras_mes576[[#This Row],[CUIT]],Lista_CUIT[#All],3,0)),"CUIT NO CARGADO")</f>
        <v>MANTENIMIENTO</v>
      </c>
      <c r="R62" s="432">
        <f>IFERROR(IF(compras_mes576[[#This Row],[CUIT]]="","-",VLOOKUP(compras_mes576[[#This Row],[CUIT]],Lista_CUIT[#All],4,0)),"CUIT NO CARGADO")</f>
        <v>0</v>
      </c>
    </row>
    <row r="63" spans="2:18">
      <c r="B63" s="425" t="s">
        <v>2255</v>
      </c>
      <c r="C63" s="90">
        <v>1</v>
      </c>
      <c r="D63" s="91">
        <v>2199</v>
      </c>
      <c r="E63" s="92">
        <v>29129</v>
      </c>
      <c r="F63" s="93">
        <v>30548083156</v>
      </c>
      <c r="G63" s="436" t="str">
        <f>IFERROR(IF(compras_mes576[[#This Row],[CUIT]]="","-",VLOOKUP(compras_mes576[[#This Row],[CUIT]],Lista_CUIT[#All],2,0)),"CUIT NO CARGADO")</f>
        <v>COTO CENTRO INTEGRAL DE COMERCIALIZACION SOCIEDAD ANONIMA</v>
      </c>
      <c r="H63" s="95">
        <v>8145.05</v>
      </c>
      <c r="I63" s="426">
        <f>IF(compras_mes576[[#This Row],[NETO GRAVADO]]="","",compras_mes576[[#This Row],[NETO GRAVADO]]*0.21)</f>
        <v>1710.4604999999999</v>
      </c>
      <c r="J63" s="426"/>
      <c r="K63" s="426"/>
      <c r="L63" s="426"/>
      <c r="M63" s="426"/>
      <c r="N63" s="426"/>
      <c r="O63" s="426">
        <v>584.04</v>
      </c>
      <c r="P63" s="455">
        <f>SUM(compras_mes576[[#This Row],[NETO GRAVADO]:[Otros / No Grav.]])</f>
        <v>10439.550500000001</v>
      </c>
      <c r="Q63" s="432" t="str">
        <f>IFERROR(IF(compras_mes576[[#This Row],[CUIT]]="","-",VLOOKUP(compras_mes576[[#This Row],[CUIT]],Lista_CUIT[#All],3,0)),"CUIT NO CARGADO")</f>
        <v>Gastos Varios</v>
      </c>
      <c r="R63" s="432">
        <f>IFERROR(IF(compras_mes576[[#This Row],[CUIT]]="","-",VLOOKUP(compras_mes576[[#This Row],[CUIT]],Lista_CUIT[#All],4,0)),"CUIT NO CARGADO")</f>
        <v>0</v>
      </c>
    </row>
    <row r="64" spans="2:18">
      <c r="B64" s="425" t="s">
        <v>2255</v>
      </c>
      <c r="C64" s="90">
        <v>1</v>
      </c>
      <c r="D64" s="91">
        <v>8277</v>
      </c>
      <c r="E64" s="92">
        <v>4337</v>
      </c>
      <c r="F64" s="93">
        <v>30590360763</v>
      </c>
      <c r="G64" s="436" t="str">
        <f>IFERROR(IF(compras_mes576[[#This Row],[CUIT]]="","-",VLOOKUP(compras_mes576[[#This Row],[CUIT]],Lista_CUIT[#All],2,0)),"CUIT NO CARGADO")</f>
        <v>CENCOSUD S.A</v>
      </c>
      <c r="H64" s="95">
        <v>18297.52</v>
      </c>
      <c r="I64" s="426">
        <f>IF(compras_mes576[[#This Row],[NETO GRAVADO]]="","",compras_mes576[[#This Row],[NETO GRAVADO]]*0.21)</f>
        <v>3842.4791999999998</v>
      </c>
      <c r="J64" s="426"/>
      <c r="K64" s="426"/>
      <c r="L64" s="426">
        <v>548.92999999999995</v>
      </c>
      <c r="M64" s="426"/>
      <c r="N64" s="426">
        <v>1097.8499999999999</v>
      </c>
      <c r="O64" s="426"/>
      <c r="P64" s="455">
        <f>SUM(compras_mes576[[#This Row],[NETO GRAVADO]:[Otros / No Grav.]])</f>
        <v>23786.779199999997</v>
      </c>
      <c r="Q64" s="432" t="str">
        <f>IFERROR(IF(compras_mes576[[#This Row],[CUIT]]="","-",VLOOKUP(compras_mes576[[#This Row],[CUIT]],Lista_CUIT[#All],3,0)),"CUIT NO CARGADO")</f>
        <v>Gastos Varios</v>
      </c>
      <c r="R64" s="432">
        <f>IFERROR(IF(compras_mes576[[#This Row],[CUIT]]="","-",VLOOKUP(compras_mes576[[#This Row],[CUIT]],Lista_CUIT[#All],4,0)),"CUIT NO CARGADO")</f>
        <v>0</v>
      </c>
    </row>
    <row r="65" spans="2:18" s="128" customFormat="1">
      <c r="B65" s="458" t="s">
        <v>2255</v>
      </c>
      <c r="C65" s="479">
        <v>1</v>
      </c>
      <c r="D65" s="480">
        <v>2188</v>
      </c>
      <c r="E65" s="457">
        <v>119353</v>
      </c>
      <c r="F65" s="481">
        <v>30548083156</v>
      </c>
      <c r="G65" s="463" t="str">
        <f>IFERROR(IF(compras_mes576[[#This Row],[CUIT]]="","-",VLOOKUP(compras_mes576[[#This Row],[CUIT]],Lista_CUIT[#All],2,0)),"CUIT NO CARGADO")</f>
        <v>COTO CENTRO INTEGRAL DE COMERCIALIZACION SOCIEDAD ANONIMA</v>
      </c>
      <c r="H65" s="482">
        <v>85943.97</v>
      </c>
      <c r="I65" s="465">
        <f>72433.61*0.21</f>
        <v>15211.0581</v>
      </c>
      <c r="J65" s="465"/>
      <c r="K65" s="465">
        <f>13510.36*0.105</f>
        <v>1418.5878</v>
      </c>
      <c r="L65" s="465"/>
      <c r="M65" s="465"/>
      <c r="N65" s="465"/>
      <c r="O65" s="465">
        <v>7072.53</v>
      </c>
      <c r="P65" s="455">
        <f>SUM(compras_mes576[[#This Row],[NETO GRAVADO]:[Otros / No Grav.]])</f>
        <v>109646.14589999999</v>
      </c>
      <c r="Q65" s="466" t="str">
        <f>IFERROR(IF(compras_mes576[[#This Row],[CUIT]]="","-",VLOOKUP(compras_mes576[[#This Row],[CUIT]],Lista_CUIT[#All],3,0)),"CUIT NO CARGADO")</f>
        <v>Gastos Varios</v>
      </c>
      <c r="R65" s="466">
        <f>IFERROR(IF(compras_mes576[[#This Row],[CUIT]]="","-",VLOOKUP(compras_mes576[[#This Row],[CUIT]],Lista_CUIT[#All],4,0)),"CUIT NO CARGADO")</f>
        <v>0</v>
      </c>
    </row>
    <row r="66" spans="2:18">
      <c r="B66" s="425" t="s">
        <v>2256</v>
      </c>
      <c r="C66" s="90">
        <v>1</v>
      </c>
      <c r="D66" s="91">
        <v>6</v>
      </c>
      <c r="E66" s="92">
        <v>16397295</v>
      </c>
      <c r="F66" s="93">
        <v>30620177497</v>
      </c>
      <c r="G66" s="436" t="str">
        <f>IFERROR(IF(compras_mes576[[#This Row],[CUIT]]="","-",VLOOKUP(compras_mes576[[#This Row],[CUIT]],Lista_CUIT[#All],2,0)),"CUIT NO CARGADO")</f>
        <v>POSNET SRL</v>
      </c>
      <c r="H66" s="95">
        <v>21215.08</v>
      </c>
      <c r="I66" s="426">
        <f>IF(compras_mes576[[#This Row],[NETO GRAVADO]]="","",compras_mes576[[#This Row],[NETO GRAVADO]]*0.21)</f>
        <v>4455.1668</v>
      </c>
      <c r="J66" s="426"/>
      <c r="K66" s="426"/>
      <c r="L66" s="426"/>
      <c r="M66" s="426"/>
      <c r="N66" s="426">
        <v>1909.35</v>
      </c>
      <c r="O66" s="426"/>
      <c r="P66" s="455">
        <f>SUM(compras_mes576[[#This Row],[NETO GRAVADO]:[Otros / No Grav.]])</f>
        <v>27579.596799999999</v>
      </c>
      <c r="Q66" s="432" t="str">
        <f>IFERROR(IF(compras_mes576[[#This Row],[CUIT]]="","-",VLOOKUP(compras_mes576[[#This Row],[CUIT]],Lista_CUIT[#All],3,0)),"CUIT NO CARGADO")</f>
        <v>Gastos Comercializacion</v>
      </c>
      <c r="R66" s="432">
        <f>IFERROR(IF(compras_mes576[[#This Row],[CUIT]]="","-",VLOOKUP(compras_mes576[[#This Row],[CUIT]],Lista_CUIT[#All],4,0)),"CUIT NO CARGADO")</f>
        <v>0</v>
      </c>
    </row>
    <row r="67" spans="2:18">
      <c r="B67" s="425" t="s">
        <v>2256</v>
      </c>
      <c r="C67" s="90">
        <v>1</v>
      </c>
      <c r="D67" s="91">
        <v>6</v>
      </c>
      <c r="E67" s="92">
        <v>16411583</v>
      </c>
      <c r="F67" s="93">
        <v>30620177497</v>
      </c>
      <c r="G67" s="436" t="str">
        <f>IFERROR(IF(compras_mes576[[#This Row],[CUIT]]="","-",VLOOKUP(compras_mes576[[#This Row],[CUIT]],Lista_CUIT[#All],2,0)),"CUIT NO CARGADO")</f>
        <v>POSNET SRL</v>
      </c>
      <c r="H67" s="95">
        <v>63645.24</v>
      </c>
      <c r="I67" s="426">
        <f>IF(compras_mes576[[#This Row],[NETO GRAVADO]]="","",compras_mes576[[#This Row],[NETO GRAVADO]]*0.21)</f>
        <v>13365.500399999999</v>
      </c>
      <c r="J67" s="426"/>
      <c r="K67" s="426"/>
      <c r="L67" s="426"/>
      <c r="M67" s="426"/>
      <c r="N67" s="426">
        <v>5728.07</v>
      </c>
      <c r="O67" s="426"/>
      <c r="P67" s="455">
        <f>SUM(compras_mes576[[#This Row],[NETO GRAVADO]:[Otros / No Grav.]])</f>
        <v>82738.810399999988</v>
      </c>
      <c r="Q67" s="432" t="str">
        <f>IFERROR(IF(compras_mes576[[#This Row],[CUIT]]="","-",VLOOKUP(compras_mes576[[#This Row],[CUIT]],Lista_CUIT[#All],3,0)),"CUIT NO CARGADO")</f>
        <v>Gastos Comercializacion</v>
      </c>
      <c r="R67" s="432">
        <f>IFERROR(IF(compras_mes576[[#This Row],[CUIT]]="","-",VLOOKUP(compras_mes576[[#This Row],[CUIT]],Lista_CUIT[#All],4,0)),"CUIT NO CARGADO")</f>
        <v>0</v>
      </c>
    </row>
    <row r="68" spans="2:18">
      <c r="B68" s="425" t="s">
        <v>2256</v>
      </c>
      <c r="C68" s="90">
        <v>1</v>
      </c>
      <c r="D68" s="91">
        <v>6</v>
      </c>
      <c r="E68" s="92">
        <v>16383643</v>
      </c>
      <c r="F68" s="93">
        <v>30620177497</v>
      </c>
      <c r="G68" s="436" t="str">
        <f>IFERROR(IF(compras_mes576[[#This Row],[CUIT]]="","-",VLOOKUP(compras_mes576[[#This Row],[CUIT]],Lista_CUIT[#All],2,0)),"CUIT NO CARGADO")</f>
        <v>POSNET SRL</v>
      </c>
      <c r="H68" s="95">
        <v>21215.08</v>
      </c>
      <c r="I68" s="426">
        <f>IF(compras_mes576[[#This Row],[NETO GRAVADO]]="","",compras_mes576[[#This Row],[NETO GRAVADO]]*0.21)</f>
        <v>4455.1668</v>
      </c>
      <c r="J68" s="426"/>
      <c r="K68" s="426"/>
      <c r="L68" s="426"/>
      <c r="M68" s="426"/>
      <c r="N68" s="426">
        <v>1909.35</v>
      </c>
      <c r="O68" s="426"/>
      <c r="P68" s="455">
        <f>SUM(compras_mes576[[#This Row],[NETO GRAVADO]:[Otros / No Grav.]])</f>
        <v>27579.596799999999</v>
      </c>
      <c r="Q68" s="432" t="str">
        <f>IFERROR(IF(compras_mes576[[#This Row],[CUIT]]="","-",VLOOKUP(compras_mes576[[#This Row],[CUIT]],Lista_CUIT[#All],3,0)),"CUIT NO CARGADO")</f>
        <v>Gastos Comercializacion</v>
      </c>
      <c r="R68" s="432">
        <f>IFERROR(IF(compras_mes576[[#This Row],[CUIT]]="","-",VLOOKUP(compras_mes576[[#This Row],[CUIT]],Lista_CUIT[#All],4,0)),"CUIT NO CARGADO")</f>
        <v>0</v>
      </c>
    </row>
    <row r="69" spans="2:18">
      <c r="B69" s="425" t="s">
        <v>2256</v>
      </c>
      <c r="C69" s="90">
        <v>1</v>
      </c>
      <c r="D69" s="91">
        <v>6</v>
      </c>
      <c r="E69" s="92">
        <v>16395151</v>
      </c>
      <c r="F69" s="93">
        <v>30620177497</v>
      </c>
      <c r="G69" s="436" t="str">
        <f>IFERROR(IF(compras_mes576[[#This Row],[CUIT]]="","-",VLOOKUP(compras_mes576[[#This Row],[CUIT]],Lista_CUIT[#All],2,0)),"CUIT NO CARGADO")</f>
        <v>POSNET SRL</v>
      </c>
      <c r="H69" s="95">
        <v>21215.08</v>
      </c>
      <c r="I69" s="426">
        <f>IF(compras_mes576[[#This Row],[NETO GRAVADO]]="","",compras_mes576[[#This Row],[NETO GRAVADO]]*0.21)</f>
        <v>4455.1668</v>
      </c>
      <c r="J69" s="426"/>
      <c r="K69" s="426"/>
      <c r="L69" s="426"/>
      <c r="M69" s="426"/>
      <c r="N69" s="426">
        <v>1909.35</v>
      </c>
      <c r="O69" s="426"/>
      <c r="P69" s="455">
        <f>SUM(compras_mes576[[#This Row],[NETO GRAVADO]:[Otros / No Grav.]])</f>
        <v>27579.596799999999</v>
      </c>
      <c r="Q69" s="432" t="str">
        <f>IFERROR(IF(compras_mes576[[#This Row],[CUIT]]="","-",VLOOKUP(compras_mes576[[#This Row],[CUIT]],Lista_CUIT[#All],3,0)),"CUIT NO CARGADO")</f>
        <v>Gastos Comercializacion</v>
      </c>
      <c r="R69" s="432">
        <f>IFERROR(IF(compras_mes576[[#This Row],[CUIT]]="","-",VLOOKUP(compras_mes576[[#This Row],[CUIT]],Lista_CUIT[#All],4,0)),"CUIT NO CARGADO")</f>
        <v>0</v>
      </c>
    </row>
    <row r="70" spans="2:18">
      <c r="B70" s="425" t="s">
        <v>2257</v>
      </c>
      <c r="C70" s="90">
        <v>1</v>
      </c>
      <c r="D70" s="91">
        <v>23</v>
      </c>
      <c r="E70" s="92">
        <v>4980</v>
      </c>
      <c r="F70" s="93">
        <v>30679067431</v>
      </c>
      <c r="G70" s="436" t="str">
        <f>IFERROR(IF(compras_mes576[[#This Row],[CUIT]]="","-",VLOOKUP(compras_mes576[[#This Row],[CUIT]],Lista_CUIT[#All],2,0)),"CUIT NO CARGADO")</f>
        <v>LIBRERÍA PELUFFO SRL</v>
      </c>
      <c r="H70" s="95">
        <v>66136.36</v>
      </c>
      <c r="I70" s="426">
        <f>IF(compras_mes576[[#This Row],[NETO GRAVADO]]="","",compras_mes576[[#This Row],[NETO GRAVADO]]*0.21)</f>
        <v>13888.6356</v>
      </c>
      <c r="J70" s="426"/>
      <c r="K70" s="426"/>
      <c r="L70" s="426"/>
      <c r="M70" s="426"/>
      <c r="N70" s="426"/>
      <c r="O70" s="426"/>
      <c r="P70" s="424">
        <f>SUM(compras_mes576[[#This Row],[NETO GRAVADO]:[Otros / No Grav.]])</f>
        <v>80024.995599999995</v>
      </c>
      <c r="Q70" s="432" t="str">
        <f>IFERROR(IF(compras_mes576[[#This Row],[CUIT]]="","-",VLOOKUP(compras_mes576[[#This Row],[CUIT]],Lista_CUIT[#All],3,0)),"CUIT NO CARGADO")</f>
        <v>LIBRERÍA</v>
      </c>
      <c r="R70" s="432">
        <f>IFERROR(IF(compras_mes576[[#This Row],[CUIT]]="","-",VLOOKUP(compras_mes576[[#This Row],[CUIT]],Lista_CUIT[#All],4,0)),"CUIT NO CARGADO")</f>
        <v>0</v>
      </c>
    </row>
    <row r="71" spans="2:18">
      <c r="B71" s="425" t="s">
        <v>2257</v>
      </c>
      <c r="C71" s="90">
        <v>1</v>
      </c>
      <c r="D71" s="91">
        <v>653</v>
      </c>
      <c r="E71" s="92">
        <v>18200</v>
      </c>
      <c r="F71" s="93">
        <v>30529403522</v>
      </c>
      <c r="G71" s="436" t="str">
        <f>IFERROR(IF(compras_mes576[[#This Row],[CUIT]]="","-",VLOOKUP(compras_mes576[[#This Row],[CUIT]],Lista_CUIT[#All],2,0)),"CUIT NO CARGADO")</f>
        <v>CASTILLO S A C I F I A</v>
      </c>
      <c r="H71" s="95">
        <v>4431.22</v>
      </c>
      <c r="I71" s="426">
        <f>IF(compras_mes576[[#This Row],[NETO GRAVADO]]="","",compras_mes576[[#This Row],[NETO GRAVADO]]*0.21)</f>
        <v>930.55619999999999</v>
      </c>
      <c r="J71" s="426"/>
      <c r="K71" s="426"/>
      <c r="L71" s="426"/>
      <c r="M71" s="426"/>
      <c r="N71" s="426"/>
      <c r="O71" s="426"/>
      <c r="P71" s="424">
        <f>SUM(compras_mes576[[#This Row],[NETO GRAVADO]:[Otros / No Grav.]])</f>
        <v>5361.7762000000002</v>
      </c>
      <c r="Q71" s="432" t="str">
        <f>IFERROR(IF(compras_mes576[[#This Row],[CUIT]]="","-",VLOOKUP(compras_mes576[[#This Row],[CUIT]],Lista_CUIT[#All],3,0)),"CUIT NO CARGADO")</f>
        <v>Gastos Varios</v>
      </c>
      <c r="R71" s="432">
        <f>IFERROR(IF(compras_mes576[[#This Row],[CUIT]]="","-",VLOOKUP(compras_mes576[[#This Row],[CUIT]],Lista_CUIT[#All],4,0)),"CUIT NO CARGADO")</f>
        <v>0</v>
      </c>
    </row>
    <row r="72" spans="2:18">
      <c r="B72" s="425" t="s">
        <v>2257</v>
      </c>
      <c r="C72" s="90">
        <v>1</v>
      </c>
      <c r="D72" s="91">
        <v>7</v>
      </c>
      <c r="E72" s="92">
        <v>32797</v>
      </c>
      <c r="F72" s="93">
        <v>20372347296</v>
      </c>
      <c r="G72" s="436" t="str">
        <f>IFERROR(IF(compras_mes576[[#This Row],[CUIT]]="","-",VLOOKUP(compras_mes576[[#This Row],[CUIT]],Lista_CUIT[#All],2,0)),"CUIT NO CARGADO")</f>
        <v>GHERTNER SEBASTIAN</v>
      </c>
      <c r="H72" s="95">
        <v>398189.14</v>
      </c>
      <c r="I72" s="426"/>
      <c r="J72" s="426"/>
      <c r="K72" s="426">
        <f>compras_mes576[[#This Row],[NETO GRAVADO]]*0.105</f>
        <v>41809.859700000001</v>
      </c>
      <c r="L72" s="426"/>
      <c r="M72" s="426"/>
      <c r="N72" s="426">
        <v>23891.35</v>
      </c>
      <c r="O72" s="426"/>
      <c r="P72" s="455">
        <f>SUM(compras_mes576[[#This Row],[NETO GRAVADO]:[Otros / No Grav.]])</f>
        <v>463890.34970000002</v>
      </c>
      <c r="Q72" s="432" t="str">
        <f>IFERROR(IF(compras_mes576[[#This Row],[CUIT]]="","-",VLOOKUP(compras_mes576[[#This Row],[CUIT]],Lista_CUIT[#All],3,0)),"CUIT NO CARGADO")</f>
        <v>Mantenimiento Rodado</v>
      </c>
      <c r="R72" s="432">
        <f>IFERROR(IF(compras_mes576[[#This Row],[CUIT]]="","-",VLOOKUP(compras_mes576[[#This Row],[CUIT]],Lista_CUIT[#All],4,0)),"CUIT NO CARGADO")</f>
        <v>0</v>
      </c>
    </row>
    <row r="73" spans="2:18">
      <c r="B73" s="425" t="s">
        <v>2257</v>
      </c>
      <c r="C73" s="90">
        <v>1</v>
      </c>
      <c r="D73" s="91">
        <v>2</v>
      </c>
      <c r="E73" s="92">
        <v>3673</v>
      </c>
      <c r="F73" s="93">
        <v>30629863571</v>
      </c>
      <c r="G73" s="436" t="str">
        <f>IFERROR(IF(compras_mes576[[#This Row],[CUIT]]="","-",VLOOKUP(compras_mes576[[#This Row],[CUIT]],Lista_CUIT[#All],2,0)),"CUIT NO CARGADO")</f>
        <v>TECNIMAR S R L</v>
      </c>
      <c r="H73" s="95">
        <v>2379083.38</v>
      </c>
      <c r="I73" s="426">
        <f>IF(compras_mes576[[#This Row],[NETO GRAVADO]]="","",compras_mes576[[#This Row],[NETO GRAVADO]]*0.21)</f>
        <v>499607.50979999994</v>
      </c>
      <c r="J73" s="426"/>
      <c r="K73" s="426"/>
      <c r="L73" s="426"/>
      <c r="M73" s="426"/>
      <c r="N73" s="426"/>
      <c r="O73" s="426"/>
      <c r="P73" s="424">
        <f>SUM(compras_mes576[[#This Row],[NETO GRAVADO]:[Otros / No Grav.]])</f>
        <v>2878690.8898</v>
      </c>
      <c r="Q73" s="432" t="str">
        <f>IFERROR(IF(compras_mes576[[#This Row],[CUIT]]="","-",VLOOKUP(compras_mes576[[#This Row],[CUIT]],Lista_CUIT[#All],3,0)),"CUIT NO CARGADO")</f>
        <v>Productos Venta</v>
      </c>
      <c r="R73" s="432">
        <f>IFERROR(IF(compras_mes576[[#This Row],[CUIT]]="","-",VLOOKUP(compras_mes576[[#This Row],[CUIT]],Lista_CUIT[#All],4,0)),"CUIT NO CARGADO")</f>
        <v>0</v>
      </c>
    </row>
    <row r="74" spans="2:18">
      <c r="B74" s="425" t="s">
        <v>2257</v>
      </c>
      <c r="C74" s="90">
        <v>1</v>
      </c>
      <c r="D74" s="91">
        <v>3</v>
      </c>
      <c r="E74" s="92">
        <v>4272</v>
      </c>
      <c r="F74" s="93">
        <v>30695993761</v>
      </c>
      <c r="G74" s="436" t="str">
        <f>IFERROR(IF(compras_mes576[[#This Row],[CUIT]]="","-",VLOOKUP(compras_mes576[[#This Row],[CUIT]],Lista_CUIT[#All],2,0)),"CUIT NO CARGADO")</f>
        <v>BOCCOLI JOSE Y BOCCOLI LILIANA SOCIEDAD DE HECHO</v>
      </c>
      <c r="H74" s="95">
        <v>22975.19</v>
      </c>
      <c r="I74" s="426">
        <f>IF(compras_mes576[[#This Row],[NETO GRAVADO]]="","",compras_mes576[[#This Row],[NETO GRAVADO]]*0.21)</f>
        <v>4824.7898999999998</v>
      </c>
      <c r="J74" s="426"/>
      <c r="K74" s="426"/>
      <c r="L74" s="426"/>
      <c r="M74" s="426"/>
      <c r="N74" s="426"/>
      <c r="O74" s="426"/>
      <c r="P74" s="455">
        <f>SUM(compras_mes576[[#This Row],[NETO GRAVADO]:[Otros / No Grav.]])</f>
        <v>27799.979899999998</v>
      </c>
      <c r="Q74" s="432" t="str">
        <f>IFERROR(IF(compras_mes576[[#This Row],[CUIT]]="","-",VLOOKUP(compras_mes576[[#This Row],[CUIT]],Lista_CUIT[#All],3,0)),"CUIT NO CARGADO")</f>
        <v>Gastos Movilidad</v>
      </c>
      <c r="R74" s="432">
        <f>IFERROR(IF(compras_mes576[[#This Row],[CUIT]]="","-",VLOOKUP(compras_mes576[[#This Row],[CUIT]],Lista_CUIT[#All],4,0)),"CUIT NO CARGADO")</f>
        <v>0</v>
      </c>
    </row>
    <row r="75" spans="2:18">
      <c r="B75" s="425" t="s">
        <v>2257</v>
      </c>
      <c r="C75" s="90">
        <v>3</v>
      </c>
      <c r="D75" s="91">
        <v>23</v>
      </c>
      <c r="E75" s="92">
        <v>149</v>
      </c>
      <c r="F75" s="93">
        <v>30679067431</v>
      </c>
      <c r="G75" s="436" t="str">
        <f>IFERROR(IF(compras_mes576[[#This Row],[CUIT]]="","-",VLOOKUP(compras_mes576[[#This Row],[CUIT]],Lista_CUIT[#All],2,0)),"CUIT NO CARGADO")</f>
        <v>LIBRERÍA PELUFFO SRL</v>
      </c>
      <c r="H75" s="95">
        <v>-22045.46</v>
      </c>
      <c r="I75" s="426">
        <f>IF(compras_mes576[[#This Row],[NETO GRAVADO]]="","",compras_mes576[[#This Row],[NETO GRAVADO]]*0.21)</f>
        <v>-4629.5465999999997</v>
      </c>
      <c r="J75" s="426"/>
      <c r="K75" s="426"/>
      <c r="L75" s="426"/>
      <c r="M75" s="426"/>
      <c r="N75" s="426"/>
      <c r="O75" s="426"/>
      <c r="P75" s="424">
        <f>SUM(compras_mes576[[#This Row],[NETO GRAVADO]:[Otros / No Grav.]])</f>
        <v>-26675.006600000001</v>
      </c>
      <c r="Q75" s="432" t="str">
        <f>IFERROR(IF(compras_mes576[[#This Row],[CUIT]]="","-",VLOOKUP(compras_mes576[[#This Row],[CUIT]],Lista_CUIT[#All],3,0)),"CUIT NO CARGADO")</f>
        <v>LIBRERÍA</v>
      </c>
      <c r="R75" s="432">
        <f>IFERROR(IF(compras_mes576[[#This Row],[CUIT]]="","-",VLOOKUP(compras_mes576[[#This Row],[CUIT]],Lista_CUIT[#All],4,0)),"CUIT NO CARGADO")</f>
        <v>0</v>
      </c>
    </row>
    <row r="76" spans="2:18">
      <c r="B76" s="425" t="s">
        <v>2258</v>
      </c>
      <c r="C76" s="90">
        <v>1</v>
      </c>
      <c r="D76" s="91">
        <v>1</v>
      </c>
      <c r="E76" s="92">
        <v>253</v>
      </c>
      <c r="F76" s="93">
        <v>30717944883</v>
      </c>
      <c r="G76" s="436" t="str">
        <f>IFERROR(IF(compras_mes576[[#This Row],[CUIT]]="","-",VLOOKUP(compras_mes576[[#This Row],[CUIT]],Lista_CUIT[#All],2,0)),"CUIT NO CARGADO")</f>
        <v>SALAZAR CORNEJO AROLDO, MOLINA ROBERTO CRISTIAN Y RUSCITTO JUAN MANUEL  S. CAP I SECC IV</v>
      </c>
      <c r="H76" s="95">
        <v>40000</v>
      </c>
      <c r="I76" s="426">
        <f>IF(compras_mes576[[#This Row],[NETO GRAVADO]]="","",compras_mes576[[#This Row],[NETO GRAVADO]]*0.21)</f>
        <v>8400</v>
      </c>
      <c r="J76" s="426"/>
      <c r="K76" s="426"/>
      <c r="L76" s="426"/>
      <c r="M76" s="426"/>
      <c r="N76" s="426"/>
      <c r="O76" s="426"/>
      <c r="P76" s="424">
        <f>SUM(compras_mes576[[#This Row],[NETO GRAVADO]:[Otros / No Grav.]])</f>
        <v>48400</v>
      </c>
      <c r="Q76" s="432" t="str">
        <f>IFERROR(IF(compras_mes576[[#This Row],[CUIT]]="","-",VLOOKUP(compras_mes576[[#This Row],[CUIT]],Lista_CUIT[#All],3,0)),"CUIT NO CARGADO")</f>
        <v>Gastos Varios</v>
      </c>
      <c r="R76" s="432">
        <f>IFERROR(IF(compras_mes576[[#This Row],[CUIT]]="","-",VLOOKUP(compras_mes576[[#This Row],[CUIT]],Lista_CUIT[#All],4,0)),"CUIT NO CARGADO")</f>
        <v>0</v>
      </c>
    </row>
    <row r="77" spans="2:18">
      <c r="B77" s="425" t="s">
        <v>2258</v>
      </c>
      <c r="C77" s="90">
        <v>1</v>
      </c>
      <c r="D77" s="91">
        <v>4</v>
      </c>
      <c r="E77" s="92">
        <v>42827</v>
      </c>
      <c r="F77" s="93">
        <v>30585948817</v>
      </c>
      <c r="G77" s="436" t="str">
        <f>IFERROR(IF(compras_mes576[[#This Row],[CUIT]]="","-",VLOOKUP(compras_mes576[[#This Row],[CUIT]],Lista_CUIT[#All],2,0)),"CUIT NO CARGADO")</f>
        <v xml:space="preserve">GLASCAR </v>
      </c>
      <c r="H77" s="95">
        <v>2710153.46</v>
      </c>
      <c r="I77" s="426">
        <f>IF(compras_mes576[[#This Row],[NETO GRAVADO]]="","",compras_mes576[[#This Row],[NETO GRAVADO]]*0.21)</f>
        <v>569132.22659999994</v>
      </c>
      <c r="J77" s="426"/>
      <c r="K77" s="426"/>
      <c r="L77" s="426"/>
      <c r="M77" s="426"/>
      <c r="N77" s="426">
        <v>162609.21</v>
      </c>
      <c r="O77" s="426"/>
      <c r="P77" s="455">
        <f>SUM(compras_mes576[[#This Row],[NETO GRAVADO]:[Otros / No Grav.]])</f>
        <v>3441894.8965999996</v>
      </c>
      <c r="Q77" s="432" t="str">
        <f>IFERROR(IF(compras_mes576[[#This Row],[CUIT]]="","-",VLOOKUP(compras_mes576[[#This Row],[CUIT]],Lista_CUIT[#All],3,0)),"CUIT NO CARGADO")</f>
        <v>Material de Empaque</v>
      </c>
      <c r="R77" s="432">
        <f>IFERROR(IF(compras_mes576[[#This Row],[CUIT]]="","-",VLOOKUP(compras_mes576[[#This Row],[CUIT]],Lista_CUIT[#All],4,0)),"CUIT NO CARGADO")</f>
        <v>0</v>
      </c>
    </row>
    <row r="78" spans="2:18">
      <c r="B78" s="425" t="s">
        <v>2258</v>
      </c>
      <c r="C78" s="90">
        <v>1</v>
      </c>
      <c r="D78" s="91">
        <v>503</v>
      </c>
      <c r="E78" s="92">
        <v>1321117</v>
      </c>
      <c r="F78" s="93">
        <v>30639935872</v>
      </c>
      <c r="G78" s="436" t="str">
        <f>IFERROR(IF(compras_mes576[[#This Row],[CUIT]]="","-",VLOOKUP(compras_mes576[[#This Row],[CUIT]],Lista_CUIT[#All],2,0)),"CUIT NO CARGADO")</f>
        <v>CAMINOS DEL RIO URUGUAY S A DE CONSTRUCCIONES Y CONCESIONES VIALES</v>
      </c>
      <c r="H78" s="95">
        <v>1198.3399999999999</v>
      </c>
      <c r="I78" s="426">
        <f>IF(compras_mes576[[#This Row],[NETO GRAVADO]]="","",compras_mes576[[#This Row],[NETO GRAVADO]]*0.21)</f>
        <v>251.65139999999997</v>
      </c>
      <c r="J78" s="426"/>
      <c r="K78" s="426"/>
      <c r="L78" s="426"/>
      <c r="M78" s="426"/>
      <c r="N78" s="426">
        <v>71.900000000000006</v>
      </c>
      <c r="O78" s="426"/>
      <c r="P78" s="455">
        <f>SUM(compras_mes576[[#This Row],[NETO GRAVADO]:[Otros / No Grav.]])</f>
        <v>1521.8914</v>
      </c>
      <c r="Q78" s="432" t="str">
        <f>IFERROR(IF(compras_mes576[[#This Row],[CUIT]]="","-",VLOOKUP(compras_mes576[[#This Row],[CUIT]],Lista_CUIT[#All],3,0)),"CUIT NO CARGADO")</f>
        <v>Peajes</v>
      </c>
      <c r="R78" s="432">
        <f>IFERROR(IF(compras_mes576[[#This Row],[CUIT]]="","-",VLOOKUP(compras_mes576[[#This Row],[CUIT]],Lista_CUIT[#All],4,0)),"CUIT NO CARGADO")</f>
        <v>0</v>
      </c>
    </row>
    <row r="79" spans="2:18">
      <c r="B79" s="425" t="s">
        <v>2258</v>
      </c>
      <c r="C79" s="90">
        <v>1</v>
      </c>
      <c r="D79" s="91">
        <v>5</v>
      </c>
      <c r="E79" s="92">
        <v>23252</v>
      </c>
      <c r="F79" s="93">
        <v>30708041722</v>
      </c>
      <c r="G79" s="436" t="str">
        <f>IFERROR(IF(compras_mes576[[#This Row],[CUIT]]="","-",VLOOKUP(compras_mes576[[#This Row],[CUIT]],Lista_CUIT[#All],2,0)),"CUIT NO CARGADO")</f>
        <v>QUETZAL QUIMICA S R L</v>
      </c>
      <c r="H79" s="95">
        <v>594990</v>
      </c>
      <c r="I79" s="426">
        <f>IF(compras_mes576[[#This Row],[NETO GRAVADO]]="","",compras_mes576[[#This Row],[NETO GRAVADO]]*0.21)</f>
        <v>124947.9</v>
      </c>
      <c r="J79" s="426"/>
      <c r="K79" s="426"/>
      <c r="L79" s="426"/>
      <c r="M79" s="426"/>
      <c r="N79" s="426"/>
      <c r="O79" s="426"/>
      <c r="P79" s="424">
        <f>SUM(compras_mes576[[#This Row],[NETO GRAVADO]:[Otros / No Grav.]])</f>
        <v>719937.9</v>
      </c>
      <c r="Q79" s="432" t="str">
        <f>IFERROR(IF(compras_mes576[[#This Row],[CUIT]]="","-",VLOOKUP(compras_mes576[[#This Row],[CUIT]],Lista_CUIT[#All],3,0)),"CUIT NO CARGADO")</f>
        <v>Materia Prima</v>
      </c>
      <c r="R79" s="432">
        <f>IFERROR(IF(compras_mes576[[#This Row],[CUIT]]="","-",VLOOKUP(compras_mes576[[#This Row],[CUIT]],Lista_CUIT[#All],4,0)),"CUIT NO CARGADO")</f>
        <v>0</v>
      </c>
    </row>
    <row r="80" spans="2:18">
      <c r="B80" s="425" t="s">
        <v>2258</v>
      </c>
      <c r="C80" s="90">
        <v>1</v>
      </c>
      <c r="D80" s="91">
        <v>2</v>
      </c>
      <c r="E80" s="92">
        <v>14127</v>
      </c>
      <c r="F80" s="93">
        <v>30715865188</v>
      </c>
      <c r="G80" s="436" t="str">
        <f>IFERROR(IF(compras_mes576[[#This Row],[CUIT]]="","-",VLOOKUP(compras_mes576[[#This Row],[CUIT]],Lista_CUIT[#All],2,0)),"CUIT NO CARGADO")</f>
        <v>PLACAS AUDAX 3000 S.A.</v>
      </c>
      <c r="H80" s="95">
        <v>108773.21</v>
      </c>
      <c r="I80" s="426">
        <f>IF(compras_mes576[[#This Row],[NETO GRAVADO]]="","",compras_mes576[[#This Row],[NETO GRAVADO]]*0.21)</f>
        <v>22842.374100000001</v>
      </c>
      <c r="J80" s="426"/>
      <c r="K80" s="426"/>
      <c r="L80" s="426"/>
      <c r="M80" s="426"/>
      <c r="N80" s="426"/>
      <c r="O80" s="426"/>
      <c r="P80" s="424">
        <f>SUM(compras_mes576[[#This Row],[NETO GRAVADO]:[Otros / No Grav.]])</f>
        <v>131615.58410000001</v>
      </c>
      <c r="Q80" s="432" t="str">
        <f>IFERROR(IF(compras_mes576[[#This Row],[CUIT]]="","-",VLOOKUP(compras_mes576[[#This Row],[CUIT]],Lista_CUIT[#All],3,0)),"CUIT NO CARGADO")</f>
        <v>Material de Empaque</v>
      </c>
      <c r="R80" s="432">
        <f>IFERROR(IF(compras_mes576[[#This Row],[CUIT]]="","-",VLOOKUP(compras_mes576[[#This Row],[CUIT]],Lista_CUIT[#All],4,0)),"CUIT NO CARGADO")</f>
        <v>0</v>
      </c>
    </row>
    <row r="81" spans="2:19">
      <c r="B81" s="425" t="s">
        <v>2258</v>
      </c>
      <c r="C81" s="90">
        <v>1</v>
      </c>
      <c r="D81" s="91">
        <v>2</v>
      </c>
      <c r="E81" s="92">
        <v>14128</v>
      </c>
      <c r="F81" s="93">
        <v>30715865188</v>
      </c>
      <c r="G81" s="436" t="str">
        <f>IFERROR(IF(compras_mes576[[#This Row],[CUIT]]="","-",VLOOKUP(compras_mes576[[#This Row],[CUIT]],Lista_CUIT[#All],2,0)),"CUIT NO CARGADO")</f>
        <v>PLACAS AUDAX 3000 S.A.</v>
      </c>
      <c r="H81" s="95">
        <v>22701.78</v>
      </c>
      <c r="I81" s="426">
        <f>IF(compras_mes576[[#This Row],[NETO GRAVADO]]="","",compras_mes576[[#This Row],[NETO GRAVADO]]*0.21)</f>
        <v>4767.3737999999994</v>
      </c>
      <c r="J81" s="426"/>
      <c r="K81" s="426"/>
      <c r="L81" s="426"/>
      <c r="M81" s="426"/>
      <c r="N81" s="426"/>
      <c r="O81" s="426"/>
      <c r="P81" s="424">
        <f>SUM(compras_mes576[[#This Row],[NETO GRAVADO]:[Otros / No Grav.]])</f>
        <v>27469.1538</v>
      </c>
      <c r="Q81" s="432" t="str">
        <f>IFERROR(IF(compras_mes576[[#This Row],[CUIT]]="","-",VLOOKUP(compras_mes576[[#This Row],[CUIT]],Lista_CUIT[#All],3,0)),"CUIT NO CARGADO")</f>
        <v>Material de Empaque</v>
      </c>
      <c r="R81" s="432">
        <f>IFERROR(IF(compras_mes576[[#This Row],[CUIT]]="","-",VLOOKUP(compras_mes576[[#This Row],[CUIT]],Lista_CUIT[#All],4,0)),"CUIT NO CARGADO")</f>
        <v>0</v>
      </c>
    </row>
    <row r="82" spans="2:19">
      <c r="B82" s="425" t="s">
        <v>2258</v>
      </c>
      <c r="C82" s="90">
        <v>1</v>
      </c>
      <c r="D82" s="91">
        <v>104</v>
      </c>
      <c r="E82" s="92">
        <v>5760307</v>
      </c>
      <c r="F82" s="93">
        <v>30715804812</v>
      </c>
      <c r="G82" s="436" t="str">
        <f>IFERROR(IF(compras_mes576[[#This Row],[CUIT]]="","-",VLOOKUP(compras_mes576[[#This Row],[CUIT]],Lista_CUIT[#All],2,0)),"CUIT NO CARGADO")</f>
        <v>CORREDORES VIALES SOCIEDAD ANONIMA</v>
      </c>
      <c r="H82" s="95">
        <v>1487.6</v>
      </c>
      <c r="I82" s="426">
        <f>IF(compras_mes576[[#This Row],[NETO GRAVADO]]="","",compras_mes576[[#This Row],[NETO GRAVADO]]*0.21)</f>
        <v>312.39599999999996</v>
      </c>
      <c r="J82" s="426"/>
      <c r="K82" s="426"/>
      <c r="L82" s="426"/>
      <c r="M82" s="426"/>
      <c r="N82" s="426">
        <v>89.26</v>
      </c>
      <c r="O82" s="426"/>
      <c r="P82" s="455">
        <f>SUM(compras_mes576[[#This Row],[NETO GRAVADO]:[Otros / No Grav.]])</f>
        <v>1889.2559999999999</v>
      </c>
      <c r="Q82" s="432" t="str">
        <f>IFERROR(IF(compras_mes576[[#This Row],[CUIT]]="","-",VLOOKUP(compras_mes576[[#This Row],[CUIT]],Lista_CUIT[#All],3,0)),"CUIT NO CARGADO")</f>
        <v>Peajes</v>
      </c>
      <c r="R82" s="432">
        <f>IFERROR(IF(compras_mes576[[#This Row],[CUIT]]="","-",VLOOKUP(compras_mes576[[#This Row],[CUIT]],Lista_CUIT[#All],4,0)),"CUIT NO CARGADO")</f>
        <v>0</v>
      </c>
    </row>
    <row r="83" spans="2:19">
      <c r="B83" s="425" t="s">
        <v>2258</v>
      </c>
      <c r="C83" s="90">
        <v>1</v>
      </c>
      <c r="D83" s="91">
        <v>7</v>
      </c>
      <c r="E83" s="92">
        <v>11637</v>
      </c>
      <c r="F83" s="93">
        <v>30708017759</v>
      </c>
      <c r="G83" s="436" t="str">
        <f>IFERROR(IF(compras_mes576[[#This Row],[CUIT]]="","-",VLOOKUP(compras_mes576[[#This Row],[CUIT]],Lista_CUIT[#All],2,0)),"CUIT NO CARGADO")</f>
        <v>NEW  HIGH PACK  SA</v>
      </c>
      <c r="H83" s="95">
        <v>5923008</v>
      </c>
      <c r="I83" s="426">
        <f>IF(compras_mes576[[#This Row],[NETO GRAVADO]]="","",compras_mes576[[#This Row],[NETO GRAVADO]]*0.21)</f>
        <v>1243831.68</v>
      </c>
      <c r="J83" s="426"/>
      <c r="K83" s="426"/>
      <c r="L83" s="426"/>
      <c r="M83" s="426"/>
      <c r="N83" s="426">
        <v>355380.47999999998</v>
      </c>
      <c r="O83" s="426"/>
      <c r="P83" s="455">
        <f>SUM(compras_mes576[[#This Row],[NETO GRAVADO]:[Otros / No Grav.]])</f>
        <v>7522220.1600000001</v>
      </c>
      <c r="Q83" s="432" t="str">
        <f>IFERROR(IF(compras_mes576[[#This Row],[CUIT]]="","-",VLOOKUP(compras_mes576[[#This Row],[CUIT]],Lista_CUIT[#All],3,0)),"CUIT NO CARGADO")</f>
        <v>Material de Empaque</v>
      </c>
      <c r="R83" s="432">
        <f>IFERROR(IF(compras_mes576[[#This Row],[CUIT]]="","-",VLOOKUP(compras_mes576[[#This Row],[CUIT]],Lista_CUIT[#All],4,0)),"CUIT NO CARGADO")</f>
        <v>0</v>
      </c>
    </row>
    <row r="84" spans="2:19">
      <c r="B84" s="425" t="s">
        <v>2258</v>
      </c>
      <c r="C84" s="90">
        <v>1</v>
      </c>
      <c r="D84" s="91">
        <v>6</v>
      </c>
      <c r="E84" s="92">
        <v>24945</v>
      </c>
      <c r="F84" s="93">
        <v>33640878679</v>
      </c>
      <c r="G84" s="436" t="str">
        <f>IFERROR(IF(compras_mes576[[#This Row],[CUIT]]="","-",VLOOKUP(compras_mes576[[#This Row],[CUIT]],Lista_CUIT[#All],2,0)),"CUIT NO CARGADO")</f>
        <v>DHACAM S R L</v>
      </c>
      <c r="H84" s="95">
        <v>481500</v>
      </c>
      <c r="I84" s="426">
        <f>IF(compras_mes576[[#This Row],[NETO GRAVADO]]="","",compras_mes576[[#This Row],[NETO GRAVADO]]*0.21)</f>
        <v>101115</v>
      </c>
      <c r="J84" s="426"/>
      <c r="K84" s="426"/>
      <c r="L84" s="426"/>
      <c r="M84" s="426"/>
      <c r="N84" s="426"/>
      <c r="O84" s="426"/>
      <c r="P84" s="424">
        <f>SUM(compras_mes576[[#This Row],[NETO GRAVADO]:[Otros / No Grav.]])</f>
        <v>582615</v>
      </c>
      <c r="Q84" s="432" t="str">
        <f>IFERROR(IF(compras_mes576[[#This Row],[CUIT]]="","-",VLOOKUP(compras_mes576[[#This Row],[CUIT]],Lista_CUIT[#All],3,0)),"CUIT NO CARGADO")</f>
        <v>Materia Prima</v>
      </c>
      <c r="R84" s="432">
        <f>IFERROR(IF(compras_mes576[[#This Row],[CUIT]]="","-",VLOOKUP(compras_mes576[[#This Row],[CUIT]],Lista_CUIT[#All],4,0)),"CUIT NO CARGADO")</f>
        <v>0</v>
      </c>
    </row>
    <row r="85" spans="2:19">
      <c r="B85" s="425" t="s">
        <v>2258</v>
      </c>
      <c r="C85" s="90">
        <v>1</v>
      </c>
      <c r="D85" s="91">
        <v>1678</v>
      </c>
      <c r="E85" s="92">
        <v>38198</v>
      </c>
      <c r="F85" s="93">
        <v>30589621499</v>
      </c>
      <c r="G85" s="436" t="str">
        <f>IFERROR(IF(compras_mes576[[#This Row],[CUIT]]="","-",VLOOKUP(compras_mes576[[#This Row],[CUIT]],Lista_CUIT[#All],2,0)),"CUIT NO CARGADO")</f>
        <v>MAKRO SA</v>
      </c>
      <c r="H85" s="95">
        <v>108074.48</v>
      </c>
      <c r="I85" s="426">
        <f>105628.22*0.21</f>
        <v>22181.926199999998</v>
      </c>
      <c r="J85" s="426"/>
      <c r="K85" s="426">
        <f>2446.26*0.105</f>
        <v>256.85730000000001</v>
      </c>
      <c r="L85" s="426">
        <v>3205.54</v>
      </c>
      <c r="M85" s="426"/>
      <c r="N85" s="426">
        <v>6484.47</v>
      </c>
      <c r="O85" s="426">
        <v>193.23</v>
      </c>
      <c r="P85" s="455">
        <f>SUM(compras_mes576[[#This Row],[NETO GRAVADO]:[Otros / No Grav.]])</f>
        <v>140396.50350000002</v>
      </c>
      <c r="Q85" s="432" t="str">
        <f>IFERROR(IF(compras_mes576[[#This Row],[CUIT]]="","-",VLOOKUP(compras_mes576[[#This Row],[CUIT]],Lista_CUIT[#All],3,0)),"CUIT NO CARGADO")</f>
        <v>Gastos Varios</v>
      </c>
      <c r="R85" s="432">
        <f>IFERROR(IF(compras_mes576[[#This Row],[CUIT]]="","-",VLOOKUP(compras_mes576[[#This Row],[CUIT]],Lista_CUIT[#All],4,0)),"CUIT NO CARGADO")</f>
        <v>0</v>
      </c>
    </row>
    <row r="86" spans="2:19">
      <c r="B86" s="425" t="s">
        <v>2259</v>
      </c>
      <c r="C86" s="90">
        <v>1</v>
      </c>
      <c r="D86" s="91">
        <v>3</v>
      </c>
      <c r="E86" s="92">
        <v>10521</v>
      </c>
      <c r="F86" s="93">
        <v>30679163317</v>
      </c>
      <c r="G86" s="436" t="str">
        <f>IFERROR(IF(compras_mes576[[#This Row],[CUIT]]="","-",VLOOKUP(compras_mes576[[#This Row],[CUIT]],Lista_CUIT[#All],2,0)),"CUIT NO CARGADO")</f>
        <v>RANKO S R L</v>
      </c>
      <c r="H86" s="95">
        <v>161610.15</v>
      </c>
      <c r="I86" s="426">
        <f>IF(compras_mes576[[#This Row],[NETO GRAVADO]]="","",compras_mes576[[#This Row],[NETO GRAVADO]]*0.21)</f>
        <v>33938.131499999996</v>
      </c>
      <c r="J86" s="426"/>
      <c r="K86" s="426"/>
      <c r="L86" s="426"/>
      <c r="M86" s="426"/>
      <c r="N86" s="426"/>
      <c r="O86" s="426"/>
      <c r="P86" s="424">
        <f>SUM(compras_mes576[[#This Row],[NETO GRAVADO]:[Otros / No Grav.]])</f>
        <v>195548.28149999998</v>
      </c>
      <c r="Q86" s="432" t="str">
        <f>IFERROR(IF(compras_mes576[[#This Row],[CUIT]]="","-",VLOOKUP(compras_mes576[[#This Row],[CUIT]],Lista_CUIT[#All],3,0)),"CUIT NO CARGADO")</f>
        <v>Mantenimiento</v>
      </c>
      <c r="R86" s="432">
        <f>IFERROR(IF(compras_mes576[[#This Row],[CUIT]]="","-",VLOOKUP(compras_mes576[[#This Row],[CUIT]],Lista_CUIT[#All],4,0)),"CUIT NO CARGADO")</f>
        <v>0</v>
      </c>
    </row>
    <row r="87" spans="2:19">
      <c r="B87" s="425" t="s">
        <v>2259</v>
      </c>
      <c r="C87" s="90">
        <v>1</v>
      </c>
      <c r="D87" s="91">
        <v>2004</v>
      </c>
      <c r="E87" s="92">
        <v>130033</v>
      </c>
      <c r="F87" s="93">
        <v>30516186670</v>
      </c>
      <c r="G87" s="436" t="str">
        <f>IFERROR(IF(compras_mes576[[#This Row],[CUIT]]="","-",VLOOKUP(compras_mes576[[#This Row],[CUIT]],Lista_CUIT[#All],2,0)),"CUIT NO CARGADO")</f>
        <v>DEHEZA S.A.I.C.F. e I.</v>
      </c>
      <c r="H87" s="95">
        <v>7220.89</v>
      </c>
      <c r="I87" s="426">
        <f>IF(compras_mes576[[#This Row],[NETO GRAVADO]]="","",compras_mes576[[#This Row],[NETO GRAVADO]]*0.21)</f>
        <v>1516.3869</v>
      </c>
      <c r="J87" s="426"/>
      <c r="K87" s="426"/>
      <c r="L87" s="426">
        <v>216.63</v>
      </c>
      <c r="M87" s="426"/>
      <c r="N87" s="426">
        <v>509</v>
      </c>
      <c r="O87" s="426">
        <v>1262.3599999999999</v>
      </c>
      <c r="P87" s="455">
        <f>SUM(compras_mes576[[#This Row],[NETO GRAVADO]:[Otros / No Grav.]])</f>
        <v>10725.266900000001</v>
      </c>
      <c r="Q87" s="432" t="str">
        <f>IFERROR(IF(compras_mes576[[#This Row],[CUIT]]="","-",VLOOKUP(compras_mes576[[#This Row],[CUIT]],Lista_CUIT[#All],3,0)),"CUIT NO CARGADO")</f>
        <v>Combustible</v>
      </c>
      <c r="R87" s="432" t="str">
        <f>IFERROR(IF(compras_mes576[[#This Row],[CUIT]]="","-",VLOOKUP(compras_mes576[[#This Row],[CUIT]],Lista_CUIT[#All],4,0)),"CUIT NO CARGADO")</f>
        <v>CABA</v>
      </c>
    </row>
    <row r="88" spans="2:19">
      <c r="B88" s="425" t="s">
        <v>2259</v>
      </c>
      <c r="C88" s="90">
        <v>1</v>
      </c>
      <c r="D88" s="91">
        <v>4</v>
      </c>
      <c r="E88" s="92">
        <v>46119</v>
      </c>
      <c r="F88" s="93">
        <v>30709863076</v>
      </c>
      <c r="G88" s="436" t="str">
        <f>IFERROR(IF(compras_mes576[[#This Row],[CUIT]]="","-",VLOOKUP(compras_mes576[[#This Row],[CUIT]],Lista_CUIT[#All],2,0)),"CUIT NO CARGADO")</f>
        <v>INDUSTRIAS PLASTICOS SALTA S.R.L.</v>
      </c>
      <c r="H88" s="95">
        <v>1254240</v>
      </c>
      <c r="I88" s="426">
        <f>IF(compras_mes576[[#This Row],[NETO GRAVADO]]="","",compras_mes576[[#This Row],[NETO GRAVADO]]*0.21)</f>
        <v>263390.39999999997</v>
      </c>
      <c r="J88" s="426"/>
      <c r="K88" s="426"/>
      <c r="L88" s="426"/>
      <c r="M88" s="426"/>
      <c r="N88" s="426"/>
      <c r="O88" s="426"/>
      <c r="P88" s="424">
        <f>SUM(compras_mes576[[#This Row],[NETO GRAVADO]:[Otros / No Grav.]])</f>
        <v>1517630.4</v>
      </c>
      <c r="Q88" s="432" t="str">
        <f>IFERROR(IF(compras_mes576[[#This Row],[CUIT]]="","-",VLOOKUP(compras_mes576[[#This Row],[CUIT]],Lista_CUIT[#All],3,0)),"CUIT NO CARGADO")</f>
        <v>Materia Prima</v>
      </c>
      <c r="R88" s="432">
        <f>IFERROR(IF(compras_mes576[[#This Row],[CUIT]]="","-",VLOOKUP(compras_mes576[[#This Row],[CUIT]],Lista_CUIT[#All],4,0)),"CUIT NO CARGADO")</f>
        <v>0</v>
      </c>
    </row>
    <row r="89" spans="2:19">
      <c r="B89" s="425" t="s">
        <v>2259</v>
      </c>
      <c r="C89" s="90">
        <v>1</v>
      </c>
      <c r="D89" s="91">
        <v>6</v>
      </c>
      <c r="E89" s="92">
        <v>3114</v>
      </c>
      <c r="F89" s="93">
        <v>30574603788</v>
      </c>
      <c r="G89" s="436" t="str">
        <f>IFERROR(IF(compras_mes576[[#This Row],[CUIT]]="","-",VLOOKUP(compras_mes576[[#This Row],[CUIT]],Lista_CUIT[#All],2,0)),"CUIT NO CARGADO")</f>
        <v>CODAC SRL</v>
      </c>
      <c r="H89" s="95">
        <v>2274905</v>
      </c>
      <c r="I89" s="426">
        <f>IF(compras_mes576[[#This Row],[NETO GRAVADO]]="","",compras_mes576[[#This Row],[NETO GRAVADO]]*0.21)</f>
        <v>477730.05</v>
      </c>
      <c r="J89" s="426"/>
      <c r="K89" s="426"/>
      <c r="L89" s="426"/>
      <c r="M89" s="426"/>
      <c r="N89" s="426"/>
      <c r="O89" s="426"/>
      <c r="P89" s="424">
        <f>SUM(compras_mes576[[#This Row],[NETO GRAVADO]:[Otros / No Grav.]])</f>
        <v>2752635.05</v>
      </c>
      <c r="Q89" s="432" t="str">
        <f>IFERROR(IF(compras_mes576[[#This Row],[CUIT]]="","-",VLOOKUP(compras_mes576[[#This Row],[CUIT]],Lista_CUIT[#All],3,0)),"CUIT NO CARGADO")</f>
        <v>Productos Venta</v>
      </c>
      <c r="R89" s="432" t="str">
        <f>IFERROR(IF(compras_mes576[[#This Row],[CUIT]]="","-",VLOOKUP(compras_mes576[[#This Row],[CUIT]],Lista_CUIT[#All],4,0)),"CUIT NO CARGADO")</f>
        <v>BUENOS AIRES</v>
      </c>
    </row>
    <row r="90" spans="2:19">
      <c r="B90" s="425" t="s">
        <v>2259</v>
      </c>
      <c r="C90" s="90">
        <v>1</v>
      </c>
      <c r="D90" s="91">
        <v>1</v>
      </c>
      <c r="E90" s="92">
        <v>16545</v>
      </c>
      <c r="F90" s="93">
        <v>30718208692</v>
      </c>
      <c r="G90" s="436" t="str">
        <f>IFERROR(IF(compras_mes576[[#This Row],[CUIT]]="","-",VLOOKUP(compras_mes576[[#This Row],[CUIT]],Lista_CUIT[#All],2,0)),"CUIT NO CARGADO")</f>
        <v>UMP SOLUTIONS &amp; SUPPLIES SRL</v>
      </c>
      <c r="H90" s="95">
        <v>146920.69</v>
      </c>
      <c r="I90" s="426">
        <f>IF(compras_mes576[[#This Row],[NETO GRAVADO]]="","",compras_mes576[[#This Row],[NETO GRAVADO]]*0.21)</f>
        <v>30853.3449</v>
      </c>
      <c r="J90" s="426"/>
      <c r="K90" s="426"/>
      <c r="L90" s="426"/>
      <c r="M90" s="426"/>
      <c r="N90" s="426"/>
      <c r="O90" s="426"/>
      <c r="P90" s="424">
        <f>SUM(compras_mes576[[#This Row],[NETO GRAVADO]:[Otros / No Grav.]])</f>
        <v>177774.0349</v>
      </c>
      <c r="Q90" s="432" t="str">
        <f>IFERROR(IF(compras_mes576[[#This Row],[CUIT]]="","-",VLOOKUP(compras_mes576[[#This Row],[CUIT]],Lista_CUIT[#All],3,0)),"CUIT NO CARGADO")</f>
        <v>LIBRERÍA</v>
      </c>
      <c r="R90" s="432">
        <f>IFERROR(IF(compras_mes576[[#This Row],[CUIT]]="","-",VLOOKUP(compras_mes576[[#This Row],[CUIT]],Lista_CUIT[#All],4,0)),"CUIT NO CARGADO")</f>
        <v>0</v>
      </c>
    </row>
    <row r="91" spans="2:19">
      <c r="B91" s="425" t="s">
        <v>2259</v>
      </c>
      <c r="C91" s="90">
        <v>1</v>
      </c>
      <c r="D91" s="91">
        <v>1</v>
      </c>
      <c r="E91" s="92">
        <v>97</v>
      </c>
      <c r="F91" s="93">
        <v>30718148207</v>
      </c>
      <c r="G91" s="436" t="str">
        <f>IFERROR(IF(compras_mes576[[#This Row],[CUIT]]="","-",VLOOKUP(compras_mes576[[#This Row],[CUIT]],Lista_CUIT[#All],2,0)),"CUIT NO CARGADO")</f>
        <v>VIPA INTERNATIONAL S.R.L.</v>
      </c>
      <c r="H91" s="95">
        <v>2061815</v>
      </c>
      <c r="I91" s="426">
        <f>IF(compras_mes576[[#This Row],[NETO GRAVADO]]="","",compras_mes576[[#This Row],[NETO GRAVADO]]*0.21)</f>
        <v>432981.14999999997</v>
      </c>
      <c r="J91" s="426"/>
      <c r="K91" s="426"/>
      <c r="L91" s="426"/>
      <c r="M91" s="426"/>
      <c r="N91" s="426"/>
      <c r="O91" s="426"/>
      <c r="P91" s="424">
        <f>SUM(compras_mes576[[#This Row],[NETO GRAVADO]:[Otros / No Grav.]])</f>
        <v>2494796.15</v>
      </c>
      <c r="Q91" s="432" t="str">
        <f>IFERROR(IF(compras_mes576[[#This Row],[CUIT]]="","-",VLOOKUP(compras_mes576[[#This Row],[CUIT]],Lista_CUIT[#All],3,0)),"CUIT NO CARGADO")</f>
        <v>Productos Venta</v>
      </c>
      <c r="R91" s="432">
        <f>IFERROR(IF(compras_mes576[[#This Row],[CUIT]]="","-",VLOOKUP(compras_mes576[[#This Row],[CUIT]],Lista_CUIT[#All],4,0)),"CUIT NO CARGADO")</f>
        <v>0</v>
      </c>
    </row>
    <row r="92" spans="2:19">
      <c r="B92" s="425" t="s">
        <v>2259</v>
      </c>
      <c r="C92" s="90">
        <v>1</v>
      </c>
      <c r="D92" s="91">
        <v>8</v>
      </c>
      <c r="E92" s="92">
        <v>1299</v>
      </c>
      <c r="F92" s="93">
        <v>20310796736</v>
      </c>
      <c r="G92" s="436" t="str">
        <f>IFERROR(IF(compras_mes576[[#This Row],[CUIT]]="","-",VLOOKUP(compras_mes576[[#This Row],[CUIT]],Lista_CUIT[#All],2,0)),"CUIT NO CARGADO")</f>
        <v>CORREA SEBASTIAN NORBERTO</v>
      </c>
      <c r="H92" s="95">
        <v>41400</v>
      </c>
      <c r="I92" s="426">
        <f>IF(compras_mes576[[#This Row],[NETO GRAVADO]]="","",compras_mes576[[#This Row],[NETO GRAVADO]]*0.21)</f>
        <v>8694</v>
      </c>
      <c r="J92" s="426"/>
      <c r="K92" s="426"/>
      <c r="L92" s="426"/>
      <c r="M92" s="426"/>
      <c r="N92" s="426"/>
      <c r="O92" s="426"/>
      <c r="P92" s="424">
        <f>SUM(compras_mes576[[#This Row],[NETO GRAVADO]:[Otros / No Grav.]])</f>
        <v>50094</v>
      </c>
      <c r="Q92" s="432" t="str">
        <f>IFERROR(IF(compras_mes576[[#This Row],[CUIT]]="","-",VLOOKUP(compras_mes576[[#This Row],[CUIT]],Lista_CUIT[#All],3,0)),"CUIT NO CARGADO")</f>
        <v>Material de Empaque</v>
      </c>
      <c r="R92" s="432">
        <f>IFERROR(IF(compras_mes576[[#This Row],[CUIT]]="","-",VLOOKUP(compras_mes576[[#This Row],[CUIT]],Lista_CUIT[#All],4,0)),"CUIT NO CARGADO")</f>
        <v>0</v>
      </c>
      <c r="S92" s="225"/>
    </row>
    <row r="93" spans="2:19">
      <c r="B93" s="425" t="s">
        <v>2259</v>
      </c>
      <c r="C93" s="90">
        <v>1</v>
      </c>
      <c r="D93" s="91">
        <v>2</v>
      </c>
      <c r="E93" s="92">
        <v>3677</v>
      </c>
      <c r="F93" s="93">
        <v>30629863571</v>
      </c>
      <c r="G93" s="436" t="str">
        <f>IFERROR(IF(compras_mes576[[#This Row],[CUIT]]="","-",VLOOKUP(compras_mes576[[#This Row],[CUIT]],Lista_CUIT[#All],2,0)),"CUIT NO CARGADO")</f>
        <v>TECNIMAR S R L</v>
      </c>
      <c r="H93" s="95">
        <v>991939.52</v>
      </c>
      <c r="I93" s="426">
        <f>IF(compras_mes576[[#This Row],[NETO GRAVADO]]="","",compras_mes576[[#This Row],[NETO GRAVADO]]*0.21)</f>
        <v>208307.29920000001</v>
      </c>
      <c r="J93" s="426"/>
      <c r="K93" s="426"/>
      <c r="L93" s="426"/>
      <c r="M93" s="426"/>
      <c r="N93" s="426"/>
      <c r="O93" s="426"/>
      <c r="P93" s="424">
        <f>SUM(compras_mes576[[#This Row],[NETO GRAVADO]:[Otros / No Grav.]])</f>
        <v>1200246.8192</v>
      </c>
      <c r="Q93" s="432" t="str">
        <f>IFERROR(IF(compras_mes576[[#This Row],[CUIT]]="","-",VLOOKUP(compras_mes576[[#This Row],[CUIT]],Lista_CUIT[#All],3,0)),"CUIT NO CARGADO")</f>
        <v>Productos Venta</v>
      </c>
      <c r="R93" s="432">
        <f>IFERROR(IF(compras_mes576[[#This Row],[CUIT]]="","-",VLOOKUP(compras_mes576[[#This Row],[CUIT]],Lista_CUIT[#All],4,0)),"CUIT NO CARGADO")</f>
        <v>0</v>
      </c>
    </row>
    <row r="94" spans="2:19">
      <c r="B94" s="425" t="s">
        <v>2260</v>
      </c>
      <c r="C94" s="90">
        <v>1</v>
      </c>
      <c r="D94" s="91">
        <v>8</v>
      </c>
      <c r="E94" s="92">
        <v>1491</v>
      </c>
      <c r="F94" s="93">
        <v>20277381908</v>
      </c>
      <c r="G94" s="436" t="str">
        <f>IFERROR(IF(compras_mes576[[#This Row],[CUIT]]="","-",VLOOKUP(compras_mes576[[#This Row],[CUIT]],Lista_CUIT[#All],2,0)),"CUIT NO CARGADO")</f>
        <v>ALONSO RODRIGO JAVIER</v>
      </c>
      <c r="H94" s="95">
        <v>25884.3</v>
      </c>
      <c r="I94" s="426">
        <f>IF(compras_mes576[[#This Row],[NETO GRAVADO]]="","",compras_mes576[[#This Row],[NETO GRAVADO]]*0.21)</f>
        <v>5435.7029999999995</v>
      </c>
      <c r="J94" s="426"/>
      <c r="K94" s="426"/>
      <c r="L94" s="426"/>
      <c r="M94" s="426"/>
      <c r="N94" s="426"/>
      <c r="O94" s="426"/>
      <c r="P94" s="424">
        <f>SUM(compras_mes576[[#This Row],[NETO GRAVADO]:[Otros / No Grav.]])</f>
        <v>31320.002999999997</v>
      </c>
      <c r="Q94" s="432" t="str">
        <f>IFERROR(IF(compras_mes576[[#This Row],[CUIT]]="","-",VLOOKUP(compras_mes576[[#This Row],[CUIT]],Lista_CUIT[#All],3,0)),"CUIT NO CARGADO")</f>
        <v>Gastos Varios</v>
      </c>
      <c r="R94" s="432">
        <f>IFERROR(IF(compras_mes576[[#This Row],[CUIT]]="","-",VLOOKUP(compras_mes576[[#This Row],[CUIT]],Lista_CUIT[#All],4,0)),"CUIT NO CARGADO")</f>
        <v>0</v>
      </c>
    </row>
    <row r="95" spans="2:19">
      <c r="B95" s="425" t="s">
        <v>2260</v>
      </c>
      <c r="C95" s="90">
        <v>1</v>
      </c>
      <c r="D95" s="91">
        <v>8</v>
      </c>
      <c r="E95" s="92">
        <v>1492</v>
      </c>
      <c r="F95" s="93">
        <v>20277381908</v>
      </c>
      <c r="G95" s="436" t="str">
        <f>IFERROR(IF(compras_mes576[[#This Row],[CUIT]]="","-",VLOOKUP(compras_mes576[[#This Row],[CUIT]],Lista_CUIT[#All],2,0)),"CUIT NO CARGADO")</f>
        <v>ALONSO RODRIGO JAVIER</v>
      </c>
      <c r="H95" s="95">
        <v>2479.35</v>
      </c>
      <c r="I95" s="426">
        <f>IF(compras_mes576[[#This Row],[NETO GRAVADO]]="","",compras_mes576[[#This Row],[NETO GRAVADO]]*0.21)</f>
        <v>520.6635</v>
      </c>
      <c r="J95" s="426"/>
      <c r="K95" s="426"/>
      <c r="L95" s="426"/>
      <c r="M95" s="426"/>
      <c r="N95" s="426"/>
      <c r="O95" s="426"/>
      <c r="P95" s="424">
        <f>SUM(compras_mes576[[#This Row],[NETO GRAVADO]:[Otros / No Grav.]])</f>
        <v>3000.0135</v>
      </c>
      <c r="Q95" s="432" t="str">
        <f>IFERROR(IF(compras_mes576[[#This Row],[CUIT]]="","-",VLOOKUP(compras_mes576[[#This Row],[CUIT]],Lista_CUIT[#All],3,0)),"CUIT NO CARGADO")</f>
        <v>Gastos Varios</v>
      </c>
      <c r="R95" s="432">
        <f>IFERROR(IF(compras_mes576[[#This Row],[CUIT]]="","-",VLOOKUP(compras_mes576[[#This Row],[CUIT]],Lista_CUIT[#All],4,0)),"CUIT NO CARGADO")</f>
        <v>0</v>
      </c>
    </row>
    <row r="96" spans="2:19">
      <c r="B96" s="425" t="s">
        <v>2260</v>
      </c>
      <c r="C96" s="90">
        <v>1</v>
      </c>
      <c r="D96" s="91">
        <v>2188</v>
      </c>
      <c r="E96" s="92">
        <v>119800</v>
      </c>
      <c r="F96" s="93">
        <v>30548083156</v>
      </c>
      <c r="G96" s="436" t="str">
        <f>IFERROR(IF(compras_mes576[[#This Row],[CUIT]]="","-",VLOOKUP(compras_mes576[[#This Row],[CUIT]],Lista_CUIT[#All],2,0)),"CUIT NO CARGADO")</f>
        <v>COTO CENTRO INTEGRAL DE COMERCIALIZACION SOCIEDAD ANONIMA</v>
      </c>
      <c r="H96" s="95">
        <v>31638.23</v>
      </c>
      <c r="I96" s="426">
        <f>21436.38*0.21</f>
        <v>4501.6397999999999</v>
      </c>
      <c r="J96" s="426"/>
      <c r="K96" s="426">
        <f>10201.85*0.105</f>
        <v>1071.19425</v>
      </c>
      <c r="L96" s="426"/>
      <c r="M96" s="426"/>
      <c r="N96" s="426"/>
      <c r="O96" s="426">
        <v>2184.56</v>
      </c>
      <c r="P96" s="455">
        <f>SUM(compras_mes576[[#This Row],[NETO GRAVADO]:[Otros / No Grav.]])</f>
        <v>39395.624049999999</v>
      </c>
      <c r="Q96" s="432" t="str">
        <f>IFERROR(IF(compras_mes576[[#This Row],[CUIT]]="","-",VLOOKUP(compras_mes576[[#This Row],[CUIT]],Lista_CUIT[#All],3,0)),"CUIT NO CARGADO")</f>
        <v>Gastos Varios</v>
      </c>
      <c r="R96" s="432">
        <f>IFERROR(IF(compras_mes576[[#This Row],[CUIT]]="","-",VLOOKUP(compras_mes576[[#This Row],[CUIT]],Lista_CUIT[#All],4,0)),"CUIT NO CARGADO")</f>
        <v>0</v>
      </c>
    </row>
    <row r="97" spans="2:18">
      <c r="B97" s="425" t="s">
        <v>2261</v>
      </c>
      <c r="C97" s="90">
        <v>1</v>
      </c>
      <c r="D97" s="91">
        <v>711</v>
      </c>
      <c r="E97" s="92">
        <v>5696813</v>
      </c>
      <c r="F97" s="93">
        <v>30677237119</v>
      </c>
      <c r="G97" s="436" t="str">
        <f>IFERROR(IF(compras_mes576[[#This Row],[CUIT]]="","-",VLOOKUP(compras_mes576[[#This Row],[CUIT]],Lista_CUIT[#All],2,0)),"CUIT NO CARGADO")</f>
        <v>AUTOPISTAS DEL SOL S A</v>
      </c>
      <c r="H97" s="95">
        <v>5867.7</v>
      </c>
      <c r="I97" s="426">
        <f>IF(compras_mes576[[#This Row],[NETO GRAVADO]]="","",compras_mes576[[#This Row],[NETO GRAVADO]]*0.21)</f>
        <v>1232.2169999999999</v>
      </c>
      <c r="J97" s="426"/>
      <c r="K97" s="426"/>
      <c r="L97" s="426"/>
      <c r="M97" s="426"/>
      <c r="N97" s="426"/>
      <c r="O97" s="426">
        <v>176.03</v>
      </c>
      <c r="P97" s="455">
        <f>SUM(compras_mes576[[#This Row],[NETO GRAVADO]:[Otros / No Grav.]])</f>
        <v>7275.9469999999992</v>
      </c>
      <c r="Q97" s="432" t="str">
        <f>IFERROR(IF(compras_mes576[[#This Row],[CUIT]]="","-",VLOOKUP(compras_mes576[[#This Row],[CUIT]],Lista_CUIT[#All],3,0)),"CUIT NO CARGADO")</f>
        <v>Peajes</v>
      </c>
      <c r="R97" s="432">
        <f>IFERROR(IF(compras_mes576[[#This Row],[CUIT]]="","-",VLOOKUP(compras_mes576[[#This Row],[CUIT]],Lista_CUIT[#All],4,0)),"CUIT NO CARGADO")</f>
        <v>0</v>
      </c>
    </row>
    <row r="98" spans="2:18">
      <c r="B98" s="425" t="s">
        <v>2261</v>
      </c>
      <c r="C98" s="90">
        <v>1</v>
      </c>
      <c r="D98" s="91">
        <v>5015</v>
      </c>
      <c r="E98" s="92">
        <v>611190</v>
      </c>
      <c r="F98" s="93">
        <v>30574876474</v>
      </c>
      <c r="G98" s="436" t="str">
        <f>IFERROR(IF(compras_mes576[[#This Row],[CUIT]]="","-",VLOOKUP(compras_mes576[[#This Row],[CUIT]],Lista_CUIT[#All],2,0)),"CUIT NO CARGADO")</f>
        <v>AUTOPISTAS URBANAS S A</v>
      </c>
      <c r="H98" s="95">
        <v>119229.46</v>
      </c>
      <c r="I98" s="426">
        <f>IF(compras_mes576[[#This Row],[NETO GRAVADO]]="","",compras_mes576[[#This Row],[NETO GRAVADO]]*0.21)</f>
        <v>25038.186600000001</v>
      </c>
      <c r="J98" s="426"/>
      <c r="K98" s="426"/>
      <c r="L98" s="426"/>
      <c r="M98" s="426"/>
      <c r="N98" s="426"/>
      <c r="O98" s="426">
        <v>15499.77</v>
      </c>
      <c r="P98" s="455">
        <f>SUM(compras_mes576[[#This Row],[NETO GRAVADO]:[Otros / No Grav.]])</f>
        <v>159767.4166</v>
      </c>
      <c r="Q98" s="432" t="str">
        <f>IFERROR(IF(compras_mes576[[#This Row],[CUIT]]="","-",VLOOKUP(compras_mes576[[#This Row],[CUIT]],Lista_CUIT[#All],3,0)),"CUIT NO CARGADO")</f>
        <v>Peajes</v>
      </c>
      <c r="R98" s="432">
        <f>IFERROR(IF(compras_mes576[[#This Row],[CUIT]]="","-",VLOOKUP(compras_mes576[[#This Row],[CUIT]],Lista_CUIT[#All],4,0)),"CUIT NO CARGADO")</f>
        <v>0</v>
      </c>
    </row>
    <row r="99" spans="2:18">
      <c r="B99" s="425" t="s">
        <v>2261</v>
      </c>
      <c r="C99" s="90">
        <v>1</v>
      </c>
      <c r="D99" s="91">
        <v>6</v>
      </c>
      <c r="E99" s="92">
        <v>3123</v>
      </c>
      <c r="F99" s="93">
        <v>30574603788</v>
      </c>
      <c r="G99" s="436" t="str">
        <f>IFERROR(IF(compras_mes576[[#This Row],[CUIT]]="","-",VLOOKUP(compras_mes576[[#This Row],[CUIT]],Lista_CUIT[#All],2,0)),"CUIT NO CARGADO")</f>
        <v>CODAC SRL</v>
      </c>
      <c r="H99" s="95">
        <v>2965830</v>
      </c>
      <c r="I99" s="426">
        <f>IF(compras_mes576[[#This Row],[NETO GRAVADO]]="","",compras_mes576[[#This Row],[NETO GRAVADO]]*0.21)</f>
        <v>622824.29999999993</v>
      </c>
      <c r="J99" s="426"/>
      <c r="K99" s="426"/>
      <c r="L99" s="426"/>
      <c r="M99" s="426"/>
      <c r="N99" s="426"/>
      <c r="O99" s="426"/>
      <c r="P99" s="424">
        <f>SUM(compras_mes576[[#This Row],[NETO GRAVADO]:[Otros / No Grav.]])</f>
        <v>3588654.3</v>
      </c>
      <c r="Q99" s="432" t="str">
        <f>IFERROR(IF(compras_mes576[[#This Row],[CUIT]]="","-",VLOOKUP(compras_mes576[[#This Row],[CUIT]],Lista_CUIT[#All],3,0)),"CUIT NO CARGADO")</f>
        <v>Productos Venta</v>
      </c>
      <c r="R99" s="432" t="str">
        <f>IFERROR(IF(compras_mes576[[#This Row],[CUIT]]="","-",VLOOKUP(compras_mes576[[#This Row],[CUIT]],Lista_CUIT[#All],4,0)),"CUIT NO CARGADO")</f>
        <v>BUENOS AIRES</v>
      </c>
    </row>
    <row r="100" spans="2:18">
      <c r="B100" s="425" t="s">
        <v>2261</v>
      </c>
      <c r="C100" s="90">
        <v>1</v>
      </c>
      <c r="D100" s="91">
        <v>3</v>
      </c>
      <c r="E100" s="92">
        <v>10538</v>
      </c>
      <c r="F100" s="93">
        <v>30679163317</v>
      </c>
      <c r="G100" s="436" t="str">
        <f>IFERROR(IF(compras_mes576[[#This Row],[CUIT]]="","-",VLOOKUP(compras_mes576[[#This Row],[CUIT]],Lista_CUIT[#All],2,0)),"CUIT NO CARGADO")</f>
        <v>RANKO S R L</v>
      </c>
      <c r="H100" s="95">
        <v>49987.49</v>
      </c>
      <c r="I100" s="426">
        <f>IF(compras_mes576[[#This Row],[NETO GRAVADO]]="","",compras_mes576[[#This Row],[NETO GRAVADO]]*0.21)</f>
        <v>10497.372899999998</v>
      </c>
      <c r="J100" s="426"/>
      <c r="K100" s="426"/>
      <c r="L100" s="426"/>
      <c r="M100" s="426"/>
      <c r="N100" s="426"/>
      <c r="O100" s="426"/>
      <c r="P100" s="424">
        <f>SUM(compras_mes576[[#This Row],[NETO GRAVADO]:[Otros / No Grav.]])</f>
        <v>60484.862899999993</v>
      </c>
      <c r="Q100" s="432" t="str">
        <f>IFERROR(IF(compras_mes576[[#This Row],[CUIT]]="","-",VLOOKUP(compras_mes576[[#This Row],[CUIT]],Lista_CUIT[#All],3,0)),"CUIT NO CARGADO")</f>
        <v>Mantenimiento</v>
      </c>
      <c r="R100" s="432">
        <f>IFERROR(IF(compras_mes576[[#This Row],[CUIT]]="","-",VLOOKUP(compras_mes576[[#This Row],[CUIT]],Lista_CUIT[#All],4,0)),"CUIT NO CARGADO")</f>
        <v>0</v>
      </c>
    </row>
    <row r="101" spans="2:18">
      <c r="B101" s="425" t="s">
        <v>2261</v>
      </c>
      <c r="C101" s="90">
        <v>1</v>
      </c>
      <c r="D101" s="91">
        <v>8</v>
      </c>
      <c r="E101" s="92">
        <v>1498</v>
      </c>
      <c r="F101" s="93">
        <v>20277381908</v>
      </c>
      <c r="G101" s="436" t="str">
        <f>IFERROR(IF(compras_mes576[[#This Row],[CUIT]]="","-",VLOOKUP(compras_mes576[[#This Row],[CUIT]],Lista_CUIT[#All],2,0)),"CUIT NO CARGADO")</f>
        <v>ALONSO RODRIGO JAVIER</v>
      </c>
      <c r="H101" s="95">
        <v>3719.01</v>
      </c>
      <c r="I101" s="426">
        <f>IF(compras_mes576[[#This Row],[NETO GRAVADO]]="","",compras_mes576[[#This Row],[NETO GRAVADO]]*0.21)</f>
        <v>780.99210000000005</v>
      </c>
      <c r="J101" s="426"/>
      <c r="K101" s="426"/>
      <c r="L101" s="426"/>
      <c r="M101" s="426"/>
      <c r="N101" s="426"/>
      <c r="O101" s="426"/>
      <c r="P101" s="424">
        <f>SUM(compras_mes576[[#This Row],[NETO GRAVADO]:[Otros / No Grav.]])</f>
        <v>4500.0021000000006</v>
      </c>
      <c r="Q101" s="432" t="str">
        <f>IFERROR(IF(compras_mes576[[#This Row],[CUIT]]="","-",VLOOKUP(compras_mes576[[#This Row],[CUIT]],Lista_CUIT[#All],3,0)),"CUIT NO CARGADO")</f>
        <v>Gastos Varios</v>
      </c>
      <c r="R101" s="432">
        <f>IFERROR(IF(compras_mes576[[#This Row],[CUIT]]="","-",VLOOKUP(compras_mes576[[#This Row],[CUIT]],Lista_CUIT[#All],4,0)),"CUIT NO CARGADO")</f>
        <v>0</v>
      </c>
    </row>
    <row r="102" spans="2:18">
      <c r="B102" s="425" t="s">
        <v>2261</v>
      </c>
      <c r="C102" s="90">
        <v>1</v>
      </c>
      <c r="D102" s="91">
        <v>20</v>
      </c>
      <c r="E102" s="92">
        <v>18793</v>
      </c>
      <c r="F102" s="93">
        <v>30717210847</v>
      </c>
      <c r="G102" s="436" t="str">
        <f>IFERROR(IF(compras_mes576[[#This Row],[CUIT]]="","-",VLOOKUP(compras_mes576[[#This Row],[CUIT]],Lista_CUIT[#All],2,0)),"CUIT NO CARGADO")</f>
        <v>STENDY</v>
      </c>
      <c r="H102" s="95">
        <v>57659.5</v>
      </c>
      <c r="I102" s="426">
        <f>IF(compras_mes576[[#This Row],[NETO GRAVADO]]="","",compras_mes576[[#This Row],[NETO GRAVADO]]*0.21)</f>
        <v>12108.494999999999</v>
      </c>
      <c r="J102" s="426"/>
      <c r="K102" s="426"/>
      <c r="L102" s="426"/>
      <c r="M102" s="426"/>
      <c r="N102" s="426"/>
      <c r="O102" s="426"/>
      <c r="P102" s="424">
        <f>SUM(compras_mes576[[#This Row],[NETO GRAVADO]:[Otros / No Grav.]])</f>
        <v>69767.994999999995</v>
      </c>
      <c r="Q102" s="432" t="str">
        <f>IFERROR(IF(compras_mes576[[#This Row],[CUIT]]="","-",VLOOKUP(compras_mes576[[#This Row],[CUIT]],Lista_CUIT[#All],3,0)),"CUIT NO CARGADO")</f>
        <v>LIBRERÍA</v>
      </c>
      <c r="R102" s="432">
        <f>IFERROR(IF(compras_mes576[[#This Row],[CUIT]]="","-",VLOOKUP(compras_mes576[[#This Row],[CUIT]],Lista_CUIT[#All],4,0)),"CUIT NO CARGADO")</f>
        <v>0</v>
      </c>
    </row>
    <row r="103" spans="2:18">
      <c r="B103" s="425" t="s">
        <v>2261</v>
      </c>
      <c r="C103" s="90">
        <v>1</v>
      </c>
      <c r="D103" s="91">
        <v>20</v>
      </c>
      <c r="E103" s="92">
        <v>18794</v>
      </c>
      <c r="F103" s="93">
        <v>30717210847</v>
      </c>
      <c r="G103" s="436" t="str">
        <f>IFERROR(IF(compras_mes576[[#This Row],[CUIT]]="","-",VLOOKUP(compras_mes576[[#This Row],[CUIT]],Lista_CUIT[#All],2,0)),"CUIT NO CARGADO")</f>
        <v>STENDY</v>
      </c>
      <c r="H103" s="95">
        <v>61405.09</v>
      </c>
      <c r="I103" s="426">
        <f>IF(compras_mes576[[#This Row],[NETO GRAVADO]]="","",compras_mes576[[#This Row],[NETO GRAVADO]]*0.21)</f>
        <v>12895.068899999998</v>
      </c>
      <c r="J103" s="426"/>
      <c r="K103" s="426"/>
      <c r="L103" s="426"/>
      <c r="M103" s="426"/>
      <c r="N103" s="426"/>
      <c r="O103" s="426"/>
      <c r="P103" s="424">
        <f>SUM(compras_mes576[[#This Row],[NETO GRAVADO]:[Otros / No Grav.]])</f>
        <v>74300.158899999995</v>
      </c>
      <c r="Q103" s="432" t="str">
        <f>IFERROR(IF(compras_mes576[[#This Row],[CUIT]]="","-",VLOOKUP(compras_mes576[[#This Row],[CUIT]],Lista_CUIT[#All],3,0)),"CUIT NO CARGADO")</f>
        <v>LIBRERÍA</v>
      </c>
      <c r="R103" s="432">
        <f>IFERROR(IF(compras_mes576[[#This Row],[CUIT]]="","-",VLOOKUP(compras_mes576[[#This Row],[CUIT]],Lista_CUIT[#All],4,0)),"CUIT NO CARGADO")</f>
        <v>0</v>
      </c>
    </row>
    <row r="104" spans="2:18">
      <c r="B104" s="425" t="s">
        <v>2261</v>
      </c>
      <c r="C104" s="90">
        <v>1</v>
      </c>
      <c r="D104" s="91">
        <v>20</v>
      </c>
      <c r="E104" s="92">
        <v>18795</v>
      </c>
      <c r="F104" s="93">
        <v>30717210847</v>
      </c>
      <c r="G104" s="436" t="str">
        <f>IFERROR(IF(compras_mes576[[#This Row],[CUIT]]="","-",VLOOKUP(compras_mes576[[#This Row],[CUIT]],Lista_CUIT[#All],2,0)),"CUIT NO CARGADO")</f>
        <v>STENDY</v>
      </c>
      <c r="H104" s="95">
        <v>52110.74</v>
      </c>
      <c r="I104" s="426">
        <f>IF(compras_mes576[[#This Row],[NETO GRAVADO]]="","",compras_mes576[[#This Row],[NETO GRAVADO]]*0.21)</f>
        <v>10943.2554</v>
      </c>
      <c r="J104" s="426"/>
      <c r="K104" s="426"/>
      <c r="L104" s="426"/>
      <c r="M104" s="426"/>
      <c r="N104" s="426"/>
      <c r="O104" s="426"/>
      <c r="P104" s="424">
        <f>SUM(compras_mes576[[#This Row],[NETO GRAVADO]:[Otros / No Grav.]])</f>
        <v>63053.9954</v>
      </c>
      <c r="Q104" s="432" t="str">
        <f>IFERROR(IF(compras_mes576[[#This Row],[CUIT]]="","-",VLOOKUP(compras_mes576[[#This Row],[CUIT]],Lista_CUIT[#All],3,0)),"CUIT NO CARGADO")</f>
        <v>LIBRERÍA</v>
      </c>
      <c r="R104" s="432">
        <f>IFERROR(IF(compras_mes576[[#This Row],[CUIT]]="","-",VLOOKUP(compras_mes576[[#This Row],[CUIT]],Lista_CUIT[#All],4,0)),"CUIT NO CARGADO")</f>
        <v>0</v>
      </c>
    </row>
    <row r="105" spans="2:18">
      <c r="B105" s="425" t="s">
        <v>2261</v>
      </c>
      <c r="C105" s="90">
        <v>1</v>
      </c>
      <c r="D105" s="91">
        <v>4</v>
      </c>
      <c r="E105" s="92">
        <v>5278</v>
      </c>
      <c r="F105" s="93">
        <v>20255726103</v>
      </c>
      <c r="G105" s="436" t="str">
        <f>IFERROR(IF(compras_mes576[[#This Row],[CUIT]]="","-",VLOOKUP(compras_mes576[[#This Row],[CUIT]],Lista_CUIT[#All],2,0)),"CUIT NO CARGADO")</f>
        <v>BUSTAMANTE PABLO RODRIGO</v>
      </c>
      <c r="H105" s="95">
        <v>46724.79</v>
      </c>
      <c r="I105" s="426">
        <f>IF(compras_mes576[[#This Row],[NETO GRAVADO]]="","",compras_mes576[[#This Row],[NETO GRAVADO]]*0.21)</f>
        <v>9812.205899999999</v>
      </c>
      <c r="J105" s="426"/>
      <c r="K105" s="426"/>
      <c r="L105" s="426"/>
      <c r="M105" s="426"/>
      <c r="N105" s="426"/>
      <c r="O105" s="426"/>
      <c r="P105" s="424">
        <f>SUM(compras_mes576[[#This Row],[NETO GRAVADO]:[Otros / No Grav.]])</f>
        <v>56536.995900000002</v>
      </c>
      <c r="Q105" s="432" t="str">
        <f>IFERROR(IF(compras_mes576[[#This Row],[CUIT]]="","-",VLOOKUP(compras_mes576[[#This Row],[CUIT]],Lista_CUIT[#All],3,0)),"CUIT NO CARGADO")</f>
        <v>Material de Empaque</v>
      </c>
      <c r="R105" s="432">
        <f>IFERROR(IF(compras_mes576[[#This Row],[CUIT]]="","-",VLOOKUP(compras_mes576[[#This Row],[CUIT]],Lista_CUIT[#All],4,0)),"CUIT NO CARGADO")</f>
        <v>0</v>
      </c>
    </row>
    <row r="106" spans="2:18">
      <c r="B106" s="425" t="s">
        <v>2261</v>
      </c>
      <c r="C106" s="90">
        <v>1</v>
      </c>
      <c r="D106" s="91">
        <v>629</v>
      </c>
      <c r="E106" s="457">
        <v>5129611</v>
      </c>
      <c r="F106" s="93">
        <v>30663498513</v>
      </c>
      <c r="G106" s="436" t="str">
        <f>IFERROR(IF(compras_mes576[[#This Row],[CUIT]]="","-",VLOOKUP(compras_mes576[[#This Row],[CUIT]],Lista_CUIT[#All],2,0)),"CUIT NO CARGADO")</f>
        <v>GRUPO CONCES. DEL OESTE SA</v>
      </c>
      <c r="H106" s="95">
        <v>9256.06</v>
      </c>
      <c r="I106" s="426">
        <f>IF(compras_mes576[[#This Row],[NETO GRAVADO]]="","",compras_mes576[[#This Row],[NETO GRAVADO]]*0.21)</f>
        <v>1943.7725999999998</v>
      </c>
      <c r="J106" s="426"/>
      <c r="K106" s="426"/>
      <c r="L106" s="426"/>
      <c r="M106" s="426"/>
      <c r="N106" s="426"/>
      <c r="O106" s="426"/>
      <c r="P106" s="455">
        <f>SUM(compras_mes576[[#This Row],[NETO GRAVADO]:[Otros / No Grav.]])</f>
        <v>11199.8326</v>
      </c>
      <c r="Q106" s="432" t="str">
        <f>IFERROR(IF(compras_mes576[[#This Row],[CUIT]]="","-",VLOOKUP(compras_mes576[[#This Row],[CUIT]],Lista_CUIT[#All],3,0)),"CUIT NO CARGADO")</f>
        <v>Peajes</v>
      </c>
      <c r="R106" s="432">
        <f>IFERROR(IF(compras_mes576[[#This Row],[CUIT]]="","-",VLOOKUP(compras_mes576[[#This Row],[CUIT]],Lista_CUIT[#All],4,0)),"CUIT NO CARGADO")</f>
        <v>0</v>
      </c>
    </row>
    <row r="107" spans="2:18">
      <c r="B107" s="425" t="s">
        <v>2261</v>
      </c>
      <c r="C107" s="90">
        <v>1</v>
      </c>
      <c r="D107" s="91">
        <v>2</v>
      </c>
      <c r="E107" s="92">
        <v>3682</v>
      </c>
      <c r="F107" s="93">
        <v>30629863571</v>
      </c>
      <c r="G107" s="436" t="str">
        <f>IFERROR(IF(compras_mes576[[#This Row],[CUIT]]="","-",VLOOKUP(compras_mes576[[#This Row],[CUIT]],Lista_CUIT[#All],2,0)),"CUIT NO CARGADO")</f>
        <v>TECNIMAR S R L</v>
      </c>
      <c r="H107" s="95">
        <v>272169</v>
      </c>
      <c r="I107" s="426">
        <f>IF(compras_mes576[[#This Row],[NETO GRAVADO]]="","",compras_mes576[[#This Row],[NETO GRAVADO]]*0.21)</f>
        <v>57155.49</v>
      </c>
      <c r="J107" s="426"/>
      <c r="K107" s="426"/>
      <c r="L107" s="426"/>
      <c r="M107" s="426"/>
      <c r="N107" s="426"/>
      <c r="O107" s="426"/>
      <c r="P107" s="424">
        <f>SUM(compras_mes576[[#This Row],[NETO GRAVADO]:[Otros / No Grav.]])</f>
        <v>329324.49</v>
      </c>
      <c r="Q107" s="432" t="str">
        <f>IFERROR(IF(compras_mes576[[#This Row],[CUIT]]="","-",VLOOKUP(compras_mes576[[#This Row],[CUIT]],Lista_CUIT[#All],3,0)),"CUIT NO CARGADO")</f>
        <v>Productos Venta</v>
      </c>
      <c r="R107" s="432">
        <f>IFERROR(IF(compras_mes576[[#This Row],[CUIT]]="","-",VLOOKUP(compras_mes576[[#This Row],[CUIT]],Lista_CUIT[#All],4,0)),"CUIT NO CARGADO")</f>
        <v>0</v>
      </c>
    </row>
    <row r="108" spans="2:18">
      <c r="B108" s="425" t="s">
        <v>2261</v>
      </c>
      <c r="C108" s="90">
        <v>1</v>
      </c>
      <c r="D108" s="91">
        <v>3</v>
      </c>
      <c r="E108" s="92">
        <v>6813</v>
      </c>
      <c r="F108" s="93">
        <v>30708006420</v>
      </c>
      <c r="G108" s="436" t="str">
        <f>IFERROR(IF(compras_mes576[[#This Row],[CUIT]]="","-",VLOOKUP(compras_mes576[[#This Row],[CUIT]],Lista_CUIT[#All],2,0)),"CUIT NO CARGADO")</f>
        <v>MEDILEA S.A.</v>
      </c>
      <c r="H108" s="95">
        <v>1056500</v>
      </c>
      <c r="I108" s="426">
        <f>IF(compras_mes576[[#This Row],[NETO GRAVADO]]="","",compras_mes576[[#This Row],[NETO GRAVADO]]*0.21)</f>
        <v>221865</v>
      </c>
      <c r="J108" s="426"/>
      <c r="K108" s="426"/>
      <c r="L108" s="426"/>
      <c r="M108" s="426"/>
      <c r="N108" s="426"/>
      <c r="O108" s="426"/>
      <c r="P108" s="424">
        <f>SUM(compras_mes576[[#This Row],[NETO GRAVADO]:[Otros / No Grav.]])</f>
        <v>1278365</v>
      </c>
      <c r="Q108" s="432" t="str">
        <f>IFERROR(IF(compras_mes576[[#This Row],[CUIT]]="","-",VLOOKUP(compras_mes576[[#This Row],[CUIT]],Lista_CUIT[#All],3,0)),"CUIT NO CARGADO")</f>
        <v>Productos Venta</v>
      </c>
      <c r="R108" s="432">
        <f>IFERROR(IF(compras_mes576[[#This Row],[CUIT]]="","-",VLOOKUP(compras_mes576[[#This Row],[CUIT]],Lista_CUIT[#All],4,0)),"CUIT NO CARGADO")</f>
        <v>0</v>
      </c>
    </row>
    <row r="109" spans="2:18">
      <c r="B109" s="425" t="s">
        <v>2261</v>
      </c>
      <c r="C109" s="90">
        <v>3</v>
      </c>
      <c r="D109" s="91">
        <v>6</v>
      </c>
      <c r="E109" s="92">
        <v>467</v>
      </c>
      <c r="F109" s="93">
        <v>30574603788</v>
      </c>
      <c r="G109" s="436" t="str">
        <f>IFERROR(IF(compras_mes576[[#This Row],[CUIT]]="","-",VLOOKUP(compras_mes576[[#This Row],[CUIT]],Lista_CUIT[#All],2,0)),"CUIT NO CARGADO")</f>
        <v>CODAC SRL</v>
      </c>
      <c r="H109" s="95">
        <v>-162750</v>
      </c>
      <c r="I109" s="426">
        <f>IF(compras_mes576[[#This Row],[NETO GRAVADO]]="","",compras_mes576[[#This Row],[NETO GRAVADO]]*0.21)</f>
        <v>-34177.5</v>
      </c>
      <c r="J109" s="426"/>
      <c r="K109" s="426"/>
      <c r="L109" s="426"/>
      <c r="M109" s="426"/>
      <c r="N109" s="426"/>
      <c r="O109" s="426"/>
      <c r="P109" s="424">
        <f>SUM(compras_mes576[[#This Row],[NETO GRAVADO]:[Otros / No Grav.]])</f>
        <v>-196927.5</v>
      </c>
      <c r="Q109" s="432" t="str">
        <f>IFERROR(IF(compras_mes576[[#This Row],[CUIT]]="","-",VLOOKUP(compras_mes576[[#This Row],[CUIT]],Lista_CUIT[#All],3,0)),"CUIT NO CARGADO")</f>
        <v>Productos Venta</v>
      </c>
      <c r="R109" s="432" t="str">
        <f>IFERROR(IF(compras_mes576[[#This Row],[CUIT]]="","-",VLOOKUP(compras_mes576[[#This Row],[CUIT]],Lista_CUIT[#All],4,0)),"CUIT NO CARGADO")</f>
        <v>BUENOS AIRES</v>
      </c>
    </row>
    <row r="110" spans="2:18">
      <c r="B110" s="425" t="s">
        <v>2262</v>
      </c>
      <c r="C110" s="90">
        <v>1</v>
      </c>
      <c r="D110" s="91">
        <v>8275</v>
      </c>
      <c r="E110" s="92">
        <v>7488</v>
      </c>
      <c r="F110" s="93">
        <v>30590360763</v>
      </c>
      <c r="G110" s="436" t="str">
        <f>IFERROR(IF(compras_mes576[[#This Row],[CUIT]]="","-",VLOOKUP(compras_mes576[[#This Row],[CUIT]],Lista_CUIT[#All],2,0)),"CUIT NO CARGADO")</f>
        <v>CENCOSUD S.A</v>
      </c>
      <c r="H110" s="95">
        <v>25884.3</v>
      </c>
      <c r="I110" s="426">
        <f>IF(compras_mes576[[#This Row],[NETO GRAVADO]]="","",compras_mes576[[#This Row],[NETO GRAVADO]]*0.21)</f>
        <v>5435.7029999999995</v>
      </c>
      <c r="J110" s="426"/>
      <c r="K110" s="426"/>
      <c r="L110" s="426">
        <v>776.53</v>
      </c>
      <c r="M110" s="426"/>
      <c r="N110" s="426">
        <v>1553.06</v>
      </c>
      <c r="O110" s="426"/>
      <c r="P110" s="455">
        <f>SUM(compras_mes576[[#This Row],[NETO GRAVADO]:[Otros / No Grav.]])</f>
        <v>33649.592999999993</v>
      </c>
      <c r="Q110" s="432" t="str">
        <f>IFERROR(IF(compras_mes576[[#This Row],[CUIT]]="","-",VLOOKUP(compras_mes576[[#This Row],[CUIT]],Lista_CUIT[#All],3,0)),"CUIT NO CARGADO")</f>
        <v>Gastos Varios</v>
      </c>
      <c r="R110" s="432">
        <f>IFERROR(IF(compras_mes576[[#This Row],[CUIT]]="","-",VLOOKUP(compras_mes576[[#This Row],[CUIT]],Lista_CUIT[#All],4,0)),"CUIT NO CARGADO")</f>
        <v>0</v>
      </c>
    </row>
    <row r="111" spans="2:18">
      <c r="B111" s="425" t="s">
        <v>2262</v>
      </c>
      <c r="C111" s="90">
        <v>1</v>
      </c>
      <c r="D111" s="91">
        <v>13</v>
      </c>
      <c r="E111" s="92">
        <v>9047</v>
      </c>
      <c r="F111" s="93">
        <v>33662613199</v>
      </c>
      <c r="G111" s="436" t="str">
        <f>IFERROR(IF(compras_mes576[[#This Row],[CUIT]]="","-",VLOOKUP(compras_mes576[[#This Row],[CUIT]],Lista_CUIT[#All],2,0)),"CUIT NO CARGADO")</f>
        <v>D M H S A</v>
      </c>
      <c r="H111" s="95">
        <v>24793.38</v>
      </c>
      <c r="I111" s="426">
        <f>IF(compras_mes576[[#This Row],[NETO GRAVADO]]="","",compras_mes576[[#This Row],[NETO GRAVADO]]*0.21)</f>
        <v>5206.6098000000002</v>
      </c>
      <c r="J111" s="426"/>
      <c r="K111" s="426"/>
      <c r="L111" s="426"/>
      <c r="M111" s="426"/>
      <c r="N111" s="426"/>
      <c r="O111" s="426"/>
      <c r="P111" s="424">
        <f>SUM(compras_mes576[[#This Row],[NETO GRAVADO]:[Otros / No Grav.]])</f>
        <v>29999.989800000003</v>
      </c>
      <c r="Q111" s="432" t="str">
        <f>IFERROR(IF(compras_mes576[[#This Row],[CUIT]]="","-",VLOOKUP(compras_mes576[[#This Row],[CUIT]],Lista_CUIT[#All],3,0)),"CUIT NO CARGADO")</f>
        <v>Gastos Varios</v>
      </c>
      <c r="R111" s="432">
        <f>IFERROR(IF(compras_mes576[[#This Row],[CUIT]]="","-",VLOOKUP(compras_mes576[[#This Row],[CUIT]],Lista_CUIT[#All],4,0)),"CUIT NO CARGADO")</f>
        <v>0</v>
      </c>
    </row>
    <row r="112" spans="2:18">
      <c r="B112" s="425" t="s">
        <v>2262</v>
      </c>
      <c r="C112" s="90">
        <v>1</v>
      </c>
      <c r="D112" s="91">
        <v>1</v>
      </c>
      <c r="E112" s="92">
        <v>260</v>
      </c>
      <c r="F112" s="93">
        <v>30717944883</v>
      </c>
      <c r="G112" s="436" t="str">
        <f>IFERROR(IF(compras_mes576[[#This Row],[CUIT]]="","-",VLOOKUP(compras_mes576[[#This Row],[CUIT]],Lista_CUIT[#All],2,0)),"CUIT NO CARGADO")</f>
        <v>SALAZAR CORNEJO AROLDO, MOLINA ROBERTO CRISTIAN Y RUSCITTO JUAN MANUEL  S. CAP I SECC IV</v>
      </c>
      <c r="H112" s="95">
        <v>14876.03</v>
      </c>
      <c r="I112" s="426">
        <f>IF(compras_mes576[[#This Row],[NETO GRAVADO]]="","",compras_mes576[[#This Row],[NETO GRAVADO]]*0.21)</f>
        <v>3123.9663</v>
      </c>
      <c r="J112" s="426"/>
      <c r="K112" s="426"/>
      <c r="L112" s="426"/>
      <c r="M112" s="426"/>
      <c r="N112" s="426"/>
      <c r="O112" s="426"/>
      <c r="P112" s="424">
        <f>SUM(compras_mes576[[#This Row],[NETO GRAVADO]:[Otros / No Grav.]])</f>
        <v>17999.996299999999</v>
      </c>
      <c r="Q112" s="432" t="str">
        <f>IFERROR(IF(compras_mes576[[#This Row],[CUIT]]="","-",VLOOKUP(compras_mes576[[#This Row],[CUIT]],Lista_CUIT[#All],3,0)),"CUIT NO CARGADO")</f>
        <v>Gastos Varios</v>
      </c>
      <c r="R112" s="432">
        <f>IFERROR(IF(compras_mes576[[#This Row],[CUIT]]="","-",VLOOKUP(compras_mes576[[#This Row],[CUIT]],Lista_CUIT[#All],4,0)),"CUIT NO CARGADO")</f>
        <v>0</v>
      </c>
    </row>
    <row r="113" spans="2:18">
      <c r="B113" s="425" t="s">
        <v>2262</v>
      </c>
      <c r="C113" s="90">
        <v>1</v>
      </c>
      <c r="D113" s="91">
        <v>2215</v>
      </c>
      <c r="E113" s="92">
        <v>42884</v>
      </c>
      <c r="F113" s="93">
        <v>30548083156</v>
      </c>
      <c r="G113" s="436" t="str">
        <f>IFERROR(IF(compras_mes576[[#This Row],[CUIT]]="","-",VLOOKUP(compras_mes576[[#This Row],[CUIT]],Lista_CUIT[#All],2,0)),"CUIT NO CARGADO")</f>
        <v>COTO CENTRO INTEGRAL DE COMERCIALIZACION SOCIEDAD ANONIMA</v>
      </c>
      <c r="H113" s="95">
        <v>40484.54</v>
      </c>
      <c r="I113" s="426">
        <f>36513.78*0.21</f>
        <v>7667.8937999999998</v>
      </c>
      <c r="J113" s="426"/>
      <c r="K113" s="426">
        <f>3970.76*0.105</f>
        <v>416.9298</v>
      </c>
      <c r="L113" s="426"/>
      <c r="M113" s="426"/>
      <c r="N113" s="426"/>
      <c r="O113" s="426">
        <v>3444.74</v>
      </c>
      <c r="P113" s="455">
        <f>SUM(compras_mes576[[#This Row],[NETO GRAVADO]:[Otros / No Grav.]])</f>
        <v>52014.103599999995</v>
      </c>
      <c r="Q113" s="432" t="str">
        <f>IFERROR(IF(compras_mes576[[#This Row],[CUIT]]="","-",VLOOKUP(compras_mes576[[#This Row],[CUIT]],Lista_CUIT[#All],3,0)),"CUIT NO CARGADO")</f>
        <v>Gastos Varios</v>
      </c>
      <c r="R113" s="432">
        <f>IFERROR(IF(compras_mes576[[#This Row],[CUIT]]="","-",VLOOKUP(compras_mes576[[#This Row],[CUIT]],Lista_CUIT[#All],4,0)),"CUIT NO CARGADO")</f>
        <v>0</v>
      </c>
    </row>
    <row r="114" spans="2:18">
      <c r="B114" s="425" t="s">
        <v>2262</v>
      </c>
      <c r="C114" s="90">
        <v>1</v>
      </c>
      <c r="D114" s="91">
        <v>4264</v>
      </c>
      <c r="E114" s="92">
        <v>3785384</v>
      </c>
      <c r="F114" s="93">
        <v>30639453738</v>
      </c>
      <c r="G114" s="436" t="str">
        <f>IFERROR(IF(compras_mes576[[#This Row],[CUIT]]="","-",VLOOKUP(compras_mes576[[#This Row],[CUIT]],Lista_CUIT[#All],2,0)),"CUIT NO CARGADO")</f>
        <v>TELECOM ARG SA</v>
      </c>
      <c r="H114" s="95">
        <v>129300</v>
      </c>
      <c r="I114" s="426">
        <f>IF(compras_mes576[[#This Row],[NETO GRAVADO]]="","",compras_mes576[[#This Row],[NETO GRAVADO]]*0.21)</f>
        <v>27153</v>
      </c>
      <c r="J114" s="426"/>
      <c r="K114" s="426"/>
      <c r="L114" s="426"/>
      <c r="M114" s="426"/>
      <c r="N114" s="426">
        <v>11637</v>
      </c>
      <c r="O114" s="426"/>
      <c r="P114" s="455">
        <f>SUM(compras_mes576[[#This Row],[NETO GRAVADO]:[Otros / No Grav.]])</f>
        <v>168090</v>
      </c>
      <c r="Q114" s="432" t="str">
        <f>IFERROR(IF(compras_mes576[[#This Row],[CUIT]]="","-",VLOOKUP(compras_mes576[[#This Row],[CUIT]],Lista_CUIT[#All],3,0)),"CUIT NO CARGADO")</f>
        <v>Servicios Gas, Luz, etc.</v>
      </c>
      <c r="R114" s="432">
        <f>IFERROR(IF(compras_mes576[[#This Row],[CUIT]]="","-",VLOOKUP(compras_mes576[[#This Row],[CUIT]],Lista_CUIT[#All],4,0)),"CUIT NO CARGADO")</f>
        <v>0</v>
      </c>
    </row>
    <row r="115" spans="2:18">
      <c r="B115" s="425" t="s">
        <v>2262</v>
      </c>
      <c r="C115" s="90">
        <v>1</v>
      </c>
      <c r="D115" s="91">
        <v>4264</v>
      </c>
      <c r="E115" s="92">
        <v>3738689</v>
      </c>
      <c r="F115" s="93">
        <v>30639453738</v>
      </c>
      <c r="G115" s="436" t="str">
        <f>IFERROR(IF(compras_mes576[[#This Row],[CUIT]]="","-",VLOOKUP(compras_mes576[[#This Row],[CUIT]],Lista_CUIT[#All],2,0)),"CUIT NO CARGADO")</f>
        <v>TELECOM ARG SA</v>
      </c>
      <c r="H115" s="95">
        <v>64650</v>
      </c>
      <c r="I115" s="426">
        <f>IF(compras_mes576[[#This Row],[NETO GRAVADO]]="","",compras_mes576[[#This Row],[NETO GRAVADO]]*0.21)</f>
        <v>13576.5</v>
      </c>
      <c r="J115" s="426"/>
      <c r="K115" s="426"/>
      <c r="L115" s="426"/>
      <c r="M115" s="426"/>
      <c r="N115" s="426">
        <v>5818.5</v>
      </c>
      <c r="O115" s="426"/>
      <c r="P115" s="455">
        <f>SUM(compras_mes576[[#This Row],[NETO GRAVADO]:[Otros / No Grav.]])</f>
        <v>84045</v>
      </c>
      <c r="Q115" s="432" t="str">
        <f>IFERROR(IF(compras_mes576[[#This Row],[CUIT]]="","-",VLOOKUP(compras_mes576[[#This Row],[CUIT]],Lista_CUIT[#All],3,0)),"CUIT NO CARGADO")</f>
        <v>Servicios Gas, Luz, etc.</v>
      </c>
      <c r="R115" s="432">
        <f>IFERROR(IF(compras_mes576[[#This Row],[CUIT]]="","-",VLOOKUP(compras_mes576[[#This Row],[CUIT]],Lista_CUIT[#All],4,0)),"CUIT NO CARGADO")</f>
        <v>0</v>
      </c>
    </row>
    <row r="116" spans="2:18">
      <c r="B116" s="425" t="s">
        <v>2262</v>
      </c>
      <c r="C116" s="90">
        <v>1</v>
      </c>
      <c r="D116" s="91">
        <v>4264</v>
      </c>
      <c r="E116" s="92">
        <v>3746978</v>
      </c>
      <c r="F116" s="93">
        <v>30639453738</v>
      </c>
      <c r="G116" s="436" t="str">
        <f>IFERROR(IF(compras_mes576[[#This Row],[CUIT]]="","-",VLOOKUP(compras_mes576[[#This Row],[CUIT]],Lista_CUIT[#All],2,0)),"CUIT NO CARGADO")</f>
        <v>TELECOM ARG SA</v>
      </c>
      <c r="H116" s="95">
        <v>48000</v>
      </c>
      <c r="I116" s="426">
        <f>IF(compras_mes576[[#This Row],[NETO GRAVADO]]="","",compras_mes576[[#This Row],[NETO GRAVADO]]*0.21)</f>
        <v>10080</v>
      </c>
      <c r="J116" s="426"/>
      <c r="K116" s="426"/>
      <c r="L116" s="426"/>
      <c r="M116" s="426"/>
      <c r="N116" s="426">
        <v>1440</v>
      </c>
      <c r="O116" s="426"/>
      <c r="P116" s="455">
        <f>SUM(compras_mes576[[#This Row],[NETO GRAVADO]:[Otros / No Grav.]])</f>
        <v>59520</v>
      </c>
      <c r="Q116" s="432" t="str">
        <f>IFERROR(IF(compras_mes576[[#This Row],[CUIT]]="","-",VLOOKUP(compras_mes576[[#This Row],[CUIT]],Lista_CUIT[#All],3,0)),"CUIT NO CARGADO")</f>
        <v>Servicios Gas, Luz, etc.</v>
      </c>
      <c r="R116" s="432">
        <f>IFERROR(IF(compras_mes576[[#This Row],[CUIT]]="","-",VLOOKUP(compras_mes576[[#This Row],[CUIT]],Lista_CUIT[#All],4,0)),"CUIT NO CARGADO")</f>
        <v>0</v>
      </c>
    </row>
    <row r="117" spans="2:18">
      <c r="B117" s="425" t="s">
        <v>2262</v>
      </c>
      <c r="C117" s="90">
        <v>1</v>
      </c>
      <c r="D117" s="91">
        <v>113</v>
      </c>
      <c r="E117" s="92">
        <v>3589811</v>
      </c>
      <c r="F117" s="93">
        <v>30577207190</v>
      </c>
      <c r="G117" s="436" t="str">
        <f>IFERROR(IF(compras_mes576[[#This Row],[CUIT]]="","-",VLOOKUP(compras_mes576[[#This Row],[CUIT]],Lista_CUIT[#All],2,0)),"CUIT NO CARGADO")</f>
        <v>COORDINACION ECOLOGICA AREA METROPOLITANA SOCIEDAD DEL ESTADO</v>
      </c>
      <c r="H117" s="95">
        <v>3305.78</v>
      </c>
      <c r="I117" s="426">
        <f>IF(compras_mes576[[#This Row],[NETO GRAVADO]]="","",compras_mes576[[#This Row],[NETO GRAVADO]]*0.21)</f>
        <v>694.21379999999999</v>
      </c>
      <c r="J117" s="426"/>
      <c r="K117" s="426"/>
      <c r="L117" s="426">
        <v>99.17</v>
      </c>
      <c r="M117" s="426"/>
      <c r="N117" s="426"/>
      <c r="O117" s="426"/>
      <c r="P117" s="455">
        <f>SUM(compras_mes576[[#This Row],[NETO GRAVADO]:[Otros / No Grav.]])</f>
        <v>4099.1638000000003</v>
      </c>
      <c r="Q117" s="432" t="str">
        <f>IFERROR(IF(compras_mes576[[#This Row],[CUIT]]="","-",VLOOKUP(compras_mes576[[#This Row],[CUIT]],Lista_CUIT[#All],3,0)),"CUIT NO CARGADO")</f>
        <v>Gastos Limpieza</v>
      </c>
      <c r="R117" s="432">
        <f>IFERROR(IF(compras_mes576[[#This Row],[CUIT]]="","-",VLOOKUP(compras_mes576[[#This Row],[CUIT]],Lista_CUIT[#All],4,0)),"CUIT NO CARGADO")</f>
        <v>0</v>
      </c>
    </row>
    <row r="118" spans="2:18">
      <c r="B118" s="425" t="s">
        <v>2263</v>
      </c>
      <c r="C118" s="90">
        <v>1</v>
      </c>
      <c r="D118" s="91">
        <v>8</v>
      </c>
      <c r="E118" s="92">
        <v>175</v>
      </c>
      <c r="F118" s="93">
        <v>20134664518</v>
      </c>
      <c r="G118" s="436" t="str">
        <f>IFERROR(IF(compras_mes576[[#This Row],[CUIT]]="","-",VLOOKUP(compras_mes576[[#This Row],[CUIT]],Lista_CUIT[#All],2,0)),"CUIT NO CARGADO")</f>
        <v>HOKAMA SERGIO ENRIQUE</v>
      </c>
      <c r="H118" s="95">
        <v>15236.78</v>
      </c>
      <c r="I118" s="426">
        <f>IF(compras_mes576[[#This Row],[NETO GRAVADO]]="","",compras_mes576[[#This Row],[NETO GRAVADO]]*0.21)</f>
        <v>3199.7238000000002</v>
      </c>
      <c r="J118" s="426"/>
      <c r="K118" s="426"/>
      <c r="L118" s="426"/>
      <c r="M118" s="426"/>
      <c r="N118" s="426"/>
      <c r="O118" s="426"/>
      <c r="P118" s="424">
        <f>SUM(compras_mes576[[#This Row],[NETO GRAVADO]:[Otros / No Grav.]])</f>
        <v>18436.503800000002</v>
      </c>
      <c r="Q118" s="432" t="str">
        <f>IFERROR(IF(compras_mes576[[#This Row],[CUIT]]="","-",VLOOKUP(compras_mes576[[#This Row],[CUIT]],Lista_CUIT[#All],3,0)),"CUIT NO CARGADO")</f>
        <v>Gastos Varios</v>
      </c>
      <c r="R118" s="432" t="str">
        <f>IFERROR(IF(compras_mes576[[#This Row],[CUIT]]="","-",VLOOKUP(compras_mes576[[#This Row],[CUIT]],Lista_CUIT[#All],4,0)),"CUIT NO CARGADO")</f>
        <v>BUENOS AIRES</v>
      </c>
    </row>
    <row r="119" spans="2:18">
      <c r="B119" s="425" t="s">
        <v>2264</v>
      </c>
      <c r="C119" s="90">
        <v>1</v>
      </c>
      <c r="D119" s="91">
        <v>3</v>
      </c>
      <c r="E119" s="92">
        <v>88</v>
      </c>
      <c r="F119" s="93">
        <v>33715993509</v>
      </c>
      <c r="G119" s="436" t="str">
        <f>IFERROR(IF(compras_mes576[[#This Row],[CUIT]]="","-",VLOOKUP(compras_mes576[[#This Row],[CUIT]],Lista_CUIT[#All],2,0)),"CUIT NO CARGADO")</f>
        <v>+Q NATURAL S.A.</v>
      </c>
      <c r="H119" s="95">
        <v>12991.73</v>
      </c>
      <c r="I119" s="426">
        <f>IF(compras_mes576[[#This Row],[NETO GRAVADO]]="","",compras_mes576[[#This Row],[NETO GRAVADO]]*0.21)</f>
        <v>2728.2632999999996</v>
      </c>
      <c r="J119" s="426"/>
      <c r="K119" s="426"/>
      <c r="L119" s="426"/>
      <c r="M119" s="426"/>
      <c r="N119" s="426"/>
      <c r="O119" s="426"/>
      <c r="P119" s="424">
        <f>SUM(compras_mes576[[#This Row],[NETO GRAVADO]:[Otros / No Grav.]])</f>
        <v>15719.993299999998</v>
      </c>
      <c r="Q119" s="432" t="str">
        <f>IFERROR(IF(compras_mes576[[#This Row],[CUIT]]="","-",VLOOKUP(compras_mes576[[#This Row],[CUIT]],Lista_CUIT[#All],3,0)),"CUIT NO CARGADO")</f>
        <v>Gastos Varios</v>
      </c>
      <c r="R119" s="432">
        <f>IFERROR(IF(compras_mes576[[#This Row],[CUIT]]="","-",VLOOKUP(compras_mes576[[#This Row],[CUIT]],Lista_CUIT[#All],4,0)),"CUIT NO CARGADO")</f>
        <v>0</v>
      </c>
    </row>
    <row r="120" spans="2:18">
      <c r="B120" s="425" t="s">
        <v>2264</v>
      </c>
      <c r="C120" s="90">
        <v>1</v>
      </c>
      <c r="D120" s="91">
        <v>3</v>
      </c>
      <c r="E120" s="92">
        <v>2683</v>
      </c>
      <c r="F120" s="93">
        <v>30715296000</v>
      </c>
      <c r="G120" s="436" t="str">
        <f>IFERROR(IF(compras_mes576[[#This Row],[CUIT]]="","-",VLOOKUP(compras_mes576[[#This Row],[CUIT]],Lista_CUIT[#All],2,0)),"CUIT NO CARGADO")</f>
        <v>TUTTO CERAMICAS SRL</v>
      </c>
      <c r="H120" s="95">
        <v>27173.55</v>
      </c>
      <c r="I120" s="426">
        <f>IF(compras_mes576[[#This Row],[NETO GRAVADO]]="","",compras_mes576[[#This Row],[NETO GRAVADO]]*0.21)</f>
        <v>5706.4454999999998</v>
      </c>
      <c r="J120" s="426"/>
      <c r="K120" s="426"/>
      <c r="L120" s="426"/>
      <c r="M120" s="426"/>
      <c r="N120" s="426"/>
      <c r="O120" s="426"/>
      <c r="P120" s="424">
        <f>SUM(compras_mes576[[#This Row],[NETO GRAVADO]:[Otros / No Grav.]])</f>
        <v>32879.995499999997</v>
      </c>
      <c r="Q120" s="432" t="str">
        <f>IFERROR(IF(compras_mes576[[#This Row],[CUIT]]="","-",VLOOKUP(compras_mes576[[#This Row],[CUIT]],Lista_CUIT[#All],3,0)),"CUIT NO CARGADO")</f>
        <v>Material de Empaque</v>
      </c>
      <c r="R120" s="432">
        <f>IFERROR(IF(compras_mes576[[#This Row],[CUIT]]="","-",VLOOKUP(compras_mes576[[#This Row],[CUIT]],Lista_CUIT[#All],4,0)),"CUIT NO CARGADO")</f>
        <v>0</v>
      </c>
    </row>
    <row r="121" spans="2:18">
      <c r="B121" s="425" t="s">
        <v>2264</v>
      </c>
      <c r="C121" s="90">
        <v>1</v>
      </c>
      <c r="D121" s="91">
        <v>9</v>
      </c>
      <c r="E121" s="92">
        <v>8371</v>
      </c>
      <c r="F121" s="93">
        <v>30709531960</v>
      </c>
      <c r="G121" s="436" t="str">
        <f>IFERROR(IF(compras_mes576[[#This Row],[CUIT]]="","-",VLOOKUP(compras_mes576[[#This Row],[CUIT]],Lista_CUIT[#All],2,0)),"CUIT NO CARGADO")</f>
        <v>CENTRO DE DISTRIBUCION SUR S R L</v>
      </c>
      <c r="H121" s="95">
        <v>124047.28</v>
      </c>
      <c r="I121" s="426">
        <f>IF(compras_mes576[[#This Row],[NETO GRAVADO]]="","",compras_mes576[[#This Row],[NETO GRAVADO]]*0.21)</f>
        <v>26049.928799999998</v>
      </c>
      <c r="J121" s="426"/>
      <c r="K121" s="426"/>
      <c r="L121" s="426"/>
      <c r="M121" s="426"/>
      <c r="N121" s="426">
        <v>7442.84</v>
      </c>
      <c r="O121" s="426">
        <v>3721.42</v>
      </c>
      <c r="P121" s="455">
        <f>SUM(compras_mes576[[#This Row],[NETO GRAVADO]:[Otros / No Grav.]])</f>
        <v>161261.4688</v>
      </c>
      <c r="Q121" s="432" t="str">
        <f>IFERROR(IF(compras_mes576[[#This Row],[CUIT]]="","-",VLOOKUP(compras_mes576[[#This Row],[CUIT]],Lista_CUIT[#All],3,0)),"CUIT NO CARGADO")</f>
        <v>Gastos Limpieza</v>
      </c>
      <c r="R121" s="432">
        <f>IFERROR(IF(compras_mes576[[#This Row],[CUIT]]="","-",VLOOKUP(compras_mes576[[#This Row],[CUIT]],Lista_CUIT[#All],4,0)),"CUIT NO CARGADO")</f>
        <v>0</v>
      </c>
    </row>
    <row r="122" spans="2:18">
      <c r="B122" s="425" t="s">
        <v>2264</v>
      </c>
      <c r="C122" s="90">
        <v>1</v>
      </c>
      <c r="D122" s="91">
        <v>2084</v>
      </c>
      <c r="E122" s="92">
        <v>22359</v>
      </c>
      <c r="F122" s="93">
        <v>30548083156</v>
      </c>
      <c r="G122" s="436" t="str">
        <f>IFERROR(IF(compras_mes576[[#This Row],[CUIT]]="","-",VLOOKUP(compras_mes576[[#This Row],[CUIT]],Lista_CUIT[#All],2,0)),"CUIT NO CARGADO")</f>
        <v>COTO CENTRO INTEGRAL DE COMERCIALIZACION SOCIEDAD ANONIMA</v>
      </c>
      <c r="H122" s="95">
        <v>17399.580000000002</v>
      </c>
      <c r="I122" s="426">
        <f>16431.48*0.21</f>
        <v>3450.6107999999999</v>
      </c>
      <c r="J122" s="426"/>
      <c r="K122" s="426">
        <f>968.1*0.105</f>
        <v>101.65049999999999</v>
      </c>
      <c r="L122" s="426"/>
      <c r="M122" s="426"/>
      <c r="N122" s="426"/>
      <c r="O122" s="426">
        <v>1536.91</v>
      </c>
      <c r="P122" s="455">
        <f>SUM(compras_mes576[[#This Row],[NETO GRAVADO]:[Otros / No Grav.]])</f>
        <v>22488.7513</v>
      </c>
      <c r="Q122" s="432" t="str">
        <f>IFERROR(IF(compras_mes576[[#This Row],[CUIT]]="","-",VLOOKUP(compras_mes576[[#This Row],[CUIT]],Lista_CUIT[#All],3,0)),"CUIT NO CARGADO")</f>
        <v>Gastos Varios</v>
      </c>
      <c r="R122" s="432">
        <f>IFERROR(IF(compras_mes576[[#This Row],[CUIT]]="","-",VLOOKUP(compras_mes576[[#This Row],[CUIT]],Lista_CUIT[#All],4,0)),"CUIT NO CARGADO")</f>
        <v>0</v>
      </c>
    </row>
    <row r="123" spans="2:18">
      <c r="B123" s="425" t="s">
        <v>2264</v>
      </c>
      <c r="C123" s="90">
        <v>1</v>
      </c>
      <c r="D123" s="91">
        <v>30</v>
      </c>
      <c r="E123" s="92">
        <v>136367</v>
      </c>
      <c r="F123" s="93">
        <v>30695056342</v>
      </c>
      <c r="G123" s="436" t="str">
        <f>IFERROR(IF(compras_mes576[[#This Row],[CUIT]]="","-",VLOOKUP(compras_mes576[[#This Row],[CUIT]],Lista_CUIT[#All],2,0)),"CUIT NO CARGADO")</f>
        <v>AVENIDA MAIPU 4199 S C S</v>
      </c>
      <c r="H123" s="95">
        <v>46974.05</v>
      </c>
      <c r="I123" s="426">
        <f>IF(compras_mes576[[#This Row],[NETO GRAVADO]]="","",compras_mes576[[#This Row],[NETO GRAVADO]]*0.21)</f>
        <v>9864.5504999999994</v>
      </c>
      <c r="J123" s="426"/>
      <c r="K123" s="426"/>
      <c r="L123" s="426"/>
      <c r="M123" s="426"/>
      <c r="N123" s="426"/>
      <c r="O123" s="426"/>
      <c r="P123" s="424">
        <f>SUM(compras_mes576[[#This Row],[NETO GRAVADO]:[Otros / No Grav.]])</f>
        <v>56838.6005</v>
      </c>
      <c r="Q123" s="432" t="str">
        <f>IFERROR(IF(compras_mes576[[#This Row],[CUIT]]="","-",VLOOKUP(compras_mes576[[#This Row],[CUIT]],Lista_CUIT[#All],3,0)),"CUIT NO CARGADO")</f>
        <v>Gastos Cosmetica</v>
      </c>
      <c r="R123" s="432">
        <f>IFERROR(IF(compras_mes576[[#This Row],[CUIT]]="","-",VLOOKUP(compras_mes576[[#This Row],[CUIT]],Lista_CUIT[#All],4,0)),"CUIT NO CARGADO")</f>
        <v>0</v>
      </c>
    </row>
    <row r="124" spans="2:18">
      <c r="B124" s="425" t="s">
        <v>2264</v>
      </c>
      <c r="C124" s="90">
        <v>1</v>
      </c>
      <c r="D124" s="91">
        <v>6</v>
      </c>
      <c r="E124" s="92">
        <v>3125</v>
      </c>
      <c r="F124" s="93">
        <v>30574603788</v>
      </c>
      <c r="G124" s="436" t="str">
        <f>IFERROR(IF(compras_mes576[[#This Row],[CUIT]]="","-",VLOOKUP(compras_mes576[[#This Row],[CUIT]],Lista_CUIT[#All],2,0)),"CUIT NO CARGADO")</f>
        <v>CODAC SRL</v>
      </c>
      <c r="H124" s="95">
        <v>3222370</v>
      </c>
      <c r="I124" s="426">
        <f>IF(compras_mes576[[#This Row],[NETO GRAVADO]]="","",compras_mes576[[#This Row],[NETO GRAVADO]]*0.21)</f>
        <v>676697.7</v>
      </c>
      <c r="J124" s="426"/>
      <c r="K124" s="426"/>
      <c r="L124" s="426"/>
      <c r="M124" s="426"/>
      <c r="N124" s="426"/>
      <c r="O124" s="426"/>
      <c r="P124" s="424">
        <f>SUM(compras_mes576[[#This Row],[NETO GRAVADO]:[Otros / No Grav.]])</f>
        <v>3899067.7</v>
      </c>
      <c r="Q124" s="432" t="str">
        <f>IFERROR(IF(compras_mes576[[#This Row],[CUIT]]="","-",VLOOKUP(compras_mes576[[#This Row],[CUIT]],Lista_CUIT[#All],3,0)),"CUIT NO CARGADO")</f>
        <v>Productos Venta</v>
      </c>
      <c r="R124" s="432" t="str">
        <f>IFERROR(IF(compras_mes576[[#This Row],[CUIT]]="","-",VLOOKUP(compras_mes576[[#This Row],[CUIT]],Lista_CUIT[#All],4,0)),"CUIT NO CARGADO")</f>
        <v>BUENOS AIRES</v>
      </c>
    </row>
    <row r="125" spans="2:18">
      <c r="B125" s="425" t="s">
        <v>2264</v>
      </c>
      <c r="C125" s="90">
        <v>1</v>
      </c>
      <c r="D125" s="91">
        <v>8</v>
      </c>
      <c r="E125" s="92">
        <v>184</v>
      </c>
      <c r="F125" s="93">
        <v>20134664518</v>
      </c>
      <c r="G125" s="436" t="str">
        <f>IFERROR(IF(compras_mes576[[#This Row],[CUIT]]="","-",VLOOKUP(compras_mes576[[#This Row],[CUIT]],Lista_CUIT[#All],2,0)),"CUIT NO CARGADO")</f>
        <v>HOKAMA SERGIO ENRIQUE</v>
      </c>
      <c r="H125" s="95">
        <v>60173.14</v>
      </c>
      <c r="I125" s="426">
        <f>IF(compras_mes576[[#This Row],[NETO GRAVADO]]="","",compras_mes576[[#This Row],[NETO GRAVADO]]*0.21)</f>
        <v>12636.359399999999</v>
      </c>
      <c r="J125" s="426"/>
      <c r="K125" s="426"/>
      <c r="L125" s="426"/>
      <c r="M125" s="426"/>
      <c r="N125" s="426"/>
      <c r="O125" s="426"/>
      <c r="P125" s="424">
        <f>SUM(compras_mes576[[#This Row],[NETO GRAVADO]:[Otros / No Grav.]])</f>
        <v>72809.499400000001</v>
      </c>
      <c r="Q125" s="432" t="str">
        <f>IFERROR(IF(compras_mes576[[#This Row],[CUIT]]="","-",VLOOKUP(compras_mes576[[#This Row],[CUIT]],Lista_CUIT[#All],3,0)),"CUIT NO CARGADO")</f>
        <v>Gastos Varios</v>
      </c>
      <c r="R125" s="432" t="str">
        <f>IFERROR(IF(compras_mes576[[#This Row],[CUIT]]="","-",VLOOKUP(compras_mes576[[#This Row],[CUIT]],Lista_CUIT[#All],4,0)),"CUIT NO CARGADO")</f>
        <v>BUENOS AIRES</v>
      </c>
    </row>
    <row r="126" spans="2:18">
      <c r="B126" s="425" t="s">
        <v>2264</v>
      </c>
      <c r="C126" s="90">
        <v>1</v>
      </c>
      <c r="D126" s="91">
        <v>2</v>
      </c>
      <c r="E126" s="92">
        <v>3684</v>
      </c>
      <c r="F126" s="93">
        <v>30629863571</v>
      </c>
      <c r="G126" s="436" t="str">
        <f>IFERROR(IF(compras_mes576[[#This Row],[CUIT]]="","-",VLOOKUP(compras_mes576[[#This Row],[CUIT]],Lista_CUIT[#All],2,0)),"CUIT NO CARGADO")</f>
        <v>TECNIMAR S R L</v>
      </c>
      <c r="H126" s="95">
        <v>3395008.38</v>
      </c>
      <c r="I126" s="426">
        <f>IF(compras_mes576[[#This Row],[NETO GRAVADO]]="","",compras_mes576[[#This Row],[NETO GRAVADO]]*0.21)</f>
        <v>712951.7598</v>
      </c>
      <c r="J126" s="426"/>
      <c r="K126" s="426"/>
      <c r="L126" s="426"/>
      <c r="M126" s="426"/>
      <c r="N126" s="426"/>
      <c r="O126" s="426"/>
      <c r="P126" s="424">
        <f>SUM(compras_mes576[[#This Row],[NETO GRAVADO]:[Otros / No Grav.]])</f>
        <v>4107960.1398</v>
      </c>
      <c r="Q126" s="432" t="str">
        <f>IFERROR(IF(compras_mes576[[#This Row],[CUIT]]="","-",VLOOKUP(compras_mes576[[#This Row],[CUIT]],Lista_CUIT[#All],3,0)),"CUIT NO CARGADO")</f>
        <v>Productos Venta</v>
      </c>
      <c r="R126" s="432">
        <f>IFERROR(IF(compras_mes576[[#This Row],[CUIT]]="","-",VLOOKUP(compras_mes576[[#This Row],[CUIT]],Lista_CUIT[#All],4,0)),"CUIT NO CARGADO")</f>
        <v>0</v>
      </c>
    </row>
    <row r="127" spans="2:18">
      <c r="B127" s="425" t="s">
        <v>2265</v>
      </c>
      <c r="C127" s="90">
        <v>1</v>
      </c>
      <c r="D127" s="91">
        <v>6850</v>
      </c>
      <c r="E127" s="92">
        <v>21422</v>
      </c>
      <c r="F127" s="93">
        <v>30678774495</v>
      </c>
      <c r="G127" s="436" t="str">
        <f>IFERROR(IF(compras_mes576[[#This Row],[CUIT]]="","-",VLOOKUP(compras_mes576[[#This Row],[CUIT]],Lista_CUIT[#All],2,0)),"CUIT NO CARGADO")</f>
        <v>OPER. DE EST. DE SERV. SA</v>
      </c>
      <c r="H127" s="95">
        <v>7267.33</v>
      </c>
      <c r="I127" s="426">
        <f>IF(compras_mes576[[#This Row],[NETO GRAVADO]]="","",compras_mes576[[#This Row],[NETO GRAVADO]]*0.21)</f>
        <v>1526.1392999999998</v>
      </c>
      <c r="J127" s="426"/>
      <c r="K127" s="426"/>
      <c r="L127" s="426"/>
      <c r="M127" s="426"/>
      <c r="N127" s="426"/>
      <c r="O127" s="426">
        <v>1206.57</v>
      </c>
      <c r="P127" s="455">
        <f>SUM(compras_mes576[[#This Row],[NETO GRAVADO]:[Otros / No Grav.]])</f>
        <v>10000.0393</v>
      </c>
      <c r="Q127" s="432" t="str">
        <f>IFERROR(IF(compras_mes576[[#This Row],[CUIT]]="","-",VLOOKUP(compras_mes576[[#This Row],[CUIT]],Lista_CUIT[#All],3,0)),"CUIT NO CARGADO")</f>
        <v>Combustible</v>
      </c>
      <c r="R127" s="432">
        <f>IFERROR(IF(compras_mes576[[#This Row],[CUIT]]="","-",VLOOKUP(compras_mes576[[#This Row],[CUIT]],Lista_CUIT[#All],4,0)),"CUIT NO CARGADO")</f>
        <v>0</v>
      </c>
    </row>
    <row r="128" spans="2:18">
      <c r="B128" s="425" t="s">
        <v>2265</v>
      </c>
      <c r="C128" s="90">
        <v>1</v>
      </c>
      <c r="D128" s="91">
        <v>2</v>
      </c>
      <c r="E128" s="92">
        <v>2681</v>
      </c>
      <c r="F128" s="93">
        <v>30715811622</v>
      </c>
      <c r="G128" s="436" t="str">
        <f>IFERROR(IF(compras_mes576[[#This Row],[CUIT]]="","-",VLOOKUP(compras_mes576[[#This Row],[CUIT]],Lista_CUIT[#All],2,0)),"CUIT NO CARGADO")</f>
        <v>VTEC SRL</v>
      </c>
      <c r="H128" s="95">
        <v>690008.64</v>
      </c>
      <c r="I128" s="426">
        <f>IF(compras_mes576[[#This Row],[NETO GRAVADO]]="","",compras_mes576[[#This Row],[NETO GRAVADO]]*0.21)</f>
        <v>144901.8144</v>
      </c>
      <c r="J128" s="426"/>
      <c r="K128" s="426"/>
      <c r="L128" s="426"/>
      <c r="M128" s="426"/>
      <c r="N128" s="426"/>
      <c r="O128" s="426"/>
      <c r="P128" s="424">
        <f>SUM(compras_mes576[[#This Row],[NETO GRAVADO]:[Otros / No Grav.]])</f>
        <v>834910.45440000005</v>
      </c>
      <c r="Q128" s="432" t="str">
        <f>IFERROR(IF(compras_mes576[[#This Row],[CUIT]]="","-",VLOOKUP(compras_mes576[[#This Row],[CUIT]],Lista_CUIT[#All],3,0)),"CUIT NO CARGADO")</f>
        <v>Productos Venta</v>
      </c>
      <c r="R128" s="432">
        <f>IFERROR(IF(compras_mes576[[#This Row],[CUIT]]="","-",VLOOKUP(compras_mes576[[#This Row],[CUIT]],Lista_CUIT[#All],4,0)),"CUIT NO CARGADO")</f>
        <v>0</v>
      </c>
    </row>
    <row r="129" spans="2:18" s="56" customFormat="1" ht="18.600000000000001" customHeight="1">
      <c r="B129" s="425" t="s">
        <v>2265</v>
      </c>
      <c r="C129" s="90">
        <v>1</v>
      </c>
      <c r="D129" s="91">
        <v>5</v>
      </c>
      <c r="E129" s="92">
        <v>21193</v>
      </c>
      <c r="F129" s="93">
        <v>30616146447</v>
      </c>
      <c r="G129" s="436" t="str">
        <f>IFERROR(IF(compras_mes576[[#This Row],[CUIT]]="","-",VLOOKUP(compras_mes576[[#This Row],[CUIT]],Lista_CUIT[#All],2,0)),"CUIT NO CARGADO")</f>
        <v>EGEO SOCIEDAD DE RESPONSABILIDAD LIMITADA</v>
      </c>
      <c r="H129" s="95">
        <v>720000</v>
      </c>
      <c r="I129" s="426">
        <f>IF(compras_mes576[[#This Row],[NETO GRAVADO]]="","",compras_mes576[[#This Row],[NETO GRAVADO]]*0.21)</f>
        <v>151200</v>
      </c>
      <c r="J129" s="426"/>
      <c r="K129" s="426"/>
      <c r="L129" s="426"/>
      <c r="M129" s="426"/>
      <c r="N129" s="426"/>
      <c r="O129" s="426"/>
      <c r="P129" s="424">
        <f>SUM(compras_mes576[[#This Row],[NETO GRAVADO]:[Otros / No Grav.]])</f>
        <v>871200</v>
      </c>
      <c r="Q129" s="432" t="str">
        <f>IFERROR(IF(compras_mes576[[#This Row],[CUIT]]="","-",VLOOKUP(compras_mes576[[#This Row],[CUIT]],Lista_CUIT[#All],3,0)),"CUIT NO CARGADO")</f>
        <v>Productos Venta</v>
      </c>
      <c r="R129" s="432">
        <f>IFERROR(IF(compras_mes576[[#This Row],[CUIT]]="","-",VLOOKUP(compras_mes576[[#This Row],[CUIT]],Lista_CUIT[#All],4,0)),"CUIT NO CARGADO")</f>
        <v>0</v>
      </c>
    </row>
    <row r="130" spans="2:18" s="56" customFormat="1" ht="18.600000000000001" customHeight="1">
      <c r="B130" s="425" t="s">
        <v>2265</v>
      </c>
      <c r="C130" s="90">
        <v>1</v>
      </c>
      <c r="D130" s="91">
        <v>60</v>
      </c>
      <c r="E130" s="92">
        <v>62809</v>
      </c>
      <c r="F130" s="93">
        <v>30517345039</v>
      </c>
      <c r="G130" s="436" t="str">
        <f>IFERROR(IF(compras_mes576[[#This Row],[CUIT]]="","-",VLOOKUP(compras_mes576[[#This Row],[CUIT]],Lista_CUIT[#All],2,0)),"CUIT NO CARGADO")</f>
        <v>QUIMICA OESTE S.A.</v>
      </c>
      <c r="H130" s="95">
        <v>257925</v>
      </c>
      <c r="I130" s="426">
        <f>IF(compras_mes576[[#This Row],[NETO GRAVADO]]="","",compras_mes576[[#This Row],[NETO GRAVADO]]*0.21)</f>
        <v>54164.25</v>
      </c>
      <c r="J130" s="426"/>
      <c r="K130" s="426"/>
      <c r="L130" s="426"/>
      <c r="M130" s="426"/>
      <c r="N130" s="426"/>
      <c r="O130" s="426">
        <v>15475.5</v>
      </c>
      <c r="P130" s="455">
        <f>SUM(compras_mes576[[#This Row],[NETO GRAVADO]:[Otros / No Grav.]])</f>
        <v>327564.75</v>
      </c>
      <c r="Q130" s="432" t="str">
        <f>IFERROR(IF(compras_mes576[[#This Row],[CUIT]]="","-",VLOOKUP(compras_mes576[[#This Row],[CUIT]],Lista_CUIT[#All],3,0)),"CUIT NO CARGADO")</f>
        <v>Materia Prima</v>
      </c>
      <c r="R130" s="432">
        <f>IFERROR(IF(compras_mes576[[#This Row],[CUIT]]="","-",VLOOKUP(compras_mes576[[#This Row],[CUIT]],Lista_CUIT[#All],4,0)),"CUIT NO CARGADO")</f>
        <v>0</v>
      </c>
    </row>
    <row r="131" spans="2:18" s="56" customFormat="1" ht="18.600000000000001" customHeight="1">
      <c r="B131" s="425" t="s">
        <v>2265</v>
      </c>
      <c r="C131" s="90">
        <v>1</v>
      </c>
      <c r="D131" s="91">
        <v>1</v>
      </c>
      <c r="E131" s="92">
        <v>545</v>
      </c>
      <c r="F131" s="93">
        <v>20283847765</v>
      </c>
      <c r="G131" s="436" t="str">
        <f>IFERROR(IF(compras_mes576[[#This Row],[CUIT]]="","-",VLOOKUP(compras_mes576[[#This Row],[CUIT]],Lista_CUIT[#All],2,0)),"CUIT NO CARGADO")</f>
        <v>MEDINA JULIO RICARDO</v>
      </c>
      <c r="H131" s="95">
        <v>267431.38</v>
      </c>
      <c r="I131" s="426">
        <f>IF(compras_mes576[[#This Row],[NETO GRAVADO]]="","",compras_mes576[[#This Row],[NETO GRAVADO]]*0.21)</f>
        <v>56160.589800000002</v>
      </c>
      <c r="J131" s="426"/>
      <c r="K131" s="426"/>
      <c r="L131" s="426"/>
      <c r="M131" s="426"/>
      <c r="N131" s="426"/>
      <c r="O131" s="426"/>
      <c r="P131" s="424">
        <f>SUM(compras_mes576[[#This Row],[NETO GRAVADO]:[Otros / No Grav.]])</f>
        <v>323591.96980000002</v>
      </c>
      <c r="Q131" s="432" t="str">
        <f>IFERROR(IF(compras_mes576[[#This Row],[CUIT]]="","-",VLOOKUP(compras_mes576[[#This Row],[CUIT]],Lista_CUIT[#All],3,0)),"CUIT NO CARGADO")</f>
        <v>Gastos Movilidad</v>
      </c>
      <c r="R131" s="432">
        <f>IFERROR(IF(compras_mes576[[#This Row],[CUIT]]="","-",VLOOKUP(compras_mes576[[#This Row],[CUIT]],Lista_CUIT[#All],4,0)),"CUIT NO CARGADO")</f>
        <v>0</v>
      </c>
    </row>
    <row r="132" spans="2:18" s="56" customFormat="1" ht="18.600000000000001" customHeight="1">
      <c r="B132" s="425" t="s">
        <v>2265</v>
      </c>
      <c r="C132" s="90">
        <v>1</v>
      </c>
      <c r="D132" s="91">
        <v>2</v>
      </c>
      <c r="E132" s="92">
        <v>3687</v>
      </c>
      <c r="F132" s="93">
        <v>30629863571</v>
      </c>
      <c r="G132" s="436" t="str">
        <f>IFERROR(IF(compras_mes576[[#This Row],[CUIT]]="","-",VLOOKUP(compras_mes576[[#This Row],[CUIT]],Lista_CUIT[#All],2,0)),"CUIT NO CARGADO")</f>
        <v>TECNIMAR S R L</v>
      </c>
      <c r="H132" s="95">
        <v>3610264</v>
      </c>
      <c r="I132" s="426">
        <f>IF(compras_mes576[[#This Row],[NETO GRAVADO]]="","",compras_mes576[[#This Row],[NETO GRAVADO]]*0.21)</f>
        <v>758155.44</v>
      </c>
      <c r="J132" s="426"/>
      <c r="K132" s="426"/>
      <c r="L132" s="426"/>
      <c r="M132" s="426"/>
      <c r="N132" s="426"/>
      <c r="O132" s="426"/>
      <c r="P132" s="424">
        <f>SUM(compras_mes576[[#This Row],[NETO GRAVADO]:[Otros / No Grav.]])</f>
        <v>4368419.4399999995</v>
      </c>
      <c r="Q132" s="432" t="str">
        <f>IFERROR(IF(compras_mes576[[#This Row],[CUIT]]="","-",VLOOKUP(compras_mes576[[#This Row],[CUIT]],Lista_CUIT[#All],3,0)),"CUIT NO CARGADO")</f>
        <v>Productos Venta</v>
      </c>
      <c r="R132" s="432">
        <f>IFERROR(IF(compras_mes576[[#This Row],[CUIT]]="","-",VLOOKUP(compras_mes576[[#This Row],[CUIT]],Lista_CUIT[#All],4,0)),"CUIT NO CARGADO")</f>
        <v>0</v>
      </c>
    </row>
    <row r="133" spans="2:18" s="56" customFormat="1" ht="18.600000000000001" customHeight="1">
      <c r="B133" s="488" t="s">
        <v>2265</v>
      </c>
      <c r="C133" s="489">
        <v>3</v>
      </c>
      <c r="D133" s="364">
        <v>1001</v>
      </c>
      <c r="E133" s="365">
        <v>1585</v>
      </c>
      <c r="F133" s="366">
        <v>30715393251</v>
      </c>
      <c r="G133" s="490" t="str">
        <f>IFERROR(IF(compras_mes576[[#This Row],[CUIT]]="","-",VLOOKUP(compras_mes576[[#This Row],[CUIT]],Lista_CUIT[#All],2,0)),"CUIT NO CARGADO")</f>
        <v>OMNICHANNEL S.A.</v>
      </c>
      <c r="H133" s="264">
        <v>-112038.91</v>
      </c>
      <c r="I133" s="491"/>
      <c r="J133" s="491"/>
      <c r="K133" s="491">
        <f>compras_mes576[[#This Row],[NETO GRAVADO]]*0.105</f>
        <v>-11764.08555</v>
      </c>
      <c r="L133" s="491"/>
      <c r="M133" s="491"/>
      <c r="N133" s="491"/>
      <c r="O133" s="491"/>
      <c r="P133" s="492">
        <f>SUM(compras_mes576[[#This Row],[NETO GRAVADO]:[Otros / No Grav.]])</f>
        <v>-123802.99555000001</v>
      </c>
      <c r="Q133" s="493" t="str">
        <f>IFERROR(IF(compras_mes576[[#This Row],[CUIT]]="","-",VLOOKUP(compras_mes576[[#This Row],[CUIT]],Lista_CUIT[#All],3,0)),"CUIT NO CARGADO")</f>
        <v>Gastos Oficina</v>
      </c>
      <c r="R133" s="493">
        <f>IFERROR(IF(compras_mes576[[#This Row],[CUIT]]="","-",VLOOKUP(compras_mes576[[#This Row],[CUIT]],Lista_CUIT[#All],4,0)),"CUIT NO CARGADO")</f>
        <v>0</v>
      </c>
    </row>
    <row r="134" spans="2:18" s="56" customFormat="1" ht="18.600000000000001" customHeight="1">
      <c r="B134" s="425" t="s">
        <v>2266</v>
      </c>
      <c r="C134" s="90">
        <v>1</v>
      </c>
      <c r="D134" s="91">
        <v>5</v>
      </c>
      <c r="E134" s="92">
        <v>3037559</v>
      </c>
      <c r="F134" s="93">
        <v>30702652975</v>
      </c>
      <c r="G134" s="436" t="str">
        <f>IFERROR(IF(compras_mes576[[#This Row],[CUIT]]="","-",VLOOKUP(compras_mes576[[#This Row],[CUIT]],Lista_CUIT[#All],2,0)),"CUIT NO CARGADO")</f>
        <v>NSS SA</v>
      </c>
      <c r="H134" s="95">
        <v>29073.03</v>
      </c>
      <c r="I134" s="426">
        <f>IF(compras_mes576[[#This Row],[NETO GRAVADO]]="","",compras_mes576[[#This Row],[NETO GRAVADO]]*0.21)</f>
        <v>6105.3362999999999</v>
      </c>
      <c r="J134" s="426"/>
      <c r="K134" s="426"/>
      <c r="L134" s="426"/>
      <c r="M134" s="426"/>
      <c r="N134" s="426">
        <v>1744.38</v>
      </c>
      <c r="O134" s="426"/>
      <c r="P134" s="455">
        <f>SUM(compras_mes576[[#This Row],[NETO GRAVADO]:[Otros / No Grav.]])</f>
        <v>36922.746299999999</v>
      </c>
      <c r="Q134" s="432" t="str">
        <f>IFERROR(IF(compras_mes576[[#This Row],[CUIT]]="","-",VLOOKUP(compras_mes576[[#This Row],[CUIT]],Lista_CUIT[#All],3,0)),"CUIT NO CARGADO")</f>
        <v>Servicios Gas, Luz, etc.</v>
      </c>
      <c r="R134" s="432">
        <f>IFERROR(IF(compras_mes576[[#This Row],[CUIT]]="","-",VLOOKUP(compras_mes576[[#This Row],[CUIT]],Lista_CUIT[#All],4,0)),"CUIT NO CARGADO")</f>
        <v>0</v>
      </c>
    </row>
    <row r="135" spans="2:18" s="56" customFormat="1" ht="18.600000000000001" customHeight="1">
      <c r="B135" s="425" t="s">
        <v>2266</v>
      </c>
      <c r="C135" s="90">
        <v>1</v>
      </c>
      <c r="D135" s="91">
        <v>6</v>
      </c>
      <c r="E135" s="92">
        <v>3134</v>
      </c>
      <c r="F135" s="93">
        <v>30574603788</v>
      </c>
      <c r="G135" s="436" t="str">
        <f>IFERROR(IF(compras_mes576[[#This Row],[CUIT]]="","-",VLOOKUP(compras_mes576[[#This Row],[CUIT]],Lista_CUIT[#All],2,0)),"CUIT NO CARGADO")</f>
        <v>CODAC SRL</v>
      </c>
      <c r="H135" s="95">
        <v>3056575</v>
      </c>
      <c r="I135" s="426">
        <f>IF(compras_mes576[[#This Row],[NETO GRAVADO]]="","",compras_mes576[[#This Row],[NETO GRAVADO]]*0.21)</f>
        <v>641880.75</v>
      </c>
      <c r="J135" s="426"/>
      <c r="K135" s="426"/>
      <c r="L135" s="426"/>
      <c r="M135" s="426"/>
      <c r="N135" s="426"/>
      <c r="O135" s="426"/>
      <c r="P135" s="424">
        <f>SUM(compras_mes576[[#This Row],[NETO GRAVADO]:[Otros / No Grav.]])</f>
        <v>3698455.75</v>
      </c>
      <c r="Q135" s="432" t="str">
        <f>IFERROR(IF(compras_mes576[[#This Row],[CUIT]]="","-",VLOOKUP(compras_mes576[[#This Row],[CUIT]],Lista_CUIT[#All],3,0)),"CUIT NO CARGADO")</f>
        <v>Productos Venta</v>
      </c>
      <c r="R135" s="432" t="str">
        <f>IFERROR(IF(compras_mes576[[#This Row],[CUIT]]="","-",VLOOKUP(compras_mes576[[#This Row],[CUIT]],Lista_CUIT[#All],4,0)),"CUIT NO CARGADO")</f>
        <v>BUENOS AIRES</v>
      </c>
    </row>
    <row r="136" spans="2:18" s="56" customFormat="1" ht="18.600000000000001" customHeight="1">
      <c r="B136" s="425" t="s">
        <v>2266</v>
      </c>
      <c r="C136" s="90">
        <v>1</v>
      </c>
      <c r="D136" s="91">
        <v>2084</v>
      </c>
      <c r="E136" s="92">
        <v>22408</v>
      </c>
      <c r="F136" s="93">
        <v>30548083156</v>
      </c>
      <c r="G136" s="436" t="str">
        <f>IFERROR(IF(compras_mes576[[#This Row],[CUIT]]="","-",VLOOKUP(compras_mes576[[#This Row],[CUIT]],Lista_CUIT[#All],2,0)),"CUIT NO CARGADO")</f>
        <v>COTO CENTRO INTEGRAL DE COMERCIALIZACION SOCIEDAD ANONIMA</v>
      </c>
      <c r="H136" s="95">
        <v>8415.24</v>
      </c>
      <c r="I136" s="426">
        <f>IF(compras_mes576[[#This Row],[NETO GRAVADO]]="","",compras_mes576[[#This Row],[NETO GRAVADO]]*0.21)</f>
        <v>1767.2003999999999</v>
      </c>
      <c r="J136" s="426"/>
      <c r="K136" s="426"/>
      <c r="L136" s="426"/>
      <c r="M136" s="426"/>
      <c r="N136" s="426"/>
      <c r="O136" s="426">
        <v>757.37</v>
      </c>
      <c r="P136" s="455">
        <f>SUM(compras_mes576[[#This Row],[NETO GRAVADO]:[Otros / No Grav.]])</f>
        <v>10939.8104</v>
      </c>
      <c r="Q136" s="432" t="str">
        <f>IFERROR(IF(compras_mes576[[#This Row],[CUIT]]="","-",VLOOKUP(compras_mes576[[#This Row],[CUIT]],Lista_CUIT[#All],3,0)),"CUIT NO CARGADO")</f>
        <v>Gastos Varios</v>
      </c>
      <c r="R136" s="432">
        <f>IFERROR(IF(compras_mes576[[#This Row],[CUIT]]="","-",VLOOKUP(compras_mes576[[#This Row],[CUIT]],Lista_CUIT[#All],4,0)),"CUIT NO CARGADO")</f>
        <v>0</v>
      </c>
    </row>
    <row r="137" spans="2:18" s="56" customFormat="1" ht="18.600000000000001" customHeight="1">
      <c r="B137" s="425" t="s">
        <v>2266</v>
      </c>
      <c r="C137" s="90">
        <v>1</v>
      </c>
      <c r="D137" s="91">
        <v>6</v>
      </c>
      <c r="E137" s="92">
        <v>3133</v>
      </c>
      <c r="F137" s="93">
        <v>30574603788</v>
      </c>
      <c r="G137" s="436" t="str">
        <f>IFERROR(IF(compras_mes576[[#This Row],[CUIT]]="","-",VLOOKUP(compras_mes576[[#This Row],[CUIT]],Lista_CUIT[#All],2,0)),"CUIT NO CARGADO")</f>
        <v>CODAC SRL</v>
      </c>
      <c r="H137" s="95">
        <v>3467770</v>
      </c>
      <c r="I137" s="426">
        <f>IF(compras_mes576[[#This Row],[NETO GRAVADO]]="","",compras_mes576[[#This Row],[NETO GRAVADO]]*0.21)</f>
        <v>728231.7</v>
      </c>
      <c r="J137" s="426"/>
      <c r="K137" s="426"/>
      <c r="L137" s="426"/>
      <c r="M137" s="426"/>
      <c r="N137" s="426"/>
      <c r="O137" s="426"/>
      <c r="P137" s="424">
        <f>SUM(compras_mes576[[#This Row],[NETO GRAVADO]:[Otros / No Grav.]])</f>
        <v>4196001.7</v>
      </c>
      <c r="Q137" s="432" t="str">
        <f>IFERROR(IF(compras_mes576[[#This Row],[CUIT]]="","-",VLOOKUP(compras_mes576[[#This Row],[CUIT]],Lista_CUIT[#All],3,0)),"CUIT NO CARGADO")</f>
        <v>Productos Venta</v>
      </c>
      <c r="R137" s="432" t="str">
        <f>IFERROR(IF(compras_mes576[[#This Row],[CUIT]]="","-",VLOOKUP(compras_mes576[[#This Row],[CUIT]],Lista_CUIT[#All],4,0)),"CUIT NO CARGADO")</f>
        <v>BUENOS AIRES</v>
      </c>
    </row>
    <row r="138" spans="2:18" s="56" customFormat="1" ht="18.600000000000001" customHeight="1">
      <c r="B138" s="425" t="s">
        <v>2266</v>
      </c>
      <c r="C138" s="90">
        <v>1</v>
      </c>
      <c r="D138" s="91">
        <v>2188</v>
      </c>
      <c r="E138" s="92">
        <v>120278</v>
      </c>
      <c r="F138" s="93">
        <v>30548083156</v>
      </c>
      <c r="G138" s="436" t="str">
        <f>IFERROR(IF(compras_mes576[[#This Row],[CUIT]]="","-",VLOOKUP(compras_mes576[[#This Row],[CUIT]],Lista_CUIT[#All],2,0)),"CUIT NO CARGADO")</f>
        <v>COTO CENTRO INTEGRAL DE COMERCIALIZACION SOCIEDAD ANONIMA</v>
      </c>
      <c r="H138" s="95">
        <v>45516.61</v>
      </c>
      <c r="I138" s="426">
        <f>37389.77*0.21</f>
        <v>7851.8516999999993</v>
      </c>
      <c r="J138" s="426"/>
      <c r="K138" s="426">
        <f>8126.84*0.105</f>
        <v>853.31819999999993</v>
      </c>
      <c r="L138" s="426"/>
      <c r="M138" s="426"/>
      <c r="N138" s="426"/>
      <c r="O138" s="426">
        <v>3928.94</v>
      </c>
      <c r="P138" s="455">
        <f>SUM(compras_mes576[[#This Row],[NETO GRAVADO]:[Otros / No Grav.]])</f>
        <v>58150.719900000004</v>
      </c>
      <c r="Q138" s="432" t="str">
        <f>IFERROR(IF(compras_mes576[[#This Row],[CUIT]]="","-",VLOOKUP(compras_mes576[[#This Row],[CUIT]],Lista_CUIT[#All],3,0)),"CUIT NO CARGADO")</f>
        <v>Gastos Varios</v>
      </c>
      <c r="R138" s="432">
        <f>IFERROR(IF(compras_mes576[[#This Row],[CUIT]]="","-",VLOOKUP(compras_mes576[[#This Row],[CUIT]],Lista_CUIT[#All],4,0)),"CUIT NO CARGADO")</f>
        <v>0</v>
      </c>
    </row>
    <row r="139" spans="2:18" s="56" customFormat="1" ht="18.600000000000001" customHeight="1">
      <c r="B139" s="425" t="s">
        <v>2266</v>
      </c>
      <c r="C139" s="90">
        <v>1</v>
      </c>
      <c r="D139" s="91">
        <v>2188</v>
      </c>
      <c r="E139" s="92">
        <v>120279</v>
      </c>
      <c r="F139" s="93">
        <v>30548083156</v>
      </c>
      <c r="G139" s="436" t="str">
        <f>IFERROR(IF(compras_mes576[[#This Row],[CUIT]]="","-",VLOOKUP(compras_mes576[[#This Row],[CUIT]],Lista_CUIT[#All],2,0)),"CUIT NO CARGADO")</f>
        <v>COTO CENTRO INTEGRAL DE COMERCIALIZACION SOCIEDAD ANONIMA</v>
      </c>
      <c r="H139" s="95">
        <v>32230.87</v>
      </c>
      <c r="I139" s="426">
        <f>IF(compras_mes576[[#This Row],[NETO GRAVADO]]="","",compras_mes576[[#This Row],[NETO GRAVADO]]*0.21)</f>
        <v>6768.4826999999996</v>
      </c>
      <c r="J139" s="426"/>
      <c r="K139" s="426"/>
      <c r="L139" s="426"/>
      <c r="M139" s="426"/>
      <c r="N139" s="426"/>
      <c r="O139" s="426">
        <v>2900.78</v>
      </c>
      <c r="P139" s="455">
        <f>SUM(compras_mes576[[#This Row],[NETO GRAVADO]:[Otros / No Grav.]])</f>
        <v>41900.132699999995</v>
      </c>
      <c r="Q139" s="432" t="str">
        <f>IFERROR(IF(compras_mes576[[#This Row],[CUIT]]="","-",VLOOKUP(compras_mes576[[#This Row],[CUIT]],Lista_CUIT[#All],3,0)),"CUIT NO CARGADO")</f>
        <v>Gastos Varios</v>
      </c>
      <c r="R139" s="432">
        <f>IFERROR(IF(compras_mes576[[#This Row],[CUIT]]="","-",VLOOKUP(compras_mes576[[#This Row],[CUIT]],Lista_CUIT[#All],4,0)),"CUIT NO CARGADO")</f>
        <v>0</v>
      </c>
    </row>
    <row r="140" spans="2:18" s="56" customFormat="1" ht="18.600000000000001" customHeight="1">
      <c r="B140" s="425" t="s">
        <v>2266</v>
      </c>
      <c r="C140" s="90">
        <v>1</v>
      </c>
      <c r="D140" s="91">
        <v>700</v>
      </c>
      <c r="E140" s="92">
        <v>1674693</v>
      </c>
      <c r="F140" s="93">
        <v>30715804812</v>
      </c>
      <c r="G140" s="436" t="str">
        <f>IFERROR(IF(compras_mes576[[#This Row],[CUIT]]="","-",VLOOKUP(compras_mes576[[#This Row],[CUIT]],Lista_CUIT[#All],2,0)),"CUIT NO CARGADO")</f>
        <v>CORREDORES VIALES SOCIEDAD ANONIMA</v>
      </c>
      <c r="H140" s="95">
        <v>3471.08</v>
      </c>
      <c r="I140" s="426">
        <f>IF(compras_mes576[[#This Row],[NETO GRAVADO]]="","",compras_mes576[[#This Row],[NETO GRAVADO]]*0.21)</f>
        <v>728.92679999999996</v>
      </c>
      <c r="J140" s="426"/>
      <c r="K140" s="426"/>
      <c r="L140" s="426"/>
      <c r="M140" s="426"/>
      <c r="N140" s="426"/>
      <c r="O140" s="426"/>
      <c r="P140" s="424">
        <f>SUM(compras_mes576[[#This Row],[NETO GRAVADO]:[Otros / No Grav.]])</f>
        <v>4200.0068000000001</v>
      </c>
      <c r="Q140" s="432" t="str">
        <f>IFERROR(IF(compras_mes576[[#This Row],[CUIT]]="","-",VLOOKUP(compras_mes576[[#This Row],[CUIT]],Lista_CUIT[#All],3,0)),"CUIT NO CARGADO")</f>
        <v>Peajes</v>
      </c>
      <c r="R140" s="432">
        <f>IFERROR(IF(compras_mes576[[#This Row],[CUIT]]="","-",VLOOKUP(compras_mes576[[#This Row],[CUIT]],Lista_CUIT[#All],4,0)),"CUIT NO CARGADO")</f>
        <v>0</v>
      </c>
    </row>
    <row r="141" spans="2:18" s="56" customFormat="1" ht="18.600000000000001" customHeight="1">
      <c r="B141" s="425" t="s">
        <v>2266</v>
      </c>
      <c r="C141" s="90">
        <v>1</v>
      </c>
      <c r="D141" s="91">
        <v>2</v>
      </c>
      <c r="E141" s="92">
        <v>3688</v>
      </c>
      <c r="F141" s="93">
        <v>30629863571</v>
      </c>
      <c r="G141" s="436" t="str">
        <f>IFERROR(IF(compras_mes576[[#This Row],[CUIT]]="","-",VLOOKUP(compras_mes576[[#This Row],[CUIT]],Lista_CUIT[#All],2,0)),"CUIT NO CARGADO")</f>
        <v>TECNIMAR S R L</v>
      </c>
      <c r="H141" s="95">
        <v>1839266.86</v>
      </c>
      <c r="I141" s="426">
        <f>IF(compras_mes576[[#This Row],[NETO GRAVADO]]="","",compras_mes576[[#This Row],[NETO GRAVADO]]*0.21)</f>
        <v>386246.04060000001</v>
      </c>
      <c r="J141" s="426"/>
      <c r="K141" s="426"/>
      <c r="L141" s="426"/>
      <c r="M141" s="426"/>
      <c r="N141" s="426"/>
      <c r="O141" s="426"/>
      <c r="P141" s="424">
        <f>SUM(compras_mes576[[#This Row],[NETO GRAVADO]:[Otros / No Grav.]])</f>
        <v>2225512.9006000003</v>
      </c>
      <c r="Q141" s="432" t="str">
        <f>IFERROR(IF(compras_mes576[[#This Row],[CUIT]]="","-",VLOOKUP(compras_mes576[[#This Row],[CUIT]],Lista_CUIT[#All],3,0)),"CUIT NO CARGADO")</f>
        <v>Productos Venta</v>
      </c>
      <c r="R141" s="432">
        <f>IFERROR(IF(compras_mes576[[#This Row],[CUIT]]="","-",VLOOKUP(compras_mes576[[#This Row],[CUIT]],Lista_CUIT[#All],4,0)),"CUIT NO CARGADO")</f>
        <v>0</v>
      </c>
    </row>
    <row r="142" spans="2:18" s="56" customFormat="1" ht="18.600000000000001" customHeight="1">
      <c r="B142" s="425" t="s">
        <v>2266</v>
      </c>
      <c r="C142" s="90">
        <v>3</v>
      </c>
      <c r="D142" s="91">
        <v>6</v>
      </c>
      <c r="E142" s="92">
        <v>468</v>
      </c>
      <c r="F142" s="93">
        <v>30574603788</v>
      </c>
      <c r="G142" s="436" t="str">
        <f>IFERROR(IF(compras_mes576[[#This Row],[CUIT]]="","-",VLOOKUP(compras_mes576[[#This Row],[CUIT]],Lista_CUIT[#All],2,0)),"CUIT NO CARGADO")</f>
        <v>CODAC SRL</v>
      </c>
      <c r="H142" s="95">
        <v>-3467770</v>
      </c>
      <c r="I142" s="426">
        <f>IF(compras_mes576[[#This Row],[NETO GRAVADO]]="","",compras_mes576[[#This Row],[NETO GRAVADO]]*0.21)</f>
        <v>-728231.7</v>
      </c>
      <c r="J142" s="426"/>
      <c r="K142" s="426"/>
      <c r="L142" s="426"/>
      <c r="M142" s="426"/>
      <c r="N142" s="426"/>
      <c r="O142" s="426"/>
      <c r="P142" s="424">
        <f>SUM(compras_mes576[[#This Row],[NETO GRAVADO]:[Otros / No Grav.]])</f>
        <v>-4196001.7</v>
      </c>
      <c r="Q142" s="432" t="str">
        <f>IFERROR(IF(compras_mes576[[#This Row],[CUIT]]="","-",VLOOKUP(compras_mes576[[#This Row],[CUIT]],Lista_CUIT[#All],3,0)),"CUIT NO CARGADO")</f>
        <v>Productos Venta</v>
      </c>
      <c r="R142" s="432" t="str">
        <f>IFERROR(IF(compras_mes576[[#This Row],[CUIT]]="","-",VLOOKUP(compras_mes576[[#This Row],[CUIT]],Lista_CUIT[#All],4,0)),"CUIT NO CARGADO")</f>
        <v>BUENOS AIRES</v>
      </c>
    </row>
    <row r="143" spans="2:18" s="56" customFormat="1" ht="18.600000000000001" customHeight="1">
      <c r="B143" s="425" t="s">
        <v>2267</v>
      </c>
      <c r="C143" s="90">
        <v>1</v>
      </c>
      <c r="D143" s="91">
        <v>1678</v>
      </c>
      <c r="E143" s="92">
        <v>38760</v>
      </c>
      <c r="F143" s="93">
        <v>30589621499</v>
      </c>
      <c r="G143" s="436" t="str">
        <f>IFERROR(IF(compras_mes576[[#This Row],[CUIT]]="","-",VLOOKUP(compras_mes576[[#This Row],[CUIT]],Lista_CUIT[#All],2,0)),"CUIT NO CARGADO")</f>
        <v>MAKRO SA</v>
      </c>
      <c r="H143" s="95">
        <v>88683.62</v>
      </c>
      <c r="I143" s="426">
        <f>87773.73*0.21</f>
        <v>18432.4833</v>
      </c>
      <c r="J143" s="426"/>
      <c r="K143" s="426">
        <f>909.89*0.105</f>
        <v>95.538449999999997</v>
      </c>
      <c r="L143" s="426">
        <v>2646.86</v>
      </c>
      <c r="M143" s="426"/>
      <c r="N143" s="426">
        <v>5321.02</v>
      </c>
      <c r="O143" s="426"/>
      <c r="P143" s="455">
        <f>SUM(compras_mes576[[#This Row],[NETO GRAVADO]:[Otros / No Grav.]])</f>
        <v>115179.52174999999</v>
      </c>
      <c r="Q143" s="432" t="str">
        <f>IFERROR(IF(compras_mes576[[#This Row],[CUIT]]="","-",VLOOKUP(compras_mes576[[#This Row],[CUIT]],Lista_CUIT[#All],3,0)),"CUIT NO CARGADO")</f>
        <v>Gastos Varios</v>
      </c>
      <c r="R143" s="432">
        <f>IFERROR(IF(compras_mes576[[#This Row],[CUIT]]="","-",VLOOKUP(compras_mes576[[#This Row],[CUIT]],Lista_CUIT[#All],4,0)),"CUIT NO CARGADO")</f>
        <v>0</v>
      </c>
    </row>
    <row r="144" spans="2:18" s="56" customFormat="1" ht="18.600000000000001" customHeight="1">
      <c r="B144" s="425" t="s">
        <v>2267</v>
      </c>
      <c r="C144" s="90">
        <v>1</v>
      </c>
      <c r="D144" s="91">
        <v>6850</v>
      </c>
      <c r="E144" s="92">
        <v>21460</v>
      </c>
      <c r="F144" s="93">
        <v>30678774495</v>
      </c>
      <c r="G144" s="436" t="str">
        <f>IFERROR(IF(compras_mes576[[#This Row],[CUIT]]="","-",VLOOKUP(compras_mes576[[#This Row],[CUIT]],Lista_CUIT[#All],2,0)),"CUIT NO CARGADO")</f>
        <v>OPER. DE EST. DE SERV. SA</v>
      </c>
      <c r="H144" s="95">
        <v>14534.59</v>
      </c>
      <c r="I144" s="426">
        <f>IF(compras_mes576[[#This Row],[NETO GRAVADO]]="","",compras_mes576[[#This Row],[NETO GRAVADO]]*0.21)</f>
        <v>3052.2638999999999</v>
      </c>
      <c r="J144" s="426"/>
      <c r="K144" s="426"/>
      <c r="L144" s="426"/>
      <c r="M144" s="426"/>
      <c r="N144" s="426"/>
      <c r="O144" s="426">
        <v>2413.13</v>
      </c>
      <c r="P144" s="455">
        <f>SUM(compras_mes576[[#This Row],[NETO GRAVADO]:[Otros / No Grav.]])</f>
        <v>19999.983900000003</v>
      </c>
      <c r="Q144" s="432" t="str">
        <f>IFERROR(IF(compras_mes576[[#This Row],[CUIT]]="","-",VLOOKUP(compras_mes576[[#This Row],[CUIT]],Lista_CUIT[#All],3,0)),"CUIT NO CARGADO")</f>
        <v>Combustible</v>
      </c>
      <c r="R144" s="432">
        <f>IFERROR(IF(compras_mes576[[#This Row],[CUIT]]="","-",VLOOKUP(compras_mes576[[#This Row],[CUIT]],Lista_CUIT[#All],4,0)),"CUIT NO CARGADO")</f>
        <v>0</v>
      </c>
    </row>
    <row r="145" spans="2:18" s="56" customFormat="1" ht="18.600000000000001" customHeight="1">
      <c r="B145" s="425" t="s">
        <v>2267</v>
      </c>
      <c r="C145" s="90">
        <v>1</v>
      </c>
      <c r="D145" s="91">
        <v>7</v>
      </c>
      <c r="E145" s="92">
        <v>125610</v>
      </c>
      <c r="F145" s="93">
        <v>30656515224</v>
      </c>
      <c r="G145" s="436" t="str">
        <f>IFERROR(IF(compras_mes576[[#This Row],[CUIT]]="","-",VLOOKUP(compras_mes576[[#This Row],[CUIT]],Lista_CUIT[#All],2,0)),"CUIT NO CARGADO")</f>
        <v>DEPOSITO FISCAL BUENOS AIRES SA</v>
      </c>
      <c r="H145" s="95">
        <v>151000</v>
      </c>
      <c r="I145" s="426">
        <f>IF(compras_mes576[[#This Row],[NETO GRAVADO]]="","",compras_mes576[[#This Row],[NETO GRAVADO]]*0.21)</f>
        <v>31710</v>
      </c>
      <c r="J145" s="426"/>
      <c r="K145" s="426"/>
      <c r="L145" s="426"/>
      <c r="M145" s="426"/>
      <c r="N145" s="426">
        <v>9060</v>
      </c>
      <c r="O145" s="426"/>
      <c r="P145" s="455">
        <f>SUM(compras_mes576[[#This Row],[NETO GRAVADO]:[Otros / No Grav.]])</f>
        <v>191770</v>
      </c>
      <c r="Q145" s="432" t="str">
        <f>IFERROR(IF(compras_mes576[[#This Row],[CUIT]]="","-",VLOOKUP(compras_mes576[[#This Row],[CUIT]],Lista_CUIT[#All],3,0)),"CUIT NO CARGADO")</f>
        <v>Servicios Varios</v>
      </c>
      <c r="R145" s="432">
        <f>IFERROR(IF(compras_mes576[[#This Row],[CUIT]]="","-",VLOOKUP(compras_mes576[[#This Row],[CUIT]],Lista_CUIT[#All],4,0)),"CUIT NO CARGADO")</f>
        <v>0</v>
      </c>
    </row>
    <row r="146" spans="2:18" s="56" customFormat="1" ht="18.600000000000001" customHeight="1">
      <c r="B146" s="425" t="s">
        <v>2267</v>
      </c>
      <c r="C146" s="90">
        <v>1</v>
      </c>
      <c r="D146" s="91">
        <v>2199</v>
      </c>
      <c r="E146" s="92">
        <v>29395</v>
      </c>
      <c r="F146" s="93">
        <v>30548083156</v>
      </c>
      <c r="G146" s="436" t="str">
        <f>IFERROR(IF(compras_mes576[[#This Row],[CUIT]]="","-",VLOOKUP(compras_mes576[[#This Row],[CUIT]],Lista_CUIT[#All],2,0)),"CUIT NO CARGADO")</f>
        <v>COTO CENTRO INTEGRAL DE COMERCIALIZACION SOCIEDAD ANONIMA</v>
      </c>
      <c r="H146" s="95">
        <v>64608.35</v>
      </c>
      <c r="I146" s="426">
        <f>55567.33*0.21</f>
        <v>11669.139300000001</v>
      </c>
      <c r="J146" s="426"/>
      <c r="K146" s="426">
        <f>9041.02*0.105</f>
        <v>949.30709999999999</v>
      </c>
      <c r="L146" s="426"/>
      <c r="M146" s="426"/>
      <c r="N146" s="426"/>
      <c r="O146" s="426">
        <v>4693.8900000000003</v>
      </c>
      <c r="P146" s="455">
        <f>SUM(compras_mes576[[#This Row],[NETO GRAVADO]:[Otros / No Grav.]])</f>
        <v>81920.686400000006</v>
      </c>
      <c r="Q146" s="432" t="str">
        <f>IFERROR(IF(compras_mes576[[#This Row],[CUIT]]="","-",VLOOKUP(compras_mes576[[#This Row],[CUIT]],Lista_CUIT[#All],3,0)),"CUIT NO CARGADO")</f>
        <v>Gastos Varios</v>
      </c>
      <c r="R146" s="432">
        <f>IFERROR(IF(compras_mes576[[#This Row],[CUIT]]="","-",VLOOKUP(compras_mes576[[#This Row],[CUIT]],Lista_CUIT[#All],4,0)),"CUIT NO CARGADO")</f>
        <v>0</v>
      </c>
    </row>
    <row r="147" spans="2:18" s="56" customFormat="1" ht="18.600000000000001" customHeight="1">
      <c r="B147" s="425" t="s">
        <v>2267</v>
      </c>
      <c r="C147" s="90">
        <v>1</v>
      </c>
      <c r="D147" s="91">
        <v>3</v>
      </c>
      <c r="E147" s="92">
        <v>1880</v>
      </c>
      <c r="F147" s="93">
        <v>30718018311</v>
      </c>
      <c r="G147" s="436" t="str">
        <f>IFERROR(IF(compras_mes576[[#This Row],[CUIT]]="","-",VLOOKUP(compras_mes576[[#This Row],[CUIT]],Lista_CUIT[#All],2,0)),"CUIT NO CARGADO")</f>
        <v>ANIMAL BROTHERS VENTA MAYORISTA Y MINORISTA DE ALIMENTOS BALANCEADOS DE SPADOTTO GABRIELA F. Y SPADO</v>
      </c>
      <c r="H147" s="95">
        <v>28355.37</v>
      </c>
      <c r="I147" s="426">
        <f>IF(compras_mes576[[#This Row],[NETO GRAVADO]]="","",compras_mes576[[#This Row],[NETO GRAVADO]]*0.21)</f>
        <v>5954.6277</v>
      </c>
      <c r="J147" s="426"/>
      <c r="K147" s="426"/>
      <c r="L147" s="426"/>
      <c r="M147" s="426"/>
      <c r="N147" s="426"/>
      <c r="O147" s="426"/>
      <c r="P147" s="424">
        <f>SUM(compras_mes576[[#This Row],[NETO GRAVADO]:[Otros / No Grav.]])</f>
        <v>34309.9977</v>
      </c>
      <c r="Q147" s="432" t="str">
        <f>IFERROR(IF(compras_mes576[[#This Row],[CUIT]]="","-",VLOOKUP(compras_mes576[[#This Row],[CUIT]],Lista_CUIT[#All],3,0)),"CUIT NO CARGADO")</f>
        <v>Gastos Varios</v>
      </c>
      <c r="R147" s="432">
        <f>IFERROR(IF(compras_mes576[[#This Row],[CUIT]]="","-",VLOOKUP(compras_mes576[[#This Row],[CUIT]],Lista_CUIT[#All],4,0)),"CUIT NO CARGADO")</f>
        <v>0</v>
      </c>
    </row>
    <row r="148" spans="2:18" s="56" customFormat="1" ht="18.600000000000001" customHeight="1">
      <c r="B148" s="425" t="s">
        <v>2267</v>
      </c>
      <c r="C148" s="90">
        <v>1</v>
      </c>
      <c r="D148" s="91">
        <v>3</v>
      </c>
      <c r="E148" s="92">
        <v>2020</v>
      </c>
      <c r="F148" s="93">
        <v>23168773684</v>
      </c>
      <c r="G148" s="436" t="str">
        <f>IFERROR(IF(compras_mes576[[#This Row],[CUIT]]="","-",VLOOKUP(compras_mes576[[#This Row],[CUIT]],Lista_CUIT[#All],2,0)),"CUIT NO CARGADO")</f>
        <v>CAROSIO ROSANA BEATRIZ</v>
      </c>
      <c r="H148" s="95">
        <v>83820</v>
      </c>
      <c r="I148" s="426">
        <f>IF(compras_mes576[[#This Row],[NETO GRAVADO]]="","",compras_mes576[[#This Row],[NETO GRAVADO]]*0.21)</f>
        <v>17602.2</v>
      </c>
      <c r="J148" s="426"/>
      <c r="K148" s="426"/>
      <c r="L148" s="426"/>
      <c r="M148" s="426"/>
      <c r="N148" s="426"/>
      <c r="O148" s="426"/>
      <c r="P148" s="424">
        <f>SUM(compras_mes576[[#This Row],[NETO GRAVADO]:[Otros / No Grav.]])</f>
        <v>101422.2</v>
      </c>
      <c r="Q148" s="432" t="str">
        <f>IFERROR(IF(compras_mes576[[#This Row],[CUIT]]="","-",VLOOKUP(compras_mes576[[#This Row],[CUIT]],Lista_CUIT[#All],3,0)),"CUIT NO CARGADO")</f>
        <v>Honorarios Legales</v>
      </c>
      <c r="R148" s="432">
        <f>IFERROR(IF(compras_mes576[[#This Row],[CUIT]]="","-",VLOOKUP(compras_mes576[[#This Row],[CUIT]],Lista_CUIT[#All],4,0)),"CUIT NO CARGADO")</f>
        <v>0</v>
      </c>
    </row>
    <row r="149" spans="2:18" s="56" customFormat="1" ht="18.600000000000001" customHeight="1">
      <c r="B149" s="425" t="s">
        <v>2268</v>
      </c>
      <c r="C149" s="90">
        <v>1</v>
      </c>
      <c r="D149" s="91">
        <v>6</v>
      </c>
      <c r="E149" s="92">
        <v>24997</v>
      </c>
      <c r="F149" s="93">
        <v>33640878679</v>
      </c>
      <c r="G149" s="436" t="str">
        <f>IFERROR(IF(compras_mes576[[#This Row],[CUIT]]="","-",VLOOKUP(compras_mes576[[#This Row],[CUIT]],Lista_CUIT[#All],2,0)),"CUIT NO CARGADO")</f>
        <v>DHACAM S R L</v>
      </c>
      <c r="H149" s="95">
        <v>321000</v>
      </c>
      <c r="I149" s="426">
        <f>IF(compras_mes576[[#This Row],[NETO GRAVADO]]="","",compras_mes576[[#This Row],[NETO GRAVADO]]*0.21)</f>
        <v>67410</v>
      </c>
      <c r="J149" s="426"/>
      <c r="K149" s="426"/>
      <c r="L149" s="426"/>
      <c r="M149" s="426"/>
      <c r="N149" s="426"/>
      <c r="O149" s="426"/>
      <c r="P149" s="424">
        <f>SUM(compras_mes576[[#This Row],[NETO GRAVADO]:[Otros / No Grav.]])</f>
        <v>388410</v>
      </c>
      <c r="Q149" s="432" t="str">
        <f>IFERROR(IF(compras_mes576[[#This Row],[CUIT]]="","-",VLOOKUP(compras_mes576[[#This Row],[CUIT]],Lista_CUIT[#All],3,0)),"CUIT NO CARGADO")</f>
        <v>Materia Prima</v>
      </c>
      <c r="R149" s="432">
        <f>IFERROR(IF(compras_mes576[[#This Row],[CUIT]]="","-",VLOOKUP(compras_mes576[[#This Row],[CUIT]],Lista_CUIT[#All],4,0)),"CUIT NO CARGADO")</f>
        <v>0</v>
      </c>
    </row>
    <row r="150" spans="2:18" s="56" customFormat="1" ht="18.600000000000001" customHeight="1">
      <c r="B150" s="425" t="s">
        <v>2268</v>
      </c>
      <c r="C150" s="90">
        <v>1</v>
      </c>
      <c r="D150" s="91">
        <v>1</v>
      </c>
      <c r="E150" s="92">
        <v>31142</v>
      </c>
      <c r="F150" s="93">
        <v>30715459368</v>
      </c>
      <c r="G150" s="436" t="str">
        <f>IFERROR(IF(compras_mes576[[#This Row],[CUIT]]="","-",VLOOKUP(compras_mes576[[#This Row],[CUIT]],Lista_CUIT[#All],2,0)),"CUIT NO CARGADO")</f>
        <v>XTR SRL</v>
      </c>
      <c r="H150" s="95">
        <v>23081.82</v>
      </c>
      <c r="I150" s="426">
        <f>IF(compras_mes576[[#This Row],[NETO GRAVADO]]="","",compras_mes576[[#This Row],[NETO GRAVADO]]*0.21)</f>
        <v>4847.1822000000002</v>
      </c>
      <c r="J150" s="426"/>
      <c r="K150" s="426"/>
      <c r="L150" s="426"/>
      <c r="M150" s="426"/>
      <c r="N150" s="426"/>
      <c r="O150" s="426"/>
      <c r="P150" s="424">
        <f>SUM(compras_mes576[[#This Row],[NETO GRAVADO]:[Otros / No Grav.]])</f>
        <v>27929.002199999999</v>
      </c>
      <c r="Q150" s="432" t="str">
        <f>IFERROR(IF(compras_mes576[[#This Row],[CUIT]]="","-",VLOOKUP(compras_mes576[[#This Row],[CUIT]],Lista_CUIT[#All],3,0)),"CUIT NO CARGADO")</f>
        <v>Materia Prima</v>
      </c>
      <c r="R150" s="432">
        <f>IFERROR(IF(compras_mes576[[#This Row],[CUIT]]="","-",VLOOKUP(compras_mes576[[#This Row],[CUIT]],Lista_CUIT[#All],4,0)),"CUIT NO CARGADO")</f>
        <v>0</v>
      </c>
    </row>
    <row r="151" spans="2:18" s="56" customFormat="1" ht="18.600000000000001" customHeight="1">
      <c r="B151" s="425" t="s">
        <v>2268</v>
      </c>
      <c r="C151" s="90">
        <v>1</v>
      </c>
      <c r="D151" s="91">
        <v>10</v>
      </c>
      <c r="E151" s="92">
        <v>12601</v>
      </c>
      <c r="F151" s="93">
        <v>30708157755</v>
      </c>
      <c r="G151" s="436" t="str">
        <f>IFERROR(IF(compras_mes576[[#This Row],[CUIT]]="","-",VLOOKUP(compras_mes576[[#This Row],[CUIT]],Lista_CUIT[#All],2,0)),"CUIT NO CARGADO")</f>
        <v>EXPOENVASE SRL</v>
      </c>
      <c r="H151" s="95">
        <v>90630</v>
      </c>
      <c r="I151" s="426">
        <f>IF(compras_mes576[[#This Row],[NETO GRAVADO]]="","",compras_mes576[[#This Row],[NETO GRAVADO]]*0.21)</f>
        <v>19032.3</v>
      </c>
      <c r="J151" s="426"/>
      <c r="K151" s="426"/>
      <c r="L151" s="426"/>
      <c r="M151" s="426"/>
      <c r="N151" s="426"/>
      <c r="O151" s="426"/>
      <c r="P151" s="424">
        <f>SUM(compras_mes576[[#This Row],[NETO GRAVADO]:[Otros / No Grav.]])</f>
        <v>109662.3</v>
      </c>
      <c r="Q151" s="432" t="str">
        <f>IFERROR(IF(compras_mes576[[#This Row],[CUIT]]="","-",VLOOKUP(compras_mes576[[#This Row],[CUIT]],Lista_CUIT[#All],3,0)),"CUIT NO CARGADO")</f>
        <v>Material de Empaque</v>
      </c>
      <c r="R151" s="432">
        <f>IFERROR(IF(compras_mes576[[#This Row],[CUIT]]="","-",VLOOKUP(compras_mes576[[#This Row],[CUIT]],Lista_CUIT[#All],4,0)),"CUIT NO CARGADO")</f>
        <v>0</v>
      </c>
    </row>
    <row r="152" spans="2:18" s="56" customFormat="1" ht="18.600000000000001" customHeight="1">
      <c r="B152" s="425" t="s">
        <v>2268</v>
      </c>
      <c r="C152" s="90">
        <v>1</v>
      </c>
      <c r="D152" s="91">
        <v>2</v>
      </c>
      <c r="E152" s="92">
        <v>3692</v>
      </c>
      <c r="F152" s="93">
        <v>30629863571</v>
      </c>
      <c r="G152" s="436" t="str">
        <f>IFERROR(IF(compras_mes576[[#This Row],[CUIT]]="","-",VLOOKUP(compras_mes576[[#This Row],[CUIT]],Lista_CUIT[#All],2,0)),"CUIT NO CARGADO")</f>
        <v>TECNIMAR S R L</v>
      </c>
      <c r="H152" s="95">
        <v>1691744.05</v>
      </c>
      <c r="I152" s="426">
        <f>IF(compras_mes576[[#This Row],[NETO GRAVADO]]="","",compras_mes576[[#This Row],[NETO GRAVADO]]*0.21)</f>
        <v>355266.25050000002</v>
      </c>
      <c r="J152" s="426"/>
      <c r="K152" s="426"/>
      <c r="L152" s="426"/>
      <c r="M152" s="426"/>
      <c r="N152" s="426"/>
      <c r="O152" s="426"/>
      <c r="P152" s="424">
        <f>SUM(compras_mes576[[#This Row],[NETO GRAVADO]:[Otros / No Grav.]])</f>
        <v>2047010.3005000001</v>
      </c>
      <c r="Q152" s="432" t="str">
        <f>IFERROR(IF(compras_mes576[[#This Row],[CUIT]]="","-",VLOOKUP(compras_mes576[[#This Row],[CUIT]],Lista_CUIT[#All],3,0)),"CUIT NO CARGADO")</f>
        <v>Productos Venta</v>
      </c>
      <c r="R152" s="432">
        <f>IFERROR(IF(compras_mes576[[#This Row],[CUIT]]="","-",VLOOKUP(compras_mes576[[#This Row],[CUIT]],Lista_CUIT[#All],4,0)),"CUIT NO CARGADO")</f>
        <v>0</v>
      </c>
    </row>
    <row r="153" spans="2:18" s="56" customFormat="1" ht="18.600000000000001" customHeight="1">
      <c r="B153" s="425" t="s">
        <v>2269</v>
      </c>
      <c r="C153" s="90">
        <v>1</v>
      </c>
      <c r="D153" s="91">
        <v>8</v>
      </c>
      <c r="E153" s="92">
        <v>208</v>
      </c>
      <c r="F153" s="93">
        <v>20134664518</v>
      </c>
      <c r="G153" s="436" t="str">
        <f>IFERROR(IF(compras_mes576[[#This Row],[CUIT]]="","-",VLOOKUP(compras_mes576[[#This Row],[CUIT]],Lista_CUIT[#All],2,0)),"CUIT NO CARGADO")</f>
        <v>HOKAMA SERGIO ENRIQUE</v>
      </c>
      <c r="H153" s="95">
        <v>11838.84</v>
      </c>
      <c r="I153" s="426">
        <f>IF(compras_mes576[[#This Row],[NETO GRAVADO]]="","",compras_mes576[[#This Row],[NETO GRAVADO]]*0.21)</f>
        <v>2486.1563999999998</v>
      </c>
      <c r="J153" s="426"/>
      <c r="K153" s="426"/>
      <c r="L153" s="426"/>
      <c r="M153" s="426"/>
      <c r="N153" s="426"/>
      <c r="O153" s="426"/>
      <c r="P153" s="424">
        <f>SUM(compras_mes576[[#This Row],[NETO GRAVADO]:[Otros / No Grav.]])</f>
        <v>14324.9964</v>
      </c>
      <c r="Q153" s="432" t="str">
        <f>IFERROR(IF(compras_mes576[[#This Row],[CUIT]]="","-",VLOOKUP(compras_mes576[[#This Row],[CUIT]],Lista_CUIT[#All],3,0)),"CUIT NO CARGADO")</f>
        <v>Gastos Varios</v>
      </c>
      <c r="R153" s="432" t="str">
        <f>IFERROR(IF(compras_mes576[[#This Row],[CUIT]]="","-",VLOOKUP(compras_mes576[[#This Row],[CUIT]],Lista_CUIT[#All],4,0)),"CUIT NO CARGADO")</f>
        <v>BUENOS AIRES</v>
      </c>
    </row>
    <row r="154" spans="2:18" s="56" customFormat="1" ht="18.600000000000001" customHeight="1">
      <c r="B154" s="425" t="s">
        <v>2270</v>
      </c>
      <c r="C154" s="90">
        <v>1</v>
      </c>
      <c r="D154" s="91">
        <v>2199</v>
      </c>
      <c r="E154" s="92">
        <v>29475</v>
      </c>
      <c r="F154" s="93">
        <v>30548083156</v>
      </c>
      <c r="G154" s="436" t="str">
        <f>IFERROR(IF(compras_mes576[[#This Row],[CUIT]]="","-",VLOOKUP(compras_mes576[[#This Row],[CUIT]],Lista_CUIT[#All],2,0)),"CUIT NO CARGADO")</f>
        <v>COTO CENTRO INTEGRAL DE COMERCIALIZACION SOCIEDAD ANONIMA</v>
      </c>
      <c r="H154" s="95">
        <v>51157.78</v>
      </c>
      <c r="I154" s="426">
        <f>43787.35*0.21</f>
        <v>9195.343499999999</v>
      </c>
      <c r="J154" s="426"/>
      <c r="K154" s="426">
        <f>7370.43*0.105</f>
        <v>773.89515000000006</v>
      </c>
      <c r="L154" s="426"/>
      <c r="M154" s="426"/>
      <c r="N154" s="426"/>
      <c r="O154" s="426">
        <v>3698.68</v>
      </c>
      <c r="P154" s="455">
        <f>SUM(compras_mes576[[#This Row],[NETO GRAVADO]:[Otros / No Grav.]])</f>
        <v>64825.698649999998</v>
      </c>
      <c r="Q154" s="432" t="str">
        <f>IFERROR(IF(compras_mes576[[#This Row],[CUIT]]="","-",VLOOKUP(compras_mes576[[#This Row],[CUIT]],Lista_CUIT[#All],3,0)),"CUIT NO CARGADO")</f>
        <v>Gastos Varios</v>
      </c>
      <c r="R154" s="432">
        <f>IFERROR(IF(compras_mes576[[#This Row],[CUIT]]="","-",VLOOKUP(compras_mes576[[#This Row],[CUIT]],Lista_CUIT[#All],4,0)),"CUIT NO CARGADO")</f>
        <v>0</v>
      </c>
    </row>
    <row r="155" spans="2:18" s="56" customFormat="1" ht="18.600000000000001" customHeight="1">
      <c r="B155" s="425" t="s">
        <v>2270</v>
      </c>
      <c r="C155" s="90">
        <v>1</v>
      </c>
      <c r="D155" s="91">
        <v>6854</v>
      </c>
      <c r="E155" s="92">
        <v>14887</v>
      </c>
      <c r="F155" s="93">
        <v>30678774495</v>
      </c>
      <c r="G155" s="436" t="str">
        <f>IFERROR(IF(compras_mes576[[#This Row],[CUIT]]="","-",VLOOKUP(compras_mes576[[#This Row],[CUIT]],Lista_CUIT[#All],2,0)),"CUIT NO CARGADO")</f>
        <v>OPER. DE EST. DE SERV. SA</v>
      </c>
      <c r="H155" s="95">
        <v>7267.33</v>
      </c>
      <c r="I155" s="426">
        <f>IF(compras_mes576[[#This Row],[NETO GRAVADO]]="","",compras_mes576[[#This Row],[NETO GRAVADO]]*0.21)</f>
        <v>1526.1392999999998</v>
      </c>
      <c r="J155" s="426"/>
      <c r="K155" s="426"/>
      <c r="L155" s="426"/>
      <c r="M155" s="426"/>
      <c r="N155" s="426"/>
      <c r="O155" s="426">
        <v>1206.57</v>
      </c>
      <c r="P155" s="455">
        <f>SUM(compras_mes576[[#This Row],[NETO GRAVADO]:[Otros / No Grav.]])</f>
        <v>10000.0393</v>
      </c>
      <c r="Q155" s="432" t="str">
        <f>IFERROR(IF(compras_mes576[[#This Row],[CUIT]]="","-",VLOOKUP(compras_mes576[[#This Row],[CUIT]],Lista_CUIT[#All],3,0)),"CUIT NO CARGADO")</f>
        <v>Combustible</v>
      </c>
      <c r="R155" s="432">
        <f>IFERROR(IF(compras_mes576[[#This Row],[CUIT]]="","-",VLOOKUP(compras_mes576[[#This Row],[CUIT]],Lista_CUIT[#All],4,0)),"CUIT NO CARGADO")</f>
        <v>0</v>
      </c>
    </row>
    <row r="156" spans="2:18" s="56" customFormat="1" ht="18.600000000000001" customHeight="1">
      <c r="B156" s="425" t="s">
        <v>2270</v>
      </c>
      <c r="C156" s="90">
        <v>1</v>
      </c>
      <c r="D156" s="91">
        <v>8271</v>
      </c>
      <c r="E156" s="92">
        <v>9743</v>
      </c>
      <c r="F156" s="93">
        <v>30590360763</v>
      </c>
      <c r="G156" s="436" t="str">
        <f>IFERROR(IF(compras_mes576[[#This Row],[CUIT]]="","-",VLOOKUP(compras_mes576[[#This Row],[CUIT]],Lista_CUIT[#All],2,0)),"CUIT NO CARGADO")</f>
        <v>CENCOSUD S.A</v>
      </c>
      <c r="H156" s="95">
        <v>34648.94</v>
      </c>
      <c r="I156" s="426">
        <f>29599.17*0.21</f>
        <v>6215.8256999999994</v>
      </c>
      <c r="J156" s="426"/>
      <c r="K156" s="426">
        <f>5049.77*0.105</f>
        <v>530.22585000000004</v>
      </c>
      <c r="L156" s="426">
        <v>963.73</v>
      </c>
      <c r="M156" s="426"/>
      <c r="N156" s="426">
        <v>2078.94</v>
      </c>
      <c r="O156" s="426"/>
      <c r="P156" s="455">
        <f>SUM(compras_mes576[[#This Row],[NETO GRAVADO]:[Otros / No Grav.]])</f>
        <v>44437.661550000012</v>
      </c>
      <c r="Q156" s="432" t="str">
        <f>IFERROR(IF(compras_mes576[[#This Row],[CUIT]]="","-",VLOOKUP(compras_mes576[[#This Row],[CUIT]],Lista_CUIT[#All],3,0)),"CUIT NO CARGADO")</f>
        <v>Gastos Varios</v>
      </c>
      <c r="R156" s="432">
        <f>IFERROR(IF(compras_mes576[[#This Row],[CUIT]]="","-",VLOOKUP(compras_mes576[[#This Row],[CUIT]],Lista_CUIT[#All],4,0)),"CUIT NO CARGADO")</f>
        <v>0</v>
      </c>
    </row>
    <row r="157" spans="2:18" s="56" customFormat="1" ht="18.600000000000001" customHeight="1">
      <c r="B157" s="425" t="s">
        <v>2271</v>
      </c>
      <c r="C157" s="90">
        <v>1</v>
      </c>
      <c r="D157" s="91">
        <v>11</v>
      </c>
      <c r="E157" s="92">
        <v>78648</v>
      </c>
      <c r="F157" s="93">
        <v>30534051049</v>
      </c>
      <c r="G157" s="436" t="str">
        <f>IFERROR(IF(compras_mes576[[#This Row],[CUIT]]="","-",VLOOKUP(compras_mes576[[#This Row],[CUIT]],Lista_CUIT[#All],2,0)),"CUIT NO CARGADO")</f>
        <v>PLIN METAL S A</v>
      </c>
      <c r="H157" s="95">
        <v>1431.72</v>
      </c>
      <c r="I157" s="426"/>
      <c r="J157" s="426"/>
      <c r="K157" s="426">
        <f>compras_mes576[[#This Row],[NETO GRAVADO]]*0.105</f>
        <v>150.3306</v>
      </c>
      <c r="L157" s="426"/>
      <c r="M157" s="426"/>
      <c r="N157" s="426"/>
      <c r="O157" s="426"/>
      <c r="P157" s="455">
        <f>SUM(compras_mes576[[#This Row],[NETO GRAVADO]:[Otros / No Grav.]])</f>
        <v>1582.0506</v>
      </c>
      <c r="Q157" s="432" t="str">
        <f>IFERROR(IF(compras_mes576[[#This Row],[CUIT]]="","-",VLOOKUP(compras_mes576[[#This Row],[CUIT]],Lista_CUIT[#All],3,0)),"CUIT NO CARGADO")</f>
        <v>Materia Prima</v>
      </c>
      <c r="R157" s="432">
        <f>IFERROR(IF(compras_mes576[[#This Row],[CUIT]]="","-",VLOOKUP(compras_mes576[[#This Row],[CUIT]],Lista_CUIT[#All],4,0)),"CUIT NO CARGADO")</f>
        <v>0</v>
      </c>
    </row>
    <row r="158" spans="2:18" s="56" customFormat="1" ht="18.600000000000001" customHeight="1">
      <c r="B158" s="488" t="s">
        <v>2271</v>
      </c>
      <c r="C158" s="489">
        <v>1</v>
      </c>
      <c r="D158" s="364">
        <v>8</v>
      </c>
      <c r="E158" s="365">
        <v>4852</v>
      </c>
      <c r="F158" s="366">
        <v>30717096068</v>
      </c>
      <c r="G158" s="490" t="str">
        <f>IFERROR(IF(compras_mes576[[#This Row],[CUIT]]="","-",VLOOKUP(compras_mes576[[#This Row],[CUIT]],Lista_CUIT[#All],2,0)),"CUIT NO CARGADO")</f>
        <v>GADARO S.A.</v>
      </c>
      <c r="H158" s="264">
        <v>350413.22</v>
      </c>
      <c r="I158" s="491">
        <f>IF(compras_mes576[[#This Row],[NETO GRAVADO]]="","",compras_mes576[[#This Row],[NETO GRAVADO]]*0.21)</f>
        <v>73586.776199999993</v>
      </c>
      <c r="J158" s="491"/>
      <c r="K158" s="491"/>
      <c r="L158" s="491"/>
      <c r="M158" s="491"/>
      <c r="N158" s="491"/>
      <c r="O158" s="491"/>
      <c r="P158" s="492">
        <f>SUM(compras_mes576[[#This Row],[NETO GRAVADO]:[Otros / No Grav.]])</f>
        <v>423999.99619999994</v>
      </c>
      <c r="Q158" s="493" t="str">
        <f>IFERROR(IF(compras_mes576[[#This Row],[CUIT]]="","-",VLOOKUP(compras_mes576[[#This Row],[CUIT]],Lista_CUIT[#All],3,0)),"CUIT NO CARGADO")</f>
        <v>Servicios Gas, Luz, etc.</v>
      </c>
      <c r="R158" s="493">
        <f>IFERROR(IF(compras_mes576[[#This Row],[CUIT]]="","-",VLOOKUP(compras_mes576[[#This Row],[CUIT]],Lista_CUIT[#All],4,0)),"CUIT NO CARGADO")</f>
        <v>0</v>
      </c>
    </row>
    <row r="159" spans="2:18" s="56" customFormat="1" ht="18.600000000000001" customHeight="1">
      <c r="B159" s="425" t="s">
        <v>2272</v>
      </c>
      <c r="C159" s="90">
        <v>1</v>
      </c>
      <c r="D159" s="91">
        <v>1</v>
      </c>
      <c r="E159" s="92">
        <v>61</v>
      </c>
      <c r="F159" s="93">
        <v>30718503481</v>
      </c>
      <c r="G159" s="436" t="str">
        <f>IFERROR(IF(compras_mes576[[#This Row],[CUIT]]="","-",VLOOKUP(compras_mes576[[#This Row],[CUIT]],Lista_CUIT[#All],2,0)),"CUIT NO CARGADO")</f>
        <v>THE PREMIUM GOODS S.R.L.</v>
      </c>
      <c r="H159" s="95">
        <v>56148.76</v>
      </c>
      <c r="I159" s="426">
        <f>IF(compras_mes576[[#This Row],[NETO GRAVADO]]="","",compras_mes576[[#This Row],[NETO GRAVADO]]*0.21)</f>
        <v>11791.239600000001</v>
      </c>
      <c r="J159" s="426"/>
      <c r="K159" s="426"/>
      <c r="L159" s="426"/>
      <c r="M159" s="426"/>
      <c r="N159" s="426"/>
      <c r="O159" s="426"/>
      <c r="P159" s="424">
        <f>SUM(compras_mes576[[#This Row],[NETO GRAVADO]:[Otros / No Grav.]])</f>
        <v>67939.99960000001</v>
      </c>
      <c r="Q159" s="432" t="str">
        <f>IFERROR(IF(compras_mes576[[#This Row],[CUIT]]="","-",VLOOKUP(compras_mes576[[#This Row],[CUIT]],Lista_CUIT[#All],3,0)),"CUIT NO CARGADO")</f>
        <v>Gastos Varios</v>
      </c>
      <c r="R159" s="432">
        <f>IFERROR(IF(compras_mes576[[#This Row],[CUIT]]="","-",VLOOKUP(compras_mes576[[#This Row],[CUIT]],Lista_CUIT[#All],4,0)),"CUIT NO CARGADO")</f>
        <v>0</v>
      </c>
    </row>
    <row r="160" spans="2:18" s="56" customFormat="1" ht="18.600000000000001" customHeight="1">
      <c r="B160" s="425" t="s">
        <v>2272</v>
      </c>
      <c r="C160" s="90">
        <v>1</v>
      </c>
      <c r="D160" s="91">
        <v>14</v>
      </c>
      <c r="E160" s="92">
        <v>12583</v>
      </c>
      <c r="F160" s="93">
        <v>30715186256</v>
      </c>
      <c r="G160" s="436" t="str">
        <f>IFERROR(IF(compras_mes576[[#This Row],[CUIT]]="","-",VLOOKUP(compras_mes576[[#This Row],[CUIT]],Lista_CUIT[#All],2,0)),"CUIT NO CARGADO")</f>
        <v>FRIGORIFICO ALIMENTIC</v>
      </c>
      <c r="H160" s="95">
        <v>22451.32</v>
      </c>
      <c r="I160" s="426">
        <f>8831.4*0.21</f>
        <v>1854.5939999999998</v>
      </c>
      <c r="J160" s="426"/>
      <c r="K160" s="426">
        <f>13619.92*0.105</f>
        <v>1430.0916</v>
      </c>
      <c r="L160" s="426"/>
      <c r="M160" s="426"/>
      <c r="N160" s="426"/>
      <c r="O160" s="426"/>
      <c r="P160" s="455">
        <f>SUM(compras_mes576[[#This Row],[NETO GRAVADO]:[Otros / No Grav.]])</f>
        <v>25736.0056</v>
      </c>
      <c r="Q160" s="432" t="str">
        <f>IFERROR(IF(compras_mes576[[#This Row],[CUIT]]="","-",VLOOKUP(compras_mes576[[#This Row],[CUIT]],Lista_CUIT[#All],3,0)),"CUIT NO CARGADO")</f>
        <v>Gastos Comercializacion - Feria</v>
      </c>
      <c r="R160" s="432">
        <f>IFERROR(IF(compras_mes576[[#This Row],[CUIT]]="","-",VLOOKUP(compras_mes576[[#This Row],[CUIT]],Lista_CUIT[#All],4,0)),"CUIT NO CARGADO")</f>
        <v>0</v>
      </c>
    </row>
    <row r="161" spans="2:18" s="56" customFormat="1" ht="18.600000000000001" customHeight="1">
      <c r="B161" s="425" t="s">
        <v>2272</v>
      </c>
      <c r="C161" s="90">
        <v>1</v>
      </c>
      <c r="D161" s="91">
        <v>21</v>
      </c>
      <c r="E161" s="92">
        <v>67477</v>
      </c>
      <c r="F161" s="93">
        <v>30661685731</v>
      </c>
      <c r="G161" s="436" t="str">
        <f>IFERROR(IF(compras_mes576[[#This Row],[CUIT]]="","-",VLOOKUP(compras_mes576[[#This Row],[CUIT]],Lista_CUIT[#All],2,0)),"CUIT NO CARGADO")</f>
        <v>TIO MUSA S.A.</v>
      </c>
      <c r="H161" s="95">
        <v>164461.98000000001</v>
      </c>
      <c r="I161" s="426">
        <f>IF(compras_mes576[[#This Row],[NETO GRAVADO]]="","",compras_mes576[[#This Row],[NETO GRAVADO]]*0.21)</f>
        <v>34537.015800000001</v>
      </c>
      <c r="J161" s="426"/>
      <c r="K161" s="426"/>
      <c r="L161" s="426"/>
      <c r="M161" s="426"/>
      <c r="N161" s="426">
        <v>9867.7199999999993</v>
      </c>
      <c r="O161" s="426"/>
      <c r="P161" s="455">
        <f>SUM(compras_mes576[[#This Row],[NETO GRAVADO]:[Otros / No Grav.]])</f>
        <v>208866.71580000001</v>
      </c>
      <c r="Q161" s="432" t="str">
        <f>IFERROR(IF(compras_mes576[[#This Row],[CUIT]]="","-",VLOOKUP(compras_mes576[[#This Row],[CUIT]],Lista_CUIT[#All],3,0)),"CUIT NO CARGADO")</f>
        <v>Gastos Oficina</v>
      </c>
      <c r="R161" s="432">
        <f>IFERROR(IF(compras_mes576[[#This Row],[CUIT]]="","-",VLOOKUP(compras_mes576[[#This Row],[CUIT]],Lista_CUIT[#All],4,0)),"CUIT NO CARGADO")</f>
        <v>0</v>
      </c>
    </row>
    <row r="162" spans="2:18" s="56" customFormat="1" ht="18.600000000000001" customHeight="1">
      <c r="B162" s="425" t="s">
        <v>2272</v>
      </c>
      <c r="C162" s="90">
        <v>1</v>
      </c>
      <c r="D162" s="91">
        <v>3</v>
      </c>
      <c r="E162" s="92">
        <v>8754</v>
      </c>
      <c r="F162" s="93">
        <v>20928324568</v>
      </c>
      <c r="G162" s="436" t="str">
        <f>IFERROR(IF(compras_mes576[[#This Row],[CUIT]]="","-",VLOOKUP(compras_mes576[[#This Row],[CUIT]],Lista_CUIT[#All],2,0)),"CUIT NO CARGADO")</f>
        <v>LATEULADE DORADO ADRIAN HUGO</v>
      </c>
      <c r="H162" s="95">
        <v>8677.69</v>
      </c>
      <c r="I162" s="426">
        <f>IF(compras_mes576[[#This Row],[NETO GRAVADO]]="","",compras_mes576[[#This Row],[NETO GRAVADO]]*0.21)</f>
        <v>1822.3149000000001</v>
      </c>
      <c r="J162" s="426"/>
      <c r="K162" s="426"/>
      <c r="L162" s="426"/>
      <c r="M162" s="426"/>
      <c r="N162" s="426"/>
      <c r="O162" s="426"/>
      <c r="P162" s="424">
        <f>SUM(compras_mes576[[#This Row],[NETO GRAVADO]:[Otros / No Grav.]])</f>
        <v>10500.0049</v>
      </c>
      <c r="Q162" s="432" t="str">
        <f>IFERROR(IF(compras_mes576[[#This Row],[CUIT]]="","-",VLOOKUP(compras_mes576[[#This Row],[CUIT]],Lista_CUIT[#All],3,0)),"CUIT NO CARGADO")</f>
        <v>Gastos Varios</v>
      </c>
      <c r="R162" s="432">
        <f>IFERROR(IF(compras_mes576[[#This Row],[CUIT]]="","-",VLOOKUP(compras_mes576[[#This Row],[CUIT]],Lista_CUIT[#All],4,0)),"CUIT NO CARGADO")</f>
        <v>0</v>
      </c>
    </row>
    <row r="163" spans="2:18" s="56" customFormat="1" ht="18.600000000000001" customHeight="1">
      <c r="B163" s="425" t="s">
        <v>2272</v>
      </c>
      <c r="C163" s="90">
        <v>1</v>
      </c>
      <c r="D163" s="91">
        <v>1678</v>
      </c>
      <c r="E163" s="92">
        <v>39118</v>
      </c>
      <c r="F163" s="93">
        <v>30589621499</v>
      </c>
      <c r="G163" s="436" t="str">
        <f>IFERROR(IF(compras_mes576[[#This Row],[CUIT]]="","-",VLOOKUP(compras_mes576[[#This Row],[CUIT]],Lista_CUIT[#All],2,0)),"CUIT NO CARGADO")</f>
        <v>MAKRO SA</v>
      </c>
      <c r="H163" s="95">
        <v>45819.3</v>
      </c>
      <c r="I163" s="426">
        <f>42443.01*0.21</f>
        <v>8913.0321000000004</v>
      </c>
      <c r="J163" s="426"/>
      <c r="K163" s="426">
        <f>3376.29*0.105</f>
        <v>354.51044999999999</v>
      </c>
      <c r="L163" s="426">
        <v>1323.93</v>
      </c>
      <c r="M163" s="426"/>
      <c r="N163" s="426">
        <v>2749.16</v>
      </c>
      <c r="O163" s="426">
        <v>170.19</v>
      </c>
      <c r="P163" s="455">
        <f>SUM(compras_mes576[[#This Row],[NETO GRAVADO]:[Otros / No Grav.]])</f>
        <v>59330.12255</v>
      </c>
      <c r="Q163" s="432" t="str">
        <f>IFERROR(IF(compras_mes576[[#This Row],[CUIT]]="","-",VLOOKUP(compras_mes576[[#This Row],[CUIT]],Lista_CUIT[#All],3,0)),"CUIT NO CARGADO")</f>
        <v>Gastos Varios</v>
      </c>
      <c r="R163" s="432">
        <f>IFERROR(IF(compras_mes576[[#This Row],[CUIT]]="","-",VLOOKUP(compras_mes576[[#This Row],[CUIT]],Lista_CUIT[#All],4,0)),"CUIT NO CARGADO")</f>
        <v>0</v>
      </c>
    </row>
    <row r="164" spans="2:18" s="56" customFormat="1" ht="18.600000000000001" customHeight="1">
      <c r="B164" s="425" t="s">
        <v>2272</v>
      </c>
      <c r="C164" s="90">
        <v>1</v>
      </c>
      <c r="D164" s="91">
        <v>2</v>
      </c>
      <c r="E164" s="92">
        <v>4394</v>
      </c>
      <c r="F164" s="93">
        <v>20381035221</v>
      </c>
      <c r="G164" s="436" t="str">
        <f>IFERROR(IF(compras_mes576[[#This Row],[CUIT]]="","-",VLOOKUP(compras_mes576[[#This Row],[CUIT]],Lista_CUIT[#All],2,0)),"CUIT NO CARGADO")</f>
        <v>PERRONE LUCAS</v>
      </c>
      <c r="H164" s="95">
        <v>9504.14</v>
      </c>
      <c r="I164" s="426">
        <f>IF(compras_mes576[[#This Row],[NETO GRAVADO]]="","",compras_mes576[[#This Row],[NETO GRAVADO]]*0.21)</f>
        <v>1995.8693999999998</v>
      </c>
      <c r="J164" s="426"/>
      <c r="K164" s="426"/>
      <c r="L164" s="426"/>
      <c r="M164" s="426"/>
      <c r="N164" s="426"/>
      <c r="O164" s="426"/>
      <c r="P164" s="424">
        <f>SUM(compras_mes576[[#This Row],[NETO GRAVADO]:[Otros / No Grav.]])</f>
        <v>11500.009399999999</v>
      </c>
      <c r="Q164" s="432" t="str">
        <f>IFERROR(IF(compras_mes576[[#This Row],[CUIT]]="","-",VLOOKUP(compras_mes576[[#This Row],[CUIT]],Lista_CUIT[#All],3,0)),"CUIT NO CARGADO")</f>
        <v>Mensajeria</v>
      </c>
      <c r="R164" s="432">
        <f>IFERROR(IF(compras_mes576[[#This Row],[CUIT]]="","-",VLOOKUP(compras_mes576[[#This Row],[CUIT]],Lista_CUIT[#All],4,0)),"CUIT NO CARGADO")</f>
        <v>0</v>
      </c>
    </row>
    <row r="165" spans="2:18" s="56" customFormat="1" ht="18.600000000000001" customHeight="1">
      <c r="B165" s="425" t="s">
        <v>2273</v>
      </c>
      <c r="C165" s="90">
        <v>1</v>
      </c>
      <c r="D165" s="91">
        <v>9</v>
      </c>
      <c r="E165" s="92">
        <v>5386</v>
      </c>
      <c r="F165" s="93">
        <v>30714863815</v>
      </c>
      <c r="G165" s="436" t="str">
        <f>IFERROR(IF(compras_mes576[[#This Row],[CUIT]]="","-",VLOOKUP(compras_mes576[[#This Row],[CUIT]],Lista_CUIT[#All],2,0)),"CUIT NO CARGADO")</f>
        <v>QUANTUM QUIMICA S.R.L.</v>
      </c>
      <c r="H165" s="95">
        <v>932237.5</v>
      </c>
      <c r="I165" s="426">
        <f>IF(compras_mes576[[#This Row],[NETO GRAVADO]]="","",compras_mes576[[#This Row],[NETO GRAVADO]]*0.21)</f>
        <v>195769.875</v>
      </c>
      <c r="J165" s="426"/>
      <c r="K165" s="426"/>
      <c r="L165" s="426"/>
      <c r="M165" s="426"/>
      <c r="N165" s="426"/>
      <c r="O165" s="426"/>
      <c r="P165" s="424">
        <f>SUM(compras_mes576[[#This Row],[NETO GRAVADO]:[Otros / No Grav.]])</f>
        <v>1128007.375</v>
      </c>
      <c r="Q165" s="432" t="str">
        <f>IFERROR(IF(compras_mes576[[#This Row],[CUIT]]="","-",VLOOKUP(compras_mes576[[#This Row],[CUIT]],Lista_CUIT[#All],3,0)),"CUIT NO CARGADO")</f>
        <v>Materia Prima</v>
      </c>
      <c r="R165" s="432">
        <f>IFERROR(IF(compras_mes576[[#This Row],[CUIT]]="","-",VLOOKUP(compras_mes576[[#This Row],[CUIT]],Lista_CUIT[#All],4,0)),"CUIT NO CARGADO")</f>
        <v>0</v>
      </c>
    </row>
    <row r="166" spans="2:18" s="56" customFormat="1" ht="18.600000000000001" customHeight="1">
      <c r="B166" s="425" t="s">
        <v>2273</v>
      </c>
      <c r="C166" s="90">
        <v>1</v>
      </c>
      <c r="D166" s="91">
        <v>26</v>
      </c>
      <c r="E166" s="92">
        <v>60386</v>
      </c>
      <c r="F166" s="93">
        <v>30544110035</v>
      </c>
      <c r="G166" s="436" t="str">
        <f>IFERROR(IF(compras_mes576[[#This Row],[CUIT]]="","-",VLOOKUP(compras_mes576[[#This Row],[CUIT]],Lista_CUIT[#All],2,0)),"CUIT NO CARGADO")</f>
        <v>EXPRESO SANTA ROSA S A </v>
      </c>
      <c r="H166" s="95">
        <v>11565.14</v>
      </c>
      <c r="I166" s="426">
        <f>IF(compras_mes576[[#This Row],[NETO GRAVADO]]="","",compras_mes576[[#This Row],[NETO GRAVADO]]*0.21)</f>
        <v>2428.6794</v>
      </c>
      <c r="J166" s="426"/>
      <c r="K166" s="426"/>
      <c r="L166" s="426"/>
      <c r="M166" s="426"/>
      <c r="N166" s="426"/>
      <c r="O166" s="426"/>
      <c r="P166" s="424">
        <f>SUM(compras_mes576[[#This Row],[NETO GRAVADO]:[Otros / No Grav.]])</f>
        <v>13993.8194</v>
      </c>
      <c r="Q166" s="432" t="str">
        <f>IFERROR(IF(compras_mes576[[#This Row],[CUIT]]="","-",VLOOKUP(compras_mes576[[#This Row],[CUIT]],Lista_CUIT[#All],3,0)),"CUIT NO CARGADO")</f>
        <v>Gastos Comercializacion</v>
      </c>
      <c r="R166" s="432">
        <f>IFERROR(IF(compras_mes576[[#This Row],[CUIT]]="","-",VLOOKUP(compras_mes576[[#This Row],[CUIT]],Lista_CUIT[#All],4,0)),"CUIT NO CARGADO")</f>
        <v>0</v>
      </c>
    </row>
    <row r="167" spans="2:18" s="56" customFormat="1" ht="18.600000000000001" customHeight="1">
      <c r="B167" s="425" t="s">
        <v>2273</v>
      </c>
      <c r="C167" s="90">
        <v>1</v>
      </c>
      <c r="D167" s="91">
        <v>10</v>
      </c>
      <c r="E167" s="92">
        <v>7079</v>
      </c>
      <c r="F167" s="93">
        <v>20217646414</v>
      </c>
      <c r="G167" s="436" t="str">
        <f>IFERROR(IF(compras_mes576[[#This Row],[CUIT]]="","-",VLOOKUP(compras_mes576[[#This Row],[CUIT]],Lista_CUIT[#All],2,0)),"CUIT NO CARGADO")</f>
        <v>FARBER HERMAN</v>
      </c>
      <c r="H167" s="95">
        <v>669480</v>
      </c>
      <c r="I167" s="426">
        <f>IF(compras_mes576[[#This Row],[NETO GRAVADO]]="","",compras_mes576[[#This Row],[NETO GRAVADO]]*0.21)</f>
        <v>140590.79999999999</v>
      </c>
      <c r="J167" s="426"/>
      <c r="K167" s="426"/>
      <c r="L167" s="426"/>
      <c r="M167" s="426"/>
      <c r="N167" s="426"/>
      <c r="O167" s="426"/>
      <c r="P167" s="424">
        <f>SUM(compras_mes576[[#This Row],[NETO GRAVADO]:[Otros / No Grav.]])</f>
        <v>810070.8</v>
      </c>
      <c r="Q167" s="432" t="str">
        <f>IFERROR(IF(compras_mes576[[#This Row],[CUIT]]="","-",VLOOKUP(compras_mes576[[#This Row],[CUIT]],Lista_CUIT[#All],3,0)),"CUIT NO CARGADO")</f>
        <v>Material de Empaque</v>
      </c>
      <c r="R167" s="432">
        <f>IFERROR(IF(compras_mes576[[#This Row],[CUIT]]="","-",VLOOKUP(compras_mes576[[#This Row],[CUIT]],Lista_CUIT[#All],4,0)),"CUIT NO CARGADO")</f>
        <v>0</v>
      </c>
    </row>
    <row r="168" spans="2:18" s="56" customFormat="1" ht="18.600000000000001" customHeight="1">
      <c r="B168" s="425" t="s">
        <v>2273</v>
      </c>
      <c r="C168" s="90">
        <v>1</v>
      </c>
      <c r="D168" s="91">
        <v>3</v>
      </c>
      <c r="E168" s="92">
        <v>10582</v>
      </c>
      <c r="F168" s="93">
        <v>30679163317</v>
      </c>
      <c r="G168" s="436" t="str">
        <f>IFERROR(IF(compras_mes576[[#This Row],[CUIT]]="","-",VLOOKUP(compras_mes576[[#This Row],[CUIT]],Lista_CUIT[#All],2,0)),"CUIT NO CARGADO")</f>
        <v>RANKO S R L</v>
      </c>
      <c r="H168" s="95">
        <v>49987.49</v>
      </c>
      <c r="I168" s="426">
        <f>IF(compras_mes576[[#This Row],[NETO GRAVADO]]="","",compras_mes576[[#This Row],[NETO GRAVADO]]*0.21)</f>
        <v>10497.372899999998</v>
      </c>
      <c r="J168" s="426"/>
      <c r="K168" s="426"/>
      <c r="L168" s="426"/>
      <c r="M168" s="426"/>
      <c r="N168" s="426"/>
      <c r="O168" s="426"/>
      <c r="P168" s="424">
        <f>SUM(compras_mes576[[#This Row],[NETO GRAVADO]:[Otros / No Grav.]])</f>
        <v>60484.862899999993</v>
      </c>
      <c r="Q168" s="432" t="str">
        <f>IFERROR(IF(compras_mes576[[#This Row],[CUIT]]="","-",VLOOKUP(compras_mes576[[#This Row],[CUIT]],Lista_CUIT[#All],3,0)),"CUIT NO CARGADO")</f>
        <v>Mantenimiento</v>
      </c>
      <c r="R168" s="432">
        <f>IFERROR(IF(compras_mes576[[#This Row],[CUIT]]="","-",VLOOKUP(compras_mes576[[#This Row],[CUIT]],Lista_CUIT[#All],4,0)),"CUIT NO CARGADO")</f>
        <v>0</v>
      </c>
    </row>
    <row r="169" spans="2:18" s="56" customFormat="1" ht="18.600000000000001" customHeight="1">
      <c r="B169" s="425" t="s">
        <v>2273</v>
      </c>
      <c r="C169" s="90">
        <v>1</v>
      </c>
      <c r="D169" s="91">
        <v>3</v>
      </c>
      <c r="E169" s="92">
        <v>10583</v>
      </c>
      <c r="F169" s="93">
        <v>30679163317</v>
      </c>
      <c r="G169" s="436" t="str">
        <f>IFERROR(IF(compras_mes576[[#This Row],[CUIT]]="","-",VLOOKUP(compras_mes576[[#This Row],[CUIT]],Lista_CUIT[#All],2,0)),"CUIT NO CARGADO")</f>
        <v>RANKO S R L</v>
      </c>
      <c r="H169" s="95">
        <v>27257.88</v>
      </c>
      <c r="I169" s="426">
        <f>IF(compras_mes576[[#This Row],[NETO GRAVADO]]="","",compras_mes576[[#This Row],[NETO GRAVADO]]*0.21)</f>
        <v>5724.1548000000003</v>
      </c>
      <c r="J169" s="426"/>
      <c r="K169" s="426"/>
      <c r="L169" s="426"/>
      <c r="M169" s="426"/>
      <c r="N169" s="426"/>
      <c r="O169" s="426"/>
      <c r="P169" s="424">
        <f>SUM(compras_mes576[[#This Row],[NETO GRAVADO]:[Otros / No Grav.]])</f>
        <v>32982.034800000001</v>
      </c>
      <c r="Q169" s="432" t="str">
        <f>IFERROR(IF(compras_mes576[[#This Row],[CUIT]]="","-",VLOOKUP(compras_mes576[[#This Row],[CUIT]],Lista_CUIT[#All],3,0)),"CUIT NO CARGADO")</f>
        <v>Mantenimiento</v>
      </c>
      <c r="R169" s="432">
        <f>IFERROR(IF(compras_mes576[[#This Row],[CUIT]]="","-",VLOOKUP(compras_mes576[[#This Row],[CUIT]],Lista_CUIT[#All],4,0)),"CUIT NO CARGADO")</f>
        <v>0</v>
      </c>
    </row>
    <row r="170" spans="2:18" s="56" customFormat="1" ht="18.600000000000001" customHeight="1">
      <c r="B170" s="425" t="s">
        <v>2273</v>
      </c>
      <c r="C170" s="90">
        <v>1</v>
      </c>
      <c r="D170" s="91">
        <v>60</v>
      </c>
      <c r="E170" s="92">
        <v>62907</v>
      </c>
      <c r="F170" s="93">
        <v>30517345039</v>
      </c>
      <c r="G170" s="436" t="str">
        <f>IFERROR(IF(compras_mes576[[#This Row],[CUIT]]="","-",VLOOKUP(compras_mes576[[#This Row],[CUIT]],Lista_CUIT[#All],2,0)),"CUIT NO CARGADO")</f>
        <v>QUIMICA OESTE S.A.</v>
      </c>
      <c r="H170" s="95">
        <v>294253</v>
      </c>
      <c r="I170" s="426">
        <f>IF(compras_mes576[[#This Row],[NETO GRAVADO]]="","",compras_mes576[[#This Row],[NETO GRAVADO]]*0.21)</f>
        <v>61793.13</v>
      </c>
      <c r="J170" s="426"/>
      <c r="K170" s="426"/>
      <c r="L170" s="426"/>
      <c r="M170" s="426"/>
      <c r="N170" s="426"/>
      <c r="O170" s="426">
        <v>17655.18</v>
      </c>
      <c r="P170" s="455">
        <f>SUM(compras_mes576[[#This Row],[NETO GRAVADO]:[Otros / No Grav.]])</f>
        <v>373701.31</v>
      </c>
      <c r="Q170" s="432" t="str">
        <f>IFERROR(IF(compras_mes576[[#This Row],[CUIT]]="","-",VLOOKUP(compras_mes576[[#This Row],[CUIT]],Lista_CUIT[#All],3,0)),"CUIT NO CARGADO")</f>
        <v>Materia Prima</v>
      </c>
      <c r="R170" s="432">
        <f>IFERROR(IF(compras_mes576[[#This Row],[CUIT]]="","-",VLOOKUP(compras_mes576[[#This Row],[CUIT]],Lista_CUIT[#All],4,0)),"CUIT NO CARGADO")</f>
        <v>0</v>
      </c>
    </row>
    <row r="171" spans="2:18" s="56" customFormat="1" ht="18.600000000000001" customHeight="1">
      <c r="B171" s="425" t="s">
        <v>2273</v>
      </c>
      <c r="C171" s="90">
        <v>1</v>
      </c>
      <c r="D171" s="91">
        <v>27</v>
      </c>
      <c r="E171" s="92">
        <v>2473037</v>
      </c>
      <c r="F171" s="93">
        <v>30703088534</v>
      </c>
      <c r="G171" s="436" t="str">
        <f>IFERROR(IF(compras_mes576[[#This Row],[CUIT]]="","-",VLOOKUP(compras_mes576[[#This Row],[CUIT]],Lista_CUIT[#All],2,0)),"CUIT NO CARGADO")</f>
        <v>MERCADO LIBRE SRL</v>
      </c>
      <c r="H171" s="95">
        <v>877098.89</v>
      </c>
      <c r="I171" s="426">
        <f>IF(compras_mes576[[#This Row],[NETO GRAVADO]]="","",compras_mes576[[#This Row],[NETO GRAVADO]]*0.21)</f>
        <v>184190.76689999999</v>
      </c>
      <c r="J171" s="426"/>
      <c r="K171" s="426"/>
      <c r="L171" s="426"/>
      <c r="M171" s="426"/>
      <c r="N171" s="426"/>
      <c r="O171" s="426">
        <v>114022.9</v>
      </c>
      <c r="P171" s="455">
        <f>SUM(compras_mes576[[#This Row],[NETO GRAVADO]:[Otros / No Grav.]])</f>
        <v>1175312.5569</v>
      </c>
      <c r="Q171" s="432" t="str">
        <f>IFERROR(IF(compras_mes576[[#This Row],[CUIT]]="","-",VLOOKUP(compras_mes576[[#This Row],[CUIT]],Lista_CUIT[#All],3,0)),"CUIT NO CARGADO")</f>
        <v>Gastos Varios</v>
      </c>
      <c r="R171" s="432" t="str">
        <f>IFERROR(IF(compras_mes576[[#This Row],[CUIT]]="","-",VLOOKUP(compras_mes576[[#This Row],[CUIT]],Lista_CUIT[#All],4,0)),"CUIT NO CARGADO")</f>
        <v>CABA</v>
      </c>
    </row>
    <row r="172" spans="2:18" s="56" customFormat="1" ht="18.600000000000001" customHeight="1">
      <c r="B172" s="425" t="s">
        <v>2273</v>
      </c>
      <c r="C172" s="90">
        <v>1</v>
      </c>
      <c r="D172" s="91">
        <v>1</v>
      </c>
      <c r="E172" s="92">
        <v>982</v>
      </c>
      <c r="F172" s="93">
        <v>30716715716</v>
      </c>
      <c r="G172" s="436" t="str">
        <f>IFERROR(IF(compras_mes576[[#This Row],[CUIT]]="","-",VLOOKUP(compras_mes576[[#This Row],[CUIT]],Lista_CUIT[#All],2,0)),"CUIT NO CARGADO")</f>
        <v>LIVERPOOL EXPRESS SRL</v>
      </c>
      <c r="H172" s="95">
        <v>281945</v>
      </c>
      <c r="I172" s="426">
        <f>IF(compras_mes576[[#This Row],[NETO GRAVADO]]="","",compras_mes576[[#This Row],[NETO GRAVADO]]*0.21)</f>
        <v>59208.45</v>
      </c>
      <c r="J172" s="426"/>
      <c r="K172" s="426"/>
      <c r="L172" s="426"/>
      <c r="M172" s="426"/>
      <c r="N172" s="426"/>
      <c r="O172" s="426"/>
      <c r="P172" s="424">
        <f>SUM(compras_mes576[[#This Row],[NETO GRAVADO]:[Otros / No Grav.]])</f>
        <v>341153.45</v>
      </c>
      <c r="Q172" s="432" t="str">
        <f>IFERROR(IF(compras_mes576[[#This Row],[CUIT]]="","-",VLOOKUP(compras_mes576[[#This Row],[CUIT]],Lista_CUIT[#All],3,0)),"CUIT NO CARGADO")</f>
        <v>Gastos Comercializacion</v>
      </c>
      <c r="R172" s="432">
        <f>IFERROR(IF(compras_mes576[[#This Row],[CUIT]]="","-",VLOOKUP(compras_mes576[[#This Row],[CUIT]],Lista_CUIT[#All],4,0)),"CUIT NO CARGADO")</f>
        <v>0</v>
      </c>
    </row>
    <row r="173" spans="2:18" s="523" customFormat="1" ht="18.600000000000001" customHeight="1">
      <c r="B173" s="508" t="s">
        <v>2273</v>
      </c>
      <c r="C173" s="518">
        <v>1</v>
      </c>
      <c r="D173" s="519">
        <v>1</v>
      </c>
      <c r="E173" s="520">
        <v>983</v>
      </c>
      <c r="F173" s="521">
        <v>30716715716</v>
      </c>
      <c r="G173" s="524" t="str">
        <f>IFERROR(IF(compras_mes576[[#This Row],[CUIT]]="","-",VLOOKUP(compras_mes576[[#This Row],[CUIT]],Lista_CUIT[#All],2,0)),"CUIT NO CARGADO")</f>
        <v>LIVERPOOL EXPRESS SRL</v>
      </c>
      <c r="H173" s="522">
        <v>201770</v>
      </c>
      <c r="I173" s="515"/>
      <c r="J173" s="515"/>
      <c r="K173" s="515"/>
      <c r="L173" s="515"/>
      <c r="M173" s="515"/>
      <c r="N173" s="515"/>
      <c r="O173" s="515"/>
      <c r="P173" s="516">
        <f>SUM(compras_mes576[[#This Row],[NETO GRAVADO]:[Otros / No Grav.]])</f>
        <v>201770</v>
      </c>
      <c r="Q173" s="525" t="str">
        <f>IFERROR(IF(compras_mes576[[#This Row],[CUIT]]="","-",VLOOKUP(compras_mes576[[#This Row],[CUIT]],Lista_CUIT[#All],3,0)),"CUIT NO CARGADO")</f>
        <v>Gastos Comercializacion</v>
      </c>
      <c r="R173" s="525">
        <f>IFERROR(IF(compras_mes576[[#This Row],[CUIT]]="","-",VLOOKUP(compras_mes576[[#This Row],[CUIT]],Lista_CUIT[#All],4,0)),"CUIT NO CARGADO")</f>
        <v>0</v>
      </c>
    </row>
    <row r="174" spans="2:18" s="56" customFormat="1" ht="18.600000000000001" customHeight="1">
      <c r="B174" s="425" t="s">
        <v>2273</v>
      </c>
      <c r="C174" s="90">
        <v>1</v>
      </c>
      <c r="D174" s="91">
        <v>2</v>
      </c>
      <c r="E174" s="92">
        <v>3697</v>
      </c>
      <c r="F174" s="93">
        <v>30629863571</v>
      </c>
      <c r="G174" s="436" t="str">
        <f>IFERROR(IF(compras_mes576[[#This Row],[CUIT]]="","-",VLOOKUP(compras_mes576[[#This Row],[CUIT]],Lista_CUIT[#All],2,0)),"CUIT NO CARGADO")</f>
        <v>TECNIMAR S R L</v>
      </c>
      <c r="H174" s="95">
        <v>797440.14</v>
      </c>
      <c r="I174" s="426">
        <f>IF(compras_mes576[[#This Row],[NETO GRAVADO]]="","",compras_mes576[[#This Row],[NETO GRAVADO]]*0.21)</f>
        <v>167462.42939999999</v>
      </c>
      <c r="J174" s="426"/>
      <c r="K174" s="426"/>
      <c r="L174" s="426"/>
      <c r="M174" s="426"/>
      <c r="N174" s="426"/>
      <c r="O174" s="426"/>
      <c r="P174" s="424">
        <f>SUM(compras_mes576[[#This Row],[NETO GRAVADO]:[Otros / No Grav.]])</f>
        <v>964902.56940000004</v>
      </c>
      <c r="Q174" s="432" t="str">
        <f>IFERROR(IF(compras_mes576[[#This Row],[CUIT]]="","-",VLOOKUP(compras_mes576[[#This Row],[CUIT]],Lista_CUIT[#All],3,0)),"CUIT NO CARGADO")</f>
        <v>Productos Venta</v>
      </c>
      <c r="R174" s="432">
        <f>IFERROR(IF(compras_mes576[[#This Row],[CUIT]]="","-",VLOOKUP(compras_mes576[[#This Row],[CUIT]],Lista_CUIT[#All],4,0)),"CUIT NO CARGADO")</f>
        <v>0</v>
      </c>
    </row>
    <row r="175" spans="2:18" s="56" customFormat="1" ht="18.600000000000001" customHeight="1">
      <c r="B175" s="425" t="s">
        <v>2274</v>
      </c>
      <c r="C175" s="90">
        <v>1</v>
      </c>
      <c r="D175" s="91">
        <v>2188</v>
      </c>
      <c r="E175" s="92">
        <v>120996</v>
      </c>
      <c r="F175" s="93">
        <v>30548083156</v>
      </c>
      <c r="G175" s="436" t="str">
        <f>IFERROR(IF(compras_mes576[[#This Row],[CUIT]]="","-",VLOOKUP(compras_mes576[[#This Row],[CUIT]],Lista_CUIT[#All],2,0)),"CUIT NO CARGADO")</f>
        <v>COTO CENTRO INTEGRAL DE COMERCIALIZACION SOCIEDAD ANONIMA</v>
      </c>
      <c r="H175" s="95">
        <v>28815.42</v>
      </c>
      <c r="I175" s="426">
        <f>21635.06*0.21</f>
        <v>4543.3626000000004</v>
      </c>
      <c r="J175" s="426"/>
      <c r="K175" s="426">
        <f>7180.36*0.105</f>
        <v>753.93779999999992</v>
      </c>
      <c r="L175" s="426"/>
      <c r="M175" s="426"/>
      <c r="N175" s="426"/>
      <c r="O175" s="426">
        <v>2343.04</v>
      </c>
      <c r="P175" s="455">
        <f>SUM(compras_mes576[[#This Row],[NETO GRAVADO]:[Otros / No Grav.]])</f>
        <v>36455.760399999999</v>
      </c>
      <c r="Q175" s="432" t="str">
        <f>IFERROR(IF(compras_mes576[[#This Row],[CUIT]]="","-",VLOOKUP(compras_mes576[[#This Row],[CUIT]],Lista_CUIT[#All],3,0)),"CUIT NO CARGADO")</f>
        <v>Gastos Varios</v>
      </c>
      <c r="R175" s="432">
        <f>IFERROR(IF(compras_mes576[[#This Row],[CUIT]]="","-",VLOOKUP(compras_mes576[[#This Row],[CUIT]],Lista_CUIT[#All],4,0)),"CUIT NO CARGADO")</f>
        <v>0</v>
      </c>
    </row>
    <row r="176" spans="2:18" s="56" customFormat="1" ht="18.600000000000001" customHeight="1">
      <c r="B176" s="425" t="s">
        <v>2274</v>
      </c>
      <c r="C176" s="90">
        <v>1</v>
      </c>
      <c r="D176" s="91">
        <v>4</v>
      </c>
      <c r="E176" s="92">
        <v>46277</v>
      </c>
      <c r="F176" s="93">
        <v>30709863076</v>
      </c>
      <c r="G176" s="436" t="str">
        <f>IFERROR(IF(compras_mes576[[#This Row],[CUIT]]="","-",VLOOKUP(compras_mes576[[#This Row],[CUIT]],Lista_CUIT[#All],2,0)),"CUIT NO CARGADO")</f>
        <v>INDUSTRIAS PLASTICOS SALTA S.R.L.</v>
      </c>
      <c r="H176" s="95">
        <v>177851.24</v>
      </c>
      <c r="I176" s="426">
        <f>IF(compras_mes576[[#This Row],[NETO GRAVADO]]="","",compras_mes576[[#This Row],[NETO GRAVADO]]*0.21)</f>
        <v>37348.760399999999</v>
      </c>
      <c r="J176" s="426"/>
      <c r="K176" s="426"/>
      <c r="L176" s="426"/>
      <c r="M176" s="426"/>
      <c r="N176" s="426"/>
      <c r="O176" s="426"/>
      <c r="P176" s="424">
        <f>SUM(compras_mes576[[#This Row],[NETO GRAVADO]:[Otros / No Grav.]])</f>
        <v>215200.00039999999</v>
      </c>
      <c r="Q176" s="432" t="str">
        <f>IFERROR(IF(compras_mes576[[#This Row],[CUIT]]="","-",VLOOKUP(compras_mes576[[#This Row],[CUIT]],Lista_CUIT[#All],3,0)),"CUIT NO CARGADO")</f>
        <v>Materia Prima</v>
      </c>
      <c r="R176" s="432">
        <f>IFERROR(IF(compras_mes576[[#This Row],[CUIT]]="","-",VLOOKUP(compras_mes576[[#This Row],[CUIT]],Lista_CUIT[#All],4,0)),"CUIT NO CARGADO")</f>
        <v>0</v>
      </c>
    </row>
    <row r="177" spans="2:19" s="56" customFormat="1" ht="18.600000000000001" customHeight="1">
      <c r="B177" s="425" t="s">
        <v>2274</v>
      </c>
      <c r="C177" s="90">
        <v>1</v>
      </c>
      <c r="D177" s="91">
        <v>6854</v>
      </c>
      <c r="E177" s="92">
        <v>14978</v>
      </c>
      <c r="F177" s="93">
        <v>30678774495</v>
      </c>
      <c r="G177" s="436" t="str">
        <f>IFERROR(IF(compras_mes576[[#This Row],[CUIT]]="","-",VLOOKUP(compras_mes576[[#This Row],[CUIT]],Lista_CUIT[#All],2,0)),"CUIT NO CARGADO")</f>
        <v>OPER. DE EST. DE SERV. SA</v>
      </c>
      <c r="H177" s="95">
        <v>44330.55</v>
      </c>
      <c r="I177" s="426">
        <f>IF(compras_mes576[[#This Row],[NETO GRAVADO]]="","",compras_mes576[[#This Row],[NETO GRAVADO]]*0.21)</f>
        <v>9309.415500000001</v>
      </c>
      <c r="J177" s="426"/>
      <c r="K177" s="426"/>
      <c r="L177" s="426"/>
      <c r="M177" s="426"/>
      <c r="N177" s="426"/>
      <c r="O177" s="426">
        <v>7360.04</v>
      </c>
      <c r="P177" s="455">
        <f>SUM(compras_mes576[[#This Row],[NETO GRAVADO]:[Otros / No Grav.]])</f>
        <v>61000.005500000007</v>
      </c>
      <c r="Q177" s="432" t="str">
        <f>IFERROR(IF(compras_mes576[[#This Row],[CUIT]]="","-",VLOOKUP(compras_mes576[[#This Row],[CUIT]],Lista_CUIT[#All],3,0)),"CUIT NO CARGADO")</f>
        <v>Combustible</v>
      </c>
      <c r="R177" s="432">
        <f>IFERROR(IF(compras_mes576[[#This Row],[CUIT]]="","-",VLOOKUP(compras_mes576[[#This Row],[CUIT]],Lista_CUIT[#All],4,0)),"CUIT NO CARGADO")</f>
        <v>0</v>
      </c>
    </row>
    <row r="178" spans="2:19" s="56" customFormat="1" ht="18.600000000000001" customHeight="1">
      <c r="B178" s="425" t="s">
        <v>2274</v>
      </c>
      <c r="C178" s="90">
        <v>1</v>
      </c>
      <c r="D178" s="91">
        <v>5</v>
      </c>
      <c r="E178" s="92">
        <v>21235</v>
      </c>
      <c r="F178" s="93">
        <v>30616146447</v>
      </c>
      <c r="G178" s="436" t="str">
        <f>IFERROR(IF(compras_mes576[[#This Row],[CUIT]]="","-",VLOOKUP(compras_mes576[[#This Row],[CUIT]],Lista_CUIT[#All],2,0)),"CUIT NO CARGADO")</f>
        <v>EGEO SOCIEDAD DE RESPONSABILIDAD LIMITADA</v>
      </c>
      <c r="H178" s="95">
        <v>720000</v>
      </c>
      <c r="I178" s="426">
        <f>IF(compras_mes576[[#This Row],[NETO GRAVADO]]="","",compras_mes576[[#This Row],[NETO GRAVADO]]*0.21)</f>
        <v>151200</v>
      </c>
      <c r="J178" s="426"/>
      <c r="K178" s="426"/>
      <c r="L178" s="426"/>
      <c r="M178" s="426"/>
      <c r="N178" s="426"/>
      <c r="O178" s="426"/>
      <c r="P178" s="424">
        <f>SUM(compras_mes576[[#This Row],[NETO GRAVADO]:[Otros / No Grav.]])</f>
        <v>871200</v>
      </c>
      <c r="Q178" s="432" t="str">
        <f>IFERROR(IF(compras_mes576[[#This Row],[CUIT]]="","-",VLOOKUP(compras_mes576[[#This Row],[CUIT]],Lista_CUIT[#All],3,0)),"CUIT NO CARGADO")</f>
        <v>Productos Venta</v>
      </c>
      <c r="R178" s="432">
        <f>IFERROR(IF(compras_mes576[[#This Row],[CUIT]]="","-",VLOOKUP(compras_mes576[[#This Row],[CUIT]],Lista_CUIT[#All],4,0)),"CUIT NO CARGADO")</f>
        <v>0</v>
      </c>
    </row>
    <row r="179" spans="2:19" s="56" customFormat="1" ht="18.600000000000001" customHeight="1">
      <c r="B179" s="425" t="s">
        <v>2274</v>
      </c>
      <c r="C179" s="90">
        <v>1</v>
      </c>
      <c r="D179" s="91">
        <v>14</v>
      </c>
      <c r="E179" s="92">
        <v>12624</v>
      </c>
      <c r="F179" s="93">
        <v>30715186256</v>
      </c>
      <c r="G179" s="436" t="str">
        <f>IFERROR(IF(compras_mes576[[#This Row],[CUIT]]="","-",VLOOKUP(compras_mes576[[#This Row],[CUIT]],Lista_CUIT[#All],2,0)),"CUIT NO CARGADO")</f>
        <v>FRIGORIFICO ALIMENTIC</v>
      </c>
      <c r="H179" s="95">
        <v>16525.55</v>
      </c>
      <c r="I179" s="426">
        <f>8659.5*0.21</f>
        <v>1818.4949999999999</v>
      </c>
      <c r="J179" s="426"/>
      <c r="K179" s="426">
        <f>7866.05*0.105</f>
        <v>825.93525</v>
      </c>
      <c r="L179" s="426"/>
      <c r="M179" s="426"/>
      <c r="N179" s="426"/>
      <c r="O179" s="426"/>
      <c r="P179" s="455">
        <f>SUM(compras_mes576[[#This Row],[NETO GRAVADO]:[Otros / No Grav.]])</f>
        <v>19169.980249999997</v>
      </c>
      <c r="Q179" s="432" t="str">
        <f>IFERROR(IF(compras_mes576[[#This Row],[CUIT]]="","-",VLOOKUP(compras_mes576[[#This Row],[CUIT]],Lista_CUIT[#All],3,0)),"CUIT NO CARGADO")</f>
        <v>Gastos Comercializacion - Feria</v>
      </c>
      <c r="R179" s="432">
        <f>IFERROR(IF(compras_mes576[[#This Row],[CUIT]]="","-",VLOOKUP(compras_mes576[[#This Row],[CUIT]],Lista_CUIT[#All],4,0)),"CUIT NO CARGADO")</f>
        <v>0</v>
      </c>
    </row>
    <row r="180" spans="2:19" s="56" customFormat="1" ht="18.600000000000001" customHeight="1">
      <c r="B180" s="425" t="s">
        <v>2274</v>
      </c>
      <c r="C180" s="90">
        <v>1</v>
      </c>
      <c r="D180" s="91">
        <v>6</v>
      </c>
      <c r="E180" s="92">
        <v>514</v>
      </c>
      <c r="F180" s="93">
        <v>20219190469</v>
      </c>
      <c r="G180" s="436" t="str">
        <f>IFERROR(IF(compras_mes576[[#This Row],[CUIT]]="","-",VLOOKUP(compras_mes576[[#This Row],[CUIT]],Lista_CUIT[#All],2,0)),"CUIT NO CARGADO")</f>
        <v>PARADISO ESTEBAN DAMIAN</v>
      </c>
      <c r="H180" s="95">
        <v>416005.49</v>
      </c>
      <c r="I180" s="426">
        <f>IF(compras_mes576[[#This Row],[NETO GRAVADO]]="","",compras_mes576[[#This Row],[NETO GRAVADO]]*0.21)</f>
        <v>87361.152900000001</v>
      </c>
      <c r="J180" s="426"/>
      <c r="K180" s="426"/>
      <c r="L180" s="426"/>
      <c r="M180" s="426"/>
      <c r="N180" s="426"/>
      <c r="O180" s="426"/>
      <c r="P180" s="424">
        <f>SUM(compras_mes576[[#This Row],[NETO GRAVADO]:[Otros / No Grav.]])</f>
        <v>503366.64289999998</v>
      </c>
      <c r="Q180" s="432" t="str">
        <f>IFERROR(IF(compras_mes576[[#This Row],[CUIT]]="","-",VLOOKUP(compras_mes576[[#This Row],[CUIT]],Lista_CUIT[#All],3,0)),"CUIT NO CARGADO")</f>
        <v>Productos Venta</v>
      </c>
      <c r="R180" s="432">
        <f>IFERROR(IF(compras_mes576[[#This Row],[CUIT]]="","-",VLOOKUP(compras_mes576[[#This Row],[CUIT]],Lista_CUIT[#All],4,0)),"CUIT NO CARGADO")</f>
        <v>0</v>
      </c>
    </row>
    <row r="181" spans="2:19" s="56" customFormat="1" ht="18.600000000000001" customHeight="1">
      <c r="B181" s="425" t="s">
        <v>2274</v>
      </c>
      <c r="C181" s="90">
        <v>1</v>
      </c>
      <c r="D181" s="91">
        <v>301</v>
      </c>
      <c r="E181" s="92">
        <v>82695</v>
      </c>
      <c r="F181" s="93">
        <v>30686978350</v>
      </c>
      <c r="G181" s="436" t="str">
        <f>IFERROR(IF(compras_mes576[[#This Row],[CUIT]]="","-",VLOOKUP(compras_mes576[[#This Row],[CUIT]],Lista_CUIT[#All],2,0)),"CUIT NO CARGADO")</f>
        <v>SPEED BUSINESS S. A.</v>
      </c>
      <c r="H181" s="95">
        <v>11917.35</v>
      </c>
      <c r="I181" s="426">
        <f>IF(compras_mes576[[#This Row],[NETO GRAVADO]]="","",compras_mes576[[#This Row],[NETO GRAVADO]]*0.21)</f>
        <v>2502.6435000000001</v>
      </c>
      <c r="J181" s="426"/>
      <c r="K181" s="426"/>
      <c r="L181" s="426"/>
      <c r="M181" s="426"/>
      <c r="N181" s="426"/>
      <c r="O181" s="426"/>
      <c r="P181" s="424">
        <f>SUM(compras_mes576[[#This Row],[NETO GRAVADO]:[Otros / No Grav.]])</f>
        <v>14419.9935</v>
      </c>
      <c r="Q181" s="432" t="str">
        <f>IFERROR(IF(compras_mes576[[#This Row],[CUIT]]="","-",VLOOKUP(compras_mes576[[#This Row],[CUIT]],Lista_CUIT[#All],3,0)),"CUIT NO CARGADO")</f>
        <v>Gastos Comercializacion</v>
      </c>
      <c r="R181" s="432">
        <f>IFERROR(IF(compras_mes576[[#This Row],[CUIT]]="","-",VLOOKUP(compras_mes576[[#This Row],[CUIT]],Lista_CUIT[#All],4,0)),"CUIT NO CARGADO")</f>
        <v>0</v>
      </c>
    </row>
    <row r="182" spans="2:19" s="56" customFormat="1" ht="18.600000000000001" customHeight="1">
      <c r="B182" s="425" t="s">
        <v>2274</v>
      </c>
      <c r="C182" s="90">
        <v>1</v>
      </c>
      <c r="D182" s="91">
        <v>8</v>
      </c>
      <c r="E182" s="92">
        <v>224</v>
      </c>
      <c r="F182" s="93">
        <v>20134664518</v>
      </c>
      <c r="G182" s="436" t="str">
        <f>IFERROR(IF(compras_mes576[[#This Row],[CUIT]]="","-",VLOOKUP(compras_mes576[[#This Row],[CUIT]],Lista_CUIT[#All],2,0)),"CUIT NO CARGADO")</f>
        <v>HOKAMA SERGIO ENRIQUE</v>
      </c>
      <c r="H182" s="95">
        <v>13574.37</v>
      </c>
      <c r="I182" s="426">
        <f>IF(compras_mes576[[#This Row],[NETO GRAVADO]]="","",compras_mes576[[#This Row],[NETO GRAVADO]]*0.21)</f>
        <v>2850.6177000000002</v>
      </c>
      <c r="J182" s="426"/>
      <c r="K182" s="426"/>
      <c r="L182" s="426"/>
      <c r="M182" s="426"/>
      <c r="N182" s="426"/>
      <c r="O182" s="426"/>
      <c r="P182" s="424">
        <f>SUM(compras_mes576[[#This Row],[NETO GRAVADO]:[Otros / No Grav.]])</f>
        <v>16424.987700000001</v>
      </c>
      <c r="Q182" s="432" t="str">
        <f>IFERROR(IF(compras_mes576[[#This Row],[CUIT]]="","-",VLOOKUP(compras_mes576[[#This Row],[CUIT]],Lista_CUIT[#All],3,0)),"CUIT NO CARGADO")</f>
        <v>Gastos Varios</v>
      </c>
      <c r="R182" s="432" t="str">
        <f>IFERROR(IF(compras_mes576[[#This Row],[CUIT]]="","-",VLOOKUP(compras_mes576[[#This Row],[CUIT]],Lista_CUIT[#All],4,0)),"CUIT NO CARGADO")</f>
        <v>BUENOS AIRES</v>
      </c>
    </row>
    <row r="183" spans="2:19" s="56" customFormat="1" ht="18.600000000000001" customHeight="1">
      <c r="B183" s="425" t="s">
        <v>2274</v>
      </c>
      <c r="C183" s="90">
        <v>1</v>
      </c>
      <c r="D183" s="91">
        <v>2</v>
      </c>
      <c r="E183" s="92">
        <v>3698</v>
      </c>
      <c r="F183" s="93">
        <v>30629863571</v>
      </c>
      <c r="G183" s="436" t="str">
        <f>IFERROR(IF(compras_mes576[[#This Row],[CUIT]]="","-",VLOOKUP(compras_mes576[[#This Row],[CUIT]],Lista_CUIT[#All],2,0)),"CUIT NO CARGADO")</f>
        <v>TECNIMAR S R L</v>
      </c>
      <c r="H183" s="95">
        <v>1716514.76</v>
      </c>
      <c r="I183" s="426">
        <f>IF(compras_mes576[[#This Row],[NETO GRAVADO]]="","",compras_mes576[[#This Row],[NETO GRAVADO]]*0.21)</f>
        <v>360468.09960000002</v>
      </c>
      <c r="J183" s="426"/>
      <c r="K183" s="426"/>
      <c r="L183" s="426"/>
      <c r="M183" s="426"/>
      <c r="N183" s="426"/>
      <c r="O183" s="426"/>
      <c r="P183" s="424">
        <f>SUM(compras_mes576[[#This Row],[NETO GRAVADO]:[Otros / No Grav.]])</f>
        <v>2076982.8596000001</v>
      </c>
      <c r="Q183" s="432" t="str">
        <f>IFERROR(IF(compras_mes576[[#This Row],[CUIT]]="","-",VLOOKUP(compras_mes576[[#This Row],[CUIT]],Lista_CUIT[#All],3,0)),"CUIT NO CARGADO")</f>
        <v>Productos Venta</v>
      </c>
      <c r="R183" s="432">
        <f>IFERROR(IF(compras_mes576[[#This Row],[CUIT]]="","-",VLOOKUP(compras_mes576[[#This Row],[CUIT]],Lista_CUIT[#All],4,0)),"CUIT NO CARGADO")</f>
        <v>0</v>
      </c>
    </row>
    <row r="184" spans="2:19" s="56" customFormat="1" ht="18.600000000000001" customHeight="1">
      <c r="B184" s="425" t="s">
        <v>2275</v>
      </c>
      <c r="C184" s="90">
        <v>1</v>
      </c>
      <c r="D184" s="91">
        <v>8</v>
      </c>
      <c r="E184" s="92">
        <v>1524</v>
      </c>
      <c r="F184" s="93">
        <v>20277381908</v>
      </c>
      <c r="G184" s="436" t="str">
        <f>IFERROR(IF(compras_mes576[[#This Row],[CUIT]]="","-",VLOOKUP(compras_mes576[[#This Row],[CUIT]],Lista_CUIT[#All],2,0)),"CUIT NO CARGADO")</f>
        <v>ALONSO RODRIGO JAVIER</v>
      </c>
      <c r="H184" s="95">
        <v>4958.68</v>
      </c>
      <c r="I184" s="426">
        <f>IF(compras_mes576[[#This Row],[NETO GRAVADO]]="","",compras_mes576[[#This Row],[NETO GRAVADO]]*0.21)</f>
        <v>1041.3227999999999</v>
      </c>
      <c r="J184" s="426"/>
      <c r="K184" s="426"/>
      <c r="L184" s="426"/>
      <c r="M184" s="426"/>
      <c r="N184" s="426"/>
      <c r="O184" s="426"/>
      <c r="P184" s="424">
        <f>SUM(compras_mes576[[#This Row],[NETO GRAVADO]:[Otros / No Grav.]])</f>
        <v>6000.0028000000002</v>
      </c>
      <c r="Q184" s="432" t="str">
        <f>IFERROR(IF(compras_mes576[[#This Row],[CUIT]]="","-",VLOOKUP(compras_mes576[[#This Row],[CUIT]],Lista_CUIT[#All],3,0)),"CUIT NO CARGADO")</f>
        <v>Gastos Varios</v>
      </c>
      <c r="R184" s="432">
        <f>IFERROR(IF(compras_mes576[[#This Row],[CUIT]]="","-",VLOOKUP(compras_mes576[[#This Row],[CUIT]],Lista_CUIT[#All],4,0)),"CUIT NO CARGADO")</f>
        <v>0</v>
      </c>
    </row>
    <row r="185" spans="2:19" s="56" customFormat="1" ht="18.600000000000001" customHeight="1">
      <c r="B185" s="425" t="s">
        <v>2275</v>
      </c>
      <c r="C185" s="90">
        <v>1</v>
      </c>
      <c r="D185" s="91">
        <v>12</v>
      </c>
      <c r="E185" s="92">
        <v>13168</v>
      </c>
      <c r="F185" s="93">
        <v>30694497701</v>
      </c>
      <c r="G185" s="436" t="str">
        <f>IFERROR(IF(compras_mes576[[#This Row],[CUIT]]="","-",VLOOKUP(compras_mes576[[#This Row],[CUIT]],Lista_CUIT[#All],2,0)),"CUIT NO CARGADO")</f>
        <v>DECOR ALUM SRL</v>
      </c>
      <c r="H185" s="95">
        <v>14064.78</v>
      </c>
      <c r="I185" s="426">
        <f>IF(compras_mes576[[#This Row],[NETO GRAVADO]]="","",compras_mes576[[#This Row],[NETO GRAVADO]]*0.21)</f>
        <v>2953.6037999999999</v>
      </c>
      <c r="J185" s="426"/>
      <c r="K185" s="426"/>
      <c r="L185" s="426"/>
      <c r="M185" s="426"/>
      <c r="N185" s="426">
        <v>843.89</v>
      </c>
      <c r="O185" s="426"/>
      <c r="P185" s="455">
        <f>SUM(compras_mes576[[#This Row],[NETO GRAVADO]:[Otros / No Grav.]])</f>
        <v>17862.273799999999</v>
      </c>
      <c r="Q185" s="432" t="str">
        <f>IFERROR(IF(compras_mes576[[#This Row],[CUIT]]="","-",VLOOKUP(compras_mes576[[#This Row],[CUIT]],Lista_CUIT[#All],3,0)),"CUIT NO CARGADO")</f>
        <v>MANTENIMIENTO</v>
      </c>
      <c r="R185" s="432">
        <f>IFERROR(IF(compras_mes576[[#This Row],[CUIT]]="","-",VLOOKUP(compras_mes576[[#This Row],[CUIT]],Lista_CUIT[#All],4,0)),"CUIT NO CARGADO")</f>
        <v>0</v>
      </c>
      <c r="S185" s="56" t="s">
        <v>1826</v>
      </c>
    </row>
    <row r="186" spans="2:19" s="56" customFormat="1" ht="18.75" customHeight="1">
      <c r="B186" s="425" t="s">
        <v>2275</v>
      </c>
      <c r="C186" s="90">
        <v>1</v>
      </c>
      <c r="D186" s="91">
        <v>6</v>
      </c>
      <c r="E186" s="92">
        <v>16556251</v>
      </c>
      <c r="F186" s="93">
        <v>30620177497</v>
      </c>
      <c r="G186" s="436" t="str">
        <f>IFERROR(IF(compras_mes576[[#This Row],[CUIT]]="","-",VLOOKUP(compras_mes576[[#This Row],[CUIT]],Lista_CUIT[#All],2,0)),"CUIT NO CARGADO")</f>
        <v>POSNET SRL</v>
      </c>
      <c r="H186" s="95">
        <v>0</v>
      </c>
      <c r="I186" s="426">
        <f>IF(compras_mes576[[#This Row],[NETO GRAVADO]]="","",compras_mes576[[#This Row],[NETO GRAVADO]]*0.21)</f>
        <v>0</v>
      </c>
      <c r="J186" s="426"/>
      <c r="K186" s="426"/>
      <c r="L186" s="426"/>
      <c r="M186" s="426"/>
      <c r="N186" s="426"/>
      <c r="O186" s="426"/>
      <c r="P186" s="424">
        <f>SUM(compras_mes576[[#This Row],[NETO GRAVADO]:[Otros / No Grav.]])</f>
        <v>0</v>
      </c>
      <c r="Q186" s="432" t="str">
        <f>IFERROR(IF(compras_mes576[[#This Row],[CUIT]]="","-",VLOOKUP(compras_mes576[[#This Row],[CUIT]],Lista_CUIT[#All],3,0)),"CUIT NO CARGADO")</f>
        <v>Gastos Comercializacion</v>
      </c>
      <c r="R186" s="432">
        <f>IFERROR(IF(compras_mes576[[#This Row],[CUIT]]="","-",VLOOKUP(compras_mes576[[#This Row],[CUIT]],Lista_CUIT[#All],4,0)),"CUIT NO CARGADO")</f>
        <v>0</v>
      </c>
      <c r="S186" s="56" t="s">
        <v>1826</v>
      </c>
    </row>
    <row r="187" spans="2:19" s="56" customFormat="1" ht="18" customHeight="1">
      <c r="B187" s="425" t="s">
        <v>2275</v>
      </c>
      <c r="C187" s="90">
        <v>1</v>
      </c>
      <c r="D187" s="91">
        <v>1000</v>
      </c>
      <c r="E187" s="92">
        <v>184239</v>
      </c>
      <c r="F187" s="93">
        <v>30715123483</v>
      </c>
      <c r="G187" s="436" t="str">
        <f>IFERROR(IF(compras_mes576[[#This Row],[CUIT]]="","-",VLOOKUP(compras_mes576[[#This Row],[CUIT]],Lista_CUIT[#All],2,0)),"CUIT NO CARGADO")</f>
        <v>ITPROUSER S.A.</v>
      </c>
      <c r="H187" s="95">
        <v>277623.31</v>
      </c>
      <c r="I187" s="426">
        <f>IF(compras_mes576[[#This Row],[NETO GRAVADO]]="","",compras_mes576[[#This Row],[NETO GRAVADO]]*0.21)</f>
        <v>58300.895099999994</v>
      </c>
      <c r="J187" s="426"/>
      <c r="K187" s="426"/>
      <c r="L187" s="426"/>
      <c r="M187" s="426"/>
      <c r="N187" s="426">
        <v>16657.400000000001</v>
      </c>
      <c r="O187" s="426"/>
      <c r="P187" s="455">
        <f>SUM(compras_mes576[[#This Row],[NETO GRAVADO]:[Otros / No Grav.]])</f>
        <v>352581.60510000004</v>
      </c>
      <c r="Q187" s="432" t="str">
        <f>IFERROR(IF(compras_mes576[[#This Row],[CUIT]]="","-",VLOOKUP(compras_mes576[[#This Row],[CUIT]],Lista_CUIT[#All],3,0)),"CUIT NO CARGADO")</f>
        <v>MANTENIMIENTO</v>
      </c>
      <c r="R187" s="432">
        <f>IFERROR(IF(compras_mes576[[#This Row],[CUIT]]="","-",VLOOKUP(compras_mes576[[#This Row],[CUIT]],Lista_CUIT[#All],4,0)),"CUIT NO CARGADO")</f>
        <v>0</v>
      </c>
    </row>
    <row r="188" spans="2:19" s="56" customFormat="1" ht="16.5" customHeight="1">
      <c r="B188" s="425" t="s">
        <v>2275</v>
      </c>
      <c r="C188" s="90">
        <v>1</v>
      </c>
      <c r="D188" s="91">
        <v>3</v>
      </c>
      <c r="E188" s="92">
        <v>10594</v>
      </c>
      <c r="F188" s="93">
        <v>30679163317</v>
      </c>
      <c r="G188" s="436" t="str">
        <f>IFERROR(IF(compras_mes576[[#This Row],[CUIT]]="","-",VLOOKUP(compras_mes576[[#This Row],[CUIT]],Lista_CUIT[#All],2,0)),"CUIT NO CARGADO")</f>
        <v>RANKO S R L</v>
      </c>
      <c r="H188" s="95">
        <v>24993.74</v>
      </c>
      <c r="I188" s="426">
        <f>IF(compras_mes576[[#This Row],[NETO GRAVADO]]="","",compras_mes576[[#This Row],[NETO GRAVADO]]*0.21)</f>
        <v>5248.6854000000003</v>
      </c>
      <c r="J188" s="426"/>
      <c r="K188" s="426"/>
      <c r="L188" s="426"/>
      <c r="M188" s="426"/>
      <c r="N188" s="426"/>
      <c r="O188" s="426"/>
      <c r="P188" s="424">
        <f>SUM(compras_mes576[[#This Row],[NETO GRAVADO]:[Otros / No Grav.]])</f>
        <v>30242.4254</v>
      </c>
      <c r="Q188" s="432" t="str">
        <f>IFERROR(IF(compras_mes576[[#This Row],[CUIT]]="","-",VLOOKUP(compras_mes576[[#This Row],[CUIT]],Lista_CUIT[#All],3,0)),"CUIT NO CARGADO")</f>
        <v>Mantenimiento</v>
      </c>
      <c r="R188" s="432">
        <f>IFERROR(IF(compras_mes576[[#This Row],[CUIT]]="","-",VLOOKUP(compras_mes576[[#This Row],[CUIT]],Lista_CUIT[#All],4,0)),"CUIT NO CARGADO")</f>
        <v>0</v>
      </c>
    </row>
    <row r="189" spans="2:19" s="56" customFormat="1" ht="15.75" customHeight="1">
      <c r="B189" s="425" t="s">
        <v>2275</v>
      </c>
      <c r="C189" s="90">
        <v>1</v>
      </c>
      <c r="D189" s="91">
        <v>6852</v>
      </c>
      <c r="E189" s="92">
        <v>24554</v>
      </c>
      <c r="F189" s="93">
        <v>30678774495</v>
      </c>
      <c r="G189" s="436" t="str">
        <f>IFERROR(IF(compras_mes576[[#This Row],[CUIT]]="","-",VLOOKUP(compras_mes576[[#This Row],[CUIT]],Lista_CUIT[#All],2,0)),"CUIT NO CARGADO")</f>
        <v>OPER. DE EST. DE SERV. SA</v>
      </c>
      <c r="H189" s="95">
        <v>7267.33</v>
      </c>
      <c r="I189" s="426">
        <f>IF(compras_mes576[[#This Row],[NETO GRAVADO]]="","",compras_mes576[[#This Row],[NETO GRAVADO]]*0.21)</f>
        <v>1526.1392999999998</v>
      </c>
      <c r="J189" s="426"/>
      <c r="K189" s="426"/>
      <c r="L189" s="426"/>
      <c r="M189" s="426"/>
      <c r="N189" s="426"/>
      <c r="O189" s="426">
        <v>1206.57</v>
      </c>
      <c r="P189" s="455">
        <f>SUM(compras_mes576[[#This Row],[NETO GRAVADO]:[Otros / No Grav.]])</f>
        <v>10000.0393</v>
      </c>
      <c r="Q189" s="432" t="str">
        <f>IFERROR(IF(compras_mes576[[#This Row],[CUIT]]="","-",VLOOKUP(compras_mes576[[#This Row],[CUIT]],Lista_CUIT[#All],3,0)),"CUIT NO CARGADO")</f>
        <v>Combustible</v>
      </c>
      <c r="R189" s="432">
        <f>IFERROR(IF(compras_mes576[[#This Row],[CUIT]]="","-",VLOOKUP(compras_mes576[[#This Row],[CUIT]],Lista_CUIT[#All],4,0)),"CUIT NO CARGADO")</f>
        <v>0</v>
      </c>
    </row>
    <row r="190" spans="2:19" ht="15" customHeight="1">
      <c r="B190" s="425" t="s">
        <v>2275</v>
      </c>
      <c r="C190" s="90">
        <v>1</v>
      </c>
      <c r="D190" s="91">
        <v>50</v>
      </c>
      <c r="E190" s="92">
        <v>3629542</v>
      </c>
      <c r="F190" s="93">
        <v>30714112836</v>
      </c>
      <c r="G190" s="436" t="str">
        <f>IFERROR(IF(compras_mes576[[#This Row],[CUIT]]="","-",VLOOKUP(compras_mes576[[#This Row],[CUIT]],Lista_CUIT[#All],2,0)),"CUIT NO CARGADO")</f>
        <v>AUTOPISTAS DE BS AS</v>
      </c>
      <c r="H190" s="95">
        <v>23235.54</v>
      </c>
      <c r="I190" s="426">
        <f>IF(compras_mes576[[#This Row],[NETO GRAVADO]]="","",compras_mes576[[#This Row],[NETO GRAVADO]]*0.21)</f>
        <v>4879.4633999999996</v>
      </c>
      <c r="J190" s="426"/>
      <c r="K190" s="426"/>
      <c r="L190" s="426">
        <v>697.07</v>
      </c>
      <c r="M190" s="426"/>
      <c r="N190" s="426"/>
      <c r="O190" s="426"/>
      <c r="P190" s="455">
        <f>SUM(compras_mes576[[#This Row],[NETO GRAVADO]:[Otros / No Grav.]])</f>
        <v>28812.073400000001</v>
      </c>
      <c r="Q190" s="432" t="str">
        <f>IFERROR(IF(compras_mes576[[#This Row],[CUIT]]="","-",VLOOKUP(compras_mes576[[#This Row],[CUIT]],Lista_CUIT[#All],3,0)),"CUIT NO CARGADO")</f>
        <v>Peajes</v>
      </c>
      <c r="R190" s="432">
        <f>IFERROR(IF(compras_mes576[[#This Row],[CUIT]]="","-",VLOOKUP(compras_mes576[[#This Row],[CUIT]],Lista_CUIT[#All],4,0)),"CUIT NO CARGADO")</f>
        <v>0</v>
      </c>
    </row>
    <row r="191" spans="2:19" ht="15" customHeight="1">
      <c r="B191" s="425" t="s">
        <v>2275</v>
      </c>
      <c r="C191" s="90">
        <v>1</v>
      </c>
      <c r="D191" s="91">
        <v>11</v>
      </c>
      <c r="E191" s="92">
        <v>991792</v>
      </c>
      <c r="F191" s="93">
        <v>33709585229</v>
      </c>
      <c r="G191" s="436" t="str">
        <f>IFERROR(IF(compras_mes576[[#This Row],[CUIT]]="","-",VLOOKUP(compras_mes576[[#This Row],[CUIT]],Lista_CUIT[#All],2,0)),"CUIT NO CARGADO")</f>
        <v>GOOGLE ARGENTINA S.R.L.</v>
      </c>
      <c r="H191" s="95">
        <v>108171.38</v>
      </c>
      <c r="I191" s="426">
        <f>IF(compras_mes576[[#This Row],[NETO GRAVADO]]="","",compras_mes576[[#This Row],[NETO GRAVADO]]*0.21)</f>
        <v>22715.989799999999</v>
      </c>
      <c r="J191" s="426"/>
      <c r="K191" s="426"/>
      <c r="L191" s="426"/>
      <c r="M191" s="426"/>
      <c r="N191" s="426">
        <v>22156.21</v>
      </c>
      <c r="O191" s="426">
        <v>3245.14</v>
      </c>
      <c r="P191" s="455">
        <f>SUM(compras_mes576[[#This Row],[NETO GRAVADO]:[Otros / No Grav.]])</f>
        <v>156288.71980000002</v>
      </c>
      <c r="Q191" s="432" t="str">
        <f>IFERROR(IF(compras_mes576[[#This Row],[CUIT]]="","-",VLOOKUP(compras_mes576[[#This Row],[CUIT]],Lista_CUIT[#All],3,0)),"CUIT NO CARGADO")</f>
        <v>Gastos Comercializacion</v>
      </c>
      <c r="R191" s="432">
        <f>IFERROR(IF(compras_mes576[[#This Row],[CUIT]]="","-",VLOOKUP(compras_mes576[[#This Row],[CUIT]],Lista_CUIT[#All],4,0)),"CUIT NO CARGADO")</f>
        <v>0</v>
      </c>
    </row>
    <row r="192" spans="2:19" ht="15" customHeight="1">
      <c r="B192" s="425" t="s">
        <v>2275</v>
      </c>
      <c r="C192" s="90">
        <v>1</v>
      </c>
      <c r="D192" s="91">
        <v>113</v>
      </c>
      <c r="E192" s="92">
        <v>3622201</v>
      </c>
      <c r="F192" s="93">
        <v>30577207190</v>
      </c>
      <c r="G192" s="436" t="str">
        <f>IFERROR(IF(compras_mes576[[#This Row],[CUIT]]="","-",VLOOKUP(compras_mes576[[#This Row],[CUIT]],Lista_CUIT[#All],2,0)),"CUIT NO CARGADO")</f>
        <v>COORDINACION ECOLOGICA AREA METROPOLITANA SOCIEDAD DEL ESTADO</v>
      </c>
      <c r="H192" s="95">
        <v>4142.1499999999996</v>
      </c>
      <c r="I192" s="426">
        <f>IF(compras_mes576[[#This Row],[NETO GRAVADO]]="","",compras_mes576[[#This Row],[NETO GRAVADO]]*0.21)</f>
        <v>869.85149999999987</v>
      </c>
      <c r="J192" s="426"/>
      <c r="K192" s="426"/>
      <c r="L192" s="426">
        <v>124.27</v>
      </c>
      <c r="M192" s="426"/>
      <c r="N192" s="426"/>
      <c r="O192" s="426"/>
      <c r="P192" s="455">
        <f>SUM(compras_mes576[[#This Row],[NETO GRAVADO]:[Otros / No Grav.]])</f>
        <v>5136.2714999999998</v>
      </c>
      <c r="Q192" s="432" t="str">
        <f>IFERROR(IF(compras_mes576[[#This Row],[CUIT]]="","-",VLOOKUP(compras_mes576[[#This Row],[CUIT]],Lista_CUIT[#All],3,0)),"CUIT NO CARGADO")</f>
        <v>Gastos Limpieza</v>
      </c>
      <c r="R192" s="432">
        <f>IFERROR(IF(compras_mes576[[#This Row],[CUIT]]="","-",VLOOKUP(compras_mes576[[#This Row],[CUIT]],Lista_CUIT[#All],4,0)),"CUIT NO CARGADO")</f>
        <v>0</v>
      </c>
    </row>
    <row r="193" spans="2:19" ht="15" customHeight="1">
      <c r="B193" s="425" t="s">
        <v>2275</v>
      </c>
      <c r="C193" s="90">
        <v>1</v>
      </c>
      <c r="D193" s="91">
        <v>1</v>
      </c>
      <c r="E193" s="92">
        <v>239</v>
      </c>
      <c r="F193" s="93">
        <v>20077604627</v>
      </c>
      <c r="G193" s="436" t="str">
        <f>IFERROR(IF(compras_mes576[[#This Row],[CUIT]]="","-",VLOOKUP(compras_mes576[[#This Row],[CUIT]],Lista_CUIT[#All],2,0)),"CUIT NO CARGADO")</f>
        <v>OCAÑO ENRIQUE</v>
      </c>
      <c r="H193" s="95">
        <v>7578480</v>
      </c>
      <c r="I193" s="426">
        <f>IF(compras_mes576[[#This Row],[NETO GRAVADO]]="","",compras_mes576[[#This Row],[NETO GRAVADO]]*0.21)</f>
        <v>1591480.8</v>
      </c>
      <c r="J193" s="426"/>
      <c r="K193" s="426"/>
      <c r="L193" s="426"/>
      <c r="M193" s="426"/>
      <c r="N193" s="426"/>
      <c r="O193" s="426"/>
      <c r="P193" s="424">
        <f>SUM(compras_mes576[[#This Row],[NETO GRAVADO]:[Otros / No Grav.]])</f>
        <v>9169960.8000000007</v>
      </c>
      <c r="Q193" s="432" t="str">
        <f>IFERROR(IF(compras_mes576[[#This Row],[CUIT]]="","-",VLOOKUP(compras_mes576[[#This Row],[CUIT]],Lista_CUIT[#All],3,0)),"CUIT NO CARGADO")</f>
        <v>Material de Empaque</v>
      </c>
      <c r="R193" s="432">
        <f>IFERROR(IF(compras_mes576[[#This Row],[CUIT]]="","-",VLOOKUP(compras_mes576[[#This Row],[CUIT]],Lista_CUIT[#All],4,0)),"CUIT NO CARGADO")</f>
        <v>0</v>
      </c>
      <c r="S193" t="s">
        <v>1826</v>
      </c>
    </row>
    <row r="194" spans="2:19" ht="15.75" customHeight="1">
      <c r="B194" s="425" t="s">
        <v>2275</v>
      </c>
      <c r="C194" s="90">
        <v>3</v>
      </c>
      <c r="D194" s="91">
        <v>11</v>
      </c>
      <c r="E194" s="92">
        <v>727847</v>
      </c>
      <c r="F194" s="93">
        <v>33709585229</v>
      </c>
      <c r="G194" s="436" t="str">
        <f>IFERROR(IF(compras_mes576[[#This Row],[CUIT]]="","-",VLOOKUP(compras_mes576[[#This Row],[CUIT]],Lista_CUIT[#All],2,0)),"CUIT NO CARGADO")</f>
        <v>GOOGLE ARGENTINA S.R.L.</v>
      </c>
      <c r="H194" s="95">
        <v>0</v>
      </c>
      <c r="I194" s="426">
        <f>IF(compras_mes576[[#This Row],[NETO GRAVADO]]="","",compras_mes576[[#This Row],[NETO GRAVADO]]*0.21)</f>
        <v>0</v>
      </c>
      <c r="J194" s="426"/>
      <c r="K194" s="426"/>
      <c r="L194" s="426"/>
      <c r="M194" s="426"/>
      <c r="N194" s="426"/>
      <c r="O194" s="426"/>
      <c r="P194" s="424">
        <f>SUM(compras_mes576[[#This Row],[NETO GRAVADO]:[Otros / No Grav.]])</f>
        <v>0</v>
      </c>
      <c r="Q194" s="432" t="str">
        <f>IFERROR(IF(compras_mes576[[#This Row],[CUIT]]="","-",VLOOKUP(compras_mes576[[#This Row],[CUIT]],Lista_CUIT[#All],3,0)),"CUIT NO CARGADO")</f>
        <v>Gastos Comercializacion</v>
      </c>
      <c r="R194" s="432">
        <f>IFERROR(IF(compras_mes576[[#This Row],[CUIT]]="","-",VLOOKUP(compras_mes576[[#This Row],[CUIT]],Lista_CUIT[#All],4,0)),"CUIT NO CARGADO")</f>
        <v>0</v>
      </c>
    </row>
    <row r="195" spans="2:19">
      <c r="B195" s="458">
        <v>45428</v>
      </c>
      <c r="C195" s="479">
        <v>1</v>
      </c>
      <c r="D195" s="480">
        <v>5</v>
      </c>
      <c r="E195" s="457">
        <v>1036</v>
      </c>
      <c r="F195" s="481">
        <v>20120940628</v>
      </c>
      <c r="G195" s="463" t="str">
        <f>IFERROR(IF(compras_mes576[[#This Row],[CUIT]]="","-",VLOOKUP(compras_mes576[[#This Row],[CUIT]],Lista_CUIT[#All],2,0)),"CUIT NO CARGADO")</f>
        <v>MURRUNI NICODEMO</v>
      </c>
      <c r="H195" s="482">
        <v>1772.71</v>
      </c>
      <c r="I195" s="465">
        <f>IF(compras_mes576[[#This Row],[NETO GRAVADO]]="","",compras_mes576[[#This Row],[NETO GRAVADO]]*0.21)</f>
        <v>372.26909999999998</v>
      </c>
      <c r="J195" s="465"/>
      <c r="K195" s="465"/>
      <c r="L195" s="465"/>
      <c r="M195" s="465"/>
      <c r="N195" s="465"/>
      <c r="O195" s="465"/>
      <c r="P195" s="455">
        <f>SUM(compras_mes576[[#This Row],[NETO GRAVADO]:[Otros / No Grav.]])</f>
        <v>2144.9791</v>
      </c>
      <c r="Q195" s="466" t="str">
        <f>IFERROR(IF(compras_mes576[[#This Row],[CUIT]]="","-",VLOOKUP(compras_mes576[[#This Row],[CUIT]],Lista_CUIT[#All],3,0)),"CUIT NO CARGADO")</f>
        <v>Gastos Varios</v>
      </c>
      <c r="R195" s="466">
        <f>IFERROR(IF(compras_mes576[[#This Row],[CUIT]]="","-",VLOOKUP(compras_mes576[[#This Row],[CUIT]],Lista_CUIT[#All],4,0)),"CUIT NO CARGADO")</f>
        <v>0</v>
      </c>
    </row>
    <row r="196" spans="2:19">
      <c r="B196" s="458">
        <v>45414</v>
      </c>
      <c r="C196" s="479">
        <v>1</v>
      </c>
      <c r="D196" s="480">
        <v>32</v>
      </c>
      <c r="E196" s="457">
        <v>2337</v>
      </c>
      <c r="F196" s="481">
        <v>30696106068</v>
      </c>
      <c r="G196" s="463" t="str">
        <f>IFERROR(IF(compras_mes576[[#This Row],[CUIT]]="","-",VLOOKUP(compras_mes576[[#This Row],[CUIT]],Lista_CUIT[#All],2,0)),"CUIT NO CARGADO")</f>
        <v>PINTURERIAS LIBERATO SRL</v>
      </c>
      <c r="H196" s="482">
        <v>35036</v>
      </c>
      <c r="I196" s="465">
        <f>IF(compras_mes576[[#This Row],[NETO GRAVADO]]="","",compras_mes576[[#This Row],[NETO GRAVADO]]*0.21)</f>
        <v>7357.5599999999995</v>
      </c>
      <c r="J196" s="465"/>
      <c r="K196" s="465"/>
      <c r="L196" s="465"/>
      <c r="M196" s="465"/>
      <c r="N196" s="465"/>
      <c r="O196" s="465"/>
      <c r="P196" s="455">
        <f>SUM(compras_mes576[[#This Row],[NETO GRAVADO]:[Otros / No Grav.]])</f>
        <v>42393.56</v>
      </c>
      <c r="Q196" s="466" t="str">
        <f>IFERROR(IF(compras_mes576[[#This Row],[CUIT]]="","-",VLOOKUP(compras_mes576[[#This Row],[CUIT]],Lista_CUIT[#All],3,0)),"CUIT NO CARGADO")</f>
        <v>Mantenimiento Locales</v>
      </c>
      <c r="R196" s="466">
        <f>IFERROR(IF(compras_mes576[[#This Row],[CUIT]]="","-",VLOOKUP(compras_mes576[[#This Row],[CUIT]],Lista_CUIT[#All],4,0)),"CUIT NO CARGADO")</f>
        <v>0</v>
      </c>
      <c r="S196" t="s">
        <v>1826</v>
      </c>
    </row>
    <row r="197" spans="2:19">
      <c r="B197" s="458">
        <v>45427</v>
      </c>
      <c r="C197" s="479">
        <v>1</v>
      </c>
      <c r="D197" s="480">
        <v>17</v>
      </c>
      <c r="E197" s="457">
        <v>7530</v>
      </c>
      <c r="F197" s="481">
        <v>30707841105</v>
      </c>
      <c r="G197" s="463" t="str">
        <f>IFERROR(IF(compras_mes576[[#This Row],[CUIT]]="","-",VLOOKUP(compras_mes576[[#This Row],[CUIT]],Lista_CUIT[#All],2,0)),"CUIT NO CARGADO")</f>
        <v>PETRO ARG SRL</v>
      </c>
      <c r="H197" s="482">
        <v>25446.43</v>
      </c>
      <c r="I197" s="465">
        <f>IF(compras_mes576[[#This Row],[NETO GRAVADO]]="","",compras_mes576[[#This Row],[NETO GRAVADO]]*0.21)</f>
        <v>5343.7502999999997</v>
      </c>
      <c r="J197" s="465"/>
      <c r="K197" s="465"/>
      <c r="L197" s="465"/>
      <c r="M197" s="465"/>
      <c r="N197" s="465"/>
      <c r="O197" s="465">
        <v>4224.78</v>
      </c>
      <c r="P197" s="455">
        <f>SUM(compras_mes576[[#This Row],[NETO GRAVADO]:[Otros / No Grav.]])</f>
        <v>35014.960299999999</v>
      </c>
      <c r="Q197" s="466" t="str">
        <f>IFERROR(IF(compras_mes576[[#This Row],[CUIT]]="","-",VLOOKUP(compras_mes576[[#This Row],[CUIT]],Lista_CUIT[#All],3,0)),"CUIT NO CARGADO")</f>
        <v>Combustible</v>
      </c>
      <c r="R197" s="466">
        <f>IFERROR(IF(compras_mes576[[#This Row],[CUIT]]="","-",VLOOKUP(compras_mes576[[#This Row],[CUIT]],Lista_CUIT[#All],4,0)),"CUIT NO CARGADO")</f>
        <v>0</v>
      </c>
      <c r="S197" t="s">
        <v>1826</v>
      </c>
    </row>
    <row r="198" spans="2:19">
      <c r="B198" s="458">
        <v>45415</v>
      </c>
      <c r="C198" s="479">
        <v>1</v>
      </c>
      <c r="D198" s="480">
        <v>20</v>
      </c>
      <c r="E198" s="457">
        <v>12919</v>
      </c>
      <c r="F198" s="481">
        <v>30515800219</v>
      </c>
      <c r="G198" s="463" t="str">
        <f>IFERROR(IF(compras_mes576[[#This Row],[CUIT]]="","-",VLOOKUP(compras_mes576[[#This Row],[CUIT]],Lista_CUIT[#All],2,0)),"CUIT NO CARGADO")</f>
        <v>INCAT SRL</v>
      </c>
      <c r="H198" s="482">
        <v>3297.57</v>
      </c>
      <c r="I198" s="465">
        <f>IF(compras_mes576[[#This Row],[NETO GRAVADO]]="","",compras_mes576[[#This Row],[NETO GRAVADO]]*0.21)</f>
        <v>692.48969999999997</v>
      </c>
      <c r="J198" s="465"/>
      <c r="K198" s="465"/>
      <c r="L198" s="465"/>
      <c r="M198" s="465"/>
      <c r="N198" s="465"/>
      <c r="O198" s="465">
        <v>9.9700000000000006</v>
      </c>
      <c r="P198" s="455">
        <f>SUM(compras_mes576[[#This Row],[NETO GRAVADO]:[Otros / No Grav.]])</f>
        <v>4000.0297</v>
      </c>
      <c r="Q198" s="466" t="str">
        <f>IFERROR(IF(compras_mes576[[#This Row],[CUIT]]="","-",VLOOKUP(compras_mes576[[#This Row],[CUIT]],Lista_CUIT[#All],3,0)),"CUIT NO CARGADO")</f>
        <v>Combustible</v>
      </c>
      <c r="R198" s="466" t="str">
        <f>IFERROR(IF(compras_mes576[[#This Row],[CUIT]]="","-",VLOOKUP(compras_mes576[[#This Row],[CUIT]],Lista_CUIT[#All],4,0)),"CUIT NO CARGADO")</f>
        <v>CABA</v>
      </c>
      <c r="S198" t="s">
        <v>1826</v>
      </c>
    </row>
    <row r="199" spans="2:19">
      <c r="B199" s="458">
        <v>45419</v>
      </c>
      <c r="C199" s="479">
        <v>1</v>
      </c>
      <c r="D199" s="480">
        <v>19</v>
      </c>
      <c r="E199" s="457">
        <v>20937</v>
      </c>
      <c r="F199" s="481">
        <v>30515800219</v>
      </c>
      <c r="G199" s="474" t="str">
        <f>IFERROR(IF(compras_mes576[[#This Row],[CUIT]]="","-",VLOOKUP(compras_mes576[[#This Row],[CUIT]],Lista_CUIT[#All],2,0)),"CUIT NO CARGADO")</f>
        <v>INCAT SRL</v>
      </c>
      <c r="H199" s="482">
        <v>6446.14</v>
      </c>
      <c r="I199" s="465">
        <f>IF(compras_mes576[[#This Row],[NETO GRAVADO]]="","",compras_mes576[[#This Row],[NETO GRAVADO]]*0.21)</f>
        <v>1353.6894</v>
      </c>
      <c r="J199" s="465"/>
      <c r="K199" s="465"/>
      <c r="L199" s="465"/>
      <c r="M199" s="465"/>
      <c r="N199" s="465"/>
      <c r="O199" s="465">
        <v>1200.1500000000001</v>
      </c>
      <c r="P199" s="477">
        <f>SUM(compras_mes576[[#This Row],[NETO GRAVADO]:[Otros / No Grav.]])</f>
        <v>8999.9794000000002</v>
      </c>
      <c r="Q199" s="478" t="str">
        <f>IFERROR(IF(compras_mes576[[#This Row],[CUIT]]="","-",VLOOKUP(compras_mes576[[#This Row],[CUIT]],Lista_CUIT[#All],3,0)),"CUIT NO CARGADO")</f>
        <v>Combustible</v>
      </c>
      <c r="R199" s="478" t="str">
        <f>IFERROR(IF(compras_mes576[[#This Row],[CUIT]]="","-",VLOOKUP(compras_mes576[[#This Row],[CUIT]],Lista_CUIT[#All],4,0)),"CUIT NO CARGADO")</f>
        <v>CABA</v>
      </c>
    </row>
    <row r="200" spans="2:19">
      <c r="B200" s="458">
        <v>45418</v>
      </c>
      <c r="C200" s="479">
        <v>1</v>
      </c>
      <c r="D200" s="480">
        <v>23</v>
      </c>
      <c r="E200" s="457">
        <v>27779</v>
      </c>
      <c r="F200" s="481">
        <v>30515800219</v>
      </c>
      <c r="G200" s="474" t="str">
        <f>IFERROR(IF(compras_mes576[[#This Row],[CUIT]]="","-",VLOOKUP(compras_mes576[[#This Row],[CUIT]],Lista_CUIT[#All],2,0)),"CUIT NO CARGADO")</f>
        <v>INCAT SRL</v>
      </c>
      <c r="H200" s="482">
        <v>19557</v>
      </c>
      <c r="I200" s="465">
        <f>IF(compras_mes576[[#This Row],[NETO GRAVADO]]="","",compras_mes576[[#This Row],[NETO GRAVADO]]*0.21)</f>
        <v>4106.97</v>
      </c>
      <c r="J200" s="465"/>
      <c r="K200" s="465"/>
      <c r="L200" s="465"/>
      <c r="M200" s="465"/>
      <c r="N200" s="465"/>
      <c r="O200" s="465">
        <v>3795.02</v>
      </c>
      <c r="P200" s="477">
        <f>SUM(compras_mes576[[#This Row],[NETO GRAVADO]:[Otros / No Grav.]])</f>
        <v>27458.99</v>
      </c>
      <c r="Q200" s="478" t="str">
        <f>IFERROR(IF(compras_mes576[[#This Row],[CUIT]]="","-",VLOOKUP(compras_mes576[[#This Row],[CUIT]],Lista_CUIT[#All],3,0)),"CUIT NO CARGADO")</f>
        <v>Combustible</v>
      </c>
      <c r="R200" s="478" t="str">
        <f>IFERROR(IF(compras_mes576[[#This Row],[CUIT]]="","-",VLOOKUP(compras_mes576[[#This Row],[CUIT]],Lista_CUIT[#All],4,0)),"CUIT NO CARGADO")</f>
        <v>CABA</v>
      </c>
    </row>
    <row r="201" spans="2:19">
      <c r="B201" s="458">
        <v>45417</v>
      </c>
      <c r="C201" s="479">
        <v>1</v>
      </c>
      <c r="D201" s="480">
        <v>12</v>
      </c>
      <c r="E201" s="457">
        <v>45813</v>
      </c>
      <c r="F201" s="481">
        <v>30696131003</v>
      </c>
      <c r="G201" s="474" t="str">
        <f>IFERROR(IF(compras_mes576[[#This Row],[CUIT]]="","-",VLOOKUP(compras_mes576[[#This Row],[CUIT]],Lista_CUIT[#All],2,0)),"CUIT NO CARGADO")</f>
        <v>Petrolfe S.A.</v>
      </c>
      <c r="H201" s="482">
        <v>129327.38</v>
      </c>
      <c r="I201" s="465">
        <f>IF(compras_mes576[[#This Row],[NETO GRAVADO]]="","",compras_mes576[[#This Row],[NETO GRAVADO]]*0.21)</f>
        <v>27158.749800000001</v>
      </c>
      <c r="J201" s="465"/>
      <c r="K201" s="465"/>
      <c r="L201" s="465"/>
      <c r="M201" s="465"/>
      <c r="N201" s="465"/>
      <c r="O201" s="465">
        <v>24015.71</v>
      </c>
      <c r="P201" s="477">
        <f>SUM(compras_mes576[[#This Row],[NETO GRAVADO]:[Otros / No Grav.]])</f>
        <v>180501.83979999999</v>
      </c>
      <c r="Q201" s="478" t="str">
        <f>IFERROR(IF(compras_mes576[[#This Row],[CUIT]]="","-",VLOOKUP(compras_mes576[[#This Row],[CUIT]],Lista_CUIT[#All],3,0)),"CUIT NO CARGADO")</f>
        <v>Combustible</v>
      </c>
      <c r="R201" s="478">
        <f>IFERROR(IF(compras_mes576[[#This Row],[CUIT]]="","-",VLOOKUP(compras_mes576[[#This Row],[CUIT]],Lista_CUIT[#All],4,0)),"CUIT NO CARGADO")</f>
        <v>0</v>
      </c>
    </row>
    <row r="202" spans="2:19">
      <c r="B202" s="458">
        <v>45423</v>
      </c>
      <c r="C202" s="479">
        <v>1</v>
      </c>
      <c r="D202" s="480">
        <v>12</v>
      </c>
      <c r="E202" s="457">
        <v>46084</v>
      </c>
      <c r="F202" s="481">
        <v>30696131003</v>
      </c>
      <c r="G202" s="474" t="str">
        <f>IFERROR(IF(compras_mes576[[#This Row],[CUIT]]="","-",VLOOKUP(compras_mes576[[#This Row],[CUIT]],Lista_CUIT[#All],2,0)),"CUIT NO CARGADO")</f>
        <v>Petrolfe S.A.</v>
      </c>
      <c r="H202" s="482">
        <v>169952</v>
      </c>
      <c r="I202" s="465">
        <f>IF(compras_mes576[[#This Row],[NETO GRAVADO]]="","",compras_mes576[[#This Row],[NETO GRAVADO]]*0.21)</f>
        <v>35689.919999999998</v>
      </c>
      <c r="J202" s="465"/>
      <c r="K202" s="465"/>
      <c r="L202" s="465"/>
      <c r="M202" s="465"/>
      <c r="N202" s="465"/>
      <c r="O202" s="465">
        <v>24376.14</v>
      </c>
      <c r="P202" s="477">
        <f>SUM(compras_mes576[[#This Row],[NETO GRAVADO]:[Otros / No Grav.]])</f>
        <v>230018.06</v>
      </c>
      <c r="Q202" s="478" t="str">
        <f>IFERROR(IF(compras_mes576[[#This Row],[CUIT]]="","-",VLOOKUP(compras_mes576[[#This Row],[CUIT]],Lista_CUIT[#All],3,0)),"CUIT NO CARGADO")</f>
        <v>Combustible</v>
      </c>
      <c r="R202" s="478">
        <f>IFERROR(IF(compras_mes576[[#This Row],[CUIT]]="","-",VLOOKUP(compras_mes576[[#This Row],[CUIT]],Lista_CUIT[#All],4,0)),"CUIT NO CARGADO")</f>
        <v>0</v>
      </c>
    </row>
    <row r="203" spans="2:19" ht="14.25" customHeight="1">
      <c r="B203" s="458">
        <v>45430</v>
      </c>
      <c r="C203" s="479">
        <v>1</v>
      </c>
      <c r="D203" s="480">
        <v>12</v>
      </c>
      <c r="E203" s="457">
        <v>46333</v>
      </c>
      <c r="F203" s="481">
        <v>30696131003</v>
      </c>
      <c r="G203" s="474" t="str">
        <f>IFERROR(IF(compras_mes576[[#This Row],[CUIT]]="","-",VLOOKUP(compras_mes576[[#This Row],[CUIT]],Lista_CUIT[#All],2,0)),"CUIT NO CARGADO")</f>
        <v>Petrolfe S.A.</v>
      </c>
      <c r="H203" s="482">
        <v>118225.38</v>
      </c>
      <c r="I203" s="465">
        <f>IF(compras_mes576[[#This Row],[NETO GRAVADO]]="","",compras_mes576[[#This Row],[NETO GRAVADO]]*0.21)</f>
        <v>24827.3298</v>
      </c>
      <c r="J203" s="465"/>
      <c r="K203" s="465"/>
      <c r="L203" s="465"/>
      <c r="M203" s="465"/>
      <c r="N203" s="465"/>
      <c r="O203" s="465">
        <v>22011.35</v>
      </c>
      <c r="P203" s="477">
        <f>SUM(compras_mes576[[#This Row],[NETO GRAVADO]:[Otros / No Grav.]])</f>
        <v>165064.05980000002</v>
      </c>
      <c r="Q203" s="478" t="str">
        <f>IFERROR(IF(compras_mes576[[#This Row],[CUIT]]="","-",VLOOKUP(compras_mes576[[#This Row],[CUIT]],Lista_CUIT[#All],3,0)),"CUIT NO CARGADO")</f>
        <v>Combustible</v>
      </c>
      <c r="R203" s="478">
        <f>IFERROR(IF(compras_mes576[[#This Row],[CUIT]]="","-",VLOOKUP(compras_mes576[[#This Row],[CUIT]],Lista_CUIT[#All],4,0)),"CUIT NO CARGADO")</f>
        <v>0</v>
      </c>
    </row>
    <row r="204" spans="2:19">
      <c r="B204" s="458">
        <v>45437</v>
      </c>
      <c r="C204" s="479">
        <v>1</v>
      </c>
      <c r="D204" s="480">
        <v>12</v>
      </c>
      <c r="E204" s="457">
        <v>46629</v>
      </c>
      <c r="F204" s="481">
        <v>30696131003</v>
      </c>
      <c r="G204" s="474" t="str">
        <f>IFERROR(IF(compras_mes576[[#This Row],[CUIT]]="","-",VLOOKUP(compras_mes576[[#This Row],[CUIT]],Lista_CUIT[#All],2,0)),"CUIT NO CARGADO")</f>
        <v>Petrolfe S.A.</v>
      </c>
      <c r="H204" s="482">
        <v>97285.14</v>
      </c>
      <c r="I204" s="465">
        <f>IF(compras_mes576[[#This Row],[NETO GRAVADO]]="","",compras_mes576[[#This Row],[NETO GRAVADO]]*0.21)</f>
        <v>20429.879399999998</v>
      </c>
      <c r="J204" s="465"/>
      <c r="K204" s="465"/>
      <c r="L204" s="465"/>
      <c r="M204" s="465"/>
      <c r="N204" s="465"/>
      <c r="O204" s="465">
        <v>17593</v>
      </c>
      <c r="P204" s="477">
        <f>SUM(compras_mes576[[#This Row],[NETO GRAVADO]:[Otros / No Grav.]])</f>
        <v>135308.01939999999</v>
      </c>
      <c r="Q204" s="478" t="str">
        <f>IFERROR(IF(compras_mes576[[#This Row],[CUIT]]="","-",VLOOKUP(compras_mes576[[#This Row],[CUIT]],Lista_CUIT[#All],3,0)),"CUIT NO CARGADO")</f>
        <v>Combustible</v>
      </c>
      <c r="R204" s="478">
        <f>IFERROR(IF(compras_mes576[[#This Row],[CUIT]]="","-",VLOOKUP(compras_mes576[[#This Row],[CUIT]],Lista_CUIT[#All],4,0)),"CUIT NO CARGADO")</f>
        <v>0</v>
      </c>
    </row>
    <row r="205" spans="2:19">
      <c r="B205" s="469">
        <v>45439</v>
      </c>
      <c r="C205" s="470">
        <v>1</v>
      </c>
      <c r="D205" s="471">
        <v>13</v>
      </c>
      <c r="E205" s="472">
        <v>88098</v>
      </c>
      <c r="F205" s="473">
        <v>30707841105</v>
      </c>
      <c r="G205" s="474" t="str">
        <f>IFERROR(IF(compras_mes576[[#This Row],[CUIT]]="","-",VLOOKUP(compras_mes576[[#This Row],[CUIT]],Lista_CUIT[#All],2,0)),"CUIT NO CARGADO")</f>
        <v>PETRO ARG SRL</v>
      </c>
      <c r="H205" s="475">
        <v>25219.71</v>
      </c>
      <c r="I205" s="476">
        <f>IF(compras_mes576[[#This Row],[NETO GRAVADO]]="","",compras_mes576[[#This Row],[NETO GRAVADO]]*0.21)</f>
        <v>5296.1390999999994</v>
      </c>
      <c r="J205" s="476"/>
      <c r="K205" s="476"/>
      <c r="L205" s="476"/>
      <c r="M205" s="476"/>
      <c r="N205" s="476"/>
      <c r="O205" s="476">
        <v>4187.1400000000003</v>
      </c>
      <c r="P205" s="477">
        <f>SUM(compras_mes576[[#This Row],[NETO GRAVADO]:[Otros / No Grav.]])</f>
        <v>34702.989099999999</v>
      </c>
      <c r="Q205" s="478" t="str">
        <f>IFERROR(IF(compras_mes576[[#This Row],[CUIT]]="","-",VLOOKUP(compras_mes576[[#This Row],[CUIT]],Lista_CUIT[#All],3,0)),"CUIT NO CARGADO")</f>
        <v>Combustible</v>
      </c>
      <c r="R205" s="478">
        <f>IFERROR(IF(compras_mes576[[#This Row],[CUIT]]="","-",VLOOKUP(compras_mes576[[#This Row],[CUIT]],Lista_CUIT[#All],4,0)),"CUIT NO CARGADO")</f>
        <v>0</v>
      </c>
    </row>
    <row r="206" spans="2:19">
      <c r="B206" s="96" t="s">
        <v>103</v>
      </c>
      <c r="C206" s="96"/>
      <c r="D206" s="96"/>
      <c r="E206" s="96"/>
      <c r="F206" s="96"/>
      <c r="G206" s="97"/>
      <c r="H206" s="98">
        <f>SUBTOTAL(109,compras_mes576[NETO GRAVADO])</f>
        <v>98625998.23999995</v>
      </c>
      <c r="I206" s="98">
        <f>SUBTOTAL(109,compras_mes576[IVA 21 %])</f>
        <v>17277978.899999995</v>
      </c>
      <c r="J206" s="98">
        <f>SUBTOTAL(109,compras_mes576[IVA 27%])</f>
        <v>38139.395400000001</v>
      </c>
      <c r="K206" s="98">
        <f>SUBTOTAL(109,compras_mes576[IVA 10,5%])</f>
        <v>1680722.5281000005</v>
      </c>
      <c r="L206" s="98">
        <f>SUBTOTAL(109,compras_mes576[PERC. IVA])</f>
        <v>18890.750000000004</v>
      </c>
      <c r="M206" s="98">
        <f>SUBTOTAL(109,compras_mes576[PERC IIBB 
BS AS])</f>
        <v>0</v>
      </c>
      <c r="N206" s="98">
        <f>SUBTOTAL(109,compras_mes576[PERC. IIBB CABA])</f>
        <v>702346.65999999992</v>
      </c>
      <c r="O206" s="98">
        <f>SUBTOTAL(109,compras_mes576[Otros / No Grav.])</f>
        <v>365864.41000000009</v>
      </c>
      <c r="P206" s="98">
        <f>SUBTOTAL(109,compras_mes576[TOTAL])</f>
        <v>118709940.88349997</v>
      </c>
      <c r="Q206" s="96"/>
      <c r="R206" s="96"/>
    </row>
    <row r="207" spans="2:19">
      <c r="B207" s="40"/>
      <c r="C207" s="41"/>
      <c r="D207" s="42"/>
      <c r="E207" s="43"/>
      <c r="F207" s="44"/>
      <c r="G207" s="129"/>
      <c r="H207" s="46"/>
      <c r="I207" s="47"/>
      <c r="J207" s="47"/>
      <c r="K207" s="47"/>
      <c r="L207" s="47"/>
      <c r="M207" s="47"/>
      <c r="N207" s="47"/>
      <c r="O207" s="47"/>
      <c r="P207" s="48"/>
      <c r="Q207" s="49"/>
      <c r="R207" s="49"/>
    </row>
    <row r="208" spans="2:19" ht="21">
      <c r="D208" s="712" t="s">
        <v>15</v>
      </c>
      <c r="E208" s="712"/>
      <c r="F208" s="712"/>
      <c r="G208" s="712"/>
      <c r="H208" s="712"/>
      <c r="I208" s="712"/>
      <c r="J208" s="712"/>
      <c r="K208" s="712"/>
      <c r="L208" s="712"/>
    </row>
    <row r="209" spans="4:13" ht="15.75">
      <c r="D209" s="73" t="s">
        <v>0</v>
      </c>
      <c r="E209" s="74" t="s">
        <v>26</v>
      </c>
      <c r="F209" s="74" t="s">
        <v>16</v>
      </c>
      <c r="G209" s="438" t="s">
        <v>5</v>
      </c>
      <c r="H209" s="74" t="s">
        <v>17</v>
      </c>
      <c r="I209" s="74" t="s">
        <v>7</v>
      </c>
      <c r="J209" s="75" t="s">
        <v>18</v>
      </c>
      <c r="K209" s="75" t="s">
        <v>19</v>
      </c>
      <c r="L209" s="76" t="s">
        <v>20</v>
      </c>
      <c r="M209" s="238" t="s">
        <v>1825</v>
      </c>
    </row>
    <row r="210" spans="4:13">
      <c r="D210" s="50"/>
      <c r="E210" s="80"/>
      <c r="F210" s="187" t="s">
        <v>2242</v>
      </c>
      <c r="G210" s="439">
        <v>4611.55</v>
      </c>
      <c r="H210" s="81">
        <f>extracto_banco_mes580[[#This Row],[NETO]]*0.21</f>
        <v>968.42550000000006</v>
      </c>
      <c r="I210" s="81"/>
      <c r="J210" s="81">
        <v>8045.26</v>
      </c>
      <c r="K210" s="81">
        <v>98.18</v>
      </c>
      <c r="L210" s="81"/>
      <c r="M210" s="237">
        <f>SUM(extracto_banco_mes580[[#This Row],[NETO]:[PERC IIBB]])</f>
        <v>13723.415500000001</v>
      </c>
    </row>
    <row r="211" spans="4:13">
      <c r="D211" s="50"/>
      <c r="E211" s="80"/>
      <c r="F211" s="187" t="s">
        <v>1882</v>
      </c>
      <c r="G211" s="439">
        <v>2007.09</v>
      </c>
      <c r="H211" s="81">
        <f>extracto_banco_mes580[[#This Row],[NETO]]*0.21</f>
        <v>421.48889999999994</v>
      </c>
      <c r="I211" s="81"/>
      <c r="J211" s="81">
        <v>4643.3900000000003</v>
      </c>
      <c r="K211" s="81">
        <v>60.21</v>
      </c>
      <c r="L211" s="81"/>
      <c r="M211" s="237">
        <f>SUM(extracto_banco_mes580[[#This Row],[NETO]:[PERC IIBB]])</f>
        <v>7132.1788999999999</v>
      </c>
    </row>
    <row r="212" spans="4:13">
      <c r="D212" s="50"/>
      <c r="E212" s="80"/>
      <c r="F212" s="187" t="s">
        <v>2243</v>
      </c>
      <c r="G212" s="439">
        <v>143495</v>
      </c>
      <c r="H212" s="81">
        <f>extracto_banco_mes580[[#This Row],[NETO]]*0.21</f>
        <v>30133.949999999997</v>
      </c>
      <c r="I212" s="81"/>
      <c r="J212" s="81"/>
      <c r="K212" s="81">
        <v>4304.8500000000004</v>
      </c>
      <c r="L212" s="81"/>
      <c r="M212" s="237">
        <f>SUM(extracto_banco_mes580[[#This Row],[NETO]:[PERC IIBB]])</f>
        <v>177933.80000000002</v>
      </c>
    </row>
    <row r="213" spans="4:13">
      <c r="D213" s="50"/>
      <c r="E213" s="80"/>
      <c r="F213" s="187" t="s">
        <v>2235</v>
      </c>
      <c r="G213" s="439">
        <v>74867.92</v>
      </c>
      <c r="H213" s="81">
        <v>15501.990000000002</v>
      </c>
      <c r="I213" s="81">
        <v>110.1366</v>
      </c>
      <c r="J213" s="81"/>
      <c r="K213" s="81">
        <v>2034.15</v>
      </c>
      <c r="L213" s="232"/>
      <c r="M213" s="237">
        <f>SUM(extracto_banco_mes580[[#This Row],[NETO]:[PERC IIBB]])</f>
        <v>92514.196599999996</v>
      </c>
    </row>
    <row r="214" spans="4:13">
      <c r="D214" s="50"/>
      <c r="E214" s="80"/>
      <c r="F214" s="187" t="s">
        <v>2236</v>
      </c>
      <c r="G214" s="439">
        <v>23669</v>
      </c>
      <c r="H214" s="81">
        <f>extracto_banco_mes580[[#This Row],[NETO]]*0.21</f>
        <v>4970.49</v>
      </c>
      <c r="I214" s="81"/>
      <c r="J214" s="81">
        <v>1417.5</v>
      </c>
      <c r="K214" s="81">
        <v>708.75</v>
      </c>
      <c r="L214" s="232"/>
      <c r="M214" s="237">
        <f>SUM(extracto_banco_mes580[[#This Row],[NETO]:[PERC IIBB]])</f>
        <v>30765.739999999998</v>
      </c>
    </row>
    <row r="215" spans="4:13">
      <c r="D215" s="50"/>
      <c r="E215" s="80"/>
      <c r="F215" s="187" t="s">
        <v>2235</v>
      </c>
      <c r="G215" s="439">
        <v>3600</v>
      </c>
      <c r="H215" s="81">
        <f>extracto_banco_mes580[[#This Row],[NETO]]*0.21</f>
        <v>756</v>
      </c>
      <c r="I215" s="81"/>
      <c r="J215" s="81"/>
      <c r="K215" s="81">
        <v>108</v>
      </c>
      <c r="L215" s="232"/>
      <c r="M215" s="237">
        <f>SUM(extracto_banco_mes580[[#This Row],[NETO]:[PERC IIBB]])</f>
        <v>4464</v>
      </c>
    </row>
    <row r="216" spans="4:13">
      <c r="D216" s="50"/>
      <c r="E216" s="80"/>
      <c r="F216" s="187" t="s">
        <v>2244</v>
      </c>
      <c r="G216" s="439">
        <v>1111.9000000000001</v>
      </c>
      <c r="H216" s="81">
        <f>extracto_banco_mes580[[#This Row],[NETO]]*0.21</f>
        <v>233.49900000000002</v>
      </c>
      <c r="I216" s="81"/>
      <c r="J216" s="81">
        <v>6204.42</v>
      </c>
      <c r="K216" s="81"/>
      <c r="L216" s="232"/>
      <c r="M216" s="237">
        <f>SUM(extracto_banco_mes580[[#This Row],[NETO]:[PERC IIBB]])</f>
        <v>7549.8190000000004</v>
      </c>
    </row>
    <row r="217" spans="4:13">
      <c r="D217" s="450"/>
      <c r="E217" s="451"/>
      <c r="F217" s="187" t="s">
        <v>2236</v>
      </c>
      <c r="G217" s="452">
        <v>1500</v>
      </c>
      <c r="H217" s="81">
        <f>extracto_banco_mes580[[#This Row],[NETO]]*0.21</f>
        <v>315</v>
      </c>
      <c r="I217" s="453"/>
      <c r="J217" s="453"/>
      <c r="K217" s="453"/>
      <c r="L217" s="453"/>
      <c r="M217" s="237">
        <f>SUM(extracto_banco_mes580[[#This Row],[NETO]:[PERC IIBB]])</f>
        <v>1815</v>
      </c>
    </row>
    <row r="218" spans="4:13">
      <c r="D218" s="450"/>
      <c r="E218" s="451"/>
      <c r="F218" s="187" t="s">
        <v>2241</v>
      </c>
      <c r="G218" s="452">
        <v>606255.9</v>
      </c>
      <c r="H218" s="453">
        <v>73043.880000000019</v>
      </c>
      <c r="I218" s="453">
        <v>27134.929499999998</v>
      </c>
      <c r="J218" s="453"/>
      <c r="K218" s="453">
        <v>11704.402000000002</v>
      </c>
      <c r="L218" s="453"/>
      <c r="M218" s="454">
        <f>SUM(extracto_banco_mes580[[#This Row],[NETO]:[PERC IIBB]])</f>
        <v>718139.1115</v>
      </c>
    </row>
    <row r="219" spans="4:13">
      <c r="D219" s="82" t="s">
        <v>103</v>
      </c>
      <c r="E219" s="80"/>
      <c r="F219" s="80"/>
      <c r="G219" s="440">
        <f>SUBTOTAL(109,extracto_banco_mes580[NETO])</f>
        <v>861118.36</v>
      </c>
      <c r="H219" s="83">
        <f>SUBTOTAL(109,extracto_banco_mes580[IVA 21%])</f>
        <v>126344.72340000002</v>
      </c>
      <c r="I219" s="83">
        <f>SUBTOTAL(109,extracto_banco_mes580[IVA 10,5%])</f>
        <v>27245.0661</v>
      </c>
      <c r="J219" s="83">
        <f>SUBTOTAL(109,extracto_banco_mes580[RET IIBB CABA])</f>
        <v>20310.57</v>
      </c>
      <c r="K219" s="83">
        <f>SUBTOTAL(109,extracto_banco_mes580[PERC IVA])</f>
        <v>19018.542000000001</v>
      </c>
      <c r="L219" s="83">
        <f>SUBTOTAL(109,extracto_banco_mes580[PERC IIBB])</f>
        <v>0</v>
      </c>
      <c r="M219" s="260"/>
    </row>
    <row r="220" spans="4:13">
      <c r="D220" s="233"/>
      <c r="E220" s="234"/>
      <c r="F220" s="234"/>
      <c r="G220" s="441"/>
      <c r="H220" s="235"/>
      <c r="I220" s="235"/>
      <c r="J220" s="235"/>
      <c r="K220" s="235"/>
      <c r="L220" s="235"/>
      <c r="M220" s="236"/>
    </row>
    <row r="221" spans="4:13" ht="21">
      <c r="D221" s="712" t="s">
        <v>25</v>
      </c>
      <c r="E221" s="712"/>
      <c r="F221" s="712"/>
      <c r="G221" s="712"/>
      <c r="H221" s="712"/>
      <c r="I221" s="712"/>
      <c r="J221" s="712"/>
      <c r="K221" s="712"/>
    </row>
    <row r="222" spans="4:13">
      <c r="D222" s="51" t="s">
        <v>0</v>
      </c>
      <c r="E222" s="51" t="s">
        <v>2</v>
      </c>
      <c r="F222" s="51" t="s">
        <v>74</v>
      </c>
      <c r="G222" s="442" t="s">
        <v>3</v>
      </c>
      <c r="H222" s="51" t="s">
        <v>4</v>
      </c>
      <c r="I222" s="52" t="s">
        <v>10</v>
      </c>
      <c r="J222" s="51" t="s">
        <v>13</v>
      </c>
      <c r="K222" s="51" t="s">
        <v>38</v>
      </c>
    </row>
    <row r="223" spans="4:13">
      <c r="D223" s="50">
        <v>45414</v>
      </c>
      <c r="E223" s="42">
        <v>3</v>
      </c>
      <c r="F223" s="219">
        <v>844</v>
      </c>
      <c r="G223" s="443">
        <v>20086277523</v>
      </c>
      <c r="H223" s="420" t="str">
        <f>IFERROR(IF(factura_c_mes577[[#This Row],[CUIT]]="","-",VLOOKUP(factura_c_mes577[[#This Row],[CUIT]],Lista_CUIT[#All],2,0)),"CUIT NO CARGADO")</f>
        <v>BOTINDARI JUAN CARLOS</v>
      </c>
      <c r="I223" s="220">
        <v>200000</v>
      </c>
      <c r="J223" s="221" t="str">
        <f>IFERROR(IF(factura_c_mes577[[#This Row],[CUIT]]="","-",VLOOKUP(factura_c_mes577[[#This Row],[CUIT]],Lista_CUIT[#All],3,0)),"CUIT NO CARGADO")</f>
        <v>Honorarios Contables</v>
      </c>
      <c r="K223" s="221">
        <f>IFERROR(IF(factura_c_mes577[[#This Row],[CUIT]]="","-",VLOOKUP(factura_c_mes577[[#This Row],[CUIT]],Lista_CUIT[#All],4,0)),"CUIT NO CARGADO")</f>
        <v>0</v>
      </c>
    </row>
    <row r="224" spans="4:13">
      <c r="D224" s="50">
        <v>45446</v>
      </c>
      <c r="E224" s="42">
        <v>1</v>
      </c>
      <c r="F224" s="219">
        <v>73</v>
      </c>
      <c r="G224" s="443">
        <v>20299505430</v>
      </c>
      <c r="H224" s="421" t="str">
        <f>IFERROR(IF(factura_c_mes577[[#This Row],[CUIT]]="","-",VLOOKUP(factura_c_mes577[[#This Row],[CUIT]],Lista_CUIT[#All],2,0)),"CUIT NO CARGADO")</f>
        <v>PRADO EMILIANO HERNAN</v>
      </c>
      <c r="I224" s="220">
        <v>1143005</v>
      </c>
      <c r="J224" s="54" t="str">
        <f>IFERROR(IF(factura_c_mes577[[#This Row],[CUIT]]="","-",VLOOKUP(factura_c_mes577[[#This Row],[CUIT]],Lista_CUIT[#All],3,0)),"CUIT NO CARGADO")</f>
        <v>Material de Empaque</v>
      </c>
      <c r="K224" s="54">
        <f>IFERROR(IF(factura_c_mes577[[#This Row],[CUIT]]="","-",VLOOKUP(factura_c_mes577[[#This Row],[CUIT]],Lista_CUIT[#All],4,0)),"CUIT NO CARGADO")</f>
        <v>0</v>
      </c>
    </row>
    <row r="225" spans="2:18">
      <c r="D225" s="50">
        <v>45446</v>
      </c>
      <c r="E225" s="42">
        <v>3</v>
      </c>
      <c r="F225" s="219">
        <v>478</v>
      </c>
      <c r="G225" s="443">
        <v>20210551574</v>
      </c>
      <c r="H225" s="420" t="str">
        <f>IFERROR(IF(factura_c_mes577[[#This Row],[CUIT]]="","-",VLOOKUP(factura_c_mes577[[#This Row],[CUIT]],Lista_CUIT[#All],2,0)),"CUIT NO CARGADO")</f>
        <v>REUS JORGE DIEGO</v>
      </c>
      <c r="I225" s="220">
        <v>190500</v>
      </c>
      <c r="J225" s="221" t="str">
        <f>IFERROR(IF(factura_c_mes577[[#This Row],[CUIT]]="","-",VLOOKUP(factura_c_mes577[[#This Row],[CUIT]],Lista_CUIT[#All],3,0)),"CUIT NO CARGADO")</f>
        <v>Honorarios Legales</v>
      </c>
      <c r="K225" s="221">
        <f>IFERROR(IF(factura_c_mes577[[#This Row],[CUIT]]="","-",VLOOKUP(factura_c_mes577[[#This Row],[CUIT]],Lista_CUIT[#All],4,0)),"CUIT NO CARGADO")</f>
        <v>0</v>
      </c>
    </row>
    <row r="226" spans="2:18">
      <c r="D226" s="50">
        <v>45446</v>
      </c>
      <c r="E226" s="42">
        <v>2</v>
      </c>
      <c r="F226" s="219">
        <v>1460</v>
      </c>
      <c r="G226" s="443">
        <v>23277121859</v>
      </c>
      <c r="H226" s="420" t="str">
        <f>IFERROR(IF(factura_c_mes577[[#This Row],[CUIT]]="","-",VLOOKUP(factura_c_mes577[[#This Row],[CUIT]],Lista_CUIT[#All],2,0)),"CUIT NO CARGADO")</f>
        <v>BARCELONAMOTOS</v>
      </c>
      <c r="I226" s="220">
        <v>6500</v>
      </c>
      <c r="J226" s="221" t="str">
        <f>IFERROR(IF(factura_c_mes577[[#This Row],[CUIT]]="","-",VLOOKUP(factura_c_mes577[[#This Row],[CUIT]],Lista_CUIT[#All],3,0)),"CUIT NO CARGADO")</f>
        <v>Gastos Varios</v>
      </c>
      <c r="K226" s="221">
        <f>IFERROR(IF(factura_c_mes577[[#This Row],[CUIT]]="","-",VLOOKUP(factura_c_mes577[[#This Row],[CUIT]],Lista_CUIT[#All],4,0)),"CUIT NO CARGADO")</f>
        <v>0</v>
      </c>
    </row>
    <row r="227" spans="2:18">
      <c r="D227" s="50">
        <v>45446</v>
      </c>
      <c r="E227" s="42">
        <v>1</v>
      </c>
      <c r="F227" s="219">
        <v>20</v>
      </c>
      <c r="G227" s="443">
        <v>23259889359</v>
      </c>
      <c r="H227" s="420" t="str">
        <f>IFERROR(IF(factura_c_mes577[[#This Row],[CUIT]]="","-",VLOOKUP(factura_c_mes577[[#This Row],[CUIT]],Lista_CUIT[#All],2,0)),"CUIT NO CARGADO")</f>
        <v>KALAYDJIAN JUAN JOSE</v>
      </c>
      <c r="I227" s="220">
        <v>180000</v>
      </c>
      <c r="J227" s="221" t="str">
        <f>IFERROR(IF(factura_c_mes577[[#This Row],[CUIT]]="","-",VLOOKUP(factura_c_mes577[[#This Row],[CUIT]],Lista_CUIT[#All],3,0)),"CUIT NO CARGADO")</f>
        <v>Honorarios Legales</v>
      </c>
      <c r="K227" s="221">
        <f>IFERROR(IF(factura_c_mes577[[#This Row],[CUIT]]="","-",VLOOKUP(factura_c_mes577[[#This Row],[CUIT]],Lista_CUIT[#All],4,0)),"CUIT NO CARGADO")</f>
        <v>0</v>
      </c>
    </row>
    <row r="228" spans="2:18">
      <c r="D228" s="50">
        <v>45446</v>
      </c>
      <c r="E228" s="42">
        <v>1</v>
      </c>
      <c r="F228" s="219">
        <v>14</v>
      </c>
      <c r="G228" s="443">
        <v>20394167216</v>
      </c>
      <c r="H228" s="422" t="str">
        <f>IFERROR(IF(factura_c_mes577[[#This Row],[CUIT]]="","-",VLOOKUP(factura_c_mes577[[#This Row],[CUIT]],Lista_CUIT[#All],2,0)),"CUIT NO CARGADO")</f>
        <v>CASTILLO SANTIAGO JESUS</v>
      </c>
      <c r="I228" s="220">
        <v>460000</v>
      </c>
      <c r="J228" s="221" t="str">
        <f>IFERROR(IF(factura_c_mes577[[#This Row],[CUIT]]="","-",VLOOKUP(factura_c_mes577[[#This Row],[CUIT]],Lista_CUIT[#All],3,0)),"CUIT NO CARGADO")</f>
        <v>Honorarios Administrativos</v>
      </c>
      <c r="K228" s="221">
        <f>IFERROR(IF(factura_c_mes577[[#This Row],[CUIT]]="","-",VLOOKUP(factura_c_mes577[[#This Row],[CUIT]],Lista_CUIT[#All],4,0)),"CUIT NO CARGADO")</f>
        <v>0</v>
      </c>
    </row>
    <row r="229" spans="2:18">
      <c r="D229" s="50">
        <v>45450</v>
      </c>
      <c r="E229" s="42">
        <v>2</v>
      </c>
      <c r="F229" s="219">
        <v>4197</v>
      </c>
      <c r="G229" s="443">
        <v>20136536320</v>
      </c>
      <c r="H229" s="422" t="str">
        <f>IFERROR(IF(factura_c_mes577[[#This Row],[CUIT]]="","-",VLOOKUP(factura_c_mes577[[#This Row],[CUIT]],Lista_CUIT[#All],2,0)),"CUIT NO CARGADO")</f>
        <v>FONTENLA ERNESTO MARIO</v>
      </c>
      <c r="I229" s="220">
        <v>1140</v>
      </c>
      <c r="J229" s="221" t="str">
        <f>IFERROR(IF(factura_c_mes577[[#This Row],[CUIT]]="","-",VLOOKUP(factura_c_mes577[[#This Row],[CUIT]],Lista_CUIT[#All],3,0)),"CUIT NO CARGADO")</f>
        <v>Gastos Varios</v>
      </c>
      <c r="K229" s="221" t="str">
        <f>IFERROR(IF(factura_c_mes577[[#This Row],[CUIT]]="","-",VLOOKUP(factura_c_mes577[[#This Row],[CUIT]],Lista_CUIT[#All],4,0)),"CUIT NO CARGADO")</f>
        <v>CABA</v>
      </c>
    </row>
    <row r="230" spans="2:18">
      <c r="D230" s="50">
        <v>45450</v>
      </c>
      <c r="E230" s="42">
        <v>2</v>
      </c>
      <c r="F230" s="219">
        <v>289</v>
      </c>
      <c r="G230" s="443">
        <v>23319210954</v>
      </c>
      <c r="H230" s="422" t="str">
        <f>IFERROR(IF(factura_c_mes577[[#This Row],[CUIT]]="","-",VLOOKUP(factura_c_mes577[[#This Row],[CUIT]],Lista_CUIT[#All],2,0)),"CUIT NO CARGADO")</f>
        <v>CAFFARATTI ROMINA PAOLA</v>
      </c>
      <c r="I230" s="220">
        <v>135200</v>
      </c>
      <c r="J230" s="221" t="str">
        <f>IFERROR(IF(factura_c_mes577[[#This Row],[CUIT]]="","-",VLOOKUP(factura_c_mes577[[#This Row],[CUIT]],Lista_CUIT[#All],3,0)),"CUIT NO CARGADO")</f>
        <v>Honorarios Contables</v>
      </c>
      <c r="K230" s="221">
        <f>IFERROR(IF(factura_c_mes577[[#This Row],[CUIT]]="","-",VLOOKUP(factura_c_mes577[[#This Row],[CUIT]],Lista_CUIT[#All],4,0)),"CUIT NO CARGADO")</f>
        <v>0</v>
      </c>
    </row>
    <row r="231" spans="2:18">
      <c r="D231" s="50">
        <v>45451</v>
      </c>
      <c r="E231" s="42">
        <v>2</v>
      </c>
      <c r="F231" s="219">
        <v>348</v>
      </c>
      <c r="G231" s="443">
        <v>20300814094</v>
      </c>
      <c r="H231" s="422" t="str">
        <f>IFERROR(IF(factura_c_mes577[[#This Row],[CUIT]]="","-",VLOOKUP(factura_c_mes577[[#This Row],[CUIT]],Lista_CUIT[#All],2,0)),"CUIT NO CARGADO")</f>
        <v>FARRAPEIRA OSCAR MAXIMO</v>
      </c>
      <c r="I231" s="220">
        <v>1305084</v>
      </c>
      <c r="J231" s="221" t="str">
        <f>IFERROR(IF(factura_c_mes577[[#This Row],[CUIT]]="","-",VLOOKUP(factura_c_mes577[[#This Row],[CUIT]],Lista_CUIT[#All],3,0)),"CUIT NO CARGADO")</f>
        <v>Material de Empaque</v>
      </c>
      <c r="K231" s="221">
        <f>IFERROR(IF(factura_c_mes577[[#This Row],[CUIT]]="","-",VLOOKUP(factura_c_mes577[[#This Row],[CUIT]],Lista_CUIT[#All],4,0)),"CUIT NO CARGADO")</f>
        <v>0</v>
      </c>
    </row>
    <row r="232" spans="2:18">
      <c r="D232" s="50">
        <v>45451</v>
      </c>
      <c r="E232" s="42">
        <v>1</v>
      </c>
      <c r="F232" s="219">
        <v>9</v>
      </c>
      <c r="G232" s="443">
        <v>20420115882</v>
      </c>
      <c r="H232" s="422" t="str">
        <f>IFERROR(IF(factura_c_mes577[[#This Row],[CUIT]]="","-",VLOOKUP(factura_c_mes577[[#This Row],[CUIT]],Lista_CUIT[#All],2,0)),"CUIT NO CARGADO")</f>
        <v>CASTILLO MARIANO JAVIER</v>
      </c>
      <c r="I232" s="220">
        <v>700000</v>
      </c>
      <c r="J232" s="221" t="str">
        <f>IFERROR(IF(factura_c_mes577[[#This Row],[CUIT]]="","-",VLOOKUP(factura_c_mes577[[#This Row],[CUIT]],Lista_CUIT[#All],3,0)),"CUIT NO CARGADO")</f>
        <v>Honorarios Administrativos</v>
      </c>
      <c r="K232" s="221">
        <f>IFERROR(IF(factura_c_mes577[[#This Row],[CUIT]]="","-",VLOOKUP(factura_c_mes577[[#This Row],[CUIT]],Lista_CUIT[#All],4,0)),"CUIT NO CARGADO")</f>
        <v>0</v>
      </c>
    </row>
    <row r="233" spans="2:18">
      <c r="D233" s="50">
        <v>45456</v>
      </c>
      <c r="E233" s="42">
        <v>2</v>
      </c>
      <c r="F233" s="219">
        <v>4213</v>
      </c>
      <c r="G233" s="443">
        <v>20136536320</v>
      </c>
      <c r="H233" s="422" t="str">
        <f>IFERROR(IF(factura_c_mes577[[#This Row],[CUIT]]="","-",VLOOKUP(factura_c_mes577[[#This Row],[CUIT]],Lista_CUIT[#All],2,0)),"CUIT NO CARGADO")</f>
        <v>FONTENLA ERNESTO MARIO</v>
      </c>
      <c r="I233" s="220">
        <v>5500</v>
      </c>
      <c r="J233" s="221" t="str">
        <f>IFERROR(IF(factura_c_mes577[[#This Row],[CUIT]]="","-",VLOOKUP(factura_c_mes577[[#This Row],[CUIT]],Lista_CUIT[#All],3,0)),"CUIT NO CARGADO")</f>
        <v>Gastos Varios</v>
      </c>
      <c r="K233" s="221" t="str">
        <f>IFERROR(IF(factura_c_mes577[[#This Row],[CUIT]]="","-",VLOOKUP(factura_c_mes577[[#This Row],[CUIT]],Lista_CUIT[#All],4,0)),"CUIT NO CARGADO")</f>
        <v>CABA</v>
      </c>
    </row>
    <row r="234" spans="2:18">
      <c r="D234" s="50">
        <v>45459</v>
      </c>
      <c r="E234" s="42">
        <v>2</v>
      </c>
      <c r="F234" s="219">
        <v>808</v>
      </c>
      <c r="G234" s="443">
        <v>27326105177</v>
      </c>
      <c r="H234" s="423" t="str">
        <f>IFERROR(IF(factura_c_mes577[[#This Row],[CUIT]]="","-",VLOOKUP(factura_c_mes577[[#This Row],[CUIT]],Lista_CUIT[#All],2,0)),"CUIT NO CARGADO")</f>
        <v>CORLETTO ROMINA ALEJANDRA</v>
      </c>
      <c r="I234" s="220">
        <v>45000</v>
      </c>
      <c r="J234" s="54" t="str">
        <f>IFERROR(IF(factura_c_mes577[[#This Row],[CUIT]]="","-",VLOOKUP(factura_c_mes577[[#This Row],[CUIT]],Lista_CUIT[#All],3,0)),"CUIT NO CARGADO")</f>
        <v>Gastos Comercializacion</v>
      </c>
      <c r="K234" s="54">
        <f>IFERROR(IF(factura_c_mes577[[#This Row],[CUIT]]="","-",VLOOKUP(factura_c_mes577[[#This Row],[CUIT]],Lista_CUIT[#All],4,0)),"CUIT NO CARGADO")</f>
        <v>0</v>
      </c>
    </row>
    <row r="235" spans="2:18">
      <c r="D235" s="50">
        <v>45459</v>
      </c>
      <c r="E235" s="42">
        <v>3</v>
      </c>
      <c r="F235" s="219">
        <v>114</v>
      </c>
      <c r="G235" s="443">
        <v>23161391999</v>
      </c>
      <c r="H235" s="423" t="str">
        <f>IFERROR(IF(factura_c_mes577[[#This Row],[CUIT]]="","-",VLOOKUP(factura_c_mes577[[#This Row],[CUIT]],Lista_CUIT[#All],2,0)),"CUIT NO CARGADO")</f>
        <v>LAHITTE MARIO ALBERTO</v>
      </c>
      <c r="I235" s="220">
        <v>177000</v>
      </c>
      <c r="J235" s="54" t="str">
        <f>IFERROR(IF(factura_c_mes577[[#This Row],[CUIT]]="","-",VLOOKUP(factura_c_mes577[[#This Row],[CUIT]],Lista_CUIT[#All],3,0)),"CUIT NO CARGADO")</f>
        <v>Gastos Varios</v>
      </c>
      <c r="K235" s="54">
        <f>IFERROR(IF(factura_c_mes577[[#This Row],[CUIT]]="","-",VLOOKUP(factura_c_mes577[[#This Row],[CUIT]],Lista_CUIT[#All],4,0)),"CUIT NO CARGADO")</f>
        <v>0</v>
      </c>
    </row>
    <row r="236" spans="2:18" ht="17.25" customHeight="1">
      <c r="D236" s="50">
        <v>45459</v>
      </c>
      <c r="E236" s="42">
        <v>2</v>
      </c>
      <c r="F236" s="219">
        <v>4218</v>
      </c>
      <c r="G236" s="443">
        <v>20136536320</v>
      </c>
      <c r="H236" s="423" t="str">
        <f>IFERROR(IF(factura_c_mes577[[#This Row],[CUIT]]="","-",VLOOKUP(factura_c_mes577[[#This Row],[CUIT]],Lista_CUIT[#All],2,0)),"CUIT NO CARGADO")</f>
        <v>FONTENLA ERNESTO MARIO</v>
      </c>
      <c r="I236" s="220">
        <v>20000</v>
      </c>
      <c r="J236" s="54" t="str">
        <f>IFERROR(IF(factura_c_mes577[[#This Row],[CUIT]]="","-",VLOOKUP(factura_c_mes577[[#This Row],[CUIT]],Lista_CUIT[#All],3,0)),"CUIT NO CARGADO")</f>
        <v>Gastos Varios</v>
      </c>
      <c r="K236" s="54" t="str">
        <f>IFERROR(IF(factura_c_mes577[[#This Row],[CUIT]]="","-",VLOOKUP(factura_c_mes577[[#This Row],[CUIT]],Lista_CUIT[#All],4,0)),"CUIT NO CARGADO")</f>
        <v>CABA</v>
      </c>
    </row>
    <row r="237" spans="2:18">
      <c r="D237" s="50">
        <v>45459</v>
      </c>
      <c r="E237" s="42">
        <v>3</v>
      </c>
      <c r="F237" s="219">
        <v>1074</v>
      </c>
      <c r="G237" s="443">
        <v>20173025557</v>
      </c>
      <c r="H237" s="422" t="str">
        <f>IFERROR(IF(factura_c_mes577[[#This Row],[CUIT]]="","-",VLOOKUP(factura_c_mes577[[#This Row],[CUIT]],Lista_CUIT[#All],2,0)),"CUIT NO CARGADO")</f>
        <v>MARAUDA HECTOR</v>
      </c>
      <c r="I237" s="220">
        <v>4500</v>
      </c>
      <c r="J237" s="221" t="str">
        <f>IFERROR(IF(factura_c_mes577[[#This Row],[CUIT]]="","-",VLOOKUP(factura_c_mes577[[#This Row],[CUIT]],Lista_CUIT[#All],3,0)),"CUIT NO CARGADO")</f>
        <v>Gastos Varios</v>
      </c>
      <c r="K237" s="221">
        <f>IFERROR(IF(factura_c_mes577[[#This Row],[CUIT]]="","-",VLOOKUP(factura_c_mes577[[#This Row],[CUIT]],Lista_CUIT[#All],4,0)),"CUIT NO CARGADO")</f>
        <v>0</v>
      </c>
    </row>
    <row r="238" spans="2:18">
      <c r="B238" s="56"/>
      <c r="C238" s="56"/>
      <c r="D238" s="50">
        <v>45461</v>
      </c>
      <c r="E238" s="42">
        <v>2</v>
      </c>
      <c r="F238" s="219">
        <v>4225</v>
      </c>
      <c r="G238" s="443">
        <v>20136536320</v>
      </c>
      <c r="H238" s="422" t="str">
        <f>IFERROR(IF(factura_c_mes577[[#This Row],[CUIT]]="","-",VLOOKUP(factura_c_mes577[[#This Row],[CUIT]],Lista_CUIT[#All],2,0)),"CUIT NO CARGADO")</f>
        <v>FONTENLA ERNESTO MARIO</v>
      </c>
      <c r="I238" s="220">
        <v>2600</v>
      </c>
      <c r="J238" s="221" t="str">
        <f>IFERROR(IF(factura_c_mes577[[#This Row],[CUIT]]="","-",VLOOKUP(factura_c_mes577[[#This Row],[CUIT]],Lista_CUIT[#All],3,0)),"CUIT NO CARGADO")</f>
        <v>Gastos Varios</v>
      </c>
      <c r="K238" s="221" t="str">
        <f>IFERROR(IF(factura_c_mes577[[#This Row],[CUIT]]="","-",VLOOKUP(factura_c_mes577[[#This Row],[CUIT]],Lista_CUIT[#All],4,0)),"CUIT NO CARGADO")</f>
        <v>CABA</v>
      </c>
      <c r="L238" s="56"/>
      <c r="M238" s="56"/>
      <c r="N238" s="56"/>
      <c r="O238" s="56"/>
      <c r="P238" s="56"/>
      <c r="Q238" s="56"/>
      <c r="R238" s="56"/>
    </row>
    <row r="239" spans="2:18">
      <c r="D239" s="50">
        <v>45464</v>
      </c>
      <c r="E239" s="42">
        <v>2</v>
      </c>
      <c r="F239" s="219">
        <v>149667</v>
      </c>
      <c r="G239" s="443">
        <v>30525525046</v>
      </c>
      <c r="H239" s="422" t="str">
        <f>IFERROR(IF(factura_c_mes577[[#This Row],[CUIT]]="","-",VLOOKUP(factura_c_mes577[[#This Row],[CUIT]],Lista_CUIT[#All],2,0)),"CUIT NO CARGADO")</f>
        <v>CAMARA ARGENTINA DE COMERCIO Y SERVICIOS</v>
      </c>
      <c r="I239" s="220">
        <v>10000</v>
      </c>
      <c r="J239" s="221" t="str">
        <f>IFERROR(IF(factura_c_mes577[[#This Row],[CUIT]]="","-",VLOOKUP(factura_c_mes577[[#This Row],[CUIT]],Lista_CUIT[#All],3,0)),"CUIT NO CARGADO")</f>
        <v>Servicios Informatica</v>
      </c>
      <c r="K239" s="221">
        <f>IFERROR(IF(factura_c_mes577[[#This Row],[CUIT]]="","-",VLOOKUP(factura_c_mes577[[#This Row],[CUIT]],Lista_CUIT[#All],4,0)),"CUIT NO CARGADO")</f>
        <v>0</v>
      </c>
    </row>
    <row r="240" spans="2:18">
      <c r="D240" s="50">
        <v>45467</v>
      </c>
      <c r="E240" s="42">
        <v>3</v>
      </c>
      <c r="F240" s="219">
        <v>484</v>
      </c>
      <c r="G240" s="443">
        <v>20958560177</v>
      </c>
      <c r="H240" s="422" t="str">
        <f>IFERROR(IF(factura_c_mes577[[#This Row],[CUIT]]="","-",VLOOKUP(factura_c_mes577[[#This Row],[CUIT]],Lista_CUIT[#All],2,0)),"CUIT NO CARGADO")</f>
        <v>KARAM ASMAR MAIKEL GORGE</v>
      </c>
      <c r="I240" s="220">
        <v>2008936</v>
      </c>
      <c r="J240" s="221" t="str">
        <f>IFERROR(IF(factura_c_mes577[[#This Row],[CUIT]]="","-",VLOOKUP(factura_c_mes577[[#This Row],[CUIT]],Lista_CUIT[#All],3,0)),"CUIT NO CARGADO")</f>
        <v>Materia Prima</v>
      </c>
      <c r="K240" s="221">
        <f>IFERROR(IF(factura_c_mes577[[#This Row],[CUIT]]="","-",VLOOKUP(factura_c_mes577[[#This Row],[CUIT]],Lista_CUIT[#All],4,0)),"CUIT NO CARGADO")</f>
        <v>0</v>
      </c>
    </row>
    <row r="241" spans="2:13">
      <c r="D241" s="50">
        <v>45470</v>
      </c>
      <c r="E241" s="42">
        <v>8</v>
      </c>
      <c r="F241" s="219">
        <v>598</v>
      </c>
      <c r="G241" s="443">
        <v>27409592487</v>
      </c>
      <c r="H241" s="420" t="str">
        <f>IFERROR(IF(factura_c_mes577[[#This Row],[CUIT]]="","-",VLOOKUP(factura_c_mes577[[#This Row],[CUIT]],Lista_CUIT[#All],2,0)),"CUIT NO CARGADO")</f>
        <v>BAUDONE ANTONELLA AGOSTINA</v>
      </c>
      <c r="I241" s="220">
        <v>144000</v>
      </c>
      <c r="J241" s="221" t="str">
        <f>IFERROR(IF(factura_c_mes577[[#This Row],[CUIT]]="","-",VLOOKUP(factura_c_mes577[[#This Row],[CUIT]],Lista_CUIT[#All],3,0)),"CUIT NO CARGADO")</f>
        <v>Material de Empaque</v>
      </c>
      <c r="K241" s="221">
        <f>IFERROR(IF(factura_c_mes577[[#This Row],[CUIT]]="","-",VLOOKUP(factura_c_mes577[[#This Row],[CUIT]],Lista_CUIT[#All],4,0)),"CUIT NO CARGADO")</f>
        <v>0</v>
      </c>
    </row>
    <row r="242" spans="2:13">
      <c r="D242" s="50">
        <v>45470</v>
      </c>
      <c r="E242" s="42">
        <v>2</v>
      </c>
      <c r="F242" s="219">
        <v>4244</v>
      </c>
      <c r="G242" s="443">
        <v>20136536320</v>
      </c>
      <c r="H242" s="420" t="str">
        <f>IFERROR(IF(factura_c_mes577[[#This Row],[CUIT]]="","-",VLOOKUP(factura_c_mes577[[#This Row],[CUIT]],Lista_CUIT[#All],2,0)),"CUIT NO CARGADO")</f>
        <v>FONTENLA ERNESTO MARIO</v>
      </c>
      <c r="I242" s="220">
        <v>5500</v>
      </c>
      <c r="J242" s="221" t="str">
        <f>IFERROR(IF(factura_c_mes577[[#This Row],[CUIT]]="","-",VLOOKUP(factura_c_mes577[[#This Row],[CUIT]],Lista_CUIT[#All],3,0)),"CUIT NO CARGADO")</f>
        <v>Gastos Varios</v>
      </c>
      <c r="K242" s="221" t="str">
        <f>IFERROR(IF(factura_c_mes577[[#This Row],[CUIT]]="","-",VLOOKUP(factura_c_mes577[[#This Row],[CUIT]],Lista_CUIT[#All],4,0)),"CUIT NO CARGADO")</f>
        <v>CABA</v>
      </c>
    </row>
    <row r="243" spans="2:13">
      <c r="D243" s="50">
        <v>45471</v>
      </c>
      <c r="E243" s="42">
        <v>4</v>
      </c>
      <c r="F243" s="219">
        <v>974</v>
      </c>
      <c r="G243" s="443">
        <v>23242717589</v>
      </c>
      <c r="H243" s="420" t="str">
        <f>IFERROR(IF(factura_c_mes577[[#This Row],[CUIT]]="","-",VLOOKUP(factura_c_mes577[[#This Row],[CUIT]],Lista_CUIT[#All],2,0)),"CUIT NO CARGADO")</f>
        <v>PANIZO DIEGO SEBASTIAN</v>
      </c>
      <c r="I243" s="220">
        <v>6200</v>
      </c>
      <c r="J243" s="221" t="str">
        <f>IFERROR(IF(factura_c_mes577[[#This Row],[CUIT]]="","-",VLOOKUP(factura_c_mes577[[#This Row],[CUIT]],Lista_CUIT[#All],3,0)),"CUIT NO CARGADO")</f>
        <v>Gastos Varios</v>
      </c>
      <c r="K243" s="221">
        <f>IFERROR(IF(factura_c_mes577[[#This Row],[CUIT]]="","-",VLOOKUP(factura_c_mes577[[#This Row],[CUIT]],Lista_CUIT[#All],4,0)),"CUIT NO CARGADO")</f>
        <v>0</v>
      </c>
    </row>
    <row r="244" spans="2:13" ht="19.149999999999999" customHeight="1">
      <c r="D244" s="50">
        <v>45471</v>
      </c>
      <c r="E244" s="42">
        <v>4</v>
      </c>
      <c r="F244" s="219">
        <v>973</v>
      </c>
      <c r="G244" s="443">
        <v>23242717589</v>
      </c>
      <c r="H244" s="420" t="str">
        <f>IFERROR(IF(factura_c_mes577[[#This Row],[CUIT]]="","-",VLOOKUP(factura_c_mes577[[#This Row],[CUIT]],Lista_CUIT[#All],2,0)),"CUIT NO CARGADO")</f>
        <v>PANIZO DIEGO SEBASTIAN</v>
      </c>
      <c r="I244" s="220">
        <v>14390</v>
      </c>
      <c r="J244" s="221" t="str">
        <f>IFERROR(IF(factura_c_mes577[[#This Row],[CUIT]]="","-",VLOOKUP(factura_c_mes577[[#This Row],[CUIT]],Lista_CUIT[#All],3,0)),"CUIT NO CARGADO")</f>
        <v>Gastos Varios</v>
      </c>
      <c r="K244" s="221">
        <f>IFERROR(IF(factura_c_mes577[[#This Row],[CUIT]]="","-",VLOOKUP(factura_c_mes577[[#This Row],[CUIT]],Lista_CUIT[#All],4,0)),"CUIT NO CARGADO")</f>
        <v>0</v>
      </c>
    </row>
    <row r="245" spans="2:13" ht="18" customHeight="1">
      <c r="D245" s="50">
        <v>45471</v>
      </c>
      <c r="E245" s="42">
        <v>1</v>
      </c>
      <c r="F245" s="219">
        <v>48</v>
      </c>
      <c r="G245" s="443">
        <v>20176922363</v>
      </c>
      <c r="H245" s="420" t="str">
        <f>IFERROR(IF(factura_c_mes577[[#This Row],[CUIT]]="","-",VLOOKUP(factura_c_mes577[[#This Row],[CUIT]],Lista_CUIT[#All],2,0)),"CUIT NO CARGADO")</f>
        <v>CASTILLO JUAN RAMON</v>
      </c>
      <c r="I245" s="220">
        <v>200000</v>
      </c>
      <c r="J245" s="221" t="str">
        <f>IFERROR(IF(factura_c_mes577[[#This Row],[CUIT]]="","-",VLOOKUP(factura_c_mes577[[#This Row],[CUIT]],Lista_CUIT[#All],3,0)),"CUIT NO CARGADO")</f>
        <v>Honorarios Profesionales</v>
      </c>
      <c r="K245" s="221">
        <f>IFERROR(IF(factura_c_mes577[[#This Row],[CUIT]]="","-",VLOOKUP(factura_c_mes577[[#This Row],[CUIT]],Lista_CUIT[#All],4,0)),"CUIT NO CARGADO")</f>
        <v>0</v>
      </c>
    </row>
    <row r="246" spans="2:13">
      <c r="D246" t="s">
        <v>2277</v>
      </c>
      <c r="E246" s="42">
        <v>4</v>
      </c>
      <c r="F246" s="219">
        <v>430</v>
      </c>
      <c r="G246" s="443">
        <v>23222942934</v>
      </c>
      <c r="H246" s="420" t="str">
        <f>IFERROR(IF(factura_c_mes577[[#This Row],[CUIT]]="","-",VLOOKUP(factura_c_mes577[[#This Row],[CUIT]],Lista_CUIT[#All],2,0)),"CUIT NO CARGADO")</f>
        <v>FIORI SILVIA LORENA</v>
      </c>
      <c r="I246" s="220">
        <v>72000</v>
      </c>
      <c r="J246" s="221" t="str">
        <f>IFERROR(IF(factura_c_mes577[[#This Row],[CUIT]]="","-",VLOOKUP(factura_c_mes577[[#This Row],[CUIT]],Lista_CUIT[#All],3,0)),"CUIT NO CARGADO")</f>
        <v>Honorarios Profesionales</v>
      </c>
      <c r="K246" s="221">
        <f>IFERROR(IF(factura_c_mes577[[#This Row],[CUIT]]="","-",VLOOKUP(factura_c_mes577[[#This Row],[CUIT]],Lista_CUIT[#All],4,0)),"CUIT NO CARGADO")</f>
        <v>0</v>
      </c>
    </row>
    <row r="247" spans="2:13">
      <c r="D247" s="50"/>
      <c r="E247" s="42"/>
      <c r="F247" s="219"/>
      <c r="G247" s="443"/>
      <c r="H247" s="420" t="str">
        <f>IFERROR(IF(factura_c_mes577[[#This Row],[CUIT]]="","-",VLOOKUP(factura_c_mes577[[#This Row],[CUIT]],Lista_CUIT[#All],2,0)),"CUIT NO CARGADO")</f>
        <v>-</v>
      </c>
      <c r="I247" s="220"/>
      <c r="J247" s="221" t="str">
        <f>IFERROR(IF(factura_c_mes577[[#This Row],[CUIT]]="","-",VLOOKUP(factura_c_mes577[[#This Row],[CUIT]],Lista_CUIT[#All],3,0)),"CUIT NO CARGADO")</f>
        <v>-</v>
      </c>
      <c r="K247" s="221" t="str">
        <f>IFERROR(IF(factura_c_mes577[[#This Row],[CUIT]]="","-",VLOOKUP(factura_c_mes577[[#This Row],[CUIT]],Lista_CUIT[#All],4,0)),"CUIT NO CARGADO")</f>
        <v>-</v>
      </c>
    </row>
    <row r="248" spans="2:13">
      <c r="D248" s="55" t="s">
        <v>103</v>
      </c>
      <c r="E248" s="55"/>
      <c r="F248" s="55"/>
      <c r="G248" s="57"/>
      <c r="H248" s="57"/>
      <c r="I248" s="58">
        <f>SUBTOTAL(109,factura_c_mes577[TOTAL])</f>
        <v>7037055</v>
      </c>
      <c r="J248" s="55"/>
      <c r="K248" s="55"/>
    </row>
    <row r="249" spans="2:13">
      <c r="D249" s="222"/>
      <c r="E249" s="222"/>
      <c r="F249" s="222"/>
      <c r="G249" s="223"/>
      <c r="H249" s="223"/>
      <c r="I249" s="224"/>
      <c r="J249" s="222"/>
      <c r="K249" s="222"/>
    </row>
    <row r="250" spans="2:13" ht="26.25">
      <c r="B250" s="720" t="s">
        <v>29</v>
      </c>
      <c r="C250" s="720"/>
      <c r="D250" s="720"/>
      <c r="E250" s="720"/>
      <c r="F250" s="720"/>
      <c r="G250" s="720"/>
      <c r="H250" s="720"/>
      <c r="I250" s="720"/>
      <c r="J250" s="720"/>
      <c r="K250" s="716">
        <f>N1</f>
        <v>45047</v>
      </c>
      <c r="L250" s="716"/>
      <c r="M250" s="716"/>
    </row>
    <row r="252" spans="2:13" ht="21">
      <c r="B252" s="713" t="s">
        <v>1711</v>
      </c>
      <c r="C252" s="713"/>
    </row>
    <row r="253" spans="2:13" ht="15.75">
      <c r="B253" s="60" t="s">
        <v>0</v>
      </c>
      <c r="C253" s="61" t="s">
        <v>1</v>
      </c>
      <c r="D253" s="61" t="s">
        <v>21</v>
      </c>
      <c r="E253" s="61" t="s">
        <v>22</v>
      </c>
      <c r="F253" s="61" t="s">
        <v>3</v>
      </c>
      <c r="G253" s="444" t="s">
        <v>4</v>
      </c>
      <c r="H253" s="61" t="s">
        <v>23</v>
      </c>
      <c r="I253" s="61" t="s">
        <v>17</v>
      </c>
      <c r="J253" s="61" t="s">
        <v>7</v>
      </c>
      <c r="K253" s="61" t="s">
        <v>24</v>
      </c>
      <c r="L253" s="61" t="s">
        <v>10</v>
      </c>
      <c r="M253" s="62" t="s">
        <v>38</v>
      </c>
    </row>
    <row r="254" spans="2:13">
      <c r="B254" s="40"/>
      <c r="C254" s="41"/>
      <c r="D254" s="42"/>
      <c r="E254" s="43"/>
      <c r="F254" s="44"/>
      <c r="G254" s="185" t="str">
        <f>IFERROR(IF(venta_a_mes578[[#This Row],[CUIT]]="","-",VLOOKUP(venta_a_mes578[[#This Row],[CUIT]],Lista_CUIT[#All],2,0)),"CUIT NO CARGADO")</f>
        <v>-</v>
      </c>
      <c r="H254" s="100"/>
      <c r="I254" s="101"/>
      <c r="J254" s="65"/>
      <c r="K254" s="65"/>
      <c r="L254" s="65">
        <f>SUM(venta_a_mes578[[#This Row],[IMPORTE NETO]:[EXENTO]])</f>
        <v>0</v>
      </c>
      <c r="M254" s="59"/>
    </row>
    <row r="255" spans="2:13">
      <c r="B255" s="40"/>
      <c r="C255" s="41"/>
      <c r="D255" s="42"/>
      <c r="E255" s="43"/>
      <c r="F255" s="44"/>
      <c r="G255" s="185" t="str">
        <f>IFERROR(IF(venta_a_mes578[[#This Row],[CUIT]]="","-",VLOOKUP(venta_a_mes578[[#This Row],[CUIT]],Lista_CUIT[#All],2,0)),"CUIT NO CARGADO")</f>
        <v>-</v>
      </c>
      <c r="H255" s="100"/>
      <c r="I255" s="101"/>
      <c r="J255" s="65"/>
      <c r="K255" s="65"/>
      <c r="L255" s="65">
        <f>SUM(venta_a_mes578[[#This Row],[IMPORTE NETO]:[EXENTO]])</f>
        <v>0</v>
      </c>
      <c r="M255" s="59"/>
    </row>
    <row r="256" spans="2:13">
      <c r="B256" s="40"/>
      <c r="C256" s="41"/>
      <c r="D256" s="42"/>
      <c r="E256" s="43"/>
      <c r="F256" s="44"/>
      <c r="G256" s="185" t="str">
        <f>IFERROR(IF(venta_a_mes578[[#This Row],[CUIT]]="","-",VLOOKUP(venta_a_mes578[[#This Row],[CUIT]],Lista_CUIT[#All],2,0)),"CUIT NO CARGADO")</f>
        <v>-</v>
      </c>
      <c r="H256" s="100"/>
      <c r="I256" s="101"/>
      <c r="J256" s="65"/>
      <c r="K256" s="65"/>
      <c r="L256" s="65">
        <f>SUM(venta_a_mes578[[#This Row],[IMPORTE NETO]:[EXENTO]])</f>
        <v>0</v>
      </c>
      <c r="M256" s="59"/>
    </row>
    <row r="257" spans="2:13">
      <c r="B257" s="40"/>
      <c r="C257" s="41"/>
      <c r="D257" s="42"/>
      <c r="E257" s="43"/>
      <c r="F257" s="44"/>
      <c r="G257" s="185" t="str">
        <f>IFERROR(IF(venta_a_mes578[[#This Row],[CUIT]]="","-",VLOOKUP(venta_a_mes578[[#This Row],[CUIT]],Lista_CUIT[#All],2,0)),"CUIT NO CARGADO")</f>
        <v>-</v>
      </c>
      <c r="H257" s="100"/>
      <c r="I257" s="101"/>
      <c r="J257" s="65"/>
      <c r="K257" s="65"/>
      <c r="L257" s="65">
        <f>SUM(venta_a_mes578[[#This Row],[IMPORTE NETO]:[EXENTO]])</f>
        <v>0</v>
      </c>
      <c r="M257" s="59"/>
    </row>
    <row r="258" spans="2:13">
      <c r="B258" s="40"/>
      <c r="C258" s="41"/>
      <c r="D258" s="42"/>
      <c r="E258" s="43"/>
      <c r="F258" s="44"/>
      <c r="G258" s="185" t="str">
        <f>IFERROR(IF(venta_a_mes578[[#This Row],[CUIT]]="","-",VLOOKUP(venta_a_mes578[[#This Row],[CUIT]],Lista_CUIT[#All],2,0)),"CUIT NO CARGADO")</f>
        <v>-</v>
      </c>
      <c r="H258" s="100"/>
      <c r="I258" s="101"/>
      <c r="J258" s="65"/>
      <c r="K258" s="65"/>
      <c r="L258" s="65">
        <f>SUM(venta_a_mes578[[#This Row],[IMPORTE NETO]:[EXENTO]])</f>
        <v>0</v>
      </c>
      <c r="M258" s="59"/>
    </row>
    <row r="259" spans="2:13">
      <c r="B259" s="226" t="s">
        <v>103</v>
      </c>
      <c r="C259" s="227"/>
      <c r="D259" s="227"/>
      <c r="E259" s="227"/>
      <c r="F259" s="227"/>
      <c r="G259" s="445"/>
      <c r="H259" s="228">
        <f>SUBTOTAL(109,venta_a_mes578[IMPORTE NETO])</f>
        <v>0</v>
      </c>
      <c r="I259" s="229">
        <f>SUBTOTAL(109,venta_a_mes578[IVA 21%])</f>
        <v>0</v>
      </c>
      <c r="J259" s="230">
        <f>SUBTOTAL(109,venta_a_mes578[IVA 10,5%])</f>
        <v>0</v>
      </c>
      <c r="K259" s="230">
        <f>SUBTOTAL(109,venta_a_mes578[EXENTO])</f>
        <v>0</v>
      </c>
      <c r="L259" s="230">
        <f>SUBTOTAL(109,venta_a_mes578[TOTAL])</f>
        <v>0</v>
      </c>
      <c r="M259" s="231">
        <f>SUBTOTAL(103,venta_a_mes578[Provincia])</f>
        <v>0</v>
      </c>
    </row>
    <row r="262" spans="2:13" ht="21">
      <c r="B262" s="713" t="s">
        <v>31</v>
      </c>
      <c r="C262" s="713"/>
    </row>
    <row r="263" spans="2:13" ht="15.75">
      <c r="B263" s="60" t="s">
        <v>0</v>
      </c>
      <c r="C263" s="61" t="s">
        <v>1</v>
      </c>
      <c r="D263" s="61" t="s">
        <v>21</v>
      </c>
      <c r="E263" s="61" t="s">
        <v>22</v>
      </c>
      <c r="F263" s="61" t="s">
        <v>3</v>
      </c>
      <c r="G263" s="444" t="s">
        <v>4</v>
      </c>
      <c r="H263" s="61" t="s">
        <v>23</v>
      </c>
      <c r="I263" s="61" t="s">
        <v>17</v>
      </c>
      <c r="J263" s="61" t="s">
        <v>7</v>
      </c>
      <c r="K263" s="61" t="s">
        <v>24</v>
      </c>
      <c r="L263" s="61" t="s">
        <v>10</v>
      </c>
      <c r="M263" s="62" t="s">
        <v>38</v>
      </c>
    </row>
    <row r="264" spans="2:13">
      <c r="B264" s="40"/>
      <c r="C264" s="41"/>
      <c r="D264" s="42"/>
      <c r="E264" s="43"/>
      <c r="F264" s="44"/>
      <c r="G264" s="446" t="str">
        <f>IFERROR(IF(ventas_b_mes579[[#This Row],[CUIT]]="","-",VLOOKUP(ventas_b_mes579[[#This Row],[CUIT]],Lista_CUIT[#All],2,0)),"CUIT NO CARGADO")</f>
        <v>-</v>
      </c>
      <c r="H264" s="64"/>
      <c r="I264" s="64"/>
      <c r="J264" s="64"/>
      <c r="K264" s="64"/>
      <c r="L264" s="64">
        <f>SUM(ventas_b_mes579[[#This Row],[IMPORTE NETO]:[EXENTO]])</f>
        <v>0</v>
      </c>
      <c r="M264" s="59"/>
    </row>
    <row r="265" spans="2:13">
      <c r="B265" s="40"/>
      <c r="C265" s="41"/>
      <c r="D265" s="42"/>
      <c r="E265" s="43"/>
      <c r="F265" s="44"/>
      <c r="G265" s="446" t="str">
        <f>IFERROR(IF(ventas_b_mes579[[#This Row],[CUIT]]="","-",VLOOKUP(ventas_b_mes579[[#This Row],[CUIT]],Lista_CUIT[#All],2,0)),"CUIT NO CARGADO")</f>
        <v>-</v>
      </c>
      <c r="H265" s="64"/>
      <c r="I265" s="64"/>
      <c r="J265" s="64"/>
      <c r="K265" s="64"/>
      <c r="L265" s="64">
        <f>SUM(ventas_b_mes579[[#This Row],[IMPORTE NETO]:[EXENTO]])</f>
        <v>0</v>
      </c>
      <c r="M265" s="59"/>
    </row>
    <row r="266" spans="2:13">
      <c r="B266" s="40"/>
      <c r="C266" s="41"/>
      <c r="D266" s="42"/>
      <c r="E266" s="43"/>
      <c r="F266" s="44"/>
      <c r="G266" s="446" t="str">
        <f>IFERROR(IF(ventas_b_mes579[[#This Row],[CUIT]]="","-",VLOOKUP(ventas_b_mes579[[#This Row],[CUIT]],Lista_CUIT[#All],2,0)),"CUIT NO CARGADO")</f>
        <v>-</v>
      </c>
      <c r="H266" s="64"/>
      <c r="I266" s="64"/>
      <c r="J266" s="64"/>
      <c r="K266" s="64"/>
      <c r="L266" s="64">
        <f>SUM(ventas_b_mes579[[#This Row],[IMPORTE NETO]:[EXENTO]])</f>
        <v>0</v>
      </c>
      <c r="M266" s="59"/>
    </row>
    <row r="267" spans="2:13">
      <c r="B267" s="40"/>
      <c r="C267" s="41"/>
      <c r="D267" s="42"/>
      <c r="E267" s="43"/>
      <c r="F267" s="44"/>
      <c r="G267" s="446" t="str">
        <f>IFERROR(IF(ventas_b_mes579[[#This Row],[CUIT]]="","-",VLOOKUP(ventas_b_mes579[[#This Row],[CUIT]],Lista_CUIT[#All],2,0)),"CUIT NO CARGADO")</f>
        <v>-</v>
      </c>
      <c r="H267" s="64"/>
      <c r="I267" s="64"/>
      <c r="J267" s="64"/>
      <c r="K267" s="64"/>
      <c r="L267" s="64">
        <f>SUM(ventas_b_mes579[[#This Row],[IMPORTE NETO]:[EXENTO]])</f>
        <v>0</v>
      </c>
      <c r="M267" s="59"/>
    </row>
    <row r="268" spans="2:13">
      <c r="B268" s="40"/>
      <c r="C268" s="41"/>
      <c r="D268" s="42"/>
      <c r="E268" s="43"/>
      <c r="F268" s="44"/>
      <c r="G268" s="446" t="str">
        <f>IFERROR(IF(ventas_b_mes579[[#This Row],[CUIT]]="","-",VLOOKUP(ventas_b_mes579[[#This Row],[CUIT]],Lista_CUIT[#All],2,0)),"CUIT NO CARGADO")</f>
        <v>-</v>
      </c>
      <c r="H268" s="64"/>
      <c r="I268" s="64"/>
      <c r="J268" s="64"/>
      <c r="K268" s="64"/>
      <c r="L268" s="64">
        <f>SUM(ventas_b_mes579[[#This Row],[IMPORTE NETO]:[EXENTO]])</f>
        <v>0</v>
      </c>
      <c r="M268" s="59"/>
    </row>
    <row r="269" spans="2:13">
      <c r="B269" s="40"/>
      <c r="C269" s="41"/>
      <c r="D269" s="42"/>
      <c r="E269" s="43"/>
      <c r="F269" s="44"/>
      <c r="G269" s="446" t="str">
        <f>IFERROR(IF(ventas_b_mes579[[#This Row],[CUIT]]="","-",VLOOKUP(ventas_b_mes579[[#This Row],[CUIT]],Lista_CUIT[#All],2,0)),"CUIT NO CARGADO")</f>
        <v>-</v>
      </c>
      <c r="H269" s="64"/>
      <c r="I269" s="64"/>
      <c r="J269" s="64"/>
      <c r="K269" s="64"/>
      <c r="L269" s="64">
        <f>SUM(ventas_b_mes579[[#This Row],[IMPORTE NETO]:[EXENTO]])</f>
        <v>0</v>
      </c>
      <c r="M269" s="59"/>
    </row>
    <row r="270" spans="2:13">
      <c r="B270" s="40"/>
      <c r="C270" s="41"/>
      <c r="D270" s="42"/>
      <c r="E270" s="43"/>
      <c r="F270" s="44"/>
      <c r="G270" s="446" t="str">
        <f>IFERROR(IF(ventas_b_mes579[[#This Row],[CUIT]]="","-",VLOOKUP(ventas_b_mes579[[#This Row],[CUIT]],Lista_CUIT[#All],2,0)),"CUIT NO CARGADO")</f>
        <v>-</v>
      </c>
      <c r="H270" s="484"/>
      <c r="I270" s="485"/>
      <c r="J270" s="486"/>
      <c r="K270" s="486"/>
      <c r="L270" s="486">
        <f>SUM(ventas_b_mes579[[#This Row],[IMPORTE NETO]:[EXENTO]])</f>
        <v>0</v>
      </c>
      <c r="M270" s="487"/>
    </row>
    <row r="271" spans="2:13">
      <c r="B271" s="40"/>
      <c r="C271" s="41"/>
      <c r="D271" s="42"/>
      <c r="E271" s="43"/>
      <c r="F271" s="44"/>
      <c r="G271" s="446" t="str">
        <f>IFERROR(IF(ventas_b_mes579[[#This Row],[CUIT]]="","-",VLOOKUP(ventas_b_mes579[[#This Row],[CUIT]],Lista_CUIT[#All],2,0)),"CUIT NO CARGADO")</f>
        <v>-</v>
      </c>
      <c r="H271" s="484"/>
      <c r="I271" s="485"/>
      <c r="J271" s="486"/>
      <c r="K271" s="486"/>
      <c r="L271" s="486">
        <f>SUM(ventas_b_mes579[[#This Row],[IMPORTE NETO]:[EXENTO]])</f>
        <v>0</v>
      </c>
      <c r="M271" s="487"/>
    </row>
    <row r="272" spans="2:13">
      <c r="B272" s="40"/>
      <c r="C272" s="41"/>
      <c r="D272" s="42"/>
      <c r="E272" s="43"/>
      <c r="F272" s="44"/>
      <c r="G272" s="446" t="str">
        <f>IFERROR(IF(ventas_b_mes579[[#This Row],[CUIT]]="","-",VLOOKUP(ventas_b_mes579[[#This Row],[CUIT]],Lista_CUIT[#All],2,0)),"CUIT NO CARGADO")</f>
        <v>-</v>
      </c>
      <c r="H272" s="484"/>
      <c r="I272" s="485"/>
      <c r="J272" s="486"/>
      <c r="K272" s="486"/>
      <c r="L272" s="486">
        <f>SUM(ventas_b_mes579[[#This Row],[IMPORTE NETO]:[EXENTO]])</f>
        <v>0</v>
      </c>
      <c r="M272" s="487"/>
    </row>
    <row r="273" spans="2:13">
      <c r="B273" s="40"/>
      <c r="C273" s="41"/>
      <c r="D273" s="42"/>
      <c r="E273" s="43"/>
      <c r="F273" s="44"/>
      <c r="G273" s="446" t="str">
        <f>IFERROR(IF(ventas_b_mes579[[#This Row],[CUIT]]="","-",VLOOKUP(ventas_b_mes579[[#This Row],[CUIT]],Lista_CUIT[#All],2,0)),"CUIT NO CARGADO")</f>
        <v>-</v>
      </c>
      <c r="H273" s="484"/>
      <c r="I273" s="485"/>
      <c r="J273" s="486"/>
      <c r="K273" s="486"/>
      <c r="L273" s="486">
        <f>SUM(ventas_b_mes579[[#This Row],[IMPORTE NETO]:[EXENTO]])</f>
        <v>0</v>
      </c>
      <c r="M273" s="487"/>
    </row>
    <row r="274" spans="2:13">
      <c r="B274" s="40"/>
      <c r="C274" s="41"/>
      <c r="D274" s="42"/>
      <c r="E274" s="43"/>
      <c r="F274" s="44"/>
      <c r="G274" s="446" t="str">
        <f>IFERROR(IF(ventas_b_mes579[[#This Row],[CUIT]]="","-",VLOOKUP(ventas_b_mes579[[#This Row],[CUIT]],Lista_CUIT[#All],2,0)),"CUIT NO CARGADO")</f>
        <v>-</v>
      </c>
      <c r="H274" s="484"/>
      <c r="I274" s="485"/>
      <c r="J274" s="486"/>
      <c r="K274" s="486"/>
      <c r="L274" s="486">
        <f>SUM(ventas_b_mes579[[#This Row],[IMPORTE NETO]:[EXENTO]])</f>
        <v>0</v>
      </c>
      <c r="M274" s="487"/>
    </row>
    <row r="275" spans="2:13" ht="15.75" thickBot="1">
      <c r="B275" s="66"/>
      <c r="C275" s="67"/>
      <c r="D275" s="67"/>
      <c r="E275" s="67"/>
      <c r="F275" s="67"/>
      <c r="G275" s="447"/>
      <c r="H275" s="77">
        <f>SUBTOTAL(109,ventas_b_mes579[IMPORTE NETO])</f>
        <v>0</v>
      </c>
      <c r="I275" s="77">
        <f>SUBTOTAL(109,ventas_b_mes579[IVA 21%])</f>
        <v>0</v>
      </c>
      <c r="J275" s="78">
        <f>SUBTOTAL(109,ventas_b_mes579[IVA 10,5%])</f>
        <v>0</v>
      </c>
      <c r="K275" s="78">
        <f>SUBTOTAL(109,ventas_b_mes579[EXENTO])</f>
        <v>0</v>
      </c>
      <c r="L275" s="78">
        <f>SUBTOTAL(109,ventas_b_mes579[TOTAL])</f>
        <v>0</v>
      </c>
      <c r="M275" s="68">
        <f>SUBTOTAL(103,ventas_b_mes579[Provincia])</f>
        <v>0</v>
      </c>
    </row>
    <row r="276" spans="2:13" ht="15.75" thickTop="1">
      <c r="C276" s="726" t="s">
        <v>66</v>
      </c>
      <c r="D276" s="726"/>
      <c r="E276" s="726"/>
      <c r="F276" s="726"/>
      <c r="G276" s="726"/>
      <c r="H276" s="32"/>
      <c r="I276" s="32"/>
      <c r="J276" s="32"/>
    </row>
    <row r="277" spans="2:13" ht="15.75">
      <c r="C277" s="114" t="s">
        <v>67</v>
      </c>
      <c r="D277" s="115" t="s">
        <v>68</v>
      </c>
      <c r="E277" s="115" t="s">
        <v>105</v>
      </c>
      <c r="F277" s="115" t="s">
        <v>3</v>
      </c>
      <c r="G277" s="448" t="s">
        <v>4</v>
      </c>
      <c r="H277" s="116" t="s">
        <v>69</v>
      </c>
      <c r="I277" s="116" t="s">
        <v>70</v>
      </c>
      <c r="J277" s="116" t="s">
        <v>71</v>
      </c>
      <c r="K277" s="116" t="s">
        <v>72</v>
      </c>
      <c r="L277" s="116" t="s">
        <v>73</v>
      </c>
    </row>
    <row r="278" spans="2:13">
      <c r="C278" s="117"/>
      <c r="D278" s="118"/>
      <c r="E278" s="118"/>
      <c r="F278" s="119"/>
      <c r="G278" s="53" t="str">
        <f>IFERROR(IF(Retenciones_mes581[[#This Row],[CUIT]]="","-",VLOOKUP(Retenciones_mes581[[#This Row],[CUIT]],Lista_CUIT[#All],2,0)),"CUIT NO CARGADO")</f>
        <v>-</v>
      </c>
      <c r="H278" s="120"/>
      <c r="I278" s="120"/>
      <c r="J278" s="120"/>
      <c r="K278" s="120"/>
      <c r="L278" s="120"/>
    </row>
    <row r="279" spans="2:13">
      <c r="C279" s="117"/>
      <c r="D279" s="118"/>
      <c r="E279" s="118"/>
      <c r="F279" s="119"/>
      <c r="G279" s="53" t="str">
        <f>IFERROR(IF(Retenciones_mes581[[#This Row],[CUIT]]="","-",VLOOKUP(Retenciones_mes581[[#This Row],[CUIT]],Lista_CUIT[#All],2,0)),"CUIT NO CARGADO")</f>
        <v>-</v>
      </c>
      <c r="H279" s="120"/>
      <c r="I279" s="120"/>
      <c r="J279" s="120"/>
      <c r="K279" s="120"/>
      <c r="L279" s="120"/>
    </row>
    <row r="280" spans="2:13">
      <c r="C280" s="117"/>
      <c r="D280" s="118"/>
      <c r="E280" s="118"/>
      <c r="F280" s="119"/>
      <c r="G280" s="53" t="str">
        <f>IFERROR(IF(Retenciones_mes581[[#This Row],[CUIT]]="","-",VLOOKUP(Retenciones_mes581[[#This Row],[CUIT]],Lista_CUIT[#All],2,0)),"CUIT NO CARGADO")</f>
        <v>-</v>
      </c>
      <c r="H280" s="120"/>
      <c r="I280" s="120"/>
      <c r="J280" s="120"/>
      <c r="K280" s="120"/>
      <c r="L280" s="120"/>
    </row>
    <row r="281" spans="2:13">
      <c r="C281" s="117"/>
      <c r="D281" s="118"/>
      <c r="E281" s="118"/>
      <c r="F281" s="119"/>
      <c r="G281" s="53" t="str">
        <f>IFERROR(IF(Retenciones_mes581[[#This Row],[CUIT]]="","-",VLOOKUP(Retenciones_mes581[[#This Row],[CUIT]],Lista_CUIT[#All],2,0)),"CUIT NO CARGADO")</f>
        <v>-</v>
      </c>
      <c r="H281" s="120"/>
      <c r="I281" s="120"/>
      <c r="J281" s="120"/>
      <c r="K281" s="120"/>
      <c r="L281" s="120"/>
    </row>
    <row r="282" spans="2:13">
      <c r="D282" s="118"/>
      <c r="E282" s="118"/>
      <c r="G282" s="53" t="str">
        <f>IFERROR(IF(Retenciones_mes581[[#This Row],[CUIT]]="","-",VLOOKUP(Retenciones_mes581[[#This Row],[CUIT]],Lista_CUIT[#All],2,0)),"CUIT NO CARGADO")</f>
        <v>-</v>
      </c>
    </row>
    <row r="283" spans="2:13">
      <c r="C283" s="33"/>
    </row>
  </sheetData>
  <mergeCells count="20">
    <mergeCell ref="P4:R4"/>
    <mergeCell ref="D208:L208"/>
    <mergeCell ref="B1:F1"/>
    <mergeCell ref="G1:M1"/>
    <mergeCell ref="N1:R1"/>
    <mergeCell ref="B3:E3"/>
    <mergeCell ref="G3:H3"/>
    <mergeCell ref="J3:K3"/>
    <mergeCell ref="M3:N3"/>
    <mergeCell ref="P3:R3"/>
    <mergeCell ref="C276:G276"/>
    <mergeCell ref="B4:E4"/>
    <mergeCell ref="G4:H4"/>
    <mergeCell ref="J4:K4"/>
    <mergeCell ref="M4:N4"/>
    <mergeCell ref="D221:K221"/>
    <mergeCell ref="B250:J250"/>
    <mergeCell ref="K250:M250"/>
    <mergeCell ref="B252:C252"/>
    <mergeCell ref="B262:C262"/>
  </mergeCells>
  <phoneticPr fontId="38" type="noConversion"/>
  <dataValidations count="12">
    <dataValidation type="custom" allowBlank="1" showInputMessage="1" showErrorMessage="1" errorTitle="Error de Ingreso" error="Ingreso condicionado al tipo de compra:_x000a_- Tipo 001: solo positivo_x000a_- Tipo 002: solo positivo_x000a_- Tipo 003: solo negativo" sqref="H8:O205">
      <formula1>IF($C8=3,H8&lt;0,H8&gt;=0)</formula1>
    </dataValidation>
    <dataValidation type="custom" allowBlank="1" showInputMessage="1" showErrorMessage="1" sqref="L257:L258">
      <formula1>IF($C127=3,L127&lt;0,L127&gt;=0)</formula1>
    </dataValidation>
    <dataValidation type="custom" allowBlank="1" showInputMessage="1" showErrorMessage="1" sqref="L256">
      <formula1>IF($C12=3,L12&lt;0,L12&gt;=0)</formula1>
    </dataValidation>
    <dataValidation type="whole" allowBlank="1" showInputMessage="1" showErrorMessage="1" sqref="D8:D205 D254:D258 E223:E247 D264:D274">
      <formula1>1</formula1>
      <formula2>9999</formula2>
    </dataValidation>
    <dataValidation type="whole" allowBlank="1" showInputMessage="1" showErrorMessage="1" sqref="E8:E205 E254:E258 F223:F247 E264:E274">
      <formula1>1</formula1>
      <formula2>99999999</formula2>
    </dataValidation>
    <dataValidation type="whole" allowBlank="1" showInputMessage="1" showErrorMessage="1" sqref="F8:F205 F254:F258 G223:G247 F264:F274">
      <formula1>20000000000</formula1>
      <formula2>33999999999</formula2>
    </dataValidation>
    <dataValidation type="date" allowBlank="1" showInputMessage="1" showErrorMessage="1" sqref="B207 B254:B258 D210:D218 B8:B205 B264:B274 D223:D245 D247">
      <formula1>40179</formula1>
      <formula2>TODAY()</formula2>
    </dataValidation>
    <dataValidation type="whole" allowBlank="1" showInputMessage="1" showErrorMessage="1" sqref="C254:C258 C207 C8:C205">
      <formula1>1</formula1>
      <formula2>3</formula2>
    </dataValidation>
    <dataValidation type="custom" allowBlank="1" showInputMessage="1" showErrorMessage="1" sqref="H254:K254 H256:K256 H258:K258">
      <formula1>IF($C254=3,H254&lt;0,H254&gt;=0)</formula1>
    </dataValidation>
    <dataValidation type="custom" allowBlank="1" showInputMessage="1" showErrorMessage="1" sqref="L254:L255">
      <formula1>IF($C8=3,L8&lt;0,L8&gt;=0)</formula1>
    </dataValidation>
    <dataValidation type="whole" allowBlank="1" showInputMessage="1" showErrorMessage="1" sqref="C264:C274">
      <formula1>6</formula1>
      <formula2>8</formula2>
    </dataValidation>
    <dataValidation type="custom" allowBlank="1" showInputMessage="1" showErrorMessage="1" sqref="H264:L274">
      <formula1>IF($C264=8,H264&lt;0,H264&gt;=0)</formula1>
    </dataValidation>
  </dataValidations>
  <pageMargins left="0.7" right="0.7" top="0.75" bottom="0.75" header="0.3" footer="0.3"/>
  <pageSetup paperSize="9" scale="43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79998168889431442"/>
    <pageSetUpPr fitToPage="1"/>
  </sheetPr>
  <dimension ref="A1:Z2768"/>
  <sheetViews>
    <sheetView showGridLines="0" topLeftCell="A173" zoomScale="85" zoomScaleNormal="85" workbookViewId="0">
      <selection activeCell="I212" activeCellId="1" sqref="P168 I212"/>
    </sheetView>
  </sheetViews>
  <sheetFormatPr baseColWidth="10" defaultColWidth="0" defaultRowHeight="15"/>
  <cols>
    <col min="1" max="1" width="1.7109375" customWidth="1"/>
    <col min="2" max="2" width="15.7109375" customWidth="1"/>
    <col min="3" max="3" width="7.7109375" customWidth="1"/>
    <col min="4" max="4" width="13.28515625" customWidth="1"/>
    <col min="5" max="5" width="18.140625" customWidth="1"/>
    <col min="6" max="6" width="23.28515625" customWidth="1"/>
    <col min="7" max="7" width="29.42578125" customWidth="1"/>
    <col min="8" max="8" width="27.28515625" customWidth="1"/>
    <col min="9" max="9" width="20.5703125" customWidth="1"/>
    <col min="10" max="10" width="21.28515625" customWidth="1"/>
    <col min="11" max="11" width="14.85546875" bestFit="1" customWidth="1"/>
    <col min="12" max="12" width="13.7109375" customWidth="1"/>
    <col min="13" max="13" width="17.140625" customWidth="1"/>
    <col min="14" max="14" width="12.28515625" customWidth="1"/>
    <col min="15" max="15" width="13.7109375" bestFit="1" customWidth="1"/>
    <col min="16" max="16" width="15.7109375" bestFit="1" customWidth="1"/>
    <col min="17" max="17" width="20.140625" bestFit="1" customWidth="1"/>
    <col min="18" max="18" width="15.7109375" bestFit="1" customWidth="1"/>
    <col min="19" max="19" width="14.5703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EDATE('Ene-24'!N1,5)</f>
        <v>45078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SUM(compras_mes6[[#Totals],[NETO GRAVADO]])+extracto_banco_mes6[[#Totals],[NETO]]</f>
        <v>61621721.343333349</v>
      </c>
      <c r="C4" s="718"/>
      <c r="D4" s="718"/>
      <c r="E4" s="718"/>
      <c r="F4" s="39"/>
      <c r="G4" s="719">
        <f>compras_mes6[[#Totals],[IVA 21 %]]+compras_mes6[[#Totals],[IVA 27%]]+compras_mes6[[#Totals],[IVA 10,5%]]+extracto_banco_mes6[[#Totals],[IVA 21%]]+extracto_banco_mes6[[#Totals],[IVA 10,5%]]</f>
        <v>12670178.215849999</v>
      </c>
      <c r="H4" s="719"/>
      <c r="I4" s="39"/>
      <c r="J4" s="725">
        <f>venta_a_mes6[[#Totals],[IMPORTE NETO]]+ventas_b_mes6[[#Totals],[IMPORTE NETO]]</f>
        <v>50975999.590000011</v>
      </c>
      <c r="K4" s="725"/>
      <c r="L4" s="39"/>
      <c r="M4" s="725">
        <f>venta_a_mes6[[#Totals],[IVA 21%]]+venta_a_mes6[[#Totals],[IVA 10,5%]]+ventas_b_mes6[[#Totals],[IVA 21%]]+ventas_b_mes6[[#Totals],[IVA 10,5%]]+ventas_b_mes684[[#Totals],[IVA 21%]]+ventas_b_mes684[[#Totals],[IVA 10,5%]]</f>
        <v>22718981.915699966</v>
      </c>
      <c r="N4" s="725"/>
      <c r="O4" s="39"/>
      <c r="P4" s="721">
        <f>G4-M4</f>
        <v>-10048803.699849967</v>
      </c>
      <c r="Q4" s="722"/>
      <c r="R4" s="722"/>
    </row>
    <row r="5" spans="1:26" ht="20.25" customHeight="1"/>
    <row r="6" spans="1:26">
      <c r="I6" s="528"/>
    </row>
    <row r="7" spans="1:26" s="2" customFormat="1">
      <c r="B7" s="40"/>
      <c r="C7" s="41"/>
      <c r="D7" s="42"/>
      <c r="E7" s="13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239"/>
      <c r="C9" s="41"/>
      <c r="D9" s="241"/>
      <c r="E9" s="257"/>
      <c r="F9" s="242"/>
      <c r="G9" s="243" t="str">
        <f>IFERROR(IF(compras_mes6[[#This Row],[CUIT]]="","-",VLOOKUP(compras_mes6[[#This Row],[CUIT]],Lista_CUIT[#All],2,0)),"CUIT NO CARGADO")</f>
        <v>-</v>
      </c>
      <c r="H9" s="244"/>
      <c r="I9" s="245" t="str">
        <f>IF(compras_mes6[[#This Row],[NETO GRAVADO]]="","",compras_mes6[[#This Row],[NETO GRAVADO]]*0.21)</f>
        <v/>
      </c>
      <c r="J9" s="245"/>
      <c r="K9" s="245"/>
      <c r="L9" s="245"/>
      <c r="M9" s="245"/>
      <c r="N9" s="245"/>
      <c r="O9" s="245"/>
      <c r="P9" s="246">
        <f>SUM(compras_mes6[[#This Row],[NETO GRAVADO]:[Otros / No Grav.]])</f>
        <v>0</v>
      </c>
      <c r="Q9" s="247" t="str">
        <f>IFERROR(IF(compras_mes6[[#This Row],[CUIT]]="","-",VLOOKUP(compras_mes6[[#This Row],[CUIT]],Lista_CUIT[#All],3,0)),"CUIT NO CARGADO")</f>
        <v>-</v>
      </c>
      <c r="R9" s="247" t="str">
        <f>IFERROR(IF(compras_mes6[[#This Row],[CUIT]]="","-",VLOOKUP(compras_mes6[[#This Row],[CUIT]],Lista_CUIT[#All],4,0)),"CUIT NO CARGADO")</f>
        <v>-</v>
      </c>
    </row>
    <row r="10" spans="1:26">
      <c r="B10" s="239">
        <v>45444</v>
      </c>
      <c r="C10" s="240">
        <v>1</v>
      </c>
      <c r="D10" s="241">
        <v>1</v>
      </c>
      <c r="E10" s="257">
        <v>512</v>
      </c>
      <c r="F10" s="242">
        <v>20131206144</v>
      </c>
      <c r="G10" s="243" t="str">
        <f>IFERROR(IF(compras_mes6[[#This Row],[CUIT]]="","-",VLOOKUP(compras_mes6[[#This Row],[CUIT]],Lista_CUIT[#All],2,0)),"CUIT NO CARGADO")</f>
        <v>CHAMORRO MANUEL</v>
      </c>
      <c r="H10" s="244">
        <v>707700</v>
      </c>
      <c r="I10" s="245">
        <f>IF(compras_mes6[[#This Row],[NETO GRAVADO]]="","",compras_mes6[[#This Row],[NETO GRAVADO]]*0.21)</f>
        <v>148617</v>
      </c>
      <c r="J10" s="245"/>
      <c r="K10" s="245"/>
      <c r="L10" s="245"/>
      <c r="M10" s="245"/>
      <c r="N10" s="245"/>
      <c r="O10" s="245"/>
      <c r="P10" s="246">
        <f>SUM(compras_mes6[[#This Row],[NETO GRAVADO]:[Otros / No Grav.]])</f>
        <v>856317</v>
      </c>
      <c r="Q10" s="247" t="str">
        <f>IFERROR(IF(compras_mes6[[#This Row],[CUIT]]="","-",VLOOKUP(compras_mes6[[#This Row],[CUIT]],Lista_CUIT[#All],3,0)),"CUIT NO CARGADO")</f>
        <v>Alquiler</v>
      </c>
      <c r="R10" s="247">
        <f>IFERROR(IF(compras_mes6[[#This Row],[CUIT]]="","-",VLOOKUP(compras_mes6[[#This Row],[CUIT]],Lista_CUIT[#All],4,0)),"CUIT NO CARGADO")</f>
        <v>0</v>
      </c>
    </row>
    <row r="11" spans="1:26">
      <c r="B11" s="239">
        <v>45446</v>
      </c>
      <c r="C11" s="240">
        <v>1</v>
      </c>
      <c r="D11" s="241">
        <v>1</v>
      </c>
      <c r="E11" s="257">
        <v>120</v>
      </c>
      <c r="F11" s="242">
        <v>30716010313</v>
      </c>
      <c r="G11" s="243" t="str">
        <f>IFERROR(IF(compras_mes6[[#This Row],[CUIT]]="","-",VLOOKUP(compras_mes6[[#This Row],[CUIT]],Lista_CUIT[#All],2,0)),"CUIT NO CARGADO")</f>
        <v>H UNO 1469 S.A.</v>
      </c>
      <c r="H11" s="244">
        <v>46000</v>
      </c>
      <c r="I11" s="245">
        <f>IF(compras_mes6[[#This Row],[NETO GRAVADO]]="","",compras_mes6[[#This Row],[NETO GRAVADO]]*0.21)</f>
        <v>9660</v>
      </c>
      <c r="J11" s="245"/>
      <c r="K11" s="245"/>
      <c r="L11" s="245"/>
      <c r="M11" s="245"/>
      <c r="N11" s="245"/>
      <c r="O11" s="245"/>
      <c r="P11" s="246">
        <f>SUM(compras_mes6[[#This Row],[NETO GRAVADO]:[Otros / No Grav.]])</f>
        <v>55660</v>
      </c>
      <c r="Q11" s="247" t="str">
        <f>IFERROR(IF(compras_mes6[[#This Row],[CUIT]]="","-",VLOOKUP(compras_mes6[[#This Row],[CUIT]],Lista_CUIT[#All],3,0)),"CUIT NO CARGADO")</f>
        <v>Alquiler</v>
      </c>
      <c r="R11" s="247">
        <f>IFERROR(IF(compras_mes6[[#This Row],[CUIT]]="","-",VLOOKUP(compras_mes6[[#This Row],[CUIT]],Lista_CUIT[#All],4,0)),"CUIT NO CARGADO")</f>
        <v>0</v>
      </c>
    </row>
    <row r="12" spans="1:26">
      <c r="B12" s="239">
        <v>45447</v>
      </c>
      <c r="C12" s="240">
        <v>1</v>
      </c>
      <c r="D12" s="241">
        <v>2</v>
      </c>
      <c r="E12" s="257">
        <v>264</v>
      </c>
      <c r="F12" s="242">
        <v>27309896063</v>
      </c>
      <c r="G12" s="243" t="str">
        <f>IFERROR(IF(compras_mes6[[#This Row],[CUIT]]="","-",VLOOKUP(compras_mes6[[#This Row],[CUIT]],Lista_CUIT[#All],2,0)),"CUIT NO CARGADO")</f>
        <v>BATTELLINI MARIA SOLEDAD</v>
      </c>
      <c r="H12" s="244">
        <v>550000</v>
      </c>
      <c r="I12" s="245">
        <f>IF(compras_mes6[[#This Row],[NETO GRAVADO]]="","",compras_mes6[[#This Row],[NETO GRAVADO]]*0.21)</f>
        <v>115500</v>
      </c>
      <c r="J12" s="245"/>
      <c r="K12" s="245"/>
      <c r="L12" s="245"/>
      <c r="M12" s="245"/>
      <c r="N12" s="245"/>
      <c r="O12" s="245"/>
      <c r="P12" s="246">
        <f>SUM(compras_mes6[[#This Row],[NETO GRAVADO]:[Otros / No Grav.]])</f>
        <v>665500</v>
      </c>
      <c r="Q12" s="247" t="str">
        <f>IFERROR(IF(compras_mes6[[#This Row],[CUIT]]="","-",VLOOKUP(compras_mes6[[#This Row],[CUIT]],Lista_CUIT[#All],3,0)),"CUIT NO CARGADO")</f>
        <v>Alquiler</v>
      </c>
      <c r="R12" s="247">
        <f>IFERROR(IF(compras_mes6[[#This Row],[CUIT]]="","-",VLOOKUP(compras_mes6[[#This Row],[CUIT]],Lista_CUIT[#All],4,0)),"CUIT NO CARGADO")</f>
        <v>0</v>
      </c>
    </row>
    <row r="13" spans="1:26">
      <c r="B13" s="497">
        <v>45444</v>
      </c>
      <c r="C13" s="498"/>
      <c r="D13" s="499">
        <v>12</v>
      </c>
      <c r="E13" s="500">
        <v>47097</v>
      </c>
      <c r="F13" s="501">
        <v>30696131003</v>
      </c>
      <c r="G13" s="502" t="str">
        <f>IFERROR(IF(compras_mes6[[#This Row],[CUIT]]="","-",VLOOKUP(compras_mes6[[#This Row],[CUIT]],Lista_CUIT[#All],2,0)),"CUIT NO CARGADO")</f>
        <v>Petrolfe S.A.</v>
      </c>
      <c r="H13" s="503">
        <v>124391.57</v>
      </c>
      <c r="I13" s="504">
        <f>IF(compras_mes6[[#This Row],[NETO GRAVADO]]="","",compras_mes6[[#This Row],[NETO GRAVADO]]*0.21)</f>
        <v>26122.2297</v>
      </c>
      <c r="J13" s="504"/>
      <c r="K13" s="504"/>
      <c r="L13" s="504"/>
      <c r="M13" s="504"/>
      <c r="N13" s="504"/>
      <c r="O13" s="504">
        <v>44264.04</v>
      </c>
      <c r="P13" s="505">
        <f>SUM(compras_mes6[[#This Row],[NETO GRAVADO]:[Otros / No Grav.]])</f>
        <v>194777.83970000001</v>
      </c>
      <c r="Q13" s="506" t="str">
        <f>IFERROR(IF(compras_mes6[[#This Row],[CUIT]]="","-",VLOOKUP(compras_mes6[[#This Row],[CUIT]],Lista_CUIT[#All],3,0)),"CUIT NO CARGADO")</f>
        <v>Combustible</v>
      </c>
      <c r="R13" s="506">
        <f>IFERROR(IF(compras_mes6[[#This Row],[CUIT]]="","-",VLOOKUP(compras_mes6[[#This Row],[CUIT]],Lista_CUIT[#All],4,0)),"CUIT NO CARGADO")</f>
        <v>0</v>
      </c>
    </row>
    <row r="14" spans="1:26">
      <c r="B14" s="239">
        <v>45450</v>
      </c>
      <c r="C14" s="240">
        <v>1</v>
      </c>
      <c r="D14" s="241">
        <v>6850</v>
      </c>
      <c r="E14" s="257">
        <v>21637</v>
      </c>
      <c r="F14" s="242">
        <v>30678774495</v>
      </c>
      <c r="G14" s="243" t="str">
        <f>IFERROR(IF(compras_mes6[[#This Row],[CUIT]]="","-",VLOOKUP(compras_mes6[[#This Row],[CUIT]],Lista_CUIT[#All],2,0)),"CUIT NO CARGADO")</f>
        <v>OPER. DE EST. DE SERV. SA</v>
      </c>
      <c r="H14" s="244">
        <v>7228.35</v>
      </c>
      <c r="I14" s="245">
        <f>IF(compras_mes6[[#This Row],[NETO GRAVADO]]="","",compras_mes6[[#This Row],[NETO GRAVADO]]*0.21)</f>
        <v>1517.9535000000001</v>
      </c>
      <c r="J14" s="245"/>
      <c r="K14" s="245"/>
      <c r="L14" s="245"/>
      <c r="M14" s="245"/>
      <c r="N14" s="245"/>
      <c r="O14" s="245">
        <v>1253.74</v>
      </c>
      <c r="P14" s="494">
        <f>SUM(compras_mes6[[#This Row],[NETO GRAVADO]:[Otros / No Grav.]])</f>
        <v>10000.0435</v>
      </c>
      <c r="Q14" s="247" t="str">
        <f>IFERROR(IF(compras_mes6[[#This Row],[CUIT]]="","-",VLOOKUP(compras_mes6[[#This Row],[CUIT]],Lista_CUIT[#All],3,0)),"CUIT NO CARGADO")</f>
        <v>Combustible</v>
      </c>
      <c r="R14" s="247">
        <f>IFERROR(IF(compras_mes6[[#This Row],[CUIT]]="","-",VLOOKUP(compras_mes6[[#This Row],[CUIT]],Lista_CUIT[#All],4,0)),"CUIT NO CARGADO")</f>
        <v>0</v>
      </c>
    </row>
    <row r="15" spans="1:26">
      <c r="B15" s="497">
        <v>45451</v>
      </c>
      <c r="C15" s="498"/>
      <c r="D15" s="499">
        <v>12</v>
      </c>
      <c r="E15" s="500">
        <v>47416</v>
      </c>
      <c r="F15" s="501">
        <v>30696131003</v>
      </c>
      <c r="G15" s="502" t="str">
        <f>IFERROR(IF(compras_mes6[[#This Row],[CUIT]]="","-",VLOOKUP(compras_mes6[[#This Row],[CUIT]],Lista_CUIT[#All],2,0)),"CUIT NO CARGADO")</f>
        <v>Petrolfe S.A.</v>
      </c>
      <c r="H15" s="503">
        <v>154195.32999999999</v>
      </c>
      <c r="I15" s="504">
        <f>IF(compras_mes6[[#This Row],[NETO GRAVADO]]="","",compras_mes6[[#This Row],[NETO GRAVADO]]*0.21)</f>
        <v>32381.019299999996</v>
      </c>
      <c r="J15" s="504"/>
      <c r="K15" s="504"/>
      <c r="L15" s="504"/>
      <c r="M15" s="504"/>
      <c r="N15" s="504"/>
      <c r="O15" s="504">
        <v>54329.120000000003</v>
      </c>
      <c r="P15" s="505">
        <f>SUM(compras_mes6[[#This Row],[NETO GRAVADO]:[Otros / No Grav.]])</f>
        <v>240905.46929999997</v>
      </c>
      <c r="Q15" s="506" t="str">
        <f>IFERROR(IF(compras_mes6[[#This Row],[CUIT]]="","-",VLOOKUP(compras_mes6[[#This Row],[CUIT]],Lista_CUIT[#All],3,0)),"CUIT NO CARGADO")</f>
        <v>Combustible</v>
      </c>
      <c r="R15" s="506">
        <f>IFERROR(IF(compras_mes6[[#This Row],[CUIT]]="","-",VLOOKUP(compras_mes6[[#This Row],[CUIT]],Lista_CUIT[#All],4,0)),"CUIT NO CARGADO")</f>
        <v>0</v>
      </c>
    </row>
    <row r="16" spans="1:26">
      <c r="B16" s="529">
        <v>45451</v>
      </c>
      <c r="C16" s="530"/>
      <c r="D16" s="531">
        <v>13</v>
      </c>
      <c r="E16" s="532">
        <v>89123</v>
      </c>
      <c r="F16" s="533">
        <v>30707841105</v>
      </c>
      <c r="G16" s="534" t="str">
        <f>IFERROR(IF(compras_mes6[[#This Row],[CUIT]]="","-",VLOOKUP(compras_mes6[[#This Row],[CUIT]],Lista_CUIT[#All],2,0)),"CUIT NO CARGADO")</f>
        <v>PETRO ARG SRL</v>
      </c>
      <c r="H16" s="535">
        <v>26302.95</v>
      </c>
      <c r="I16" s="527">
        <f>IF(compras_mes6[[#This Row],[NETO GRAVADO]]="","",compras_mes6[[#This Row],[NETO GRAVADO]]*0.21)</f>
        <v>5523.6194999999998</v>
      </c>
      <c r="J16" s="527"/>
      <c r="K16" s="527"/>
      <c r="L16" s="527"/>
      <c r="M16" s="527"/>
      <c r="N16" s="527"/>
      <c r="O16" s="527">
        <v>8350.9599999999991</v>
      </c>
      <c r="P16" s="536">
        <f>SUM(compras_mes6[[#This Row],[NETO GRAVADO]:[Otros / No Grav.]])</f>
        <v>40177.529500000004</v>
      </c>
      <c r="Q16" s="537" t="str">
        <f>IFERROR(IF(compras_mes6[[#This Row],[CUIT]]="","-",VLOOKUP(compras_mes6[[#This Row],[CUIT]],Lista_CUIT[#All],3,0)),"CUIT NO CARGADO")</f>
        <v>Combustible</v>
      </c>
      <c r="R16" s="537">
        <f>IFERROR(IF(compras_mes6[[#This Row],[CUIT]]="","-",VLOOKUP(compras_mes6[[#This Row],[CUIT]],Lista_CUIT[#All],4,0)),"CUIT NO CARGADO")</f>
        <v>0</v>
      </c>
    </row>
    <row r="17" spans="2:18">
      <c r="B17" s="497">
        <v>45453</v>
      </c>
      <c r="C17" s="498"/>
      <c r="D17" s="499">
        <v>21</v>
      </c>
      <c r="E17" s="500">
        <v>41811</v>
      </c>
      <c r="F17" s="501">
        <v>30515800219</v>
      </c>
      <c r="G17" s="502" t="str">
        <f>IFERROR(IF(compras_mes6[[#This Row],[CUIT]]="","-",VLOOKUP(compras_mes6[[#This Row],[CUIT]],Lista_CUIT[#All],2,0)),"CUIT NO CARGADO")</f>
        <v>INCAT SRL</v>
      </c>
      <c r="H17" s="503">
        <v>23493.86</v>
      </c>
      <c r="I17" s="504">
        <f>IF(compras_mes6[[#This Row],[NETO GRAVADO]]="","",compras_mes6[[#This Row],[NETO GRAVADO]]*0.21)</f>
        <v>4933.7106000000003</v>
      </c>
      <c r="J17" s="504"/>
      <c r="K17" s="504"/>
      <c r="L17" s="504"/>
      <c r="M17" s="504"/>
      <c r="N17" s="504"/>
      <c r="O17" s="504">
        <v>9150.84</v>
      </c>
      <c r="P17" s="505">
        <f>SUM(compras_mes6[[#This Row],[NETO GRAVADO]:[Otros / No Grav.]])</f>
        <v>37578.410600000003</v>
      </c>
      <c r="Q17" s="506" t="str">
        <f>IFERROR(IF(compras_mes6[[#This Row],[CUIT]]="","-",VLOOKUP(compras_mes6[[#This Row],[CUIT]],Lista_CUIT[#All],3,0)),"CUIT NO CARGADO")</f>
        <v>Combustible</v>
      </c>
      <c r="R17" s="506" t="str">
        <f>IFERROR(IF(compras_mes6[[#This Row],[CUIT]]="","-",VLOOKUP(compras_mes6[[#This Row],[CUIT]],Lista_CUIT[#All],4,0)),"CUIT NO CARGADO")</f>
        <v>CABA</v>
      </c>
    </row>
    <row r="18" spans="2:18">
      <c r="B18" s="497">
        <v>45453</v>
      </c>
      <c r="C18" s="498"/>
      <c r="D18" s="499">
        <v>20</v>
      </c>
      <c r="E18" s="500">
        <v>13449</v>
      </c>
      <c r="F18" s="501">
        <v>30515800219</v>
      </c>
      <c r="G18" s="502" t="str">
        <f>IFERROR(IF(compras_mes6[[#This Row],[CUIT]]="","-",VLOOKUP(compras_mes6[[#This Row],[CUIT]],Lista_CUIT[#All],2,0)),"CUIT NO CARGADO")</f>
        <v>INCAT SRL</v>
      </c>
      <c r="H18" s="503">
        <v>2473.71</v>
      </c>
      <c r="I18" s="504">
        <f>IF(compras_mes6[[#This Row],[NETO GRAVADO]]="","",compras_mes6[[#This Row],[NETO GRAVADO]]*0.21)</f>
        <v>519.47910000000002</v>
      </c>
      <c r="J18" s="504"/>
      <c r="K18" s="504"/>
      <c r="L18" s="504"/>
      <c r="M18" s="504"/>
      <c r="N18" s="504"/>
      <c r="O18" s="504">
        <v>13.58</v>
      </c>
      <c r="P18" s="505">
        <f>SUM(compras_mes6[[#This Row],[NETO GRAVADO]:[Otros / No Grav.]])</f>
        <v>3006.7691</v>
      </c>
      <c r="Q18" s="506" t="str">
        <f>IFERROR(IF(compras_mes6[[#This Row],[CUIT]]="","-",VLOOKUP(compras_mes6[[#This Row],[CUIT]],Lista_CUIT[#All],3,0)),"CUIT NO CARGADO")</f>
        <v>Combustible</v>
      </c>
      <c r="R18" s="506" t="str">
        <f>IFERROR(IF(compras_mes6[[#This Row],[CUIT]]="","-",VLOOKUP(compras_mes6[[#This Row],[CUIT]],Lista_CUIT[#All],4,0)),"CUIT NO CARGADO")</f>
        <v>CABA</v>
      </c>
    </row>
    <row r="19" spans="2:18">
      <c r="B19" s="239">
        <v>45455</v>
      </c>
      <c r="C19" s="240">
        <v>1</v>
      </c>
      <c r="D19" s="241">
        <v>2004</v>
      </c>
      <c r="E19" s="257">
        <v>133688</v>
      </c>
      <c r="F19" s="242">
        <v>30516186670</v>
      </c>
      <c r="G19" s="243" t="str">
        <f>IFERROR(IF(compras_mes6[[#This Row],[CUIT]]="","-",VLOOKUP(compras_mes6[[#This Row],[CUIT]],Lista_CUIT[#All],2,0)),"CUIT NO CARGADO")</f>
        <v>DEHEZA S.A.I.C.F. e I.</v>
      </c>
      <c r="H19" s="244">
        <v>7188.52</v>
      </c>
      <c r="I19" s="245">
        <f>IF(compras_mes6[[#This Row],[NETO GRAVADO]]="","",compras_mes6[[#This Row],[NETO GRAVADO]]*0.21)</f>
        <v>1509.5892000000001</v>
      </c>
      <c r="J19" s="245"/>
      <c r="K19" s="245"/>
      <c r="L19" s="245">
        <v>215.66</v>
      </c>
      <c r="M19" s="245"/>
      <c r="N19" s="245">
        <v>509.4</v>
      </c>
      <c r="O19" s="245">
        <v>1301.46</v>
      </c>
      <c r="P19" s="494">
        <f>SUM(compras_mes6[[#This Row],[NETO GRAVADO]:[Otros / No Grav.]])</f>
        <v>10724.629199999999</v>
      </c>
      <c r="Q19" s="247" t="str">
        <f>IFERROR(IF(compras_mes6[[#This Row],[CUIT]]="","-",VLOOKUP(compras_mes6[[#This Row],[CUIT]],Lista_CUIT[#All],3,0)),"CUIT NO CARGADO")</f>
        <v>Combustible</v>
      </c>
      <c r="R19" s="247" t="str">
        <f>IFERROR(IF(compras_mes6[[#This Row],[CUIT]]="","-",VLOOKUP(compras_mes6[[#This Row],[CUIT]],Lista_CUIT[#All],4,0)),"CUIT NO CARGADO")</f>
        <v>CABA</v>
      </c>
    </row>
    <row r="20" spans="2:18">
      <c r="B20" s="497">
        <v>45458</v>
      </c>
      <c r="C20" s="498"/>
      <c r="D20" s="499">
        <v>12</v>
      </c>
      <c r="E20" s="500">
        <v>47840</v>
      </c>
      <c r="F20" s="501">
        <v>30696131003</v>
      </c>
      <c r="G20" s="502" t="str">
        <f>IFERROR(IF(compras_mes6[[#This Row],[CUIT]]="","-",VLOOKUP(compras_mes6[[#This Row],[CUIT]],Lista_CUIT[#All],2,0)),"CUIT NO CARGADO")</f>
        <v>Petrolfe S.A.</v>
      </c>
      <c r="H20" s="503">
        <v>83469.710000000006</v>
      </c>
      <c r="I20" s="504">
        <f>IF(compras_mes6[[#This Row],[NETO GRAVADO]]="","",compras_mes6[[#This Row],[NETO GRAVADO]]*0.21)</f>
        <v>17528.6391</v>
      </c>
      <c r="J20" s="504"/>
      <c r="K20" s="504"/>
      <c r="L20" s="504"/>
      <c r="M20" s="504"/>
      <c r="N20" s="504"/>
      <c r="O20" s="504">
        <v>32511.38</v>
      </c>
      <c r="P20" s="505">
        <f>SUM(compras_mes6[[#This Row],[NETO GRAVADO]:[Otros / No Grav.]])</f>
        <v>133509.7291</v>
      </c>
      <c r="Q20" s="506" t="str">
        <f>IFERROR(IF(compras_mes6[[#This Row],[CUIT]]="","-",VLOOKUP(compras_mes6[[#This Row],[CUIT]],Lista_CUIT[#All],3,0)),"CUIT NO CARGADO")</f>
        <v>Combustible</v>
      </c>
      <c r="R20" s="506">
        <f>IFERROR(IF(compras_mes6[[#This Row],[CUIT]]="","-",VLOOKUP(compras_mes6[[#This Row],[CUIT]],Lista_CUIT[#All],4,0)),"CUIT NO CARGADO")</f>
        <v>0</v>
      </c>
    </row>
    <row r="21" spans="2:18">
      <c r="B21" s="239">
        <v>45458</v>
      </c>
      <c r="C21" s="240">
        <v>1</v>
      </c>
      <c r="D21" s="241">
        <v>6850</v>
      </c>
      <c r="E21" s="257">
        <v>21735</v>
      </c>
      <c r="F21" s="242">
        <v>30678774495</v>
      </c>
      <c r="G21" s="243" t="str">
        <f>IFERROR(IF(compras_mes6[[#This Row],[CUIT]]="","-",VLOOKUP(compras_mes6[[#This Row],[CUIT]],Lista_CUIT[#All],2,0)),"CUIT NO CARGADO")</f>
        <v>OPER. DE EST. DE SERV. SA</v>
      </c>
      <c r="H21" s="244">
        <v>10842.45</v>
      </c>
      <c r="I21" s="245">
        <f>IF(compras_mes6[[#This Row],[NETO GRAVADO]]="","",compras_mes6[[#This Row],[NETO GRAVADO]]*0.21)</f>
        <v>2276.9144999999999</v>
      </c>
      <c r="J21" s="245"/>
      <c r="K21" s="245"/>
      <c r="L21" s="245"/>
      <c r="M21" s="245"/>
      <c r="N21" s="245"/>
      <c r="O21" s="245">
        <v>1880.6</v>
      </c>
      <c r="P21" s="494">
        <f>SUM(compras_mes6[[#This Row],[NETO GRAVADO]:[Otros / No Grav.]])</f>
        <v>14999.9645</v>
      </c>
      <c r="Q21" s="247" t="str">
        <f>IFERROR(IF(compras_mes6[[#This Row],[CUIT]]="","-",VLOOKUP(compras_mes6[[#This Row],[CUIT]],Lista_CUIT[#All],3,0)),"CUIT NO CARGADO")</f>
        <v>Combustible</v>
      </c>
      <c r="R21" s="247">
        <f>IFERROR(IF(compras_mes6[[#This Row],[CUIT]]="","-",VLOOKUP(compras_mes6[[#This Row],[CUIT]],Lista_CUIT[#All],4,0)),"CUIT NO CARGADO")</f>
        <v>0</v>
      </c>
    </row>
    <row r="22" spans="2:18">
      <c r="B22" s="239">
        <v>45460</v>
      </c>
      <c r="C22" s="240">
        <v>1</v>
      </c>
      <c r="D22" s="241">
        <v>7868</v>
      </c>
      <c r="E22" s="257">
        <v>34335</v>
      </c>
      <c r="F22" s="242">
        <v>30678774495</v>
      </c>
      <c r="G22" s="243" t="str">
        <f>IFERROR(IF(compras_mes6[[#This Row],[CUIT]]="","-",VLOOKUP(compras_mes6[[#This Row],[CUIT]],Lista_CUIT[#All],2,0)),"CUIT NO CARGADO")</f>
        <v>OPER. DE EST. DE SERV. SA</v>
      </c>
      <c r="H22" s="244">
        <v>26752.59</v>
      </c>
      <c r="I22" s="245">
        <f>IF(compras_mes6[[#This Row],[NETO GRAVADO]]="","",compras_mes6[[#This Row],[NETO GRAVADO]]*0.21)</f>
        <v>5618.0438999999997</v>
      </c>
      <c r="J22" s="245"/>
      <c r="K22" s="245"/>
      <c r="L22" s="245"/>
      <c r="M22" s="245"/>
      <c r="N22" s="245"/>
      <c r="O22" s="245">
        <v>4649.41</v>
      </c>
      <c r="P22" s="494">
        <f>SUM(compras_mes6[[#This Row],[NETO GRAVADO]:[Otros / No Grav.]])</f>
        <v>37020.043900000004</v>
      </c>
      <c r="Q22" s="247" t="str">
        <f>IFERROR(IF(compras_mes6[[#This Row],[CUIT]]="","-",VLOOKUP(compras_mes6[[#This Row],[CUIT]],Lista_CUIT[#All],3,0)),"CUIT NO CARGADO")</f>
        <v>Combustible</v>
      </c>
      <c r="R22" s="247">
        <f>IFERROR(IF(compras_mes6[[#This Row],[CUIT]]="","-",VLOOKUP(compras_mes6[[#This Row],[CUIT]],Lista_CUIT[#All],4,0)),"CUIT NO CARGADO")</f>
        <v>0</v>
      </c>
    </row>
    <row r="23" spans="2:18">
      <c r="B23" s="497">
        <v>45462</v>
      </c>
      <c r="C23" s="498"/>
      <c r="D23" s="499">
        <v>21</v>
      </c>
      <c r="E23" s="500">
        <v>42331</v>
      </c>
      <c r="F23" s="501">
        <v>30515800219</v>
      </c>
      <c r="G23" s="502" t="str">
        <f>IFERROR(IF(compras_mes6[[#This Row],[CUIT]]="","-",VLOOKUP(compras_mes6[[#This Row],[CUIT]],Lista_CUIT[#All],2,0)),"CUIT NO CARGADO")</f>
        <v>INCAT SRL</v>
      </c>
      <c r="H23" s="503">
        <v>19069.62</v>
      </c>
      <c r="I23" s="504">
        <f>IF(compras_mes6[[#This Row],[NETO GRAVADO]]="","",compras_mes6[[#This Row],[NETO GRAVADO]]*0.21)</f>
        <v>4004.6201999999998</v>
      </c>
      <c r="J23" s="504"/>
      <c r="K23" s="504"/>
      <c r="L23" s="504"/>
      <c r="M23" s="504"/>
      <c r="N23" s="504"/>
      <c r="O23" s="504">
        <v>7427.58</v>
      </c>
      <c r="P23" s="505">
        <f>SUM(compras_mes6[[#This Row],[NETO GRAVADO]:[Otros / No Grav.]])</f>
        <v>30501.820200000002</v>
      </c>
      <c r="Q23" s="506" t="str">
        <f>IFERROR(IF(compras_mes6[[#This Row],[CUIT]]="","-",VLOOKUP(compras_mes6[[#This Row],[CUIT]],Lista_CUIT[#All],3,0)),"CUIT NO CARGADO")</f>
        <v>Combustible</v>
      </c>
      <c r="R23" s="506" t="str">
        <f>IFERROR(IF(compras_mes6[[#This Row],[CUIT]]="","-",VLOOKUP(compras_mes6[[#This Row],[CUIT]],Lista_CUIT[#All],4,0)),"CUIT NO CARGADO")</f>
        <v>CABA</v>
      </c>
    </row>
    <row r="24" spans="2:18">
      <c r="B24" s="239">
        <v>45462</v>
      </c>
      <c r="C24" s="240">
        <v>1</v>
      </c>
      <c r="D24" s="241">
        <v>6850</v>
      </c>
      <c r="E24" s="257">
        <v>21783</v>
      </c>
      <c r="F24" s="242">
        <v>30678774495</v>
      </c>
      <c r="G24" s="243" t="str">
        <f>IFERROR(IF(compras_mes6[[#This Row],[CUIT]]="","-",VLOOKUP(compras_mes6[[#This Row],[CUIT]],Lista_CUIT[#All],2,0)),"CUIT NO CARGADO")</f>
        <v>OPER. DE EST. DE SERV. SA</v>
      </c>
      <c r="H24" s="244">
        <v>7228.35</v>
      </c>
      <c r="I24" s="245">
        <f>IF(compras_mes6[[#This Row],[NETO GRAVADO]]="","",compras_mes6[[#This Row],[NETO GRAVADO]]*0.21)</f>
        <v>1517.9535000000001</v>
      </c>
      <c r="J24" s="245"/>
      <c r="K24" s="245"/>
      <c r="L24" s="245"/>
      <c r="M24" s="245"/>
      <c r="N24" s="245"/>
      <c r="O24" s="245">
        <v>1253.74</v>
      </c>
      <c r="P24" s="494">
        <f>SUM(compras_mes6[[#This Row],[NETO GRAVADO]:[Otros / No Grav.]])</f>
        <v>10000.0435</v>
      </c>
      <c r="Q24" s="247" t="str">
        <f>IFERROR(IF(compras_mes6[[#This Row],[CUIT]]="","-",VLOOKUP(compras_mes6[[#This Row],[CUIT]],Lista_CUIT[#All],3,0)),"CUIT NO CARGADO")</f>
        <v>Combustible</v>
      </c>
      <c r="R24" s="247">
        <f>IFERROR(IF(compras_mes6[[#This Row],[CUIT]]="","-",VLOOKUP(compras_mes6[[#This Row],[CUIT]],Lista_CUIT[#All],4,0)),"CUIT NO CARGADO")</f>
        <v>0</v>
      </c>
    </row>
    <row r="25" spans="2:18">
      <c r="B25" s="497">
        <v>45463</v>
      </c>
      <c r="C25" s="498"/>
      <c r="D25" s="499">
        <v>12</v>
      </c>
      <c r="E25" s="500">
        <v>48029</v>
      </c>
      <c r="F25" s="501">
        <v>30696131003</v>
      </c>
      <c r="G25" s="502" t="str">
        <f>IFERROR(IF(compras_mes6[[#This Row],[CUIT]]="","-",VLOOKUP(compras_mes6[[#This Row],[CUIT]],Lista_CUIT[#All],2,0)),"CUIT NO CARGADO")</f>
        <v>Petrolfe S.A.</v>
      </c>
      <c r="H25" s="503">
        <v>74745.710000000006</v>
      </c>
      <c r="I25" s="504">
        <f>IF(compras_mes6[[#This Row],[NETO GRAVADO]]="","",compras_mes6[[#This Row],[NETO GRAVADO]]*0.21)</f>
        <v>15696.599100000001</v>
      </c>
      <c r="J25" s="504"/>
      <c r="K25" s="504"/>
      <c r="L25" s="504"/>
      <c r="M25" s="504"/>
      <c r="N25" s="504"/>
      <c r="O25" s="504">
        <v>29113.38</v>
      </c>
      <c r="P25" s="505">
        <f>SUM(compras_mes6[[#This Row],[NETO GRAVADO]:[Otros / No Grav.]])</f>
        <v>119555.68910000002</v>
      </c>
      <c r="Q25" s="506" t="str">
        <f>IFERROR(IF(compras_mes6[[#This Row],[CUIT]]="","-",VLOOKUP(compras_mes6[[#This Row],[CUIT]],Lista_CUIT[#All],3,0)),"CUIT NO CARGADO")</f>
        <v>Combustible</v>
      </c>
      <c r="R25" s="506">
        <f>IFERROR(IF(compras_mes6[[#This Row],[CUIT]]="","-",VLOOKUP(compras_mes6[[#This Row],[CUIT]],Lista_CUIT[#All],4,0)),"CUIT NO CARGADO")</f>
        <v>0</v>
      </c>
    </row>
    <row r="26" spans="2:18">
      <c r="B26" s="497">
        <v>45468</v>
      </c>
      <c r="C26" s="498"/>
      <c r="D26" s="499">
        <v>21</v>
      </c>
      <c r="E26" s="500">
        <v>42619</v>
      </c>
      <c r="F26" s="501">
        <v>30515800219</v>
      </c>
      <c r="G26" s="502" t="str">
        <f>IFERROR(IF(compras_mes6[[#This Row],[CUIT]]="","-",VLOOKUP(compras_mes6[[#This Row],[CUIT]],Lista_CUIT[#All],2,0)),"CUIT NO CARGADO")</f>
        <v>INCAT SRL</v>
      </c>
      <c r="H26" s="503">
        <v>28842.86</v>
      </c>
      <c r="I26" s="504">
        <f>IF(compras_mes6[[#This Row],[NETO GRAVADO]]="","",compras_mes6[[#This Row],[NETO GRAVADO]]*0.21)</f>
        <v>6057.0006000000003</v>
      </c>
      <c r="J26" s="504"/>
      <c r="K26" s="504"/>
      <c r="L26" s="504"/>
      <c r="M26" s="504"/>
      <c r="N26" s="504">
        <v>0.01</v>
      </c>
      <c r="O26" s="504">
        <v>11234.29</v>
      </c>
      <c r="P26" s="505">
        <f>SUM(compras_mes6[[#This Row],[NETO GRAVADO]:[Otros / No Grav.]])</f>
        <v>46134.160600000003</v>
      </c>
      <c r="Q26" s="506" t="str">
        <f>IFERROR(IF(compras_mes6[[#This Row],[CUIT]]="","-",VLOOKUP(compras_mes6[[#This Row],[CUIT]],Lista_CUIT[#All],3,0)),"CUIT NO CARGADO")</f>
        <v>Combustible</v>
      </c>
      <c r="R26" s="506" t="str">
        <f>IFERROR(IF(compras_mes6[[#This Row],[CUIT]]="","-",VLOOKUP(compras_mes6[[#This Row],[CUIT]],Lista_CUIT[#All],4,0)),"CUIT NO CARGADO")</f>
        <v>CABA</v>
      </c>
    </row>
    <row r="27" spans="2:18">
      <c r="B27" s="239">
        <v>45469</v>
      </c>
      <c r="C27" s="240">
        <v>1</v>
      </c>
      <c r="D27" s="241">
        <v>6850</v>
      </c>
      <c r="E27" s="257">
        <v>21853</v>
      </c>
      <c r="F27" s="242">
        <v>30678774495</v>
      </c>
      <c r="G27" s="243" t="str">
        <f>IFERROR(IF(compras_mes6[[#This Row],[CUIT]]="","-",VLOOKUP(compras_mes6[[#This Row],[CUIT]],Lista_CUIT[#All],2,0)),"CUIT NO CARGADO")</f>
        <v>OPER. DE EST. DE SERV. SA</v>
      </c>
      <c r="H27" s="244">
        <v>44457.05</v>
      </c>
      <c r="I27" s="245">
        <f>IF(compras_mes6[[#This Row],[NETO GRAVADO]]="","",compras_mes6[[#This Row],[NETO GRAVADO]]*0.21)</f>
        <v>9335.9804999999997</v>
      </c>
      <c r="J27" s="245"/>
      <c r="K27" s="245"/>
      <c r="L27" s="245"/>
      <c r="M27" s="245"/>
      <c r="N27" s="245"/>
      <c r="O27" s="245">
        <v>7710.99</v>
      </c>
      <c r="P27" s="494">
        <f>SUM(compras_mes6[[#This Row],[NETO GRAVADO]:[Otros / No Grav.]])</f>
        <v>61504.020499999999</v>
      </c>
      <c r="Q27" s="247" t="str">
        <f>IFERROR(IF(compras_mes6[[#This Row],[CUIT]]="","-",VLOOKUP(compras_mes6[[#This Row],[CUIT]],Lista_CUIT[#All],3,0)),"CUIT NO CARGADO")</f>
        <v>Combustible</v>
      </c>
      <c r="R27" s="247">
        <f>IFERROR(IF(compras_mes6[[#This Row],[CUIT]]="","-",VLOOKUP(compras_mes6[[#This Row],[CUIT]],Lista_CUIT[#All],4,0)),"CUIT NO CARGADO")</f>
        <v>0</v>
      </c>
    </row>
    <row r="28" spans="2:18">
      <c r="B28" s="497">
        <v>45472</v>
      </c>
      <c r="C28" s="498"/>
      <c r="D28" s="499">
        <v>12</v>
      </c>
      <c r="E28" s="500">
        <v>48896</v>
      </c>
      <c r="F28" s="501">
        <v>30696131003</v>
      </c>
      <c r="G28" s="502" t="str">
        <f>IFERROR(IF(compras_mes6[[#This Row],[CUIT]]="","-",VLOOKUP(compras_mes6[[#This Row],[CUIT]],Lista_CUIT[#All],2,0)),"CUIT NO CARGADO")</f>
        <v>Petrolfe S.A.</v>
      </c>
      <c r="H28" s="503">
        <v>124480.57</v>
      </c>
      <c r="I28" s="504">
        <f>IF(compras_mes6[[#This Row],[NETO GRAVADO]]="","",compras_mes6[[#This Row],[NETO GRAVADO]]*0.21)</f>
        <v>26140.919700000002</v>
      </c>
      <c r="J28" s="504"/>
      <c r="K28" s="504"/>
      <c r="L28" s="504"/>
      <c r="M28" s="504"/>
      <c r="N28" s="504"/>
      <c r="O28" s="504">
        <v>48485.06</v>
      </c>
      <c r="P28" s="505">
        <f>SUM(compras_mes6[[#This Row],[NETO GRAVADO]:[Otros / No Grav.]])</f>
        <v>199106.5497</v>
      </c>
      <c r="Q28" s="506" t="str">
        <f>IFERROR(IF(compras_mes6[[#This Row],[CUIT]]="","-",VLOOKUP(compras_mes6[[#This Row],[CUIT]],Lista_CUIT[#All],3,0)),"CUIT NO CARGADO")</f>
        <v>Combustible</v>
      </c>
      <c r="R28" s="506">
        <f>IFERROR(IF(compras_mes6[[#This Row],[CUIT]]="","-",VLOOKUP(compras_mes6[[#This Row],[CUIT]],Lista_CUIT[#All],4,0)),"CUIT NO CARGADO")</f>
        <v>0</v>
      </c>
    </row>
    <row r="29" spans="2:18">
      <c r="B29" s="239">
        <v>45449</v>
      </c>
      <c r="C29" s="240">
        <v>1</v>
      </c>
      <c r="D29" s="241">
        <v>2137</v>
      </c>
      <c r="E29" s="257">
        <v>5332</v>
      </c>
      <c r="F29" s="242">
        <v>30698011145</v>
      </c>
      <c r="G29" s="243" t="str">
        <f>IFERROR(IF(compras_mes6[[#This Row],[CUIT]]="","-",VLOOKUP(compras_mes6[[#This Row],[CUIT]],Lista_CUIT[#All],2,0)),"CUIT NO CARGADO")</f>
        <v>ANDREANI LOGISTICA SA</v>
      </c>
      <c r="H29" s="244">
        <v>13272.66</v>
      </c>
      <c r="I29" s="245">
        <f>IF(compras_mes6[[#This Row],[NETO GRAVADO]]="","",compras_mes6[[#This Row],[NETO GRAVADO]]*0.21)</f>
        <v>2787.2585999999997</v>
      </c>
      <c r="J29" s="245"/>
      <c r="K29" s="245"/>
      <c r="L29" s="245"/>
      <c r="M29" s="245"/>
      <c r="N29" s="245"/>
      <c r="O29" s="245"/>
      <c r="P29" s="246">
        <f>SUM(compras_mes6[[#This Row],[NETO GRAVADO]:[Otros / No Grav.]])</f>
        <v>16059.918599999999</v>
      </c>
      <c r="Q29" s="247" t="str">
        <f>IFERROR(IF(compras_mes6[[#This Row],[CUIT]]="","-",VLOOKUP(compras_mes6[[#This Row],[CUIT]],Lista_CUIT[#All],3,0)),"CUIT NO CARGADO")</f>
        <v>Gastos Comercializacion</v>
      </c>
      <c r="R29" s="247">
        <f>IFERROR(IF(compras_mes6[[#This Row],[CUIT]]="","-",VLOOKUP(compras_mes6[[#This Row],[CUIT]],Lista_CUIT[#All],4,0)),"CUIT NO CARGADO")</f>
        <v>0</v>
      </c>
    </row>
    <row r="30" spans="2:18">
      <c r="B30" s="239">
        <v>45460</v>
      </c>
      <c r="C30" s="240">
        <v>1</v>
      </c>
      <c r="D30" s="241">
        <v>3</v>
      </c>
      <c r="E30" s="257">
        <v>486</v>
      </c>
      <c r="F30" s="242">
        <v>20269497417</v>
      </c>
      <c r="G30" s="243" t="str">
        <f>IFERROR(IF(compras_mes6[[#This Row],[CUIT]]="","-",VLOOKUP(compras_mes6[[#This Row],[CUIT]],Lista_CUIT[#All],2,0)),"CUIT NO CARGADO")</f>
        <v>GUTIERREZ SEBASTIAN VALENTIN</v>
      </c>
      <c r="H30" s="244">
        <v>18925.62</v>
      </c>
      <c r="I30" s="400">
        <f>IF(compras_mes6[[#This Row],[NETO GRAVADO]]="","",compras_mes6[[#This Row],[NETO GRAVADO]]*0.21)</f>
        <v>3974.3801999999996</v>
      </c>
      <c r="J30" s="245"/>
      <c r="K30" s="245"/>
      <c r="L30" s="245"/>
      <c r="M30" s="245"/>
      <c r="N30" s="245"/>
      <c r="O30" s="245"/>
      <c r="P30" s="246">
        <f>SUM(compras_mes6[[#This Row],[NETO GRAVADO]:[Otros / No Grav.]])</f>
        <v>22900.000199999999</v>
      </c>
      <c r="Q30" s="247" t="str">
        <f>IFERROR(IF(compras_mes6[[#This Row],[CUIT]]="","-",VLOOKUP(compras_mes6[[#This Row],[CUIT]],Lista_CUIT[#All],3,0)),"CUIT NO CARGADO")</f>
        <v>Gastos Comercializacion</v>
      </c>
      <c r="R30" s="247">
        <f>IFERROR(IF(compras_mes6[[#This Row],[CUIT]]="","-",VLOOKUP(compras_mes6[[#This Row],[CUIT]],Lista_CUIT[#All],4,0)),"CUIT NO CARGADO")</f>
        <v>0</v>
      </c>
    </row>
    <row r="31" spans="2:18">
      <c r="B31" s="239">
        <v>45461</v>
      </c>
      <c r="C31" s="240">
        <v>1</v>
      </c>
      <c r="D31" s="241">
        <v>1</v>
      </c>
      <c r="E31" s="257">
        <v>992</v>
      </c>
      <c r="F31" s="242">
        <v>30716715716</v>
      </c>
      <c r="G31" s="243" t="str">
        <f>IFERROR(IF(compras_mes6[[#This Row],[CUIT]]="","-",VLOOKUP(compras_mes6[[#This Row],[CUIT]],Lista_CUIT[#All],2,0)),"CUIT NO CARGADO")</f>
        <v>LIVERPOOL EXPRESS SRL</v>
      </c>
      <c r="H31" s="244">
        <v>92400</v>
      </c>
      <c r="I31" s="245">
        <f>IF(compras_mes6[[#This Row],[NETO GRAVADO]]="","",compras_mes6[[#This Row],[NETO GRAVADO]]*0.21)</f>
        <v>19404</v>
      </c>
      <c r="J31" s="245"/>
      <c r="K31" s="245"/>
      <c r="L31" s="245"/>
      <c r="M31" s="245"/>
      <c r="N31" s="245"/>
      <c r="O31" s="245"/>
      <c r="P31" s="246">
        <f>SUM(compras_mes6[[#This Row],[NETO GRAVADO]:[Otros / No Grav.]])</f>
        <v>111804</v>
      </c>
      <c r="Q31" s="247" t="str">
        <f>IFERROR(IF(compras_mes6[[#This Row],[CUIT]]="","-",VLOOKUP(compras_mes6[[#This Row],[CUIT]],Lista_CUIT[#All],3,0)),"CUIT NO CARGADO")</f>
        <v>Gastos Comercializacion</v>
      </c>
      <c r="R31" s="247">
        <f>IFERROR(IF(compras_mes6[[#This Row],[CUIT]]="","-",VLOOKUP(compras_mes6[[#This Row],[CUIT]],Lista_CUIT[#All],4,0)),"CUIT NO CARGADO")</f>
        <v>0</v>
      </c>
    </row>
    <row r="32" spans="2:18">
      <c r="B32" s="239">
        <v>45461</v>
      </c>
      <c r="C32" s="240">
        <v>1</v>
      </c>
      <c r="D32" s="241">
        <v>1</v>
      </c>
      <c r="E32" s="257">
        <v>991</v>
      </c>
      <c r="F32" s="242">
        <v>30716715716</v>
      </c>
      <c r="G32" s="243" t="str">
        <f>IFERROR(IF(compras_mes6[[#This Row],[CUIT]]="","-",VLOOKUP(compras_mes6[[#This Row],[CUIT]],Lista_CUIT[#All],2,0)),"CUIT NO CARGADO")</f>
        <v>LIVERPOOL EXPRESS SRL</v>
      </c>
      <c r="H32" s="244">
        <v>0</v>
      </c>
      <c r="I32" s="245">
        <f>IF(compras_mes6[[#This Row],[NETO GRAVADO]]="","",compras_mes6[[#This Row],[NETO GRAVADO]]*0.21)</f>
        <v>0</v>
      </c>
      <c r="J32" s="245"/>
      <c r="K32" s="245"/>
      <c r="L32" s="245"/>
      <c r="M32" s="245"/>
      <c r="N32" s="245"/>
      <c r="O32" s="449">
        <v>610209.6</v>
      </c>
      <c r="P32" s="246">
        <f>SUM(compras_mes6[[#This Row],[NETO GRAVADO]:[Otros / No Grav.]])</f>
        <v>610209.6</v>
      </c>
      <c r="Q32" s="247" t="str">
        <f>IFERROR(IF(compras_mes6[[#This Row],[CUIT]]="","-",VLOOKUP(compras_mes6[[#This Row],[CUIT]],Lista_CUIT[#All],3,0)),"CUIT NO CARGADO")</f>
        <v>Gastos Comercializacion</v>
      </c>
      <c r="R32" s="247">
        <f>IFERROR(IF(compras_mes6[[#This Row],[CUIT]]="","-",VLOOKUP(compras_mes6[[#This Row],[CUIT]],Lista_CUIT[#All],4,0)),"CUIT NO CARGADO")</f>
        <v>0</v>
      </c>
    </row>
    <row r="33" spans="2:18">
      <c r="B33" s="239">
        <v>45461</v>
      </c>
      <c r="C33" s="240">
        <v>1</v>
      </c>
      <c r="D33" s="241">
        <v>1</v>
      </c>
      <c r="E33" s="257">
        <v>990</v>
      </c>
      <c r="F33" s="242">
        <v>30716715716</v>
      </c>
      <c r="G33" s="243" t="str">
        <f>IFERROR(IF(compras_mes6[[#This Row],[CUIT]]="","-",VLOOKUP(compras_mes6[[#This Row],[CUIT]],Lista_CUIT[#All],2,0)),"CUIT NO CARGADO")</f>
        <v>LIVERPOOL EXPRESS SRL</v>
      </c>
      <c r="H33" s="244">
        <v>286440</v>
      </c>
      <c r="I33" s="245">
        <f>IF(compras_mes6[[#This Row],[NETO GRAVADO]]="","",compras_mes6[[#This Row],[NETO GRAVADO]]*0.21)</f>
        <v>60152.399999999994</v>
      </c>
      <c r="J33" s="245"/>
      <c r="K33" s="245"/>
      <c r="L33" s="245"/>
      <c r="M33" s="245"/>
      <c r="N33" s="245"/>
      <c r="O33" s="245"/>
      <c r="P33" s="246">
        <f>SUM(compras_mes6[[#This Row],[NETO GRAVADO]:[Otros / No Grav.]])</f>
        <v>346592.4</v>
      </c>
      <c r="Q33" s="247" t="str">
        <f>IFERROR(IF(compras_mes6[[#This Row],[CUIT]]="","-",VLOOKUP(compras_mes6[[#This Row],[CUIT]],Lista_CUIT[#All],3,0)),"CUIT NO CARGADO")</f>
        <v>Gastos Comercializacion</v>
      </c>
      <c r="R33" s="247">
        <f>IFERROR(IF(compras_mes6[[#This Row],[CUIT]]="","-",VLOOKUP(compras_mes6[[#This Row],[CUIT]],Lista_CUIT[#All],4,0)),"CUIT NO CARGADO")</f>
        <v>0</v>
      </c>
    </row>
    <row r="34" spans="2:18">
      <c r="B34" s="239">
        <v>45453</v>
      </c>
      <c r="C34" s="240">
        <v>1</v>
      </c>
      <c r="D34" s="241">
        <v>6</v>
      </c>
      <c r="E34" s="257">
        <v>16662917</v>
      </c>
      <c r="F34" s="242">
        <v>30620177497</v>
      </c>
      <c r="G34" s="243" t="str">
        <f>IFERROR(IF(compras_mes6[[#This Row],[CUIT]]="","-",VLOOKUP(compras_mes6[[#This Row],[CUIT]],Lista_CUIT[#All],2,0)),"CUIT NO CARGADO")</f>
        <v>POSNET SRL</v>
      </c>
      <c r="H34" s="244">
        <v>69246.03</v>
      </c>
      <c r="I34" s="245">
        <f>IF(compras_mes6[[#This Row],[NETO GRAVADO]]="","",compras_mes6[[#This Row],[NETO GRAVADO]]*0.21)</f>
        <v>14541.666299999999</v>
      </c>
      <c r="J34" s="245"/>
      <c r="K34" s="245"/>
      <c r="L34" s="245"/>
      <c r="M34" s="245"/>
      <c r="N34" s="245">
        <v>6232.14</v>
      </c>
      <c r="O34" s="245"/>
      <c r="P34" s="494">
        <f>SUM(compras_mes6[[#This Row],[NETO GRAVADO]:[Otros / No Grav.]])</f>
        <v>90019.836299999995</v>
      </c>
      <c r="Q34" s="247" t="str">
        <f>IFERROR(IF(compras_mes6[[#This Row],[CUIT]]="","-",VLOOKUP(compras_mes6[[#This Row],[CUIT]],Lista_CUIT[#All],3,0)),"CUIT NO CARGADO")</f>
        <v>Gastos Comercializacion</v>
      </c>
      <c r="R34" s="247">
        <f>IFERROR(IF(compras_mes6[[#This Row],[CUIT]]="","-",VLOOKUP(compras_mes6[[#This Row],[CUIT]],Lista_CUIT[#All],4,0)),"CUIT NO CARGADO")</f>
        <v>0</v>
      </c>
    </row>
    <row r="35" spans="2:18">
      <c r="B35" s="239">
        <v>45453</v>
      </c>
      <c r="C35" s="240">
        <v>1</v>
      </c>
      <c r="D35" s="241">
        <v>6</v>
      </c>
      <c r="E35" s="257">
        <v>16662886</v>
      </c>
      <c r="F35" s="242">
        <v>30620177497</v>
      </c>
      <c r="G35" s="243" t="str">
        <f>IFERROR(IF(compras_mes6[[#This Row],[CUIT]]="","-",VLOOKUP(compras_mes6[[#This Row],[CUIT]],Lista_CUIT[#All],2,0)),"CUIT NO CARGADO")</f>
        <v>POSNET SRL</v>
      </c>
      <c r="H35" s="244">
        <v>23082.01</v>
      </c>
      <c r="I35" s="245">
        <f>IF(compras_mes6[[#This Row],[NETO GRAVADO]]="","",compras_mes6[[#This Row],[NETO GRAVADO]]*0.21)</f>
        <v>4847.222099999999</v>
      </c>
      <c r="J35" s="245"/>
      <c r="K35" s="245"/>
      <c r="L35" s="245"/>
      <c r="M35" s="245"/>
      <c r="N35" s="245">
        <v>2077.38</v>
      </c>
      <c r="O35" s="245"/>
      <c r="P35" s="494">
        <f>SUM(compras_mes6[[#This Row],[NETO GRAVADO]:[Otros / No Grav.]])</f>
        <v>30006.612099999998</v>
      </c>
      <c r="Q35" s="247" t="str">
        <f>IFERROR(IF(compras_mes6[[#This Row],[CUIT]]="","-",VLOOKUP(compras_mes6[[#This Row],[CUIT]],Lista_CUIT[#All],3,0)),"CUIT NO CARGADO")</f>
        <v>Gastos Comercializacion</v>
      </c>
      <c r="R35" s="247">
        <f>IFERROR(IF(compras_mes6[[#This Row],[CUIT]]="","-",VLOOKUP(compras_mes6[[#This Row],[CUIT]],Lista_CUIT[#All],4,0)),"CUIT NO CARGADO")</f>
        <v>0</v>
      </c>
    </row>
    <row r="36" spans="2:18">
      <c r="B36" s="239">
        <v>45453</v>
      </c>
      <c r="C36" s="240">
        <v>1</v>
      </c>
      <c r="D36" s="241">
        <v>6</v>
      </c>
      <c r="E36" s="257">
        <v>16662877</v>
      </c>
      <c r="F36" s="242">
        <v>30620177497</v>
      </c>
      <c r="G36" s="243" t="str">
        <f>IFERROR(IF(compras_mes6[[#This Row],[CUIT]]="","-",VLOOKUP(compras_mes6[[#This Row],[CUIT]],Lista_CUIT[#All],2,0)),"CUIT NO CARGADO")</f>
        <v>POSNET SRL</v>
      </c>
      <c r="H36" s="244">
        <v>23082.01</v>
      </c>
      <c r="I36" s="245">
        <f>IF(compras_mes6[[#This Row],[NETO GRAVADO]]="","",compras_mes6[[#This Row],[NETO GRAVADO]]*0.21)</f>
        <v>4847.222099999999</v>
      </c>
      <c r="J36" s="245"/>
      <c r="K36" s="245"/>
      <c r="L36" s="245"/>
      <c r="M36" s="245"/>
      <c r="N36" s="245">
        <v>2077.38</v>
      </c>
      <c r="O36" s="245"/>
      <c r="P36" s="494">
        <f>SUM(compras_mes6[[#This Row],[NETO GRAVADO]:[Otros / No Grav.]])</f>
        <v>30006.612099999998</v>
      </c>
      <c r="Q36" s="247" t="str">
        <f>IFERROR(IF(compras_mes6[[#This Row],[CUIT]]="","-",VLOOKUP(compras_mes6[[#This Row],[CUIT]],Lista_CUIT[#All],3,0)),"CUIT NO CARGADO")</f>
        <v>Gastos Comercializacion</v>
      </c>
      <c r="R36" s="247">
        <f>IFERROR(IF(compras_mes6[[#This Row],[CUIT]]="","-",VLOOKUP(compras_mes6[[#This Row],[CUIT]],Lista_CUIT[#All],4,0)),"CUIT NO CARGADO")</f>
        <v>0</v>
      </c>
    </row>
    <row r="37" spans="2:18">
      <c r="B37" s="239">
        <v>45453</v>
      </c>
      <c r="C37" s="240">
        <v>1</v>
      </c>
      <c r="D37" s="241">
        <v>6</v>
      </c>
      <c r="E37" s="257">
        <v>16662849</v>
      </c>
      <c r="F37" s="242">
        <v>30620177497</v>
      </c>
      <c r="G37" s="243" t="str">
        <f>IFERROR(IF(compras_mes6[[#This Row],[CUIT]]="","-",VLOOKUP(compras_mes6[[#This Row],[CUIT]],Lista_CUIT[#All],2,0)),"CUIT NO CARGADO")</f>
        <v>POSNET SRL</v>
      </c>
      <c r="H37" s="244">
        <v>23082.01</v>
      </c>
      <c r="I37" s="245">
        <f>IF(compras_mes6[[#This Row],[NETO GRAVADO]]="","",compras_mes6[[#This Row],[NETO GRAVADO]]*0.21)</f>
        <v>4847.222099999999</v>
      </c>
      <c r="J37" s="245"/>
      <c r="K37" s="245"/>
      <c r="L37" s="245"/>
      <c r="M37" s="245"/>
      <c r="N37" s="245">
        <v>2077.38</v>
      </c>
      <c r="O37" s="245"/>
      <c r="P37" s="494">
        <f>SUM(compras_mes6[[#This Row],[NETO GRAVADO]:[Otros / No Grav.]])</f>
        <v>30006.612099999998</v>
      </c>
      <c r="Q37" s="247" t="str">
        <f>IFERROR(IF(compras_mes6[[#This Row],[CUIT]]="","-",VLOOKUP(compras_mes6[[#This Row],[CUIT]],Lista_CUIT[#All],3,0)),"CUIT NO CARGADO")</f>
        <v>Gastos Comercializacion</v>
      </c>
      <c r="R37" s="247">
        <f>IFERROR(IF(compras_mes6[[#This Row],[CUIT]]="","-",VLOOKUP(compras_mes6[[#This Row],[CUIT]],Lista_CUIT[#All],4,0)),"CUIT NO CARGADO")</f>
        <v>0</v>
      </c>
    </row>
    <row r="38" spans="2:18">
      <c r="B38" s="239">
        <v>45473</v>
      </c>
      <c r="C38" s="240">
        <v>1</v>
      </c>
      <c r="D38" s="241">
        <v>6</v>
      </c>
      <c r="E38" s="257">
        <v>16814174</v>
      </c>
      <c r="F38" s="242">
        <v>30620177497</v>
      </c>
      <c r="G38" s="243" t="str">
        <f>IFERROR(IF(compras_mes6[[#This Row],[CUIT]]="","-",VLOOKUP(compras_mes6[[#This Row],[CUIT]],Lista_CUIT[#All],2,0)),"CUIT NO CARGADO")</f>
        <v>POSNET SRL</v>
      </c>
      <c r="H38" s="244">
        <v>0</v>
      </c>
      <c r="I38" s="245">
        <f>IF(compras_mes6[[#This Row],[NETO GRAVADO]]="","",compras_mes6[[#This Row],[NETO GRAVADO]]*0.21)</f>
        <v>0</v>
      </c>
      <c r="J38" s="245"/>
      <c r="K38" s="245"/>
      <c r="L38" s="245"/>
      <c r="M38" s="245"/>
      <c r="N38" s="245"/>
      <c r="O38" s="245"/>
      <c r="P38" s="246">
        <f>SUM(compras_mes6[[#This Row],[NETO GRAVADO]:[Otros / No Grav.]])</f>
        <v>0</v>
      </c>
      <c r="Q38" s="247" t="str">
        <f>IFERROR(IF(compras_mes6[[#This Row],[CUIT]]="","-",VLOOKUP(compras_mes6[[#This Row],[CUIT]],Lista_CUIT[#All],3,0)),"CUIT NO CARGADO")</f>
        <v>Gastos Comercializacion</v>
      </c>
      <c r="R38" s="247">
        <f>IFERROR(IF(compras_mes6[[#This Row],[CUIT]]="","-",VLOOKUP(compras_mes6[[#This Row],[CUIT]],Lista_CUIT[#All],4,0)),"CUIT NO CARGADO")</f>
        <v>0</v>
      </c>
    </row>
    <row r="39" spans="2:18">
      <c r="B39" s="239">
        <v>45473</v>
      </c>
      <c r="C39" s="240">
        <v>1</v>
      </c>
      <c r="D39" s="241">
        <v>11</v>
      </c>
      <c r="E39" s="257">
        <v>998623</v>
      </c>
      <c r="F39" s="242">
        <v>33709585229</v>
      </c>
      <c r="G39" s="243" t="str">
        <f>IFERROR(IF(compras_mes6[[#This Row],[CUIT]]="","-",VLOOKUP(compras_mes6[[#This Row],[CUIT]],Lista_CUIT[#All],2,0)),"CUIT NO CARGADO")</f>
        <v>GOOGLE ARGENTINA S.R.L.</v>
      </c>
      <c r="H39" s="244">
        <v>110657.44</v>
      </c>
      <c r="I39" s="245">
        <f>IF(compras_mes6[[#This Row],[NETO GRAVADO]]="","",compras_mes6[[#This Row],[NETO GRAVADO]]*0.21)</f>
        <v>23238.062399999999</v>
      </c>
      <c r="J39" s="245"/>
      <c r="K39" s="245"/>
      <c r="L39" s="245"/>
      <c r="M39" s="245"/>
      <c r="N39" s="245">
        <v>22665.41</v>
      </c>
      <c r="O39" s="245">
        <v>3319.72</v>
      </c>
      <c r="P39" s="494">
        <f>SUM(compras_mes6[[#This Row],[NETO GRAVADO]:[Otros / No Grav.]])</f>
        <v>159880.6324</v>
      </c>
      <c r="Q39" s="247" t="str">
        <f>IFERROR(IF(compras_mes6[[#This Row],[CUIT]]="","-",VLOOKUP(compras_mes6[[#This Row],[CUIT]],Lista_CUIT[#All],3,0)),"CUIT NO CARGADO")</f>
        <v>Gastos Comercializacion</v>
      </c>
      <c r="R39" s="247">
        <f>IFERROR(IF(compras_mes6[[#This Row],[CUIT]]="","-",VLOOKUP(compras_mes6[[#This Row],[CUIT]],Lista_CUIT[#All],4,0)),"CUIT NO CARGADO")</f>
        <v>0</v>
      </c>
    </row>
    <row r="40" spans="2:18">
      <c r="B40" s="239">
        <v>45473</v>
      </c>
      <c r="C40" s="240">
        <v>3</v>
      </c>
      <c r="D40" s="241">
        <v>11</v>
      </c>
      <c r="E40" s="257">
        <v>729362</v>
      </c>
      <c r="F40" s="242">
        <v>33709585229</v>
      </c>
      <c r="G40" s="243" t="str">
        <f>IFERROR(IF(compras_mes6[[#This Row],[CUIT]]="","-",VLOOKUP(compras_mes6[[#This Row],[CUIT]],Lista_CUIT[#All],2,0)),"CUIT NO CARGADO")</f>
        <v>GOOGLE ARGENTINA S.R.L.</v>
      </c>
      <c r="H40" s="244">
        <v>-40.26</v>
      </c>
      <c r="I40" s="245">
        <f>IF(compras_mes6[[#This Row],[NETO GRAVADO]]="","",compras_mes6[[#This Row],[NETO GRAVADO]]*0.21)</f>
        <v>-8.4545999999999992</v>
      </c>
      <c r="J40" s="245"/>
      <c r="K40" s="245"/>
      <c r="L40" s="245"/>
      <c r="M40" s="245"/>
      <c r="N40" s="245">
        <v>-2.91</v>
      </c>
      <c r="O40" s="245"/>
      <c r="P40" s="494">
        <f>SUM(compras_mes6[[#This Row],[NETO GRAVADO]:[Otros / No Grav.]])</f>
        <v>-51.624600000000001</v>
      </c>
      <c r="Q40" s="247" t="str">
        <f>IFERROR(IF(compras_mes6[[#This Row],[CUIT]]="","-",VLOOKUP(compras_mes6[[#This Row],[CUIT]],Lista_CUIT[#All],3,0)),"CUIT NO CARGADO")</f>
        <v>Gastos Comercializacion</v>
      </c>
      <c r="R40" s="247">
        <f>IFERROR(IF(compras_mes6[[#This Row],[CUIT]]="","-",VLOOKUP(compras_mes6[[#This Row],[CUIT]],Lista_CUIT[#All],4,0)),"CUIT NO CARGADO")</f>
        <v>0</v>
      </c>
    </row>
    <row r="41" spans="2:18">
      <c r="B41" s="239">
        <v>45444</v>
      </c>
      <c r="C41" s="240">
        <v>1</v>
      </c>
      <c r="D41" s="241">
        <v>14</v>
      </c>
      <c r="E41" s="257">
        <v>12652</v>
      </c>
      <c r="F41" s="242">
        <v>30715186256</v>
      </c>
      <c r="G41" s="243" t="str">
        <f>IFERROR(IF(compras_mes6[[#This Row],[CUIT]]="","-",VLOOKUP(compras_mes6[[#This Row],[CUIT]],Lista_CUIT[#All],2,0)),"CUIT NO CARGADO")</f>
        <v>FRIGORIFICO ALIMENTIC</v>
      </c>
      <c r="H41" s="244">
        <v>50093.5</v>
      </c>
      <c r="I41" s="495">
        <f>9136.94*0.21</f>
        <v>1918.7574</v>
      </c>
      <c r="J41" s="245"/>
      <c r="K41" s="245">
        <f>40956.56*0.105</f>
        <v>4300.4387999999999</v>
      </c>
      <c r="L41" s="245"/>
      <c r="M41" s="245"/>
      <c r="N41" s="245"/>
      <c r="O41" s="245"/>
      <c r="P41" s="494">
        <f>SUM(compras_mes6[[#This Row],[NETO GRAVADO]:[Otros / No Grav.]])</f>
        <v>56312.696200000006</v>
      </c>
      <c r="Q41" s="247" t="str">
        <f>IFERROR(IF(compras_mes6[[#This Row],[CUIT]]="","-",VLOOKUP(compras_mes6[[#This Row],[CUIT]],Lista_CUIT[#All],3,0)),"CUIT NO CARGADO")</f>
        <v>Gastos Comercializacion - Feria</v>
      </c>
      <c r="R41" s="247">
        <f>IFERROR(IF(compras_mes6[[#This Row],[CUIT]]="","-",VLOOKUP(compras_mes6[[#This Row],[CUIT]],Lista_CUIT[#All],4,0)),"CUIT NO CARGADO")</f>
        <v>0</v>
      </c>
    </row>
    <row r="42" spans="2:18">
      <c r="B42" s="239">
        <v>45444</v>
      </c>
      <c r="C42" s="240">
        <v>1</v>
      </c>
      <c r="D42" s="241">
        <v>1</v>
      </c>
      <c r="E42" s="257">
        <v>734</v>
      </c>
      <c r="F42" s="242">
        <v>30715889486</v>
      </c>
      <c r="G42" s="243" t="str">
        <f>IFERROR(IF(compras_mes6[[#This Row],[CUIT]]="","-",VLOOKUP(compras_mes6[[#This Row],[CUIT]],Lista_CUIT[#All],2,0)),"CUIT NO CARGADO")</f>
        <v>EXPOESTETICA</v>
      </c>
      <c r="H42" s="244">
        <v>396000</v>
      </c>
      <c r="I42" s="245">
        <f>IF(compras_mes6[[#This Row],[NETO GRAVADO]]="","",compras_mes6[[#This Row],[NETO GRAVADO]]*0.21)</f>
        <v>83160</v>
      </c>
      <c r="J42" s="245"/>
      <c r="K42" s="245"/>
      <c r="L42" s="245"/>
      <c r="M42" s="245"/>
      <c r="N42" s="245"/>
      <c r="O42" s="245"/>
      <c r="P42" s="246">
        <f>SUM(compras_mes6[[#This Row],[NETO GRAVADO]:[Otros / No Grav.]])</f>
        <v>479160</v>
      </c>
      <c r="Q42" s="247" t="str">
        <f>IFERROR(IF(compras_mes6[[#This Row],[CUIT]]="","-",VLOOKUP(compras_mes6[[#This Row],[CUIT]],Lista_CUIT[#All],3,0)),"CUIT NO CARGADO")</f>
        <v>Gastos Comercializacion - Feria</v>
      </c>
      <c r="R42" s="247" t="str">
        <f>IFERROR(IF(compras_mes6[[#This Row],[CUIT]]="","-",VLOOKUP(compras_mes6[[#This Row],[CUIT]],Lista_CUIT[#All],4,0)),"CUIT NO CARGADO")</f>
        <v>BUENOS AIRES</v>
      </c>
    </row>
    <row r="43" spans="2:18">
      <c r="B43" s="239">
        <v>45450</v>
      </c>
      <c r="C43" s="240">
        <v>1</v>
      </c>
      <c r="D43" s="241">
        <v>14</v>
      </c>
      <c r="E43" s="257">
        <v>12730</v>
      </c>
      <c r="F43" s="242">
        <v>30715186256</v>
      </c>
      <c r="G43" s="243" t="str">
        <f>IFERROR(IF(compras_mes6[[#This Row],[CUIT]]="","-",VLOOKUP(compras_mes6[[#This Row],[CUIT]],Lista_CUIT[#All],2,0)),"CUIT NO CARGADO")</f>
        <v>FRIGORIFICO ALIMENTIC</v>
      </c>
      <c r="H43" s="244">
        <v>51745.760000000002</v>
      </c>
      <c r="I43" s="495">
        <f>7026.76*0.21</f>
        <v>1475.6196</v>
      </c>
      <c r="J43" s="245"/>
      <c r="K43" s="245">
        <f>44719*0.105</f>
        <v>4695.4949999999999</v>
      </c>
      <c r="L43" s="245"/>
      <c r="M43" s="245"/>
      <c r="N43" s="245"/>
      <c r="O43" s="245"/>
      <c r="P43" s="494">
        <f>SUM(compras_mes6[[#This Row],[NETO GRAVADO]:[Otros / No Grav.]])</f>
        <v>57916.874600000003</v>
      </c>
      <c r="Q43" s="247" t="str">
        <f>IFERROR(IF(compras_mes6[[#This Row],[CUIT]]="","-",VLOOKUP(compras_mes6[[#This Row],[CUIT]],Lista_CUIT[#All],3,0)),"CUIT NO CARGADO")</f>
        <v>Gastos Comercializacion - Feria</v>
      </c>
      <c r="R43" s="247">
        <f>IFERROR(IF(compras_mes6[[#This Row],[CUIT]]="","-",VLOOKUP(compras_mes6[[#This Row],[CUIT]],Lista_CUIT[#All],4,0)),"CUIT NO CARGADO")</f>
        <v>0</v>
      </c>
    </row>
    <row r="44" spans="2:18">
      <c r="B44" s="239">
        <v>45454</v>
      </c>
      <c r="C44" s="240">
        <v>1</v>
      </c>
      <c r="D44" s="241">
        <v>14</v>
      </c>
      <c r="E44" s="257">
        <v>12779</v>
      </c>
      <c r="F44" s="242">
        <v>30715186256</v>
      </c>
      <c r="G44" s="243" t="str">
        <f>IFERROR(IF(compras_mes6[[#This Row],[CUIT]]="","-",VLOOKUP(compras_mes6[[#This Row],[CUIT]],Lista_CUIT[#All],2,0)),"CUIT NO CARGADO")</f>
        <v>FRIGORIFICO ALIMENTIC</v>
      </c>
      <c r="H44" s="244">
        <v>49170.26</v>
      </c>
      <c r="I44" s="245">
        <f>3636.36*0.21</f>
        <v>763.63559999999995</v>
      </c>
      <c r="J44" s="245"/>
      <c r="K44" s="245">
        <f>45533.9*0.105</f>
        <v>4781.0595000000003</v>
      </c>
      <c r="L44" s="245"/>
      <c r="M44" s="245"/>
      <c r="N44" s="245"/>
      <c r="O44" s="245"/>
      <c r="P44" s="494">
        <f>SUM(compras_mes6[[#This Row],[NETO GRAVADO]:[Otros / No Grav.]])</f>
        <v>54714.955100000006</v>
      </c>
      <c r="Q44" s="247" t="str">
        <f>IFERROR(IF(compras_mes6[[#This Row],[CUIT]]="","-",VLOOKUP(compras_mes6[[#This Row],[CUIT]],Lista_CUIT[#All],3,0)),"CUIT NO CARGADO")</f>
        <v>Gastos Comercializacion - Feria</v>
      </c>
      <c r="R44" s="247">
        <f>IFERROR(IF(compras_mes6[[#This Row],[CUIT]]="","-",VLOOKUP(compras_mes6[[#This Row],[CUIT]],Lista_CUIT[#All],4,0)),"CUIT NO CARGADO")</f>
        <v>0</v>
      </c>
    </row>
    <row r="45" spans="2:18">
      <c r="B45" s="239">
        <v>45458</v>
      </c>
      <c r="C45" s="240">
        <v>1</v>
      </c>
      <c r="D45" s="241">
        <v>14</v>
      </c>
      <c r="E45" s="257">
        <v>12847</v>
      </c>
      <c r="F45" s="242">
        <v>30715186256</v>
      </c>
      <c r="G45" s="243" t="str">
        <f>IFERROR(IF(compras_mes6[[#This Row],[CUIT]]="","-",VLOOKUP(compras_mes6[[#This Row],[CUIT]],Lista_CUIT[#All],2,0)),"CUIT NO CARGADO")</f>
        <v>FRIGORIFICO ALIMENTIC</v>
      </c>
      <c r="H45" s="244">
        <v>66287.509999999995</v>
      </c>
      <c r="I45" s="495">
        <f>9946.36*0.21</f>
        <v>2088.7356</v>
      </c>
      <c r="J45" s="245"/>
      <c r="K45" s="245">
        <f>56341.15*0.105</f>
        <v>5915.8207499999999</v>
      </c>
      <c r="L45" s="245"/>
      <c r="M45" s="245"/>
      <c r="N45" s="245"/>
      <c r="O45" s="245"/>
      <c r="P45" s="494">
        <f>SUM(compras_mes6[[#This Row],[NETO GRAVADO]:[Otros / No Grav.]])</f>
        <v>74292.066349999994</v>
      </c>
      <c r="Q45" s="247" t="str">
        <f>IFERROR(IF(compras_mes6[[#This Row],[CUIT]]="","-",VLOOKUP(compras_mes6[[#This Row],[CUIT]],Lista_CUIT[#All],3,0)),"CUIT NO CARGADO")</f>
        <v>Gastos Comercializacion - Feria</v>
      </c>
      <c r="R45" s="247">
        <f>IFERROR(IF(compras_mes6[[#This Row],[CUIT]]="","-",VLOOKUP(compras_mes6[[#This Row],[CUIT]],Lista_CUIT[#All],4,0)),"CUIT NO CARGADO")</f>
        <v>0</v>
      </c>
    </row>
    <row r="46" spans="2:18">
      <c r="B46" s="239">
        <v>45450</v>
      </c>
      <c r="C46" s="240">
        <v>1</v>
      </c>
      <c r="D46" s="241">
        <v>10</v>
      </c>
      <c r="E46" s="257">
        <v>22441</v>
      </c>
      <c r="F46" s="242">
        <v>20357275882</v>
      </c>
      <c r="G46" s="243" t="str">
        <f>IFERROR(IF(compras_mes6[[#This Row],[CUIT]]="","-",VLOOKUP(compras_mes6[[#This Row],[CUIT]],Lista_CUIT[#All],2,0)),"CUIT NO CARGADO")</f>
        <v>ANTEDORO JEREMIAS FABIAN</v>
      </c>
      <c r="H46" s="244">
        <v>2447.9299999999998</v>
      </c>
      <c r="I46" s="245">
        <f>IF(compras_mes6[[#This Row],[NETO GRAVADO]]="","",compras_mes6[[#This Row],[NETO GRAVADO]]*0.21)</f>
        <v>514.06529999999998</v>
      </c>
      <c r="J46" s="245"/>
      <c r="K46" s="245"/>
      <c r="L46" s="245"/>
      <c r="M46" s="245"/>
      <c r="N46" s="245"/>
      <c r="O46" s="245"/>
      <c r="P46" s="246">
        <f>SUM(compras_mes6[[#This Row],[NETO GRAVADO]:[Otros / No Grav.]])</f>
        <v>2961.9952999999996</v>
      </c>
      <c r="Q46" s="247" t="str">
        <f>IFERROR(IF(compras_mes6[[#This Row],[CUIT]]="","-",VLOOKUP(compras_mes6[[#This Row],[CUIT]],Lista_CUIT[#All],3,0)),"CUIT NO CARGADO")</f>
        <v>Gastos Limpieza</v>
      </c>
      <c r="R46" s="247">
        <f>IFERROR(IF(compras_mes6[[#This Row],[CUIT]]="","-",VLOOKUP(compras_mes6[[#This Row],[CUIT]],Lista_CUIT[#All],4,0)),"CUIT NO CARGADO")</f>
        <v>0</v>
      </c>
    </row>
    <row r="47" spans="2:18">
      <c r="B47" s="239">
        <v>45450</v>
      </c>
      <c r="C47" s="240">
        <v>1</v>
      </c>
      <c r="D47" s="241">
        <v>7</v>
      </c>
      <c r="E47" s="257">
        <v>15617</v>
      </c>
      <c r="F47" s="242">
        <v>30715124919</v>
      </c>
      <c r="G47" s="243" t="str">
        <f>IFERROR(IF(compras_mes6[[#This Row],[CUIT]]="","-",VLOOKUP(compras_mes6[[#This Row],[CUIT]],Lista_CUIT[#All],2,0)),"CUIT NO CARGADO")</f>
        <v>CLEAN LAB SRL</v>
      </c>
      <c r="H47" s="244">
        <v>126183.8</v>
      </c>
      <c r="I47" s="245">
        <f>IF(compras_mes6[[#This Row],[NETO GRAVADO]]="","",compras_mes6[[#This Row],[NETO GRAVADO]]*0.21)</f>
        <v>26498.597999999998</v>
      </c>
      <c r="J47" s="245"/>
      <c r="K47" s="245"/>
      <c r="L47" s="245"/>
      <c r="M47" s="245"/>
      <c r="N47" s="245"/>
      <c r="O47" s="245"/>
      <c r="P47" s="246">
        <f>SUM(compras_mes6[[#This Row],[NETO GRAVADO]:[Otros / No Grav.]])</f>
        <v>152682.39799999999</v>
      </c>
      <c r="Q47" s="247" t="str">
        <f>IFERROR(IF(compras_mes6[[#This Row],[CUIT]]="","-",VLOOKUP(compras_mes6[[#This Row],[CUIT]],Lista_CUIT[#All],3,0)),"CUIT NO CARGADO")</f>
        <v>Gastos Limpieza</v>
      </c>
      <c r="R47" s="247">
        <f>IFERROR(IF(compras_mes6[[#This Row],[CUIT]]="","-",VLOOKUP(compras_mes6[[#This Row],[CUIT]],Lista_CUIT[#All],4,0)),"CUIT NO CARGADO")</f>
        <v>0</v>
      </c>
    </row>
    <row r="48" spans="2:18">
      <c r="B48" s="239">
        <v>45450</v>
      </c>
      <c r="C48" s="240">
        <v>1</v>
      </c>
      <c r="D48" s="241">
        <v>4</v>
      </c>
      <c r="E48" s="257">
        <v>2291</v>
      </c>
      <c r="F48" s="242">
        <v>20341501009</v>
      </c>
      <c r="G48" s="243" t="str">
        <f>IFERROR(IF(compras_mes6[[#This Row],[CUIT]]="","-",VLOOKUP(compras_mes6[[#This Row],[CUIT]],Lista_CUIT[#All],2,0)),"CUIT NO CARGADO")</f>
        <v>SEGOBIA MARTIN DAMIAN</v>
      </c>
      <c r="H48" s="244">
        <v>39933.879999999997</v>
      </c>
      <c r="I48" s="245">
        <f>IF(compras_mes6[[#This Row],[NETO GRAVADO]]="","",compras_mes6[[#This Row],[NETO GRAVADO]]*0.21)</f>
        <v>8386.1147999999994</v>
      </c>
      <c r="J48" s="245"/>
      <c r="K48" s="245"/>
      <c r="L48" s="245"/>
      <c r="M48" s="245"/>
      <c r="N48" s="245"/>
      <c r="O48" s="245"/>
      <c r="P48" s="246">
        <f>SUM(compras_mes6[[#This Row],[NETO GRAVADO]:[Otros / No Grav.]])</f>
        <v>48319.9948</v>
      </c>
      <c r="Q48" s="247" t="str">
        <f>IFERROR(IF(compras_mes6[[#This Row],[CUIT]]="","-",VLOOKUP(compras_mes6[[#This Row],[CUIT]],Lista_CUIT[#All],3,0)),"CUIT NO CARGADO")</f>
        <v>Gastos Limpieza</v>
      </c>
      <c r="R48" s="247">
        <f>IFERROR(IF(compras_mes6[[#This Row],[CUIT]]="","-",VLOOKUP(compras_mes6[[#This Row],[CUIT]],Lista_CUIT[#All],4,0)),"CUIT NO CARGADO")</f>
        <v>0</v>
      </c>
    </row>
    <row r="49" spans="2:18">
      <c r="B49" s="239">
        <v>45453</v>
      </c>
      <c r="C49" s="240">
        <v>1</v>
      </c>
      <c r="D49" s="241">
        <v>6</v>
      </c>
      <c r="E49" s="257">
        <v>6189</v>
      </c>
      <c r="F49" s="242">
        <v>23045562379</v>
      </c>
      <c r="G49" s="243" t="str">
        <f>IFERROR(IF(compras_mes6[[#This Row],[CUIT]]="","-",VLOOKUP(compras_mes6[[#This Row],[CUIT]],Lista_CUIT[#All],2,0)),"CUIT NO CARGADO")</f>
        <v>REIRIS HECTOR JUAN</v>
      </c>
      <c r="H49" s="244">
        <v>11603.31</v>
      </c>
      <c r="I49" s="245">
        <f>IF(compras_mes6[[#This Row],[NETO GRAVADO]]="","",compras_mes6[[#This Row],[NETO GRAVADO]]*0.21)</f>
        <v>2436.6950999999999</v>
      </c>
      <c r="J49" s="245"/>
      <c r="K49" s="245"/>
      <c r="L49" s="245"/>
      <c r="M49" s="245"/>
      <c r="N49" s="245"/>
      <c r="O49" s="245"/>
      <c r="P49" s="246">
        <f>SUM(compras_mes6[[#This Row],[NETO GRAVADO]:[Otros / No Grav.]])</f>
        <v>14040.005099999998</v>
      </c>
      <c r="Q49" s="247" t="str">
        <f>IFERROR(IF(compras_mes6[[#This Row],[CUIT]]="","-",VLOOKUP(compras_mes6[[#This Row],[CUIT]],Lista_CUIT[#All],3,0)),"CUIT NO CARGADO")</f>
        <v>Gastos Limpieza</v>
      </c>
      <c r="R49" s="247">
        <f>IFERROR(IF(compras_mes6[[#This Row],[CUIT]]="","-",VLOOKUP(compras_mes6[[#This Row],[CUIT]],Lista_CUIT[#All],4,0)),"CUIT NO CARGADO")</f>
        <v>0</v>
      </c>
    </row>
    <row r="50" spans="2:18">
      <c r="B50" s="239">
        <v>45458</v>
      </c>
      <c r="C50" s="240">
        <v>1</v>
      </c>
      <c r="D50" s="241">
        <v>113</v>
      </c>
      <c r="E50" s="257">
        <v>3647899</v>
      </c>
      <c r="F50" s="242">
        <v>30577207190</v>
      </c>
      <c r="G50" s="243" t="str">
        <f>IFERROR(IF(compras_mes6[[#This Row],[CUIT]]="","-",VLOOKUP(compras_mes6[[#This Row],[CUIT]],Lista_CUIT[#All],2,0)),"CUIT NO CARGADO")</f>
        <v>COORDINACION ECOLOGICA AREA METROPOLITANA SOCIEDAD DEL ESTADO</v>
      </c>
      <c r="H50" s="244">
        <v>4142.1499999999996</v>
      </c>
      <c r="I50" s="245">
        <f>IF(compras_mes6[[#This Row],[NETO GRAVADO]]="","",compras_mes6[[#This Row],[NETO GRAVADO]]*0.21)</f>
        <v>869.85149999999987</v>
      </c>
      <c r="J50" s="245"/>
      <c r="K50" s="245"/>
      <c r="L50" s="245">
        <v>124.27</v>
      </c>
      <c r="M50" s="245"/>
      <c r="N50" s="245"/>
      <c r="O50" s="245"/>
      <c r="P50" s="494">
        <f>SUM(compras_mes6[[#This Row],[NETO GRAVADO]:[Otros / No Grav.]])</f>
        <v>5136.2714999999998</v>
      </c>
      <c r="Q50" s="247" t="str">
        <f>IFERROR(IF(compras_mes6[[#This Row],[CUIT]]="","-",VLOOKUP(compras_mes6[[#This Row],[CUIT]],Lista_CUIT[#All],3,0)),"CUIT NO CARGADO")</f>
        <v>Gastos Limpieza</v>
      </c>
      <c r="R50" s="247">
        <f>IFERROR(IF(compras_mes6[[#This Row],[CUIT]]="","-",VLOOKUP(compras_mes6[[#This Row],[CUIT]],Lista_CUIT[#All],4,0)),"CUIT NO CARGADO")</f>
        <v>0</v>
      </c>
    </row>
    <row r="51" spans="2:18">
      <c r="B51" s="239">
        <v>45473</v>
      </c>
      <c r="C51" s="240">
        <v>1</v>
      </c>
      <c r="D51" s="241">
        <v>113</v>
      </c>
      <c r="E51" s="257">
        <v>3674196</v>
      </c>
      <c r="F51" s="242">
        <v>30577207190</v>
      </c>
      <c r="G51" s="243" t="str">
        <f>IFERROR(IF(compras_mes6[[#This Row],[CUIT]]="","-",VLOOKUP(compras_mes6[[#This Row],[CUIT]],Lista_CUIT[#All],2,0)),"CUIT NO CARGADO")</f>
        <v>COORDINACION ECOLOGICA AREA METROPOLITANA SOCIEDAD DEL ESTADO</v>
      </c>
      <c r="H51" s="244">
        <v>10753.72</v>
      </c>
      <c r="I51" s="245">
        <f>IF(compras_mes6[[#This Row],[NETO GRAVADO]]="","",compras_mes6[[#This Row],[NETO GRAVADO]]*0.21)</f>
        <v>2258.2811999999999</v>
      </c>
      <c r="J51" s="245"/>
      <c r="K51" s="245"/>
      <c r="L51" s="245">
        <v>322.61</v>
      </c>
      <c r="M51" s="245"/>
      <c r="N51" s="245"/>
      <c r="O51" s="245"/>
      <c r="P51" s="494">
        <f>SUM(compras_mes6[[#This Row],[NETO GRAVADO]:[Otros / No Grav.]])</f>
        <v>13334.611199999999</v>
      </c>
      <c r="Q51" s="247" t="str">
        <f>IFERROR(IF(compras_mes6[[#This Row],[CUIT]]="","-",VLOOKUP(compras_mes6[[#This Row],[CUIT]],Lista_CUIT[#All],3,0)),"CUIT NO CARGADO")</f>
        <v>Gastos Limpieza</v>
      </c>
      <c r="R51" s="247">
        <f>IFERROR(IF(compras_mes6[[#This Row],[CUIT]]="","-",VLOOKUP(compras_mes6[[#This Row],[CUIT]],Lista_CUIT[#All],4,0)),"CUIT NO CARGADO")</f>
        <v>0</v>
      </c>
    </row>
    <row r="52" spans="2:18">
      <c r="B52" s="239">
        <v>45446</v>
      </c>
      <c r="C52" s="240">
        <v>1</v>
      </c>
      <c r="D52" s="241">
        <v>5</v>
      </c>
      <c r="E52" s="257">
        <v>7499</v>
      </c>
      <c r="F52" s="242">
        <v>30717970787</v>
      </c>
      <c r="G52" s="243" t="str">
        <f>IFERROR(IF(compras_mes6[[#This Row],[CUIT]]="","-",VLOOKUP(compras_mes6[[#This Row],[CUIT]],Lista_CUIT[#All],2,0)),"CUIT NO CARGADO")</f>
        <v>CIUDAD DE JUEGOS S. R. L.</v>
      </c>
      <c r="H52" s="244">
        <v>40081.81</v>
      </c>
      <c r="I52" s="245">
        <f>IF(compras_mes6[[#This Row],[NETO GRAVADO]]="","",compras_mes6[[#This Row],[NETO GRAVADO]]*0.21)</f>
        <v>8417.1800999999996</v>
      </c>
      <c r="J52" s="245"/>
      <c r="K52" s="245"/>
      <c r="L52" s="245"/>
      <c r="M52" s="245"/>
      <c r="N52" s="245"/>
      <c r="O52" s="245"/>
      <c r="P52" s="246">
        <f>SUM(compras_mes6[[#This Row],[NETO GRAVADO]:[Otros / No Grav.]])</f>
        <v>48498.990099999995</v>
      </c>
      <c r="Q52" s="247" t="str">
        <f>IFERROR(IF(compras_mes6[[#This Row],[CUIT]]="","-",VLOOKUP(compras_mes6[[#This Row],[CUIT]],Lista_CUIT[#All],3,0)),"CUIT NO CARGADO")</f>
        <v>Gastos Oficina</v>
      </c>
      <c r="R52" s="247">
        <f>IFERROR(IF(compras_mes6[[#This Row],[CUIT]]="","-",VLOOKUP(compras_mes6[[#This Row],[CUIT]],Lista_CUIT[#All],4,0)),"CUIT NO CARGADO")</f>
        <v>0</v>
      </c>
    </row>
    <row r="53" spans="2:18">
      <c r="B53" s="239">
        <v>45449</v>
      </c>
      <c r="C53" s="240">
        <v>1</v>
      </c>
      <c r="D53" s="241">
        <v>12</v>
      </c>
      <c r="E53" s="257">
        <v>46145</v>
      </c>
      <c r="F53" s="242">
        <v>30604942051</v>
      </c>
      <c r="G53" s="243" t="str">
        <f>IFERROR(IF(compras_mes6[[#This Row],[CUIT]]="","-",VLOOKUP(compras_mes6[[#This Row],[CUIT]],Lista_CUIT[#All],2,0)),"CUIT NO CARGADO")</f>
        <v>IMPORTADORA FOTOGRAFICA SOCIEDAD ANONIMA</v>
      </c>
      <c r="H53" s="244">
        <v>22950.78</v>
      </c>
      <c r="I53" s="245">
        <f>IF(compras_mes6[[#This Row],[NETO GRAVADO]]="","",compras_mes6[[#This Row],[NETO GRAVADO]]*0.21)</f>
        <v>4819.6637999999994</v>
      </c>
      <c r="J53" s="245"/>
      <c r="K53" s="245"/>
      <c r="L53" s="245"/>
      <c r="M53" s="245"/>
      <c r="N53" s="245"/>
      <c r="O53" s="245"/>
      <c r="P53" s="246">
        <f>SUM(compras_mes6[[#This Row],[NETO GRAVADO]:[Otros / No Grav.]])</f>
        <v>27770.443799999997</v>
      </c>
      <c r="Q53" s="247" t="str">
        <f>IFERROR(IF(compras_mes6[[#This Row],[CUIT]]="","-",VLOOKUP(compras_mes6[[#This Row],[CUIT]],Lista_CUIT[#All],3,0)),"CUIT NO CARGADO")</f>
        <v>Gastos Oficina</v>
      </c>
      <c r="R53" s="247">
        <f>IFERROR(IF(compras_mes6[[#This Row],[CUIT]]="","-",VLOOKUP(compras_mes6[[#This Row],[CUIT]],Lista_CUIT[#All],4,0)),"CUIT NO CARGADO")</f>
        <v>0</v>
      </c>
    </row>
    <row r="54" spans="2:18">
      <c r="B54" s="239">
        <v>45444</v>
      </c>
      <c r="C54" s="240">
        <v>1</v>
      </c>
      <c r="D54" s="241">
        <v>1</v>
      </c>
      <c r="E54" s="257">
        <v>269</v>
      </c>
      <c r="F54" s="242">
        <v>30717944883</v>
      </c>
      <c r="G54" s="243" t="str">
        <f>IFERROR(IF(compras_mes6[[#This Row],[CUIT]]="","-",VLOOKUP(compras_mes6[[#This Row],[CUIT]],Lista_CUIT[#All],2,0)),"CUIT NO CARGADO")</f>
        <v>SALAZAR CORNEJO AROLDO, MOLINA ROBERTO CRISTIAN Y RUSCITTO JUAN MANUEL  S. CAP I SECC IV</v>
      </c>
      <c r="H54" s="244">
        <v>38016.53</v>
      </c>
      <c r="I54" s="245">
        <f>IF(compras_mes6[[#This Row],[NETO GRAVADO]]="","",compras_mes6[[#This Row],[NETO GRAVADO]]*0.21)</f>
        <v>7983.4712999999992</v>
      </c>
      <c r="J54" s="245"/>
      <c r="K54" s="245"/>
      <c r="L54" s="245"/>
      <c r="M54" s="245"/>
      <c r="N54" s="245"/>
      <c r="O54" s="245"/>
      <c r="P54" s="246">
        <f>SUM(compras_mes6[[#This Row],[NETO GRAVADO]:[Otros / No Grav.]])</f>
        <v>46000.001299999996</v>
      </c>
      <c r="Q54" s="247" t="str">
        <f>IFERROR(IF(compras_mes6[[#This Row],[CUIT]]="","-",VLOOKUP(compras_mes6[[#This Row],[CUIT]],Lista_CUIT[#All],3,0)),"CUIT NO CARGADO")</f>
        <v>Gastos Varios</v>
      </c>
      <c r="R54" s="247">
        <f>IFERROR(IF(compras_mes6[[#This Row],[CUIT]]="","-",VLOOKUP(compras_mes6[[#This Row],[CUIT]],Lista_CUIT[#All],4,0)),"CUIT NO CARGADO")</f>
        <v>0</v>
      </c>
    </row>
    <row r="55" spans="2:18">
      <c r="B55" s="239">
        <v>45445</v>
      </c>
      <c r="C55" s="240">
        <v>1</v>
      </c>
      <c r="D55" s="241">
        <v>2199</v>
      </c>
      <c r="E55" s="257">
        <v>29612</v>
      </c>
      <c r="F55" s="242">
        <v>30548083156</v>
      </c>
      <c r="G55" s="243" t="str">
        <f>IFERROR(IF(compras_mes6[[#This Row],[CUIT]]="","-",VLOOKUP(compras_mes6[[#This Row],[CUIT]],Lista_CUIT[#All],2,0)),"CUIT NO CARGADO")</f>
        <v>COTO CENTRO INTEGRAL DE COMERCIALIZACION SOCIEDAD ANONIMA</v>
      </c>
      <c r="H55" s="244">
        <v>68227.77</v>
      </c>
      <c r="I55" s="495">
        <f>57531.47*0.21</f>
        <v>12081.608700000001</v>
      </c>
      <c r="J55" s="245"/>
      <c r="K55" s="245">
        <f>10696.3*0.105</f>
        <v>1123.1115</v>
      </c>
      <c r="L55" s="245"/>
      <c r="M55" s="245"/>
      <c r="N55" s="245"/>
      <c r="O55" s="245">
        <v>5326.1</v>
      </c>
      <c r="P55" s="494">
        <f>SUM(compras_mes6[[#This Row],[NETO GRAVADO]:[Otros / No Grav.]])</f>
        <v>86758.590200000006</v>
      </c>
      <c r="Q55" s="247" t="str">
        <f>IFERROR(IF(compras_mes6[[#This Row],[CUIT]]="","-",VLOOKUP(compras_mes6[[#This Row],[CUIT]],Lista_CUIT[#All],3,0)),"CUIT NO CARGADO")</f>
        <v>Gastos Varios</v>
      </c>
      <c r="R55" s="247">
        <f>IFERROR(IF(compras_mes6[[#This Row],[CUIT]]="","-",VLOOKUP(compras_mes6[[#This Row],[CUIT]],Lista_CUIT[#All],4,0)),"CUIT NO CARGADO")</f>
        <v>0</v>
      </c>
    </row>
    <row r="56" spans="2:18">
      <c r="B56" s="239">
        <v>45446</v>
      </c>
      <c r="C56" s="240">
        <v>1</v>
      </c>
      <c r="D56" s="241">
        <v>2</v>
      </c>
      <c r="E56" s="257">
        <v>7721</v>
      </c>
      <c r="F56" s="242">
        <v>23180288899</v>
      </c>
      <c r="G56" s="243" t="str">
        <f>IFERROR(IF(compras_mes6[[#This Row],[CUIT]]="","-",VLOOKUP(compras_mes6[[#This Row],[CUIT]],Lista_CUIT[#All],2,0)),"CUIT NO CARGADO")</f>
        <v>ROMERO EMILIO</v>
      </c>
      <c r="H56" s="244">
        <v>1745820</v>
      </c>
      <c r="I56" s="245">
        <f>IF(compras_mes6[[#This Row],[NETO GRAVADO]]="","",compras_mes6[[#This Row],[NETO GRAVADO]]*0.21)</f>
        <v>366622.2</v>
      </c>
      <c r="J56" s="245"/>
      <c r="K56" s="245"/>
      <c r="L56" s="245"/>
      <c r="M56" s="245"/>
      <c r="N56" s="245"/>
      <c r="O56" s="245">
        <v>52374.6</v>
      </c>
      <c r="P56" s="494">
        <f>SUM(compras_mes6[[#This Row],[NETO GRAVADO]:[Otros / No Grav.]])</f>
        <v>2164816.8000000003</v>
      </c>
      <c r="Q56" s="247" t="str">
        <f>IFERROR(IF(compras_mes6[[#This Row],[CUIT]]="","-",VLOOKUP(compras_mes6[[#This Row],[CUIT]],Lista_CUIT[#All],3,0)),"CUIT NO CARGADO")</f>
        <v>Gastos Varios</v>
      </c>
      <c r="R56" s="247">
        <f>IFERROR(IF(compras_mes6[[#This Row],[CUIT]]="","-",VLOOKUP(compras_mes6[[#This Row],[CUIT]],Lista_CUIT[#All],4,0)),"CUIT NO CARGADO")</f>
        <v>0</v>
      </c>
    </row>
    <row r="57" spans="2:18">
      <c r="B57" s="239">
        <v>45446</v>
      </c>
      <c r="C57" s="240">
        <v>1</v>
      </c>
      <c r="D57" s="241">
        <v>2</v>
      </c>
      <c r="E57" s="257">
        <v>7712</v>
      </c>
      <c r="F57" s="242">
        <v>23180288899</v>
      </c>
      <c r="G57" s="243" t="str">
        <f>IFERROR(IF(compras_mes6[[#This Row],[CUIT]]="","-",VLOOKUP(compras_mes6[[#This Row],[CUIT]],Lista_CUIT[#All],2,0)),"CUIT NO CARGADO")</f>
        <v>ROMERO EMILIO</v>
      </c>
      <c r="H57" s="244">
        <v>1900800</v>
      </c>
      <c r="I57" s="245">
        <f>IF(compras_mes6[[#This Row],[NETO GRAVADO]]="","",compras_mes6[[#This Row],[NETO GRAVADO]]*0.21)</f>
        <v>399168</v>
      </c>
      <c r="J57" s="245"/>
      <c r="K57" s="245"/>
      <c r="L57" s="245"/>
      <c r="M57" s="245"/>
      <c r="N57" s="245"/>
      <c r="O57" s="245">
        <v>57024</v>
      </c>
      <c r="P57" s="494">
        <f>SUM(compras_mes6[[#This Row],[NETO GRAVADO]:[Otros / No Grav.]])</f>
        <v>2356992</v>
      </c>
      <c r="Q57" s="247" t="str">
        <f>IFERROR(IF(compras_mes6[[#This Row],[CUIT]]="","-",VLOOKUP(compras_mes6[[#This Row],[CUIT]],Lista_CUIT[#All],3,0)),"CUIT NO CARGADO")</f>
        <v>Gastos Varios</v>
      </c>
      <c r="R57" s="247">
        <f>IFERROR(IF(compras_mes6[[#This Row],[CUIT]]="","-",VLOOKUP(compras_mes6[[#This Row],[CUIT]],Lista_CUIT[#All],4,0)),"CUIT NO CARGADO")</f>
        <v>0</v>
      </c>
    </row>
    <row r="58" spans="2:18">
      <c r="B58" s="239">
        <v>45446</v>
      </c>
      <c r="C58" s="240">
        <v>1</v>
      </c>
      <c r="D58" s="241">
        <v>2</v>
      </c>
      <c r="E58" s="257">
        <v>7711</v>
      </c>
      <c r="F58" s="242">
        <v>23180288899</v>
      </c>
      <c r="G58" s="243" t="str">
        <f>IFERROR(IF(compras_mes6[[#This Row],[CUIT]]="","-",VLOOKUP(compras_mes6[[#This Row],[CUIT]],Lista_CUIT[#All],2,0)),"CUIT NO CARGADO")</f>
        <v>ROMERO EMILIO</v>
      </c>
      <c r="H58" s="244">
        <v>1900800</v>
      </c>
      <c r="I58" s="245">
        <f>IF(compras_mes6[[#This Row],[NETO GRAVADO]]="","",compras_mes6[[#This Row],[NETO GRAVADO]]*0.21)</f>
        <v>399168</v>
      </c>
      <c r="J58" s="245"/>
      <c r="K58" s="245"/>
      <c r="L58" s="245"/>
      <c r="M58" s="245"/>
      <c r="N58" s="245"/>
      <c r="O58" s="245"/>
      <c r="P58" s="246">
        <f>SUM(compras_mes6[[#This Row],[NETO GRAVADO]:[Otros / No Grav.]])</f>
        <v>2299968</v>
      </c>
      <c r="Q58" s="247" t="str">
        <f>IFERROR(IF(compras_mes6[[#This Row],[CUIT]]="","-",VLOOKUP(compras_mes6[[#This Row],[CUIT]],Lista_CUIT[#All],3,0)),"CUIT NO CARGADO")</f>
        <v>Gastos Varios</v>
      </c>
      <c r="R58" s="247">
        <f>IFERROR(IF(compras_mes6[[#This Row],[CUIT]]="","-",VLOOKUP(compras_mes6[[#This Row],[CUIT]],Lista_CUIT[#All],4,0)),"CUIT NO CARGADO")</f>
        <v>0</v>
      </c>
    </row>
    <row r="59" spans="2:18">
      <c r="B59" s="239">
        <v>45446</v>
      </c>
      <c r="C59" s="240">
        <v>3</v>
      </c>
      <c r="D59" s="241">
        <v>2</v>
      </c>
      <c r="E59" s="257">
        <v>120</v>
      </c>
      <c r="F59" s="242">
        <v>23180288899</v>
      </c>
      <c r="G59" s="243" t="str">
        <f>IFERROR(IF(compras_mes6[[#This Row],[CUIT]]="","-",VLOOKUP(compras_mes6[[#This Row],[CUIT]],Lista_CUIT[#All],2,0)),"CUIT NO CARGADO")</f>
        <v>ROMERO EMILIO</v>
      </c>
      <c r="H59" s="244">
        <v>-1900800</v>
      </c>
      <c r="I59" s="245">
        <f>IF(compras_mes6[[#This Row],[NETO GRAVADO]]="","",compras_mes6[[#This Row],[NETO GRAVADO]]*0.21)</f>
        <v>-399168</v>
      </c>
      <c r="J59" s="245"/>
      <c r="K59" s="245"/>
      <c r="L59" s="245"/>
      <c r="M59" s="245"/>
      <c r="N59" s="245"/>
      <c r="O59" s="245">
        <v>-57024</v>
      </c>
      <c r="P59" s="494">
        <f>SUM(compras_mes6[[#This Row],[NETO GRAVADO]:[Otros / No Grav.]])</f>
        <v>-2356992</v>
      </c>
      <c r="Q59" s="247" t="str">
        <f>IFERROR(IF(compras_mes6[[#This Row],[CUIT]]="","-",VLOOKUP(compras_mes6[[#This Row],[CUIT]],Lista_CUIT[#All],3,0)),"CUIT NO CARGADO")</f>
        <v>Gastos Varios</v>
      </c>
      <c r="R59" s="247">
        <f>IFERROR(IF(compras_mes6[[#This Row],[CUIT]]="","-",VLOOKUP(compras_mes6[[#This Row],[CUIT]],Lista_CUIT[#All],4,0)),"CUIT NO CARGADO")</f>
        <v>0</v>
      </c>
    </row>
    <row r="60" spans="2:18">
      <c r="B60" s="239">
        <v>45446</v>
      </c>
      <c r="C60" s="240">
        <v>3</v>
      </c>
      <c r="D60" s="241">
        <v>2</v>
      </c>
      <c r="E60" s="257">
        <v>119</v>
      </c>
      <c r="F60" s="242">
        <v>23180288899</v>
      </c>
      <c r="G60" s="243" t="str">
        <f>IFERROR(IF(compras_mes6[[#This Row],[CUIT]]="","-",VLOOKUP(compras_mes6[[#This Row],[CUIT]],Lista_CUIT[#All],2,0)),"CUIT NO CARGADO")</f>
        <v>ROMERO EMILIO</v>
      </c>
      <c r="H60" s="244">
        <v>-1900800</v>
      </c>
      <c r="I60" s="245">
        <f>IF(compras_mes6[[#This Row],[NETO GRAVADO]]="","",compras_mes6[[#This Row],[NETO GRAVADO]]*0.21)</f>
        <v>-399168</v>
      </c>
      <c r="J60" s="245"/>
      <c r="K60" s="245"/>
      <c r="L60" s="245"/>
      <c r="M60" s="245"/>
      <c r="N60" s="245"/>
      <c r="O60" s="245"/>
      <c r="P60" s="246">
        <f>SUM(compras_mes6[[#This Row],[NETO GRAVADO]:[Otros / No Grav.]])</f>
        <v>-2299968</v>
      </c>
      <c r="Q60" s="247" t="str">
        <f>IFERROR(IF(compras_mes6[[#This Row],[CUIT]]="","-",VLOOKUP(compras_mes6[[#This Row],[CUIT]],Lista_CUIT[#All],3,0)),"CUIT NO CARGADO")</f>
        <v>Gastos Varios</v>
      </c>
      <c r="R60" s="247">
        <f>IFERROR(IF(compras_mes6[[#This Row],[CUIT]]="","-",VLOOKUP(compras_mes6[[#This Row],[CUIT]],Lista_CUIT[#All],4,0)),"CUIT NO CARGADO")</f>
        <v>0</v>
      </c>
    </row>
    <row r="61" spans="2:18">
      <c r="B61" s="239">
        <v>45447</v>
      </c>
      <c r="C61" s="240">
        <v>1</v>
      </c>
      <c r="D61" s="241">
        <v>903</v>
      </c>
      <c r="E61" s="257">
        <v>8151</v>
      </c>
      <c r="F61" s="242">
        <v>30655186693</v>
      </c>
      <c r="G61" s="243" t="str">
        <f>IFERROR(IF(compras_mes6[[#This Row],[CUIT]]="","-",VLOOKUP(compras_mes6[[#This Row],[CUIT]],Lista_CUIT[#All],2,0)),"CUIT NO CARGADO")</f>
        <v>BOSAN SA</v>
      </c>
      <c r="H61" s="244">
        <v>80987.59</v>
      </c>
      <c r="I61" s="245">
        <f>IF(compras_mes6[[#This Row],[NETO GRAVADO]]="","",compras_mes6[[#This Row],[NETO GRAVADO]]*0.21)</f>
        <v>17007.393899999999</v>
      </c>
      <c r="J61" s="245"/>
      <c r="K61" s="245"/>
      <c r="L61" s="245"/>
      <c r="M61" s="245"/>
      <c r="N61" s="245">
        <v>4859.26</v>
      </c>
      <c r="O61" s="245"/>
      <c r="P61" s="494">
        <f>SUM(compras_mes6[[#This Row],[NETO GRAVADO]:[Otros / No Grav.]])</f>
        <v>102854.24389999999</v>
      </c>
      <c r="Q61" s="247" t="str">
        <f>IFERROR(IF(compras_mes6[[#This Row],[CUIT]]="","-",VLOOKUP(compras_mes6[[#This Row],[CUIT]],Lista_CUIT[#All],3,0)),"CUIT NO CARGADO")</f>
        <v>Gastos Varios</v>
      </c>
      <c r="R61" s="247">
        <f>IFERROR(IF(compras_mes6[[#This Row],[CUIT]]="","-",VLOOKUP(compras_mes6[[#This Row],[CUIT]],Lista_CUIT[#All],4,0)),"CUIT NO CARGADO")</f>
        <v>0</v>
      </c>
    </row>
    <row r="62" spans="2:18">
      <c r="B62" s="239">
        <v>45448</v>
      </c>
      <c r="C62" s="240">
        <v>1</v>
      </c>
      <c r="D62" s="241">
        <v>1</v>
      </c>
      <c r="E62" s="257">
        <v>25784</v>
      </c>
      <c r="F62" s="242">
        <v>30715658107</v>
      </c>
      <c r="G62" s="243" t="str">
        <f>IFERROR(IF(compras_mes6[[#This Row],[CUIT]]="","-",VLOOKUP(compras_mes6[[#This Row],[CUIT]],Lista_CUIT[#All],2,0)),"CUIT NO CARGADO")</f>
        <v>ELECTRICIDAD TRIBUNALES SA</v>
      </c>
      <c r="H62" s="244">
        <v>3016.53</v>
      </c>
      <c r="I62" s="245">
        <f>IF(compras_mes6[[#This Row],[NETO GRAVADO]]="","",compras_mes6[[#This Row],[NETO GRAVADO]]*0.21)</f>
        <v>633.47130000000004</v>
      </c>
      <c r="J62" s="245"/>
      <c r="K62" s="245"/>
      <c r="L62" s="245"/>
      <c r="M62" s="245"/>
      <c r="N62" s="245"/>
      <c r="O62" s="245"/>
      <c r="P62" s="246">
        <f>SUM(compras_mes6[[#This Row],[NETO GRAVADO]:[Otros / No Grav.]])</f>
        <v>3650.0013000000004</v>
      </c>
      <c r="Q62" s="247" t="str">
        <f>IFERROR(IF(compras_mes6[[#This Row],[CUIT]]="","-",VLOOKUP(compras_mes6[[#This Row],[CUIT]],Lista_CUIT[#All],3,0)),"CUIT NO CARGADO")</f>
        <v>Gastos Varios</v>
      </c>
      <c r="R62" s="247">
        <f>IFERROR(IF(compras_mes6[[#This Row],[CUIT]]="","-",VLOOKUP(compras_mes6[[#This Row],[CUIT]],Lista_CUIT[#All],4,0)),"CUIT NO CARGADO")</f>
        <v>0</v>
      </c>
    </row>
    <row r="63" spans="2:18">
      <c r="B63" s="497">
        <v>45448</v>
      </c>
      <c r="C63" s="498"/>
      <c r="D63" s="499">
        <v>136</v>
      </c>
      <c r="E63" s="500">
        <v>10958</v>
      </c>
      <c r="F63" s="501">
        <v>30697652694</v>
      </c>
      <c r="G63" s="502" t="str">
        <f>IFERROR(IF(compras_mes6[[#This Row],[CUIT]]="","-",VLOOKUP(compras_mes6[[#This Row],[CUIT]],Lista_CUIT[#All],2,0)),"CUIT NO CARGADO")</f>
        <v>BISTRO S. A.</v>
      </c>
      <c r="H63" s="503">
        <v>95206.57</v>
      </c>
      <c r="I63" s="504">
        <f>IF(compras_mes6[[#This Row],[NETO GRAVADO]]="","",compras_mes6[[#This Row],[NETO GRAVADO]]*0.21)</f>
        <v>19993.379700000001</v>
      </c>
      <c r="J63" s="504"/>
      <c r="K63" s="504"/>
      <c r="L63" s="504">
        <v>5712.4</v>
      </c>
      <c r="M63" s="504"/>
      <c r="N63" s="504"/>
      <c r="O63" s="504">
        <v>5712.4</v>
      </c>
      <c r="P63" s="505">
        <f>SUM(compras_mes6[[#This Row],[NETO GRAVADO]:[Otros / No Grav.]])</f>
        <v>126624.7497</v>
      </c>
      <c r="Q63" s="506" t="str">
        <f>IFERROR(IF(compras_mes6[[#This Row],[CUIT]]="","-",VLOOKUP(compras_mes6[[#This Row],[CUIT]],Lista_CUIT[#All],3,0)),"CUIT NO CARGADO")</f>
        <v>Gastos Varios</v>
      </c>
      <c r="R63" s="506">
        <f>IFERROR(IF(compras_mes6[[#This Row],[CUIT]]="","-",VLOOKUP(compras_mes6[[#This Row],[CUIT]],Lista_CUIT[#All],4,0)),"CUIT NO CARGADO")</f>
        <v>0</v>
      </c>
    </row>
    <row r="64" spans="2:18">
      <c r="B64" s="239">
        <v>45449</v>
      </c>
      <c r="C64" s="240">
        <v>1</v>
      </c>
      <c r="D64" s="241">
        <v>4</v>
      </c>
      <c r="E64" s="257">
        <v>331867</v>
      </c>
      <c r="F64" s="242">
        <v>30715723871</v>
      </c>
      <c r="G64" s="243" t="str">
        <f>IFERROR(IF(compras_mes6[[#This Row],[CUIT]]="","-",VLOOKUP(compras_mes6[[#This Row],[CUIT]],Lista_CUIT[#All],2,0)),"CUIT NO CARGADO")</f>
        <v xml:space="preserve">LIBERTECH SRL </v>
      </c>
      <c r="H64" s="244">
        <v>18842.66</v>
      </c>
      <c r="I64" s="245">
        <f>IF(compras_mes6[[#This Row],[NETO GRAVADO]]="","",compras_mes6[[#This Row],[NETO GRAVADO]]*0.21)</f>
        <v>3956.9585999999999</v>
      </c>
      <c r="J64" s="245"/>
      <c r="K64" s="245"/>
      <c r="L64" s="245"/>
      <c r="M64" s="245"/>
      <c r="N64" s="245"/>
      <c r="O64" s="245"/>
      <c r="P64" s="246">
        <f>SUM(compras_mes6[[#This Row],[NETO GRAVADO]:[Otros / No Grav.]])</f>
        <v>22799.618600000002</v>
      </c>
      <c r="Q64" s="247" t="str">
        <f>IFERROR(IF(compras_mes6[[#This Row],[CUIT]]="","-",VLOOKUP(compras_mes6[[#This Row],[CUIT]],Lista_CUIT[#All],3,0)),"CUIT NO CARGADO")</f>
        <v>Gastos Varios</v>
      </c>
      <c r="R64" s="247">
        <f>IFERROR(IF(compras_mes6[[#This Row],[CUIT]]="","-",VLOOKUP(compras_mes6[[#This Row],[CUIT]],Lista_CUIT[#All],4,0)),"CUIT NO CARGADO")</f>
        <v>0</v>
      </c>
    </row>
    <row r="65" spans="2:18">
      <c r="B65" s="239">
        <v>45449</v>
      </c>
      <c r="C65" s="240">
        <v>1</v>
      </c>
      <c r="D65" s="241">
        <v>2</v>
      </c>
      <c r="E65" s="257">
        <v>1692</v>
      </c>
      <c r="F65" s="242">
        <v>20109830810</v>
      </c>
      <c r="G65" s="243" t="str">
        <f>IFERROR(IF(compras_mes6[[#This Row],[CUIT]]="","-",VLOOKUP(compras_mes6[[#This Row],[CUIT]],Lista_CUIT[#All],2,0)),"CUIT NO CARGADO")</f>
        <v>HIK SECURITY</v>
      </c>
      <c r="H65" s="244">
        <v>8264.4599999999991</v>
      </c>
      <c r="I65" s="245">
        <f>IF(compras_mes6[[#This Row],[NETO GRAVADO]]="","",compras_mes6[[#This Row],[NETO GRAVADO]]*0.21)</f>
        <v>1735.5365999999997</v>
      </c>
      <c r="J65" s="245"/>
      <c r="K65" s="245"/>
      <c r="L65" s="245"/>
      <c r="M65" s="245"/>
      <c r="N65" s="245"/>
      <c r="O65" s="245"/>
      <c r="P65" s="246">
        <f>SUM(compras_mes6[[#This Row],[NETO GRAVADO]:[Otros / No Grav.]])</f>
        <v>9999.9965999999986</v>
      </c>
      <c r="Q65" s="247" t="str">
        <f>IFERROR(IF(compras_mes6[[#This Row],[CUIT]]="","-",VLOOKUP(compras_mes6[[#This Row],[CUIT]],Lista_CUIT[#All],3,0)),"CUIT NO CARGADO")</f>
        <v>Gastos Varios</v>
      </c>
      <c r="R65" s="247">
        <f>IFERROR(IF(compras_mes6[[#This Row],[CUIT]]="","-",VLOOKUP(compras_mes6[[#This Row],[CUIT]],Lista_CUIT[#All],4,0)),"CUIT NO CARGADO")</f>
        <v>0</v>
      </c>
    </row>
    <row r="66" spans="2:18">
      <c r="B66" s="239">
        <v>45450</v>
      </c>
      <c r="C66" s="240">
        <v>1</v>
      </c>
      <c r="D66" s="241">
        <v>4</v>
      </c>
      <c r="E66" s="257">
        <v>333200</v>
      </c>
      <c r="F66" s="242">
        <v>30715723871</v>
      </c>
      <c r="G66" s="243" t="str">
        <f>IFERROR(IF(compras_mes6[[#This Row],[CUIT]]="","-",VLOOKUP(compras_mes6[[#This Row],[CUIT]],Lista_CUIT[#All],2,0)),"CUIT NO CARGADO")</f>
        <v xml:space="preserve">LIBERTECH SRL </v>
      </c>
      <c r="H66" s="244">
        <v>18842.66</v>
      </c>
      <c r="I66" s="245">
        <f>IF(compras_mes6[[#This Row],[NETO GRAVADO]]="","",compras_mes6[[#This Row],[NETO GRAVADO]]*0.21)</f>
        <v>3956.9585999999999</v>
      </c>
      <c r="J66" s="245"/>
      <c r="K66" s="245"/>
      <c r="L66" s="245"/>
      <c r="M66" s="245"/>
      <c r="N66" s="245"/>
      <c r="O66" s="245"/>
      <c r="P66" s="246">
        <f>SUM(compras_mes6[[#This Row],[NETO GRAVADO]:[Otros / No Grav.]])</f>
        <v>22799.618600000002</v>
      </c>
      <c r="Q66" s="247" t="str">
        <f>IFERROR(IF(compras_mes6[[#This Row],[CUIT]]="","-",VLOOKUP(compras_mes6[[#This Row],[CUIT]],Lista_CUIT[#All],3,0)),"CUIT NO CARGADO")</f>
        <v>Gastos Varios</v>
      </c>
      <c r="R66" s="247">
        <f>IFERROR(IF(compras_mes6[[#This Row],[CUIT]]="","-",VLOOKUP(compras_mes6[[#This Row],[CUIT]],Lista_CUIT[#All],4,0)),"CUIT NO CARGADO")</f>
        <v>0</v>
      </c>
    </row>
    <row r="67" spans="2:18">
      <c r="B67" s="239">
        <v>45450</v>
      </c>
      <c r="C67" s="240">
        <v>1</v>
      </c>
      <c r="D67" s="241">
        <v>2188</v>
      </c>
      <c r="E67" s="257">
        <v>121723</v>
      </c>
      <c r="F67" s="242">
        <v>30548083156</v>
      </c>
      <c r="G67" s="243" t="str">
        <f>IFERROR(IF(compras_mes6[[#This Row],[CUIT]]="","-",VLOOKUP(compras_mes6[[#This Row],[CUIT]],Lista_CUIT[#All],2,0)),"CUIT NO CARGADO")</f>
        <v>COTO CENTRO INTEGRAL DE COMERCIALIZACION SOCIEDAD ANONIMA</v>
      </c>
      <c r="H67" s="244">
        <v>84943.9</v>
      </c>
      <c r="I67" s="495">
        <v>16491.310000000001</v>
      </c>
      <c r="J67" s="245"/>
      <c r="K67" s="245"/>
      <c r="L67" s="245"/>
      <c r="M67" s="245"/>
      <c r="N67" s="245"/>
      <c r="O67" s="245">
        <v>7014.22</v>
      </c>
      <c r="P67" s="494">
        <f>SUM(compras_mes6[[#This Row],[NETO GRAVADO]:[Otros / No Grav.]])</f>
        <v>108449.43</v>
      </c>
      <c r="Q67" s="247" t="str">
        <f>IFERROR(IF(compras_mes6[[#This Row],[CUIT]]="","-",VLOOKUP(compras_mes6[[#This Row],[CUIT]],Lista_CUIT[#All],3,0)),"CUIT NO CARGADO")</f>
        <v>Gastos Varios</v>
      </c>
      <c r="R67" s="247">
        <f>IFERROR(IF(compras_mes6[[#This Row],[CUIT]]="","-",VLOOKUP(compras_mes6[[#This Row],[CUIT]],Lista_CUIT[#All],4,0)),"CUIT NO CARGADO")</f>
        <v>0</v>
      </c>
    </row>
    <row r="68" spans="2:18">
      <c r="B68" s="239">
        <v>45450</v>
      </c>
      <c r="C68" s="240">
        <v>3</v>
      </c>
      <c r="D68" s="241">
        <v>27</v>
      </c>
      <c r="E68" s="257">
        <v>95704</v>
      </c>
      <c r="F68" s="242">
        <v>30703088534</v>
      </c>
      <c r="G68" s="243" t="str">
        <f>IFERROR(IF(compras_mes6[[#This Row],[CUIT]]="","-",VLOOKUP(compras_mes6[[#This Row],[CUIT]],Lista_CUIT[#All],2,0)),"CUIT NO CARGADO")</f>
        <v>MERCADO LIBRE SRL</v>
      </c>
      <c r="H68" s="244">
        <v>-0.83</v>
      </c>
      <c r="I68" s="245">
        <f>IF(compras_mes6[[#This Row],[NETO GRAVADO]]="","",compras_mes6[[#This Row],[NETO GRAVADO]]*0.21)</f>
        <v>-0.17429999999999998</v>
      </c>
      <c r="J68" s="245"/>
      <c r="K68" s="245"/>
      <c r="L68" s="245"/>
      <c r="M68" s="245"/>
      <c r="N68" s="245"/>
      <c r="O68" s="245">
        <v>-26312.98</v>
      </c>
      <c r="P68" s="494">
        <f>SUM(compras_mes6[[#This Row],[NETO GRAVADO]:[Otros / No Grav.]])</f>
        <v>-26313.9843</v>
      </c>
      <c r="Q68" s="247" t="str">
        <f>IFERROR(IF(compras_mes6[[#This Row],[CUIT]]="","-",VLOOKUP(compras_mes6[[#This Row],[CUIT]],Lista_CUIT[#All],3,0)),"CUIT NO CARGADO")</f>
        <v>Gastos Varios</v>
      </c>
      <c r="R68" s="247" t="str">
        <f>IFERROR(IF(compras_mes6[[#This Row],[CUIT]]="","-",VLOOKUP(compras_mes6[[#This Row],[CUIT]],Lista_CUIT[#All],4,0)),"CUIT NO CARGADO")</f>
        <v>CABA</v>
      </c>
    </row>
    <row r="69" spans="2:18">
      <c r="B69" s="239">
        <v>45451</v>
      </c>
      <c r="C69" s="240">
        <v>1</v>
      </c>
      <c r="D69" s="241">
        <v>5</v>
      </c>
      <c r="E69" s="257">
        <v>20522</v>
      </c>
      <c r="F69" s="242">
        <v>30712273174</v>
      </c>
      <c r="G69" s="243" t="str">
        <f>IFERROR(IF(compras_mes6[[#This Row],[CUIT]]="","-",VLOOKUP(compras_mes6[[#This Row],[CUIT]],Lista_CUIT[#All],2,0)),"CUIT NO CARGADO")</f>
        <v>HERRAMIENTAS DEL SUR S.A.</v>
      </c>
      <c r="H69" s="244">
        <v>161157.01999999999</v>
      </c>
      <c r="I69" s="245">
        <f>IF(compras_mes6[[#This Row],[NETO GRAVADO]]="","",compras_mes6[[#This Row],[NETO GRAVADO]]*0.21)</f>
        <v>33842.974199999997</v>
      </c>
      <c r="J69" s="245"/>
      <c r="K69" s="245"/>
      <c r="L69" s="245"/>
      <c r="M69" s="245"/>
      <c r="N69" s="245"/>
      <c r="O69" s="245"/>
      <c r="P69" s="246">
        <f>SUM(compras_mes6[[#This Row],[NETO GRAVADO]:[Otros / No Grav.]])</f>
        <v>194999.99419999999</v>
      </c>
      <c r="Q69" s="247" t="str">
        <f>IFERROR(IF(compras_mes6[[#This Row],[CUIT]]="","-",VLOOKUP(compras_mes6[[#This Row],[CUIT]],Lista_CUIT[#All],3,0)),"CUIT NO CARGADO")</f>
        <v>Gastos Varios</v>
      </c>
      <c r="R69" s="247">
        <f>IFERROR(IF(compras_mes6[[#This Row],[CUIT]]="","-",VLOOKUP(compras_mes6[[#This Row],[CUIT]],Lista_CUIT[#All],4,0)),"CUIT NO CARGADO")</f>
        <v>0</v>
      </c>
    </row>
    <row r="70" spans="2:18">
      <c r="B70" s="239">
        <v>45452</v>
      </c>
      <c r="C70" s="240">
        <v>1</v>
      </c>
      <c r="D70" s="241">
        <v>2199</v>
      </c>
      <c r="E70" s="257">
        <v>29786</v>
      </c>
      <c r="F70" s="242">
        <v>30548083156</v>
      </c>
      <c r="G70" s="243" t="str">
        <f>IFERROR(IF(compras_mes6[[#This Row],[CUIT]]="","-",VLOOKUP(compras_mes6[[#This Row],[CUIT]],Lista_CUIT[#All],2,0)),"CUIT NO CARGADO")</f>
        <v>COTO CENTRO INTEGRAL DE COMERCIALIZACION SOCIEDAD ANONIMA</v>
      </c>
      <c r="H70" s="244">
        <v>27648.82</v>
      </c>
      <c r="I70" s="495">
        <f>25432.55*0.21</f>
        <v>5340.8354999999992</v>
      </c>
      <c r="J70" s="245"/>
      <c r="K70" s="245">
        <f>2216.27*0.105</f>
        <v>232.70835</v>
      </c>
      <c r="L70" s="245"/>
      <c r="M70" s="245"/>
      <c r="N70" s="245"/>
      <c r="O70" s="245">
        <v>2239.92</v>
      </c>
      <c r="P70" s="494">
        <f>SUM(compras_mes6[[#This Row],[NETO GRAVADO]:[Otros / No Grav.]])</f>
        <v>35462.28385</v>
      </c>
      <c r="Q70" s="247" t="str">
        <f>IFERROR(IF(compras_mes6[[#This Row],[CUIT]]="","-",VLOOKUP(compras_mes6[[#This Row],[CUIT]],Lista_CUIT[#All],3,0)),"CUIT NO CARGADO")</f>
        <v>Gastos Varios</v>
      </c>
      <c r="R70" s="247">
        <f>IFERROR(IF(compras_mes6[[#This Row],[CUIT]]="","-",VLOOKUP(compras_mes6[[#This Row],[CUIT]],Lista_CUIT[#All],4,0)),"CUIT NO CARGADO")</f>
        <v>0</v>
      </c>
    </row>
    <row r="71" spans="2:18">
      <c r="B71" s="239">
        <v>45452</v>
      </c>
      <c r="C71" s="240">
        <v>1</v>
      </c>
      <c r="D71" s="241">
        <v>11843</v>
      </c>
      <c r="E71" s="257">
        <v>1254</v>
      </c>
      <c r="F71" s="242">
        <v>30590360763</v>
      </c>
      <c r="G71" s="243" t="str">
        <f>IFERROR(IF(compras_mes6[[#This Row],[CUIT]]="","-",VLOOKUP(compras_mes6[[#This Row],[CUIT]],Lista_CUIT[#All],2,0)),"CUIT NO CARGADO")</f>
        <v>CENCOSUD S.A</v>
      </c>
      <c r="H71" s="244">
        <v>11380.34</v>
      </c>
      <c r="I71" s="495">
        <f>9289.26*0.21</f>
        <v>1950.7446</v>
      </c>
      <c r="J71" s="245"/>
      <c r="K71" s="245">
        <f>2091.08*0.105</f>
        <v>219.56339999999997</v>
      </c>
      <c r="L71" s="245">
        <v>310.05</v>
      </c>
      <c r="M71" s="245"/>
      <c r="N71" s="245">
        <v>682.82</v>
      </c>
      <c r="O71" s="245"/>
      <c r="P71" s="494">
        <f>SUM(compras_mes6[[#This Row],[NETO GRAVADO]:[Otros / No Grav.]])</f>
        <v>14543.517999999998</v>
      </c>
      <c r="Q71" s="247" t="str">
        <f>IFERROR(IF(compras_mes6[[#This Row],[CUIT]]="","-",VLOOKUP(compras_mes6[[#This Row],[CUIT]],Lista_CUIT[#All],3,0)),"CUIT NO CARGADO")</f>
        <v>Gastos Varios</v>
      </c>
      <c r="R71" s="247">
        <f>IFERROR(IF(compras_mes6[[#This Row],[CUIT]]="","-",VLOOKUP(compras_mes6[[#This Row],[CUIT]],Lista_CUIT[#All],4,0)),"CUIT NO CARGADO")</f>
        <v>0</v>
      </c>
    </row>
    <row r="72" spans="2:18">
      <c r="B72" s="239">
        <v>45453</v>
      </c>
      <c r="C72" s="240">
        <v>1</v>
      </c>
      <c r="D72" s="241">
        <v>100</v>
      </c>
      <c r="E72" s="257">
        <v>7552</v>
      </c>
      <c r="F72" s="242">
        <v>30711237697</v>
      </c>
      <c r="G72" s="243" t="str">
        <f>IFERROR(IF(compras_mes6[[#This Row],[CUIT]]="","-",VLOOKUP(compras_mes6[[#This Row],[CUIT]],Lista_CUIT[#All],2,0)),"CUIT NO CARGADO")</f>
        <v>HERRAJES CAME S.A.</v>
      </c>
      <c r="H72" s="244">
        <v>36069.86</v>
      </c>
      <c r="I72" s="245">
        <f>IF(compras_mes6[[#This Row],[NETO GRAVADO]]="","",compras_mes6[[#This Row],[NETO GRAVADO]]*0.21)</f>
        <v>7574.6705999999995</v>
      </c>
      <c r="J72" s="245"/>
      <c r="K72" s="245"/>
      <c r="L72" s="245"/>
      <c r="M72" s="245"/>
      <c r="N72" s="245"/>
      <c r="O72" s="245"/>
      <c r="P72" s="246">
        <f>SUM(compras_mes6[[#This Row],[NETO GRAVADO]:[Otros / No Grav.]])</f>
        <v>43644.530599999998</v>
      </c>
      <c r="Q72" s="247" t="str">
        <f>IFERROR(IF(compras_mes6[[#This Row],[CUIT]]="","-",VLOOKUP(compras_mes6[[#This Row],[CUIT]],Lista_CUIT[#All],3,0)),"CUIT NO CARGADO")</f>
        <v>Gastos Varios</v>
      </c>
      <c r="R72" s="247">
        <f>IFERROR(IF(compras_mes6[[#This Row],[CUIT]]="","-",VLOOKUP(compras_mes6[[#This Row],[CUIT]],Lista_CUIT[#All],4,0)),"CUIT NO CARGADO")</f>
        <v>0</v>
      </c>
    </row>
    <row r="73" spans="2:18">
      <c r="B73" s="239">
        <v>45453</v>
      </c>
      <c r="C73" s="240">
        <v>1</v>
      </c>
      <c r="D73" s="241">
        <v>5</v>
      </c>
      <c r="E73" s="257">
        <v>490</v>
      </c>
      <c r="F73" s="242">
        <v>30643993089</v>
      </c>
      <c r="G73" s="243" t="str">
        <f>IFERROR(IF(compras_mes6[[#This Row],[CUIT]]="","-",VLOOKUP(compras_mes6[[#This Row],[CUIT]],Lista_CUIT[#All],2,0)),"CUIT NO CARGADO")</f>
        <v>CORNEALENT PANAMERICANA SA</v>
      </c>
      <c r="H73" s="244">
        <v>11157.02</v>
      </c>
      <c r="I73" s="245">
        <f>IF(compras_mes6[[#This Row],[NETO GRAVADO]]="","",compras_mes6[[#This Row],[NETO GRAVADO]]*0.21)</f>
        <v>2342.9742000000001</v>
      </c>
      <c r="J73" s="245"/>
      <c r="K73" s="245"/>
      <c r="L73" s="245"/>
      <c r="M73" s="245"/>
      <c r="N73" s="245"/>
      <c r="O73" s="245"/>
      <c r="P73" s="246">
        <f>SUM(compras_mes6[[#This Row],[NETO GRAVADO]:[Otros / No Grav.]])</f>
        <v>13499.994200000001</v>
      </c>
      <c r="Q73" s="247" t="str">
        <f>IFERROR(IF(compras_mes6[[#This Row],[CUIT]]="","-",VLOOKUP(compras_mes6[[#This Row],[CUIT]],Lista_CUIT[#All],3,0)),"CUIT NO CARGADO")</f>
        <v>Gastos Varios</v>
      </c>
      <c r="R73" s="247">
        <f>IFERROR(IF(compras_mes6[[#This Row],[CUIT]]="","-",VLOOKUP(compras_mes6[[#This Row],[CUIT]],Lista_CUIT[#All],4,0)),"CUIT NO CARGADO")</f>
        <v>0</v>
      </c>
    </row>
    <row r="74" spans="2:18">
      <c r="B74" s="239">
        <v>45454</v>
      </c>
      <c r="C74" s="240">
        <v>1</v>
      </c>
      <c r="D74" s="241">
        <v>4</v>
      </c>
      <c r="E74" s="257">
        <v>951</v>
      </c>
      <c r="F74" s="242">
        <v>23428192419</v>
      </c>
      <c r="G74" s="243" t="str">
        <f>IFERROR(IF(compras_mes6[[#This Row],[CUIT]]="","-",VLOOKUP(compras_mes6[[#This Row],[CUIT]],Lista_CUIT[#All],2,0)),"CUIT NO CARGADO")</f>
        <v>ADACHI NICOLAS EZEQUIEL</v>
      </c>
      <c r="H74" s="244">
        <v>18015.28</v>
      </c>
      <c r="I74" s="245">
        <f>IF(compras_mes6[[#This Row],[NETO GRAVADO]]="","",compras_mes6[[#This Row],[NETO GRAVADO]]*0.21)</f>
        <v>3783.2087999999994</v>
      </c>
      <c r="J74" s="245"/>
      <c r="K74" s="245"/>
      <c r="L74" s="245"/>
      <c r="M74" s="245"/>
      <c r="N74" s="245"/>
      <c r="O74" s="245"/>
      <c r="P74" s="246">
        <f>SUM(compras_mes6[[#This Row],[NETO GRAVADO]:[Otros / No Grav.]])</f>
        <v>21798.488799999999</v>
      </c>
      <c r="Q74" s="247" t="str">
        <f>IFERROR(IF(compras_mes6[[#This Row],[CUIT]]="","-",VLOOKUP(compras_mes6[[#This Row],[CUIT]],Lista_CUIT[#All],3,0)),"CUIT NO CARGADO")</f>
        <v>Gastos Varios</v>
      </c>
      <c r="R74" s="247">
        <f>IFERROR(IF(compras_mes6[[#This Row],[CUIT]]="","-",VLOOKUP(compras_mes6[[#This Row],[CUIT]],Lista_CUIT[#All],4,0)),"CUIT NO CARGADO")</f>
        <v>0</v>
      </c>
    </row>
    <row r="75" spans="2:18">
      <c r="B75" s="239">
        <v>45457</v>
      </c>
      <c r="C75" s="240">
        <v>1</v>
      </c>
      <c r="D75" s="241">
        <v>2188</v>
      </c>
      <c r="E75" s="257">
        <v>122330</v>
      </c>
      <c r="F75" s="242">
        <v>30548083156</v>
      </c>
      <c r="G75" s="243" t="str">
        <f>IFERROR(IF(compras_mes6[[#This Row],[CUIT]]="","-",VLOOKUP(compras_mes6[[#This Row],[CUIT]],Lista_CUIT[#All],2,0)),"CUIT NO CARGADO")</f>
        <v>COTO CENTRO INTEGRAL DE COMERCIALIZACION SOCIEDAD ANONIMA</v>
      </c>
      <c r="H75" s="244">
        <v>68258.44</v>
      </c>
      <c r="I75" s="495">
        <f>63283.02*0.21</f>
        <v>13289.4342</v>
      </c>
      <c r="J75" s="245"/>
      <c r="K75" s="245">
        <f>4975.42*0.105</f>
        <v>522.41909999999996</v>
      </c>
      <c r="L75" s="245"/>
      <c r="M75" s="245"/>
      <c r="N75" s="245"/>
      <c r="O75" s="245">
        <v>5918.35</v>
      </c>
      <c r="P75" s="494">
        <f>SUM(compras_mes6[[#This Row],[NETO GRAVADO]:[Otros / No Grav.]])</f>
        <v>87988.643300000011</v>
      </c>
      <c r="Q75" s="247" t="str">
        <f>IFERROR(IF(compras_mes6[[#This Row],[CUIT]]="","-",VLOOKUP(compras_mes6[[#This Row],[CUIT]],Lista_CUIT[#All],3,0)),"CUIT NO CARGADO")</f>
        <v>Gastos Varios</v>
      </c>
      <c r="R75" s="247">
        <f>IFERROR(IF(compras_mes6[[#This Row],[CUIT]]="","-",VLOOKUP(compras_mes6[[#This Row],[CUIT]],Lista_CUIT[#All],4,0)),"CUIT NO CARGADO")</f>
        <v>0</v>
      </c>
    </row>
    <row r="76" spans="2:18">
      <c r="B76" s="239">
        <v>45460</v>
      </c>
      <c r="C76" s="240">
        <v>1</v>
      </c>
      <c r="D76" s="241">
        <v>2199</v>
      </c>
      <c r="E76" s="257">
        <v>29936</v>
      </c>
      <c r="F76" s="242">
        <v>30548083156</v>
      </c>
      <c r="G76" s="243" t="str">
        <f>IFERROR(IF(compras_mes6[[#This Row],[CUIT]]="","-",VLOOKUP(compras_mes6[[#This Row],[CUIT]],Lista_CUIT[#All],2,0)),"CUIT NO CARGADO")</f>
        <v>COTO CENTRO INTEGRAL DE COMERCIALIZACION SOCIEDAD ANONIMA</v>
      </c>
      <c r="H76" s="244">
        <v>65224.25</v>
      </c>
      <c r="I76" s="495">
        <f>34512.44*0.21</f>
        <v>7247.6124</v>
      </c>
      <c r="J76" s="245"/>
      <c r="K76" s="245">
        <f>30711.81*0.105</f>
        <v>3224.7400499999999</v>
      </c>
      <c r="L76" s="245"/>
      <c r="M76" s="245"/>
      <c r="N76" s="245"/>
      <c r="O76" s="245">
        <v>4907.92</v>
      </c>
      <c r="P76" s="494">
        <f>SUM(compras_mes6[[#This Row],[NETO GRAVADO]:[Otros / No Grav.]])</f>
        <v>80604.522449999989</v>
      </c>
      <c r="Q76" s="247" t="str">
        <f>IFERROR(IF(compras_mes6[[#This Row],[CUIT]]="","-",VLOOKUP(compras_mes6[[#This Row],[CUIT]],Lista_CUIT[#All],3,0)),"CUIT NO CARGADO")</f>
        <v>Gastos Varios</v>
      </c>
      <c r="R76" s="247">
        <f>IFERROR(IF(compras_mes6[[#This Row],[CUIT]]="","-",VLOOKUP(compras_mes6[[#This Row],[CUIT]],Lista_CUIT[#All],4,0)),"CUIT NO CARGADO")</f>
        <v>0</v>
      </c>
    </row>
    <row r="77" spans="2:18">
      <c r="B77" s="239">
        <v>45460</v>
      </c>
      <c r="C77" s="240">
        <v>1</v>
      </c>
      <c r="D77" s="241">
        <v>6</v>
      </c>
      <c r="E77" s="257">
        <v>299</v>
      </c>
      <c r="F77" s="242">
        <v>30717906833</v>
      </c>
      <c r="G77" s="243" t="str">
        <f>IFERROR(IF(compras_mes6[[#This Row],[CUIT]]="","-",VLOOKUP(compras_mes6[[#This Row],[CUIT]],Lista_CUIT[#All],2,0)),"CUIT NO CARGADO")</f>
        <v>WALJUL</v>
      </c>
      <c r="H77" s="244">
        <v>15123.97</v>
      </c>
      <c r="I77" s="245">
        <f>IF(compras_mes6[[#This Row],[NETO GRAVADO]]="","",compras_mes6[[#This Row],[NETO GRAVADO]]*0.21)</f>
        <v>3176.0337</v>
      </c>
      <c r="J77" s="245"/>
      <c r="K77" s="245"/>
      <c r="L77" s="245"/>
      <c r="M77" s="245"/>
      <c r="N77" s="245"/>
      <c r="O77" s="245"/>
      <c r="P77" s="246">
        <f>SUM(compras_mes6[[#This Row],[NETO GRAVADO]:[Otros / No Grav.]])</f>
        <v>18300.003700000001</v>
      </c>
      <c r="Q77" s="247" t="str">
        <f>IFERROR(IF(compras_mes6[[#This Row],[CUIT]]="","-",VLOOKUP(compras_mes6[[#This Row],[CUIT]],Lista_CUIT[#All],3,0)),"CUIT NO CARGADO")</f>
        <v>Gastos Varios</v>
      </c>
      <c r="R77" s="247">
        <f>IFERROR(IF(compras_mes6[[#This Row],[CUIT]]="","-",VLOOKUP(compras_mes6[[#This Row],[CUIT]],Lista_CUIT[#All],4,0)),"CUIT NO CARGADO")</f>
        <v>0</v>
      </c>
    </row>
    <row r="78" spans="2:18">
      <c r="B78" s="239">
        <v>45462</v>
      </c>
      <c r="C78" s="240">
        <v>1</v>
      </c>
      <c r="D78" s="241">
        <v>1679</v>
      </c>
      <c r="E78" s="257">
        <v>7888</v>
      </c>
      <c r="F78" s="242">
        <v>30589621499</v>
      </c>
      <c r="G78" s="243" t="str">
        <f>IFERROR(IF(compras_mes6[[#This Row],[CUIT]]="","-",VLOOKUP(compras_mes6[[#This Row],[CUIT]],Lista_CUIT[#All],2,0)),"CUIT NO CARGADO")</f>
        <v>MAKRO SA</v>
      </c>
      <c r="H78" s="244">
        <v>87567.79</v>
      </c>
      <c r="I78" s="245">
        <f>86590.62*0.21</f>
        <v>18184.030199999997</v>
      </c>
      <c r="J78" s="245"/>
      <c r="K78" s="245">
        <f>977.17*0.105</f>
        <v>102.60284999999999</v>
      </c>
      <c r="L78" s="245">
        <v>2612.38</v>
      </c>
      <c r="M78" s="245"/>
      <c r="N78" s="245">
        <v>5254.07</v>
      </c>
      <c r="O78" s="245"/>
      <c r="P78" s="494">
        <f>SUM(compras_mes6[[#This Row],[NETO GRAVADO]:[Otros / No Grav.]])</f>
        <v>113720.87304999999</v>
      </c>
      <c r="Q78" s="247" t="str">
        <f>IFERROR(IF(compras_mes6[[#This Row],[CUIT]]="","-",VLOOKUP(compras_mes6[[#This Row],[CUIT]],Lista_CUIT[#All],3,0)),"CUIT NO CARGADO")</f>
        <v>Gastos Varios</v>
      </c>
      <c r="R78" s="247">
        <f>IFERROR(IF(compras_mes6[[#This Row],[CUIT]]="","-",VLOOKUP(compras_mes6[[#This Row],[CUIT]],Lista_CUIT[#All],4,0)),"CUIT NO CARGADO")</f>
        <v>0</v>
      </c>
    </row>
    <row r="79" spans="2:18">
      <c r="B79" s="239">
        <v>45462</v>
      </c>
      <c r="C79" s="240">
        <v>1</v>
      </c>
      <c r="D79" s="241">
        <v>8</v>
      </c>
      <c r="E79" s="257">
        <v>1563</v>
      </c>
      <c r="F79" s="242">
        <v>20277381908</v>
      </c>
      <c r="G79" s="243" t="str">
        <f>IFERROR(IF(compras_mes6[[#This Row],[CUIT]]="","-",VLOOKUP(compras_mes6[[#This Row],[CUIT]],Lista_CUIT[#All],2,0)),"CUIT NO CARGADO")</f>
        <v>ALONSO RODRIGO JAVIER</v>
      </c>
      <c r="H79" s="244">
        <v>8264.4599999999991</v>
      </c>
      <c r="I79" s="245">
        <f>IF(compras_mes6[[#This Row],[NETO GRAVADO]]="","",compras_mes6[[#This Row],[NETO GRAVADO]]*0.21)</f>
        <v>1735.5365999999997</v>
      </c>
      <c r="J79" s="245"/>
      <c r="K79" s="245"/>
      <c r="L79" s="245"/>
      <c r="M79" s="245"/>
      <c r="N79" s="245"/>
      <c r="O79" s="245"/>
      <c r="P79" s="246">
        <f>SUM(compras_mes6[[#This Row],[NETO GRAVADO]:[Otros / No Grav.]])</f>
        <v>9999.9965999999986</v>
      </c>
      <c r="Q79" s="247" t="str">
        <f>IFERROR(IF(compras_mes6[[#This Row],[CUIT]]="","-",VLOOKUP(compras_mes6[[#This Row],[CUIT]],Lista_CUIT[#All],3,0)),"CUIT NO CARGADO")</f>
        <v>Gastos Varios</v>
      </c>
      <c r="R79" s="247">
        <f>IFERROR(IF(compras_mes6[[#This Row],[CUIT]]="","-",VLOOKUP(compras_mes6[[#This Row],[CUIT]],Lista_CUIT[#All],4,0)),"CUIT NO CARGADO")</f>
        <v>0</v>
      </c>
    </row>
    <row r="80" spans="2:18">
      <c r="B80" s="239">
        <v>45462</v>
      </c>
      <c r="C80" s="240">
        <v>1</v>
      </c>
      <c r="D80" s="241">
        <v>8</v>
      </c>
      <c r="E80" s="257">
        <v>1562</v>
      </c>
      <c r="F80" s="242">
        <v>20277381908</v>
      </c>
      <c r="G80" s="243" t="str">
        <f>IFERROR(IF(compras_mes6[[#This Row],[CUIT]]="","-",VLOOKUP(compras_mes6[[#This Row],[CUIT]],Lista_CUIT[#All],2,0)),"CUIT NO CARGADO")</f>
        <v>ALONSO RODRIGO JAVIER</v>
      </c>
      <c r="H80" s="244">
        <v>27272.73</v>
      </c>
      <c r="I80" s="245">
        <f>IF(compras_mes6[[#This Row],[NETO GRAVADO]]="","",compras_mes6[[#This Row],[NETO GRAVADO]]*0.21)</f>
        <v>5727.2732999999998</v>
      </c>
      <c r="J80" s="245"/>
      <c r="K80" s="245"/>
      <c r="L80" s="245"/>
      <c r="M80" s="245"/>
      <c r="N80" s="245"/>
      <c r="O80" s="245"/>
      <c r="P80" s="246">
        <f>SUM(compras_mes6[[#This Row],[NETO GRAVADO]:[Otros / No Grav.]])</f>
        <v>33000.003299999997</v>
      </c>
      <c r="Q80" s="247" t="str">
        <f>IFERROR(IF(compras_mes6[[#This Row],[CUIT]]="","-",VLOOKUP(compras_mes6[[#This Row],[CUIT]],Lista_CUIT[#All],3,0)),"CUIT NO CARGADO")</f>
        <v>Gastos Varios</v>
      </c>
      <c r="R80" s="247">
        <f>IFERROR(IF(compras_mes6[[#This Row],[CUIT]]="","-",VLOOKUP(compras_mes6[[#This Row],[CUIT]],Lista_CUIT[#All],4,0)),"CUIT NO CARGADO")</f>
        <v>0</v>
      </c>
    </row>
    <row r="81" spans="2:18">
      <c r="B81" s="239">
        <v>45463</v>
      </c>
      <c r="C81" s="240">
        <v>1</v>
      </c>
      <c r="D81" s="241">
        <v>8</v>
      </c>
      <c r="E81" s="257">
        <v>280</v>
      </c>
      <c r="F81" s="242">
        <v>20134664518</v>
      </c>
      <c r="G81" s="243" t="str">
        <f>IFERROR(IF(compras_mes6[[#This Row],[CUIT]]="","-",VLOOKUP(compras_mes6[[#This Row],[CUIT]],Lista_CUIT[#All],2,0)),"CUIT NO CARGADO")</f>
        <v>HOKAMA SERGIO ENRIQUE</v>
      </c>
      <c r="H81" s="244">
        <v>27308.25</v>
      </c>
      <c r="I81" s="245">
        <f>IF(compras_mes6[[#This Row],[NETO GRAVADO]]="","",compras_mes6[[#This Row],[NETO GRAVADO]]*0.21)</f>
        <v>5734.7325000000001</v>
      </c>
      <c r="J81" s="245"/>
      <c r="K81" s="245"/>
      <c r="L81" s="245"/>
      <c r="M81" s="245"/>
      <c r="N81" s="245"/>
      <c r="O81" s="245"/>
      <c r="P81" s="246">
        <f>SUM(compras_mes6[[#This Row],[NETO GRAVADO]:[Otros / No Grav.]])</f>
        <v>33042.982499999998</v>
      </c>
      <c r="Q81" s="247" t="str">
        <f>IFERROR(IF(compras_mes6[[#This Row],[CUIT]]="","-",VLOOKUP(compras_mes6[[#This Row],[CUIT]],Lista_CUIT[#All],3,0)),"CUIT NO CARGADO")</f>
        <v>Gastos Varios</v>
      </c>
      <c r="R81" s="247" t="str">
        <f>IFERROR(IF(compras_mes6[[#This Row],[CUIT]]="","-",VLOOKUP(compras_mes6[[#This Row],[CUIT]],Lista_CUIT[#All],4,0)),"CUIT NO CARGADO")</f>
        <v>BUENOS AIRES</v>
      </c>
    </row>
    <row r="82" spans="2:18">
      <c r="B82" s="239">
        <v>45464</v>
      </c>
      <c r="C82" s="240">
        <v>1</v>
      </c>
      <c r="D82" s="241">
        <v>2154</v>
      </c>
      <c r="E82" s="257">
        <v>13824</v>
      </c>
      <c r="F82" s="242">
        <v>30548083156</v>
      </c>
      <c r="G82" s="243" t="str">
        <f>IFERROR(IF(compras_mes6[[#This Row],[CUIT]]="","-",VLOOKUP(compras_mes6[[#This Row],[CUIT]],Lista_CUIT[#All],2,0)),"CUIT NO CARGADO")</f>
        <v>COTO CENTRO INTEGRAL DE COMERCIALIZACION SOCIEDAD ANONIMA</v>
      </c>
      <c r="H82" s="244">
        <v>90174.7</v>
      </c>
      <c r="I82" s="495">
        <f>81714.19*0.21</f>
        <v>17159.979899999998</v>
      </c>
      <c r="J82" s="245"/>
      <c r="K82" s="245">
        <f>8460.51*0.105</f>
        <v>888.35355000000004</v>
      </c>
      <c r="L82" s="245"/>
      <c r="M82" s="245"/>
      <c r="N82" s="245"/>
      <c r="O82" s="245">
        <v>7717.06</v>
      </c>
      <c r="P82" s="494">
        <f>SUM(compras_mes6[[#This Row],[NETO GRAVADO]:[Otros / No Grav.]])</f>
        <v>115940.09344999999</v>
      </c>
      <c r="Q82" s="247" t="str">
        <f>IFERROR(IF(compras_mes6[[#This Row],[CUIT]]="","-",VLOOKUP(compras_mes6[[#This Row],[CUIT]],Lista_CUIT[#All],3,0)),"CUIT NO CARGADO")</f>
        <v>Gastos Varios</v>
      </c>
      <c r="R82" s="247">
        <f>IFERROR(IF(compras_mes6[[#This Row],[CUIT]]="","-",VLOOKUP(compras_mes6[[#This Row],[CUIT]],Lista_CUIT[#All],4,0)),"CUIT NO CARGADO")</f>
        <v>0</v>
      </c>
    </row>
    <row r="83" spans="2:18">
      <c r="B83" s="239">
        <v>45467</v>
      </c>
      <c r="C83" s="240">
        <v>1</v>
      </c>
      <c r="D83" s="241">
        <v>8</v>
      </c>
      <c r="E83" s="257">
        <v>307</v>
      </c>
      <c r="F83" s="242">
        <v>20134664518</v>
      </c>
      <c r="G83" s="243" t="str">
        <f>IFERROR(IF(compras_mes6[[#This Row],[CUIT]]="","-",VLOOKUP(compras_mes6[[#This Row],[CUIT]],Lista_CUIT[#All],2,0)),"CUIT NO CARGADO")</f>
        <v>HOKAMA SERGIO ENRIQUE</v>
      </c>
      <c r="H83" s="244">
        <v>49815.08</v>
      </c>
      <c r="I83" s="245">
        <f>IF(compras_mes6[[#This Row],[NETO GRAVADO]]="","",compras_mes6[[#This Row],[NETO GRAVADO]]*0.21)</f>
        <v>10461.166800000001</v>
      </c>
      <c r="J83" s="245"/>
      <c r="K83" s="245"/>
      <c r="L83" s="245"/>
      <c r="M83" s="245"/>
      <c r="N83" s="245"/>
      <c r="O83" s="245"/>
      <c r="P83" s="246">
        <f>SUM(compras_mes6[[#This Row],[NETO GRAVADO]:[Otros / No Grav.]])</f>
        <v>60276.246800000001</v>
      </c>
      <c r="Q83" s="247" t="str">
        <f>IFERROR(IF(compras_mes6[[#This Row],[CUIT]]="","-",VLOOKUP(compras_mes6[[#This Row],[CUIT]],Lista_CUIT[#All],3,0)),"CUIT NO CARGADO")</f>
        <v>Gastos Varios</v>
      </c>
      <c r="R83" s="247" t="str">
        <f>IFERROR(IF(compras_mes6[[#This Row],[CUIT]]="","-",VLOOKUP(compras_mes6[[#This Row],[CUIT]],Lista_CUIT[#All],4,0)),"CUIT NO CARGADO")</f>
        <v>BUENOS AIRES</v>
      </c>
    </row>
    <row r="84" spans="2:18">
      <c r="B84" s="239">
        <v>45468</v>
      </c>
      <c r="C84" s="240">
        <v>1</v>
      </c>
      <c r="D84" s="241">
        <v>2084</v>
      </c>
      <c r="E84" s="257">
        <v>23070</v>
      </c>
      <c r="F84" s="242">
        <v>30548083156</v>
      </c>
      <c r="G84" s="243" t="str">
        <f>IFERROR(IF(compras_mes6[[#This Row],[CUIT]]="","-",VLOOKUP(compras_mes6[[#This Row],[CUIT]],Lista_CUIT[#All],2,0)),"CUIT NO CARGADO")</f>
        <v>COTO CENTRO INTEGRAL DE COMERCIALIZACION SOCIEDAD ANONIMA</v>
      </c>
      <c r="H84" s="244">
        <v>29226.81</v>
      </c>
      <c r="I84" s="495">
        <f>24814.33*0.21</f>
        <v>5211.0093000000006</v>
      </c>
      <c r="J84" s="245"/>
      <c r="K84" s="245">
        <f>4412.48*0.105</f>
        <v>463.31039999999996</v>
      </c>
      <c r="L84" s="245"/>
      <c r="M84" s="245"/>
      <c r="N84" s="245"/>
      <c r="O84" s="245">
        <v>2564.23</v>
      </c>
      <c r="P84" s="494">
        <f>SUM(compras_mes6[[#This Row],[NETO GRAVADO]:[Otros / No Grav.]])</f>
        <v>37465.359700000008</v>
      </c>
      <c r="Q84" s="247" t="str">
        <f>IFERROR(IF(compras_mes6[[#This Row],[CUIT]]="","-",VLOOKUP(compras_mes6[[#This Row],[CUIT]],Lista_CUIT[#All],3,0)),"CUIT NO CARGADO")</f>
        <v>Gastos Varios</v>
      </c>
      <c r="R84" s="247">
        <f>IFERROR(IF(compras_mes6[[#This Row],[CUIT]]="","-",VLOOKUP(compras_mes6[[#This Row],[CUIT]],Lista_CUIT[#All],4,0)),"CUIT NO CARGADO")</f>
        <v>0</v>
      </c>
    </row>
    <row r="85" spans="2:18">
      <c r="B85" s="239">
        <v>45469</v>
      </c>
      <c r="C85" s="240">
        <v>1</v>
      </c>
      <c r="D85" s="241">
        <v>8</v>
      </c>
      <c r="E85" s="257">
        <v>1574</v>
      </c>
      <c r="F85" s="242">
        <v>20277381908</v>
      </c>
      <c r="G85" s="243" t="str">
        <f>IFERROR(IF(compras_mes6[[#This Row],[CUIT]]="","-",VLOOKUP(compras_mes6[[#This Row],[CUIT]],Lista_CUIT[#All],2,0)),"CUIT NO CARGADO")</f>
        <v>ALONSO RODRIGO JAVIER</v>
      </c>
      <c r="H85" s="244">
        <v>8842.9699999999993</v>
      </c>
      <c r="I85" s="245">
        <f>IF(compras_mes6[[#This Row],[NETO GRAVADO]]="","",compras_mes6[[#This Row],[NETO GRAVADO]]*0.21)</f>
        <v>1857.0236999999997</v>
      </c>
      <c r="J85" s="245"/>
      <c r="K85" s="245"/>
      <c r="L85" s="245"/>
      <c r="M85" s="245"/>
      <c r="N85" s="245"/>
      <c r="O85" s="245"/>
      <c r="P85" s="246">
        <f>SUM(compras_mes6[[#This Row],[NETO GRAVADO]:[Otros / No Grav.]])</f>
        <v>10699.993699999999</v>
      </c>
      <c r="Q85" s="247" t="str">
        <f>IFERROR(IF(compras_mes6[[#This Row],[CUIT]]="","-",VLOOKUP(compras_mes6[[#This Row],[CUIT]],Lista_CUIT[#All],3,0)),"CUIT NO CARGADO")</f>
        <v>Gastos Varios</v>
      </c>
      <c r="R85" s="247">
        <f>IFERROR(IF(compras_mes6[[#This Row],[CUIT]]="","-",VLOOKUP(compras_mes6[[#This Row],[CUIT]],Lista_CUIT[#All],4,0)),"CUIT NO CARGADO")</f>
        <v>0</v>
      </c>
    </row>
    <row r="86" spans="2:18">
      <c r="B86" s="239">
        <v>45469</v>
      </c>
      <c r="C86" s="240">
        <v>1</v>
      </c>
      <c r="D86" s="241">
        <v>8</v>
      </c>
      <c r="E86" s="257">
        <v>334</v>
      </c>
      <c r="F86" s="242">
        <v>20134664518</v>
      </c>
      <c r="G86" s="243" t="str">
        <f>IFERROR(IF(compras_mes6[[#This Row],[CUIT]]="","-",VLOOKUP(compras_mes6[[#This Row],[CUIT]],Lista_CUIT[#All],2,0)),"CUIT NO CARGADO")</f>
        <v>HOKAMA SERGIO ENRIQUE</v>
      </c>
      <c r="H86" s="244">
        <v>52930.98</v>
      </c>
      <c r="I86" s="245">
        <f>IF(compras_mes6[[#This Row],[NETO GRAVADO]]="","",compras_mes6[[#This Row],[NETO GRAVADO]]*0.21)</f>
        <v>11115.505800000001</v>
      </c>
      <c r="J86" s="245"/>
      <c r="K86" s="245"/>
      <c r="L86" s="245"/>
      <c r="M86" s="245"/>
      <c r="N86" s="245"/>
      <c r="O86" s="245"/>
      <c r="P86" s="246">
        <f>SUM(compras_mes6[[#This Row],[NETO GRAVADO]:[Otros / No Grav.]])</f>
        <v>64046.485800000002</v>
      </c>
      <c r="Q86" s="247" t="str">
        <f>IFERROR(IF(compras_mes6[[#This Row],[CUIT]]="","-",VLOOKUP(compras_mes6[[#This Row],[CUIT]],Lista_CUIT[#All],3,0)),"CUIT NO CARGADO")</f>
        <v>Gastos Varios</v>
      </c>
      <c r="R86" s="247" t="str">
        <f>IFERROR(IF(compras_mes6[[#This Row],[CUIT]]="","-",VLOOKUP(compras_mes6[[#This Row],[CUIT]],Lista_CUIT[#All],4,0)),"CUIT NO CARGADO")</f>
        <v>BUENOS AIRES</v>
      </c>
    </row>
    <row r="87" spans="2:18">
      <c r="B87" s="239">
        <v>45470</v>
      </c>
      <c r="C87" s="240">
        <v>1</v>
      </c>
      <c r="D87" s="241">
        <v>5</v>
      </c>
      <c r="E87" s="257">
        <v>11026</v>
      </c>
      <c r="F87" s="242">
        <v>20233146022</v>
      </c>
      <c r="G87" s="243" t="str">
        <f>IFERROR(IF(compras_mes6[[#This Row],[CUIT]]="","-",VLOOKUP(compras_mes6[[#This Row],[CUIT]],Lista_CUIT[#All],2,0)),"CUIT NO CARGADO")</f>
        <v>MORETTI PATRICIO EZEQUIEL</v>
      </c>
      <c r="H87" s="244">
        <v>31148.34</v>
      </c>
      <c r="I87" s="245">
        <f>IF(compras_mes6[[#This Row],[NETO GRAVADO]]="","",compras_mes6[[#This Row],[NETO GRAVADO]]*0.21)</f>
        <v>6541.1513999999997</v>
      </c>
      <c r="J87" s="245"/>
      <c r="K87" s="245"/>
      <c r="L87" s="245"/>
      <c r="M87" s="245"/>
      <c r="N87" s="245"/>
      <c r="O87" s="245"/>
      <c r="P87" s="246">
        <f>SUM(compras_mes6[[#This Row],[NETO GRAVADO]:[Otros / No Grav.]])</f>
        <v>37689.491399999999</v>
      </c>
      <c r="Q87" s="247" t="str">
        <f>IFERROR(IF(compras_mes6[[#This Row],[CUIT]]="","-",VLOOKUP(compras_mes6[[#This Row],[CUIT]],Lista_CUIT[#All],3,0)),"CUIT NO CARGADO")</f>
        <v>Gastos Varios</v>
      </c>
      <c r="R87" s="247">
        <f>IFERROR(IF(compras_mes6[[#This Row],[CUIT]]="","-",VLOOKUP(compras_mes6[[#This Row],[CUIT]],Lista_CUIT[#All],4,0)),"CUIT NO CARGADO")</f>
        <v>0</v>
      </c>
    </row>
    <row r="88" spans="2:18">
      <c r="B88" s="239">
        <v>45471</v>
      </c>
      <c r="C88" s="240">
        <v>1</v>
      </c>
      <c r="D88" s="241">
        <v>2188</v>
      </c>
      <c r="E88" s="257">
        <v>123290</v>
      </c>
      <c r="F88" s="242">
        <v>30548083156</v>
      </c>
      <c r="G88" s="243" t="str">
        <f>IFERROR(IF(compras_mes6[[#This Row],[CUIT]]="","-",VLOOKUP(compras_mes6[[#This Row],[CUIT]],Lista_CUIT[#All],2,0)),"CUIT NO CARGADO")</f>
        <v>COTO CENTRO INTEGRAL DE COMERCIALIZACION SOCIEDAD ANONIMA</v>
      </c>
      <c r="H88" s="244">
        <v>71602.320000000007</v>
      </c>
      <c r="I88" s="245">
        <f>65462.41*0.21</f>
        <v>13747.106100000001</v>
      </c>
      <c r="J88" s="245"/>
      <c r="K88" s="245">
        <f>6139.91*0.105</f>
        <v>644.69054999999992</v>
      </c>
      <c r="L88" s="245"/>
      <c r="M88" s="245"/>
      <c r="N88" s="245"/>
      <c r="O88" s="245">
        <v>6259.02</v>
      </c>
      <c r="P88" s="494">
        <f>SUM(compras_mes6[[#This Row],[NETO GRAVADO]:[Otros / No Grav.]])</f>
        <v>92253.136650000015</v>
      </c>
      <c r="Q88" s="247" t="str">
        <f>IFERROR(IF(compras_mes6[[#This Row],[CUIT]]="","-",VLOOKUP(compras_mes6[[#This Row],[CUIT]],Lista_CUIT[#All],3,0)),"CUIT NO CARGADO")</f>
        <v>Gastos Varios</v>
      </c>
      <c r="R88" s="247">
        <f>IFERROR(IF(compras_mes6[[#This Row],[CUIT]]="","-",VLOOKUP(compras_mes6[[#This Row],[CUIT]],Lista_CUIT[#All],4,0)),"CUIT NO CARGADO")</f>
        <v>0</v>
      </c>
    </row>
    <row r="89" spans="2:18">
      <c r="B89" s="239">
        <v>45471</v>
      </c>
      <c r="C89" s="240">
        <v>1</v>
      </c>
      <c r="D89" s="241">
        <v>3</v>
      </c>
      <c r="E89" s="257">
        <v>15963</v>
      </c>
      <c r="F89" s="242">
        <v>30540396295</v>
      </c>
      <c r="G89" s="243" t="str">
        <f>IFERROR(IF(compras_mes6[[#This Row],[CUIT]]="","-",VLOOKUP(compras_mes6[[#This Row],[CUIT]],Lista_CUIT[#All],2,0)),"CUIT NO CARGADO")</f>
        <v>ELECTRICIDAD JUJUY S A C E I</v>
      </c>
      <c r="H89" s="244">
        <v>12347.11</v>
      </c>
      <c r="I89" s="245">
        <f>IF(compras_mes6[[#This Row],[NETO GRAVADO]]="","",compras_mes6[[#This Row],[NETO GRAVADO]]*0.21)</f>
        <v>2592.8931000000002</v>
      </c>
      <c r="J89" s="245"/>
      <c r="K89" s="245"/>
      <c r="L89" s="245"/>
      <c r="M89" s="245"/>
      <c r="N89" s="245"/>
      <c r="O89" s="245"/>
      <c r="P89" s="246">
        <f>SUM(compras_mes6[[#This Row],[NETO GRAVADO]:[Otros / No Grav.]])</f>
        <v>14940.003100000002</v>
      </c>
      <c r="Q89" s="247" t="str">
        <f>IFERROR(IF(compras_mes6[[#This Row],[CUIT]]="","-",VLOOKUP(compras_mes6[[#This Row],[CUIT]],Lista_CUIT[#All],3,0)),"CUIT NO CARGADO")</f>
        <v>Gastos Varios</v>
      </c>
      <c r="R89" s="247">
        <f>IFERROR(IF(compras_mes6[[#This Row],[CUIT]]="","-",VLOOKUP(compras_mes6[[#This Row],[CUIT]],Lista_CUIT[#All],4,0)),"CUIT NO CARGADO")</f>
        <v>0</v>
      </c>
    </row>
    <row r="90" spans="2:18">
      <c r="B90" s="239">
        <v>45471</v>
      </c>
      <c r="C90" s="240">
        <v>1</v>
      </c>
      <c r="D90" s="241">
        <v>11</v>
      </c>
      <c r="E90" s="257">
        <v>1595</v>
      </c>
      <c r="F90" s="242">
        <v>30715848232</v>
      </c>
      <c r="G90" s="243" t="str">
        <f>IFERROR(IF(compras_mes6[[#This Row],[CUIT]]="","-",VLOOKUP(compras_mes6[[#This Row],[CUIT]],Lista_CUIT[#All],2,0)),"CUIT NO CARGADO")</f>
        <v>NYT ARDILA S.R.L.</v>
      </c>
      <c r="H90" s="244">
        <v>45067.12</v>
      </c>
      <c r="I90" s="245"/>
      <c r="J90" s="245"/>
      <c r="K90" s="245">
        <f>compras_mes6[[#This Row],[NETO GRAVADO]]*0.105</f>
        <v>4732.0475999999999</v>
      </c>
      <c r="L90" s="245"/>
      <c r="M90" s="245"/>
      <c r="N90" s="245"/>
      <c r="O90" s="245"/>
      <c r="P90" s="246">
        <f>SUM(compras_mes6[[#This Row],[NETO GRAVADO]:[Otros / No Grav.]])</f>
        <v>49799.167600000001</v>
      </c>
      <c r="Q90" s="247" t="str">
        <f>IFERROR(IF(compras_mes6[[#This Row],[CUIT]]="","-",VLOOKUP(compras_mes6[[#This Row],[CUIT]],Lista_CUIT[#All],3,0)),"CUIT NO CARGADO")</f>
        <v>Gastos Varios</v>
      </c>
      <c r="R90" s="247">
        <f>IFERROR(IF(compras_mes6[[#This Row],[CUIT]]="","-",VLOOKUP(compras_mes6[[#This Row],[CUIT]],Lista_CUIT[#All],4,0)),"CUIT NO CARGADO")</f>
        <v>0</v>
      </c>
    </row>
    <row r="91" spans="2:18">
      <c r="B91" s="239">
        <v>45472</v>
      </c>
      <c r="C91" s="240">
        <v>1</v>
      </c>
      <c r="D91" s="241">
        <v>27</v>
      </c>
      <c r="E91" s="257">
        <v>2584444</v>
      </c>
      <c r="F91" s="242">
        <v>30703088534</v>
      </c>
      <c r="G91" s="243" t="str">
        <f>IFERROR(IF(compras_mes6[[#This Row],[CUIT]]="","-",VLOOKUP(compras_mes6[[#This Row],[CUIT]],Lista_CUIT[#All],2,0)),"CUIT NO CARGADO")</f>
        <v>MERCADO LIBRE SRL</v>
      </c>
      <c r="H91" s="244">
        <v>906551.14</v>
      </c>
      <c r="I91" s="245">
        <f>IF(compras_mes6[[#This Row],[NETO GRAVADO]]="","",compras_mes6[[#This Row],[NETO GRAVADO]]*0.21)</f>
        <v>190375.73939999999</v>
      </c>
      <c r="J91" s="245"/>
      <c r="K91" s="245"/>
      <c r="L91" s="245"/>
      <c r="M91" s="245"/>
      <c r="N91" s="245"/>
      <c r="O91" s="245">
        <v>90655.13</v>
      </c>
      <c r="P91" s="494">
        <f>SUM(compras_mes6[[#This Row],[NETO GRAVADO]:[Otros / No Grav.]])</f>
        <v>1187582.0093999999</v>
      </c>
      <c r="Q91" s="247" t="str">
        <f>IFERROR(IF(compras_mes6[[#This Row],[CUIT]]="","-",VLOOKUP(compras_mes6[[#This Row],[CUIT]],Lista_CUIT[#All],3,0)),"CUIT NO CARGADO")</f>
        <v>Gastos Varios</v>
      </c>
      <c r="R91" s="247" t="str">
        <f>IFERROR(IF(compras_mes6[[#This Row],[CUIT]]="","-",VLOOKUP(compras_mes6[[#This Row],[CUIT]],Lista_CUIT[#All],4,0)),"CUIT NO CARGADO")</f>
        <v>CABA</v>
      </c>
    </row>
    <row r="92" spans="2:18">
      <c r="B92" s="239">
        <v>45472</v>
      </c>
      <c r="C92" s="240">
        <v>1</v>
      </c>
      <c r="D92" s="241">
        <v>5</v>
      </c>
      <c r="E92" s="257">
        <v>41220</v>
      </c>
      <c r="F92" s="242">
        <v>30715060546</v>
      </c>
      <c r="G92" s="243" t="str">
        <f>IFERROR(IF(compras_mes6[[#This Row],[CUIT]]="","-",VLOOKUP(compras_mes6[[#This Row],[CUIT]],Lista_CUIT[#All],2,0)),"CUIT NO CARGADO")</f>
        <v>CENTRALFER SA</v>
      </c>
      <c r="H92" s="244">
        <v>6826.45</v>
      </c>
      <c r="I92" s="245">
        <f>IF(compras_mes6[[#This Row],[NETO GRAVADO]]="","",compras_mes6[[#This Row],[NETO GRAVADO]]*0.21)</f>
        <v>1433.5545</v>
      </c>
      <c r="J92" s="245"/>
      <c r="K92" s="245"/>
      <c r="L92" s="245"/>
      <c r="M92" s="245"/>
      <c r="N92" s="245"/>
      <c r="O92" s="245"/>
      <c r="P92" s="246">
        <f>SUM(compras_mes6[[#This Row],[NETO GRAVADO]:[Otros / No Grav.]])</f>
        <v>8260.0044999999991</v>
      </c>
      <c r="Q92" s="247" t="str">
        <f>IFERROR(IF(compras_mes6[[#This Row],[CUIT]]="","-",VLOOKUP(compras_mes6[[#This Row],[CUIT]],Lista_CUIT[#All],3,0)),"CUIT NO CARGADO")</f>
        <v>Gastos Varios</v>
      </c>
      <c r="R92" s="247">
        <f>IFERROR(IF(compras_mes6[[#This Row],[CUIT]]="","-",VLOOKUP(compras_mes6[[#This Row],[CUIT]],Lista_CUIT[#All],4,0)),"CUIT NO CARGADO")</f>
        <v>0</v>
      </c>
    </row>
    <row r="93" spans="2:18">
      <c r="B93" s="89">
        <v>45472</v>
      </c>
      <c r="C93" s="240">
        <v>1</v>
      </c>
      <c r="D93" s="91">
        <v>5</v>
      </c>
      <c r="E93" s="92">
        <v>41219</v>
      </c>
      <c r="F93" s="93">
        <v>30715060546</v>
      </c>
      <c r="G93" s="94" t="str">
        <f>IFERROR(IF(compras_mes6[[#This Row],[CUIT]]="","-",VLOOKUP(compras_mes6[[#This Row],[CUIT]],Lista_CUIT[#All],2,0)),"CUIT NO CARGADO")</f>
        <v>CENTRALFER SA</v>
      </c>
      <c r="H93" s="95">
        <v>3413.22</v>
      </c>
      <c r="I93" s="245">
        <f>IF(compras_mes6[[#This Row],[NETO GRAVADO]]="","",compras_mes6[[#This Row],[NETO GRAVADO]]*0.21)</f>
        <v>716.7761999999999</v>
      </c>
      <c r="J93" s="86"/>
      <c r="K93" s="86"/>
      <c r="L93" s="86"/>
      <c r="M93" s="86"/>
      <c r="N93" s="86"/>
      <c r="O93" s="86"/>
      <c r="P93" s="87">
        <f>SUM(compras_mes6[[#This Row],[NETO GRAVADO]:[Otros / No Grav.]])</f>
        <v>4129.9961999999996</v>
      </c>
      <c r="Q93" s="88" t="str">
        <f>IFERROR(IF(compras_mes6[[#This Row],[CUIT]]="","-",VLOOKUP(compras_mes6[[#This Row],[CUIT]],Lista_CUIT[#All],3,0)),"CUIT NO CARGADO")</f>
        <v>Gastos Varios</v>
      </c>
      <c r="R93" s="88">
        <f>IFERROR(IF(compras_mes6[[#This Row],[CUIT]]="","-",VLOOKUP(compras_mes6[[#This Row],[CUIT]],Lista_CUIT[#All],4,0)),"CUIT NO CARGADO")</f>
        <v>0</v>
      </c>
    </row>
    <row r="94" spans="2:18">
      <c r="B94" s="239">
        <v>45472</v>
      </c>
      <c r="C94" s="240">
        <v>1</v>
      </c>
      <c r="D94" s="241">
        <v>7</v>
      </c>
      <c r="E94" s="257">
        <v>2704</v>
      </c>
      <c r="F94" s="242">
        <v>20134664518</v>
      </c>
      <c r="G94" s="243" t="str">
        <f>IFERROR(IF(compras_mes6[[#This Row],[CUIT]]="","-",VLOOKUP(compras_mes6[[#This Row],[CUIT]],Lista_CUIT[#All],2,0)),"CUIT NO CARGADO")</f>
        <v>HOKAMA SERGIO ENRIQUE</v>
      </c>
      <c r="H94" s="244">
        <v>28193.55</v>
      </c>
      <c r="I94" s="245">
        <f>IF(compras_mes6[[#This Row],[NETO GRAVADO]]="","",compras_mes6[[#This Row],[NETO GRAVADO]]*0.21)</f>
        <v>5920.6454999999996</v>
      </c>
      <c r="J94" s="245"/>
      <c r="K94" s="245"/>
      <c r="L94" s="245"/>
      <c r="M94" s="245"/>
      <c r="N94" s="245"/>
      <c r="O94" s="245"/>
      <c r="P94" s="246">
        <f>SUM(compras_mes6[[#This Row],[NETO GRAVADO]:[Otros / No Grav.]])</f>
        <v>34114.195500000002</v>
      </c>
      <c r="Q94" s="247" t="str">
        <f>IFERROR(IF(compras_mes6[[#This Row],[CUIT]]="","-",VLOOKUP(compras_mes6[[#This Row],[CUIT]],Lista_CUIT[#All],3,0)),"CUIT NO CARGADO")</f>
        <v>Gastos Varios</v>
      </c>
      <c r="R94" s="247" t="str">
        <f>IFERROR(IF(compras_mes6[[#This Row],[CUIT]]="","-",VLOOKUP(compras_mes6[[#This Row],[CUIT]],Lista_CUIT[#All],4,0)),"CUIT NO CARGADO")</f>
        <v>BUENOS AIRES</v>
      </c>
    </row>
    <row r="95" spans="2:18">
      <c r="B95" s="239">
        <v>45472</v>
      </c>
      <c r="C95" s="240">
        <v>3</v>
      </c>
      <c r="D95" s="241">
        <v>5</v>
      </c>
      <c r="E95" s="257">
        <v>273</v>
      </c>
      <c r="F95" s="242">
        <v>30715060546</v>
      </c>
      <c r="G95" s="243" t="str">
        <f>IFERROR(IF(compras_mes6[[#This Row],[CUIT]]="","-",VLOOKUP(compras_mes6[[#This Row],[CUIT]],Lista_CUIT[#All],2,0)),"CUIT NO CARGADO")</f>
        <v>CENTRALFER SA</v>
      </c>
      <c r="H95" s="244">
        <v>-3413.22</v>
      </c>
      <c r="I95" s="245">
        <f>IF(compras_mes6[[#This Row],[NETO GRAVADO]]="","",compras_mes6[[#This Row],[NETO GRAVADO]]*0.21)</f>
        <v>-716.7761999999999</v>
      </c>
      <c r="J95" s="245"/>
      <c r="K95" s="245"/>
      <c r="L95" s="245"/>
      <c r="M95" s="245"/>
      <c r="N95" s="245"/>
      <c r="O95" s="245"/>
      <c r="P95" s="246">
        <f>SUM(compras_mes6[[#This Row],[NETO GRAVADO]:[Otros / No Grav.]])</f>
        <v>-4129.9961999999996</v>
      </c>
      <c r="Q95" s="247" t="str">
        <f>IFERROR(IF(compras_mes6[[#This Row],[CUIT]]="","-",VLOOKUP(compras_mes6[[#This Row],[CUIT]],Lista_CUIT[#All],3,0)),"CUIT NO CARGADO")</f>
        <v>Gastos Varios</v>
      </c>
      <c r="R95" s="247">
        <f>IFERROR(IF(compras_mes6[[#This Row],[CUIT]]="","-",VLOOKUP(compras_mes6[[#This Row],[CUIT]],Lista_CUIT[#All],4,0)),"CUIT NO CARGADO")</f>
        <v>0</v>
      </c>
    </row>
    <row r="96" spans="2:18">
      <c r="B96" s="239">
        <v>45473</v>
      </c>
      <c r="C96" s="240">
        <v>1</v>
      </c>
      <c r="D96" s="241">
        <v>2199</v>
      </c>
      <c r="E96" s="257">
        <v>30243</v>
      </c>
      <c r="F96" s="242">
        <v>30548083156</v>
      </c>
      <c r="G96" s="243" t="str">
        <f>IFERROR(IF(compras_mes6[[#This Row],[CUIT]]="","-",VLOOKUP(compras_mes6[[#This Row],[CUIT]],Lista_CUIT[#All],2,0)),"CUIT NO CARGADO")</f>
        <v>COTO CENTRO INTEGRAL DE COMERCIALIZACION SOCIEDAD ANONIMA</v>
      </c>
      <c r="H96" s="244">
        <v>42364.68</v>
      </c>
      <c r="I96" s="495">
        <f>34509.78*0.21</f>
        <v>7247.0537999999997</v>
      </c>
      <c r="J96" s="245"/>
      <c r="K96" s="245">
        <f>7854.9*0.105</f>
        <v>824.76449999999988</v>
      </c>
      <c r="L96" s="245"/>
      <c r="M96" s="245"/>
      <c r="N96" s="245"/>
      <c r="O96" s="245">
        <v>3205.18</v>
      </c>
      <c r="P96" s="494">
        <f>SUM(compras_mes6[[#This Row],[NETO GRAVADO]:[Otros / No Grav.]])</f>
        <v>53641.6783</v>
      </c>
      <c r="Q96" s="247" t="str">
        <f>IFERROR(IF(compras_mes6[[#This Row],[CUIT]]="","-",VLOOKUP(compras_mes6[[#This Row],[CUIT]],Lista_CUIT[#All],3,0)),"CUIT NO CARGADO")</f>
        <v>Gastos Varios</v>
      </c>
      <c r="R96" s="247">
        <f>IFERROR(IF(compras_mes6[[#This Row],[CUIT]]="","-",VLOOKUP(compras_mes6[[#This Row],[CUIT]],Lista_CUIT[#All],4,0)),"CUIT NO CARGADO")</f>
        <v>0</v>
      </c>
    </row>
    <row r="97" spans="2:18">
      <c r="B97" s="497">
        <v>45461</v>
      </c>
      <c r="C97" s="498"/>
      <c r="D97" s="499">
        <v>236</v>
      </c>
      <c r="E97" s="500">
        <v>594</v>
      </c>
      <c r="F97" s="501">
        <v>30602291487</v>
      </c>
      <c r="G97" s="502" t="str">
        <f>IFERROR(IF(compras_mes6[[#This Row],[CUIT]]="","-",VLOOKUP(compras_mes6[[#This Row],[CUIT]],Lista_CUIT[#All],2,0)),"CUIT NO CARGADO")</f>
        <v>CONBRA S A</v>
      </c>
      <c r="H97" s="503">
        <v>17354.57</v>
      </c>
      <c r="I97" s="504">
        <f>IF(compras_mes6[[#This Row],[NETO GRAVADO]]="","",compras_mes6[[#This Row],[NETO GRAVADO]]*0.21)</f>
        <v>3644.4596999999999</v>
      </c>
      <c r="J97" s="504"/>
      <c r="K97" s="504"/>
      <c r="L97" s="504"/>
      <c r="M97" s="504"/>
      <c r="N97" s="504"/>
      <c r="O97" s="504"/>
      <c r="P97" s="505">
        <f>SUM(compras_mes6[[#This Row],[NETO GRAVADO]:[Otros / No Grav.]])</f>
        <v>20999.029699999999</v>
      </c>
      <c r="Q97" s="506" t="s">
        <v>2699</v>
      </c>
      <c r="R97" s="506">
        <f>IFERROR(IF(compras_mes6[[#This Row],[CUIT]]="","-",VLOOKUP(compras_mes6[[#This Row],[CUIT]],Lista_CUIT[#All],4,0)),"CUIT NO CARGADO")</f>
        <v>0</v>
      </c>
    </row>
    <row r="98" spans="2:18">
      <c r="B98" s="239">
        <v>45462</v>
      </c>
      <c r="C98" s="240">
        <v>1</v>
      </c>
      <c r="D98" s="241">
        <v>3</v>
      </c>
      <c r="E98" s="257">
        <v>9117</v>
      </c>
      <c r="F98" s="242">
        <v>27412102431</v>
      </c>
      <c r="G98" s="243" t="str">
        <f>IFERROR(IF(compras_mes6[[#This Row],[CUIT]]="","-",VLOOKUP(compras_mes6[[#This Row],[CUIT]],Lista_CUIT[#All],2,0)),"CUIT NO CARGADO")</f>
        <v>ALVEZ ARIANA SOL</v>
      </c>
      <c r="H98" s="244">
        <v>59090.9</v>
      </c>
      <c r="I98" s="245">
        <f>IF(compras_mes6[[#This Row],[NETO GRAVADO]]="","",compras_mes6[[#This Row],[NETO GRAVADO]]*0.21)</f>
        <v>12409.089</v>
      </c>
      <c r="J98" s="245"/>
      <c r="K98" s="245"/>
      <c r="L98" s="245"/>
      <c r="M98" s="245"/>
      <c r="N98" s="245"/>
      <c r="O98" s="245"/>
      <c r="P98" s="246">
        <f>SUM(compras_mes6[[#This Row],[NETO GRAVADO]:[Otros / No Grav.]])</f>
        <v>71499.989000000001</v>
      </c>
      <c r="Q98" s="49" t="s">
        <v>79</v>
      </c>
      <c r="R98" s="247">
        <f>IFERROR(IF(compras_mes6[[#This Row],[CUIT]]="","-",VLOOKUP(compras_mes6[[#This Row],[CUIT]],Lista_CUIT[#All],4,0)),"CUIT NO CARGADO")</f>
        <v>0</v>
      </c>
    </row>
    <row r="99" spans="2:18">
      <c r="B99" s="239">
        <v>45471</v>
      </c>
      <c r="C99" s="240">
        <v>1</v>
      </c>
      <c r="D99" s="241">
        <v>2</v>
      </c>
      <c r="E99" s="257">
        <v>8475</v>
      </c>
      <c r="F99" s="242">
        <v>30714284963</v>
      </c>
      <c r="G99" s="243" t="str">
        <f>IFERROR(IF(compras_mes6[[#This Row],[CUIT]]="","-",VLOOKUP(compras_mes6[[#This Row],[CUIT]],Lista_CUIT[#All],2,0)),"CUIT NO CARGADO")</f>
        <v>ENGYMAN SRL</v>
      </c>
      <c r="H99" s="244">
        <v>119900</v>
      </c>
      <c r="I99" s="245">
        <f>IF(compras_mes6[[#This Row],[NETO GRAVADO]]="","",compras_mes6[[#This Row],[NETO GRAVADO]]*0.21)</f>
        <v>25179</v>
      </c>
      <c r="J99" s="245"/>
      <c r="K99" s="245"/>
      <c r="L99" s="245"/>
      <c r="M99" s="245"/>
      <c r="N99" s="245"/>
      <c r="O99" s="245"/>
      <c r="P99" s="246">
        <f>SUM(compras_mes6[[#This Row],[NETO GRAVADO]:[Otros / No Grav.]])</f>
        <v>145079</v>
      </c>
      <c r="Q99" s="247" t="str">
        <f>IFERROR(IF(compras_mes6[[#This Row],[CUIT]]="","-",VLOOKUP(compras_mes6[[#This Row],[CUIT]],Lista_CUIT[#All],3,0)),"CUIT NO CARGADO")</f>
        <v>Gastos Varios</v>
      </c>
      <c r="R99" s="247">
        <f>IFERROR(IF(compras_mes6[[#This Row],[CUIT]]="","-",VLOOKUP(compras_mes6[[#This Row],[CUIT]],Lista_CUIT[#All],4,0)),"CUIT NO CARGADO")</f>
        <v>0</v>
      </c>
    </row>
    <row r="100" spans="2:18">
      <c r="B100" s="239">
        <v>45446</v>
      </c>
      <c r="C100" s="240">
        <v>1</v>
      </c>
      <c r="D100" s="241">
        <v>4</v>
      </c>
      <c r="E100" s="257">
        <v>9986</v>
      </c>
      <c r="F100" s="242">
        <v>30694547903</v>
      </c>
      <c r="G100" s="243" t="str">
        <f>IFERROR(IF(compras_mes6[[#This Row],[CUIT]]="","-",VLOOKUP(compras_mes6[[#This Row],[CUIT]],Lista_CUIT[#All],2,0)),"CUIT NO CARGADO")</f>
        <v>MULTICAJAS S A</v>
      </c>
      <c r="H100" s="244">
        <v>1315500</v>
      </c>
      <c r="I100" s="245">
        <f>IF(compras_mes6[[#This Row],[NETO GRAVADO]]="","",compras_mes6[[#This Row],[NETO GRAVADO]]*0.21)</f>
        <v>276255</v>
      </c>
      <c r="J100" s="245"/>
      <c r="K100" s="245"/>
      <c r="L100" s="245"/>
      <c r="M100" s="245"/>
      <c r="N100" s="245"/>
      <c r="O100" s="245"/>
      <c r="P100" s="246">
        <f>SUM(compras_mes6[[#This Row],[NETO GRAVADO]:[Otros / No Grav.]])</f>
        <v>1591755</v>
      </c>
      <c r="Q100" s="247" t="str">
        <f>IFERROR(IF(compras_mes6[[#This Row],[CUIT]]="","-",VLOOKUP(compras_mes6[[#This Row],[CUIT]],Lista_CUIT[#All],3,0)),"CUIT NO CARGADO")</f>
        <v>LIBRERÍA</v>
      </c>
      <c r="R100" s="247">
        <f>IFERROR(IF(compras_mes6[[#This Row],[CUIT]]="","-",VLOOKUP(compras_mes6[[#This Row],[CUIT]],Lista_CUIT[#All],4,0)),"CUIT NO CARGADO")</f>
        <v>0</v>
      </c>
    </row>
    <row r="101" spans="2:18">
      <c r="B101" s="239">
        <v>45448</v>
      </c>
      <c r="C101" s="240">
        <v>1</v>
      </c>
      <c r="D101" s="241">
        <v>13</v>
      </c>
      <c r="E101" s="257">
        <v>13080</v>
      </c>
      <c r="F101" s="242">
        <v>20172002448</v>
      </c>
      <c r="G101" s="243" t="str">
        <f>IFERROR(IF(compras_mes6[[#This Row],[CUIT]]="","-",VLOOKUP(compras_mes6[[#This Row],[CUIT]],Lista_CUIT[#All],2,0)),"CUIT NO CARGADO")</f>
        <v>ALVAREZ MIGUEL ANGEL</v>
      </c>
      <c r="H101" s="244">
        <v>46874.21</v>
      </c>
      <c r="I101" s="245">
        <f>IF(compras_mes6[[#This Row],[NETO GRAVADO]]="","",compras_mes6[[#This Row],[NETO GRAVADO]]*0.21)</f>
        <v>9843.5841</v>
      </c>
      <c r="J101" s="245"/>
      <c r="K101" s="245"/>
      <c r="L101" s="245"/>
      <c r="M101" s="245"/>
      <c r="N101" s="245"/>
      <c r="O101" s="245"/>
      <c r="P101" s="246">
        <f>SUM(compras_mes6[[#This Row],[NETO GRAVADO]:[Otros / No Grav.]])</f>
        <v>56717.794099999999</v>
      </c>
      <c r="Q101" s="247" t="str">
        <f>IFERROR(IF(compras_mes6[[#This Row],[CUIT]]="","-",VLOOKUP(compras_mes6[[#This Row],[CUIT]],Lista_CUIT[#All],3,0)),"CUIT NO CARGADO")</f>
        <v>LIBRERÍA</v>
      </c>
      <c r="R101" s="247">
        <f>IFERROR(IF(compras_mes6[[#This Row],[CUIT]]="","-",VLOOKUP(compras_mes6[[#This Row],[CUIT]],Lista_CUIT[#All],4,0)),"CUIT NO CARGADO")</f>
        <v>0</v>
      </c>
    </row>
    <row r="102" spans="2:18">
      <c r="B102" s="239">
        <v>45450</v>
      </c>
      <c r="C102" s="240">
        <v>1</v>
      </c>
      <c r="D102" s="241">
        <v>24</v>
      </c>
      <c r="E102" s="257">
        <v>84131</v>
      </c>
      <c r="F102" s="242">
        <v>30707838260</v>
      </c>
      <c r="G102" s="243" t="str">
        <f>IFERROR(IF(compras_mes6[[#This Row],[CUIT]]="","-",VLOOKUP(compras_mes6[[#This Row],[CUIT]],Lista_CUIT[#All],2,0)),"CUIT NO CARGADO")</f>
        <v>EL INSUMO S.R.L.</v>
      </c>
      <c r="H102" s="244">
        <v>26467.279999999999</v>
      </c>
      <c r="I102" s="245">
        <f>IF(compras_mes6[[#This Row],[NETO GRAVADO]]="","",compras_mes6[[#This Row],[NETO GRAVADO]]*0.21)</f>
        <v>5558.1287999999995</v>
      </c>
      <c r="J102" s="245"/>
      <c r="K102" s="245"/>
      <c r="L102" s="245"/>
      <c r="M102" s="245"/>
      <c r="N102" s="245">
        <v>1588.04</v>
      </c>
      <c r="O102" s="245"/>
      <c r="P102" s="246">
        <f>SUM(compras_mes6[[#This Row],[NETO GRAVADO]:[Otros / No Grav.]])</f>
        <v>33613.448799999998</v>
      </c>
      <c r="Q102" s="247" t="str">
        <f>IFERROR(IF(compras_mes6[[#This Row],[CUIT]]="","-",VLOOKUP(compras_mes6[[#This Row],[CUIT]],Lista_CUIT[#All],3,0)),"CUIT NO CARGADO")</f>
        <v>LIBRERÍA</v>
      </c>
      <c r="R102" s="247">
        <f>IFERROR(IF(compras_mes6[[#This Row],[CUIT]]="","-",VLOOKUP(compras_mes6[[#This Row],[CUIT]],Lista_CUIT[#All],4,0)),"CUIT NO CARGADO")</f>
        <v>0</v>
      </c>
    </row>
    <row r="103" spans="2:18">
      <c r="B103" s="239">
        <v>45454</v>
      </c>
      <c r="C103" s="240">
        <v>1</v>
      </c>
      <c r="D103" s="241">
        <v>24</v>
      </c>
      <c r="E103" s="257">
        <v>84372</v>
      </c>
      <c r="F103" s="242">
        <v>30707838260</v>
      </c>
      <c r="G103" s="243" t="str">
        <f>IFERROR(IF(compras_mes6[[#This Row],[CUIT]]="","-",VLOOKUP(compras_mes6[[#This Row],[CUIT]],Lista_CUIT[#All],2,0)),"CUIT NO CARGADO")</f>
        <v>EL INSUMO S.R.L.</v>
      </c>
      <c r="H103" s="244">
        <v>41801.65</v>
      </c>
      <c r="I103" s="245">
        <f>IF(compras_mes6[[#This Row],[NETO GRAVADO]]="","",compras_mes6[[#This Row],[NETO GRAVADO]]*0.21)</f>
        <v>8778.3464999999997</v>
      </c>
      <c r="J103" s="245"/>
      <c r="K103" s="245"/>
      <c r="L103" s="245"/>
      <c r="M103" s="245"/>
      <c r="N103" s="245">
        <v>2508.1</v>
      </c>
      <c r="O103" s="245"/>
      <c r="P103" s="494">
        <f>SUM(compras_mes6[[#This Row],[NETO GRAVADO]:[Otros / No Grav.]])</f>
        <v>53088.0965</v>
      </c>
      <c r="Q103" s="247" t="str">
        <f>IFERROR(IF(compras_mes6[[#This Row],[CUIT]]="","-",VLOOKUP(compras_mes6[[#This Row],[CUIT]],Lista_CUIT[#All],3,0)),"CUIT NO CARGADO")</f>
        <v>LIBRERÍA</v>
      </c>
      <c r="R103" s="247">
        <f>IFERROR(IF(compras_mes6[[#This Row],[CUIT]]="","-",VLOOKUP(compras_mes6[[#This Row],[CUIT]],Lista_CUIT[#All],4,0)),"CUIT NO CARGADO")</f>
        <v>0</v>
      </c>
    </row>
    <row r="104" spans="2:18">
      <c r="B104" s="239">
        <v>45470</v>
      </c>
      <c r="C104" s="240">
        <v>1</v>
      </c>
      <c r="D104" s="241">
        <v>5</v>
      </c>
      <c r="E104" s="257">
        <v>32445</v>
      </c>
      <c r="F104" s="242">
        <v>20351173913</v>
      </c>
      <c r="G104" s="243" t="str">
        <f>IFERROR(IF(compras_mes6[[#This Row],[CUIT]]="","-",VLOOKUP(compras_mes6[[#This Row],[CUIT]],Lista_CUIT[#All],2,0)),"CUIT NO CARGADO")</f>
        <v>SOLANS SEBASTIAN DARIO</v>
      </c>
      <c r="H104" s="244">
        <v>19105.79</v>
      </c>
      <c r="I104" s="245">
        <f>IF(compras_mes6[[#This Row],[NETO GRAVADO]]="","",compras_mes6[[#This Row],[NETO GRAVADO]]*0.21)</f>
        <v>4012.2159000000001</v>
      </c>
      <c r="J104" s="245"/>
      <c r="K104" s="245"/>
      <c r="L104" s="245"/>
      <c r="M104" s="245"/>
      <c r="N104" s="245"/>
      <c r="O104" s="245"/>
      <c r="P104" s="246">
        <f>SUM(compras_mes6[[#This Row],[NETO GRAVADO]:[Otros / No Grav.]])</f>
        <v>23118.0059</v>
      </c>
      <c r="Q104" s="247" t="str">
        <f>IFERROR(IF(compras_mes6[[#This Row],[CUIT]]="","-",VLOOKUP(compras_mes6[[#This Row],[CUIT]],Lista_CUIT[#All],3,0)),"CUIT NO CARGADO")</f>
        <v>LIBRERÍA</v>
      </c>
      <c r="R104" s="247">
        <f>IFERROR(IF(compras_mes6[[#This Row],[CUIT]]="","-",VLOOKUP(compras_mes6[[#This Row],[CUIT]],Lista_CUIT[#All],4,0)),"CUIT NO CARGADO")</f>
        <v>0</v>
      </c>
    </row>
    <row r="105" spans="2:18">
      <c r="B105" s="239">
        <v>45470</v>
      </c>
      <c r="C105" s="240">
        <v>1</v>
      </c>
      <c r="D105" s="241">
        <v>4</v>
      </c>
      <c r="E105" s="257">
        <v>18310</v>
      </c>
      <c r="F105" s="242">
        <v>20328816807</v>
      </c>
      <c r="G105" s="243" t="str">
        <f>IFERROR(IF(compras_mes6[[#This Row],[CUIT]]="","-",VLOOKUP(compras_mes6[[#This Row],[CUIT]],Lista_CUIT[#All],2,0)),"CUIT NO CARGADO")</f>
        <v>LUPONE ALBANO SEBASTIAN</v>
      </c>
      <c r="H105" s="244">
        <v>130648.76</v>
      </c>
      <c r="I105" s="245">
        <f>IF(compras_mes6[[#This Row],[NETO GRAVADO]]="","",compras_mes6[[#This Row],[NETO GRAVADO]]*0.21)</f>
        <v>27436.239599999997</v>
      </c>
      <c r="J105" s="245"/>
      <c r="K105" s="245"/>
      <c r="L105" s="245"/>
      <c r="M105" s="245"/>
      <c r="N105" s="245"/>
      <c r="O105" s="245"/>
      <c r="P105" s="246">
        <f>SUM(compras_mes6[[#This Row],[NETO GRAVADO]:[Otros / No Grav.]])</f>
        <v>158084.99959999998</v>
      </c>
      <c r="Q105" s="247" t="str">
        <f>IFERROR(IF(compras_mes6[[#This Row],[CUIT]]="","-",VLOOKUP(compras_mes6[[#This Row],[CUIT]],Lista_CUIT[#All],3,0)),"CUIT NO CARGADO")</f>
        <v>LIBRERÍA</v>
      </c>
      <c r="R105" s="247">
        <f>IFERROR(IF(compras_mes6[[#This Row],[CUIT]]="","-",VLOOKUP(compras_mes6[[#This Row],[CUIT]],Lista_CUIT[#All],4,0)),"CUIT NO CARGADO")</f>
        <v>0</v>
      </c>
    </row>
    <row r="106" spans="2:18">
      <c r="B106" s="239">
        <v>45448</v>
      </c>
      <c r="C106" s="240">
        <v>1</v>
      </c>
      <c r="D106" s="241">
        <v>1</v>
      </c>
      <c r="E106" s="257">
        <v>4</v>
      </c>
      <c r="F106" s="242">
        <v>30717504824</v>
      </c>
      <c r="G106" s="243" t="str">
        <f>IFERROR(IF(compras_mes6[[#This Row],[CUIT]]="","-",VLOOKUP(compras_mes6[[#This Row],[CUIT]],Lista_CUIT[#All],2,0)),"CUIT NO CARGADO")</f>
        <v>FIDEICOMISO MAMBA</v>
      </c>
      <c r="H106" s="244">
        <v>2322352.9500000002</v>
      </c>
      <c r="I106" s="245"/>
      <c r="J106" s="245"/>
      <c r="K106" s="245">
        <f>compras_mes6[[#This Row],[NETO GRAVADO]]*0.105</f>
        <v>243847.05975000001</v>
      </c>
      <c r="L106" s="245"/>
      <c r="M106" s="245"/>
      <c r="N106" s="245"/>
      <c r="O106" s="245"/>
      <c r="P106" s="246">
        <f>SUM(compras_mes6[[#This Row],[NETO GRAVADO]:[Otros / No Grav.]])</f>
        <v>2566200.0097500002</v>
      </c>
      <c r="Q106" s="247" t="str">
        <f>IFERROR(IF(compras_mes6[[#This Row],[CUIT]]="","-",VLOOKUP(compras_mes6[[#This Row],[CUIT]],Lista_CUIT[#All],3,0)),"CUIT NO CARGADO")</f>
        <v>MANTENIMIENTO</v>
      </c>
      <c r="R106" s="247">
        <f>IFERROR(IF(compras_mes6[[#This Row],[CUIT]]="","-",VLOOKUP(compras_mes6[[#This Row],[CUIT]],Lista_CUIT[#All],4,0)),"CUIT NO CARGADO")</f>
        <v>0</v>
      </c>
    </row>
    <row r="107" spans="2:18">
      <c r="B107" s="239">
        <v>45449</v>
      </c>
      <c r="C107" s="240">
        <v>1</v>
      </c>
      <c r="D107" s="241">
        <v>6</v>
      </c>
      <c r="E107" s="257">
        <v>805</v>
      </c>
      <c r="F107" s="242">
        <v>30645186083</v>
      </c>
      <c r="G107" s="243" t="str">
        <f>IFERROR(IF(compras_mes6[[#This Row],[CUIT]]="","-",VLOOKUP(compras_mes6[[#This Row],[CUIT]],Lista_CUIT[#All],2,0)),"CUIT NO CARGADO")</f>
        <v>COMERCIAL REPUBLICA S.R.L.</v>
      </c>
      <c r="H107" s="244">
        <v>6611.57</v>
      </c>
      <c r="I107" s="245">
        <f>IF(compras_mes6[[#This Row],[NETO GRAVADO]]="","",compras_mes6[[#This Row],[NETO GRAVADO]]*0.21)</f>
        <v>1388.4296999999999</v>
      </c>
      <c r="J107" s="245"/>
      <c r="K107" s="245"/>
      <c r="L107" s="245"/>
      <c r="M107" s="245"/>
      <c r="N107" s="245"/>
      <c r="O107" s="245"/>
      <c r="P107" s="246">
        <f>SUM(compras_mes6[[#This Row],[NETO GRAVADO]:[Otros / No Grav.]])</f>
        <v>7999.9996999999994</v>
      </c>
      <c r="Q107" s="247" t="str">
        <f>IFERROR(IF(compras_mes6[[#This Row],[CUIT]]="","-",VLOOKUP(compras_mes6[[#This Row],[CUIT]],Lista_CUIT[#All],3,0)),"CUIT NO CARGADO")</f>
        <v>MANTENIMIENTO</v>
      </c>
      <c r="R107" s="247">
        <f>IFERROR(IF(compras_mes6[[#This Row],[CUIT]]="","-",VLOOKUP(compras_mes6[[#This Row],[CUIT]],Lista_CUIT[#All],4,0)),"CUIT NO CARGADO")</f>
        <v>0</v>
      </c>
    </row>
    <row r="108" spans="2:18">
      <c r="B108" s="239">
        <v>45449</v>
      </c>
      <c r="C108" s="240">
        <v>1</v>
      </c>
      <c r="D108" s="241">
        <v>6</v>
      </c>
      <c r="E108" s="257">
        <v>804</v>
      </c>
      <c r="F108" s="242">
        <v>30645186083</v>
      </c>
      <c r="G108" s="243" t="str">
        <f>IFERROR(IF(compras_mes6[[#This Row],[CUIT]]="","-",VLOOKUP(compras_mes6[[#This Row],[CUIT]],Lista_CUIT[#All],2,0)),"CUIT NO CARGADO")</f>
        <v>COMERCIAL REPUBLICA S.R.L.</v>
      </c>
      <c r="H108" s="244">
        <v>57339.67</v>
      </c>
      <c r="I108" s="245">
        <f>IF(compras_mes6[[#This Row],[NETO GRAVADO]]="","",compras_mes6[[#This Row],[NETO GRAVADO]]*0.21)</f>
        <v>12041.330699999999</v>
      </c>
      <c r="J108" s="245"/>
      <c r="K108" s="245"/>
      <c r="L108" s="245"/>
      <c r="M108" s="245"/>
      <c r="N108" s="245"/>
      <c r="O108" s="245"/>
      <c r="P108" s="246">
        <f>SUM(compras_mes6[[#This Row],[NETO GRAVADO]:[Otros / No Grav.]])</f>
        <v>69381.000700000004</v>
      </c>
      <c r="Q108" s="247" t="str">
        <f>IFERROR(IF(compras_mes6[[#This Row],[CUIT]]="","-",VLOOKUP(compras_mes6[[#This Row],[CUIT]],Lista_CUIT[#All],3,0)),"CUIT NO CARGADO")</f>
        <v>MANTENIMIENTO</v>
      </c>
      <c r="R108" s="247">
        <f>IFERROR(IF(compras_mes6[[#This Row],[CUIT]]="","-",VLOOKUP(compras_mes6[[#This Row],[CUIT]],Lista_CUIT[#All],4,0)),"CUIT NO CARGADO")</f>
        <v>0</v>
      </c>
    </row>
    <row r="109" spans="2:18">
      <c r="B109" s="239">
        <v>45457</v>
      </c>
      <c r="C109" s="240">
        <v>1</v>
      </c>
      <c r="D109" s="241">
        <v>15</v>
      </c>
      <c r="E109" s="257">
        <v>1570</v>
      </c>
      <c r="F109" s="242">
        <v>20222798397</v>
      </c>
      <c r="G109" s="243" t="str">
        <f>IFERROR(IF(compras_mes6[[#This Row],[CUIT]]="","-",VLOOKUP(compras_mes6[[#This Row],[CUIT]],Lista_CUIT[#All],2,0)),"CUIT NO CARGADO")</f>
        <v>MICELI DARIO FRANCISCO</v>
      </c>
      <c r="H109" s="244">
        <v>141239.91</v>
      </c>
      <c r="I109" s="245">
        <f>IF(compras_mes6[[#This Row],[NETO GRAVADO]]="","",compras_mes6[[#This Row],[NETO GRAVADO]]*0.21)</f>
        <v>29660.381099999999</v>
      </c>
      <c r="J109" s="245"/>
      <c r="K109" s="245"/>
      <c r="L109" s="245"/>
      <c r="M109" s="245"/>
      <c r="N109" s="245"/>
      <c r="O109" s="245"/>
      <c r="P109" s="246">
        <f>SUM(compras_mes6[[#This Row],[NETO GRAVADO]:[Otros / No Grav.]])</f>
        <v>170900.2911</v>
      </c>
      <c r="Q109" s="49" t="s">
        <v>2661</v>
      </c>
      <c r="R109" s="247">
        <f>IFERROR(IF(compras_mes6[[#This Row],[CUIT]]="","-",VLOOKUP(compras_mes6[[#This Row],[CUIT]],Lista_CUIT[#All],4,0)),"CUIT NO CARGADO")</f>
        <v>0</v>
      </c>
    </row>
    <row r="110" spans="2:18">
      <c r="B110" s="239">
        <v>45447</v>
      </c>
      <c r="C110" s="240">
        <v>1</v>
      </c>
      <c r="D110" s="241">
        <v>14</v>
      </c>
      <c r="E110" s="257">
        <v>12579</v>
      </c>
      <c r="F110" s="242">
        <v>30709705268</v>
      </c>
      <c r="G110" s="243" t="str">
        <f>IFERROR(IF(compras_mes6[[#This Row],[CUIT]]="","-",VLOOKUP(compras_mes6[[#This Row],[CUIT]],Lista_CUIT[#All],2,0)),"CUIT NO CARGADO")</f>
        <v>DANLAY SRL</v>
      </c>
      <c r="H110" s="244">
        <v>53633.440000000002</v>
      </c>
      <c r="I110" s="245">
        <f>IF(compras_mes6[[#This Row],[NETO GRAVADO]]="","",compras_mes6[[#This Row],[NETO GRAVADO]]*0.21)</f>
        <v>11263.0224</v>
      </c>
      <c r="J110" s="245"/>
      <c r="K110" s="245"/>
      <c r="L110" s="245"/>
      <c r="M110" s="245"/>
      <c r="N110" s="245"/>
      <c r="O110" s="245"/>
      <c r="P110" s="246">
        <f>SUM(compras_mes6[[#This Row],[NETO GRAVADO]:[Otros / No Grav.]])</f>
        <v>64896.462400000004</v>
      </c>
      <c r="Q110" s="247" t="str">
        <f>IFERROR(IF(compras_mes6[[#This Row],[CUIT]]="","-",VLOOKUP(compras_mes6[[#This Row],[CUIT]],Lista_CUIT[#All],3,0)),"CUIT NO CARGADO")</f>
        <v>Mantenimiento Rodado</v>
      </c>
      <c r="R110" s="247">
        <f>IFERROR(IF(compras_mes6[[#This Row],[CUIT]]="","-",VLOOKUP(compras_mes6[[#This Row],[CUIT]],Lista_CUIT[#All],4,0)),"CUIT NO CARGADO")</f>
        <v>0</v>
      </c>
    </row>
    <row r="111" spans="2:18">
      <c r="B111" s="239">
        <v>45449</v>
      </c>
      <c r="C111" s="240">
        <v>1</v>
      </c>
      <c r="D111" s="241">
        <v>11</v>
      </c>
      <c r="E111" s="257">
        <v>78806</v>
      </c>
      <c r="F111" s="242">
        <v>30534051049</v>
      </c>
      <c r="G111" s="243" t="str">
        <f>IFERROR(IF(compras_mes6[[#This Row],[CUIT]]="","-",VLOOKUP(compras_mes6[[#This Row],[CUIT]],Lista_CUIT[#All],2,0)),"CUIT NO CARGADO")</f>
        <v>PLIN METAL S A</v>
      </c>
      <c r="H111" s="244">
        <v>8649.81</v>
      </c>
      <c r="I111" s="245">
        <f>IF(compras_mes6[[#This Row],[NETO GRAVADO]]="","",compras_mes6[[#This Row],[NETO GRAVADO]]*0.21)</f>
        <v>1816.4600999999998</v>
      </c>
      <c r="J111" s="245"/>
      <c r="K111" s="245"/>
      <c r="L111" s="245"/>
      <c r="M111" s="245"/>
      <c r="N111" s="245"/>
      <c r="O111" s="245"/>
      <c r="P111" s="246">
        <f>SUM(compras_mes6[[#This Row],[NETO GRAVADO]:[Otros / No Grav.]])</f>
        <v>10466.2701</v>
      </c>
      <c r="Q111" s="247" t="str">
        <f>IFERROR(IF(compras_mes6[[#This Row],[CUIT]]="","-",VLOOKUP(compras_mes6[[#This Row],[CUIT]],Lista_CUIT[#All],3,0)),"CUIT NO CARGADO")</f>
        <v>Materia Prima</v>
      </c>
      <c r="R111" s="247">
        <f>IFERROR(IF(compras_mes6[[#This Row],[CUIT]]="","-",VLOOKUP(compras_mes6[[#This Row],[CUIT]],Lista_CUIT[#All],4,0)),"CUIT NO CARGADO")</f>
        <v>0</v>
      </c>
    </row>
    <row r="112" spans="2:18">
      <c r="B112" s="239">
        <v>45450</v>
      </c>
      <c r="C112" s="240">
        <v>1</v>
      </c>
      <c r="D112" s="241">
        <v>4</v>
      </c>
      <c r="E112" s="257">
        <v>46374</v>
      </c>
      <c r="F112" s="242">
        <v>30709863076</v>
      </c>
      <c r="G112" s="243" t="str">
        <f>IFERROR(IF(compras_mes6[[#This Row],[CUIT]]="","-",VLOOKUP(compras_mes6[[#This Row],[CUIT]],Lista_CUIT[#All],2,0)),"CUIT NO CARGADO")</f>
        <v>INDUSTRIAS PLASTICOS SALTA S.R.L.</v>
      </c>
      <c r="H112" s="244">
        <v>131074.39000000001</v>
      </c>
      <c r="I112" s="245">
        <f>IF(compras_mes6[[#This Row],[NETO GRAVADO]]="","",compras_mes6[[#This Row],[NETO GRAVADO]]*0.21)</f>
        <v>27525.621900000002</v>
      </c>
      <c r="J112" s="245"/>
      <c r="K112" s="245"/>
      <c r="L112" s="245"/>
      <c r="M112" s="245"/>
      <c r="N112" s="245"/>
      <c r="O112" s="245"/>
      <c r="P112" s="246">
        <f>SUM(compras_mes6[[#This Row],[NETO GRAVADO]:[Otros / No Grav.]])</f>
        <v>158600.01190000001</v>
      </c>
      <c r="Q112" s="247" t="str">
        <f>IFERROR(IF(compras_mes6[[#This Row],[CUIT]]="","-",VLOOKUP(compras_mes6[[#This Row],[CUIT]],Lista_CUIT[#All],3,0)),"CUIT NO CARGADO")</f>
        <v>Materia Prima</v>
      </c>
      <c r="R112" s="247">
        <f>IFERROR(IF(compras_mes6[[#This Row],[CUIT]]="","-",VLOOKUP(compras_mes6[[#This Row],[CUIT]],Lista_CUIT[#All],4,0)),"CUIT NO CARGADO")</f>
        <v>0</v>
      </c>
    </row>
    <row r="113" spans="2:18">
      <c r="B113" s="239">
        <v>45456</v>
      </c>
      <c r="C113" s="240">
        <v>1</v>
      </c>
      <c r="D113" s="241">
        <v>2</v>
      </c>
      <c r="E113" s="257">
        <v>58217</v>
      </c>
      <c r="F113" s="242">
        <v>30504507870</v>
      </c>
      <c r="G113" s="243" t="str">
        <f>IFERROR(IF(compras_mes6[[#This Row],[CUIT]]="","-",VLOOKUP(compras_mes6[[#This Row],[CUIT]],Lista_CUIT[#All],2,0)),"CUIT NO CARGADO")</f>
        <v>FABRIQUIMICA S.A.U.</v>
      </c>
      <c r="H113" s="244">
        <v>516672</v>
      </c>
      <c r="I113" s="245">
        <f>IF(compras_mes6[[#This Row],[NETO GRAVADO]]="","",compras_mes6[[#This Row],[NETO GRAVADO]]*0.21)</f>
        <v>108501.12</v>
      </c>
      <c r="J113" s="245"/>
      <c r="K113" s="245"/>
      <c r="L113" s="245"/>
      <c r="M113" s="245"/>
      <c r="N113" s="245"/>
      <c r="O113" s="245"/>
      <c r="P113" s="246">
        <f>SUM(compras_mes6[[#This Row],[NETO GRAVADO]:[Otros / No Grav.]])</f>
        <v>625173.12</v>
      </c>
      <c r="Q113" s="247" t="str">
        <f>IFERROR(IF(compras_mes6[[#This Row],[CUIT]]="","-",VLOOKUP(compras_mes6[[#This Row],[CUIT]],Lista_CUIT[#All],3,0)),"CUIT NO CARGADO")</f>
        <v>Materia Prima</v>
      </c>
      <c r="R113" s="247">
        <f>IFERROR(IF(compras_mes6[[#This Row],[CUIT]]="","-",VLOOKUP(compras_mes6[[#This Row],[CUIT]],Lista_CUIT[#All],4,0)),"CUIT NO CARGADO")</f>
        <v>0</v>
      </c>
    </row>
    <row r="114" spans="2:18">
      <c r="B114" s="239">
        <v>45470</v>
      </c>
      <c r="C114" s="240">
        <v>1</v>
      </c>
      <c r="D114" s="241">
        <v>11</v>
      </c>
      <c r="E114" s="257">
        <v>79099</v>
      </c>
      <c r="F114" s="242">
        <v>30534051049</v>
      </c>
      <c r="G114" s="243" t="str">
        <f>IFERROR(IF(compras_mes6[[#This Row],[CUIT]]="","-",VLOOKUP(compras_mes6[[#This Row],[CUIT]],Lista_CUIT[#All],2,0)),"CUIT NO CARGADO")</f>
        <v>PLIN METAL S A</v>
      </c>
      <c r="H114" s="244">
        <v>85730.09</v>
      </c>
      <c r="I114" s="495">
        <f>79033.01*0.21</f>
        <v>16596.932099999998</v>
      </c>
      <c r="J114" s="245"/>
      <c r="K114" s="245">
        <f>6697.08*0.105</f>
        <v>703.1934</v>
      </c>
      <c r="L114" s="245"/>
      <c r="M114" s="245"/>
      <c r="N114" s="245"/>
      <c r="O114" s="245"/>
      <c r="P114" s="246">
        <f>SUM(compras_mes6[[#This Row],[NETO GRAVADO]:[Otros / No Grav.]])</f>
        <v>103030.21550000001</v>
      </c>
      <c r="Q114" s="247" t="str">
        <f>IFERROR(IF(compras_mes6[[#This Row],[CUIT]]="","-",VLOOKUP(compras_mes6[[#This Row],[CUIT]],Lista_CUIT[#All],3,0)),"CUIT NO CARGADO")</f>
        <v>Materia Prima</v>
      </c>
      <c r="R114" s="247">
        <f>IFERROR(IF(compras_mes6[[#This Row],[CUIT]]="","-",VLOOKUP(compras_mes6[[#This Row],[CUIT]],Lista_CUIT[#All],4,0)),"CUIT NO CARGADO")</f>
        <v>0</v>
      </c>
    </row>
    <row r="115" spans="2:18">
      <c r="B115" s="239">
        <v>45447</v>
      </c>
      <c r="C115" s="240">
        <v>1</v>
      </c>
      <c r="D115" s="241">
        <v>9</v>
      </c>
      <c r="E115" s="257">
        <v>838</v>
      </c>
      <c r="F115" s="242">
        <v>30710446047</v>
      </c>
      <c r="G115" s="243" t="str">
        <f>IFERROR(IF(compras_mes6[[#This Row],[CUIT]]="","-",VLOOKUP(compras_mes6[[#This Row],[CUIT]],Lista_CUIT[#All],2,0)),"CUIT NO CARGADO")</f>
        <v>ENSAMBLE GRAFICO S.H.</v>
      </c>
      <c r="H115" s="244">
        <v>1516190</v>
      </c>
      <c r="I115" s="245">
        <f>IF(compras_mes6[[#This Row],[NETO GRAVADO]]="","",compras_mes6[[#This Row],[NETO GRAVADO]]*0.21)</f>
        <v>318399.89999999997</v>
      </c>
      <c r="J115" s="245"/>
      <c r="K115" s="245"/>
      <c r="L115" s="245"/>
      <c r="M115" s="245"/>
      <c r="N115" s="245"/>
      <c r="O115" s="245"/>
      <c r="P115" s="246">
        <f>SUM(compras_mes6[[#This Row],[NETO GRAVADO]:[Otros / No Grav.]])</f>
        <v>1834589.9</v>
      </c>
      <c r="Q115" s="247" t="str">
        <f>IFERROR(IF(compras_mes6[[#This Row],[CUIT]]="","-",VLOOKUP(compras_mes6[[#This Row],[CUIT]],Lista_CUIT[#All],3,0)),"CUIT NO CARGADO")</f>
        <v>Material de Empaque</v>
      </c>
      <c r="R115" s="247">
        <f>IFERROR(IF(compras_mes6[[#This Row],[CUIT]]="","-",VLOOKUP(compras_mes6[[#This Row],[CUIT]],Lista_CUIT[#All],4,0)),"CUIT NO CARGADO")</f>
        <v>0</v>
      </c>
    </row>
    <row r="116" spans="2:18">
      <c r="B116" s="239">
        <v>45456</v>
      </c>
      <c r="C116" s="240">
        <v>1</v>
      </c>
      <c r="D116" s="241">
        <v>1</v>
      </c>
      <c r="E116" s="257">
        <v>243</v>
      </c>
      <c r="F116" s="242">
        <v>20077604627</v>
      </c>
      <c r="G116" s="243" t="str">
        <f>IFERROR(IF(compras_mes6[[#This Row],[CUIT]]="","-",VLOOKUP(compras_mes6[[#This Row],[CUIT]],Lista_CUIT[#All],2,0)),"CUIT NO CARGADO")</f>
        <v>OCAÑO ENRIQUE</v>
      </c>
      <c r="H116" s="244">
        <v>1786005</v>
      </c>
      <c r="I116" s="245">
        <f>IF(compras_mes6[[#This Row],[NETO GRAVADO]]="","",compras_mes6[[#This Row],[NETO GRAVADO]]*0.21)</f>
        <v>375061.05</v>
      </c>
      <c r="J116" s="245"/>
      <c r="K116" s="245"/>
      <c r="L116" s="245"/>
      <c r="M116" s="245"/>
      <c r="N116" s="245"/>
      <c r="O116" s="245"/>
      <c r="P116" s="246">
        <f>SUM(compras_mes6[[#This Row],[NETO GRAVADO]:[Otros / No Grav.]])</f>
        <v>2161066.0499999998</v>
      </c>
      <c r="Q116" s="247" t="str">
        <f>IFERROR(IF(compras_mes6[[#This Row],[CUIT]]="","-",VLOOKUP(compras_mes6[[#This Row],[CUIT]],Lista_CUIT[#All],3,0)),"CUIT NO CARGADO")</f>
        <v>Material de Empaque</v>
      </c>
      <c r="R116" s="247">
        <f>IFERROR(IF(compras_mes6[[#This Row],[CUIT]]="","-",VLOOKUP(compras_mes6[[#This Row],[CUIT]],Lista_CUIT[#All],4,0)),"CUIT NO CARGADO")</f>
        <v>0</v>
      </c>
    </row>
    <row r="117" spans="2:18">
      <c r="B117" s="239">
        <v>45461</v>
      </c>
      <c r="C117" s="240">
        <v>1</v>
      </c>
      <c r="D117" s="241">
        <v>11</v>
      </c>
      <c r="E117" s="257">
        <v>223908</v>
      </c>
      <c r="F117" s="242">
        <v>30644997258</v>
      </c>
      <c r="G117" s="243" t="str">
        <f>IFERROR(IF(compras_mes6[[#This Row],[CUIT]]="","-",VLOOKUP(compras_mes6[[#This Row],[CUIT]],Lista_CUIT[#All],2,0)),"CUIT NO CARGADO")</f>
        <v>GEMEZ SA</v>
      </c>
      <c r="H117" s="244">
        <v>480480</v>
      </c>
      <c r="I117" s="245">
        <f>IF(compras_mes6[[#This Row],[NETO GRAVADO]]="","",compras_mes6[[#This Row],[NETO GRAVADO]]*0.21)</f>
        <v>100900.8</v>
      </c>
      <c r="J117" s="245"/>
      <c r="K117" s="245"/>
      <c r="L117" s="245"/>
      <c r="M117" s="245"/>
      <c r="N117" s="245">
        <v>28828.799999999999</v>
      </c>
      <c r="O117" s="245"/>
      <c r="P117" s="494">
        <f>SUM(compras_mes6[[#This Row],[NETO GRAVADO]:[Otros / No Grav.]])</f>
        <v>610209.60000000009</v>
      </c>
      <c r="Q117" s="247" t="str">
        <f>IFERROR(IF(compras_mes6[[#This Row],[CUIT]]="","-",VLOOKUP(compras_mes6[[#This Row],[CUIT]],Lista_CUIT[#All],3,0)),"CUIT NO CARGADO")</f>
        <v>Material de Empaque</v>
      </c>
      <c r="R117" s="247">
        <f>IFERROR(IF(compras_mes6[[#This Row],[CUIT]]="","-",VLOOKUP(compras_mes6[[#This Row],[CUIT]],Lista_CUIT[#All],4,0)),"CUIT NO CARGADO")</f>
        <v>0</v>
      </c>
    </row>
    <row r="118" spans="2:18">
      <c r="B118" s="239">
        <v>45462</v>
      </c>
      <c r="C118" s="240">
        <v>1</v>
      </c>
      <c r="D118" s="241">
        <v>1</v>
      </c>
      <c r="E118" s="257">
        <v>245</v>
      </c>
      <c r="F118" s="242">
        <v>20077604627</v>
      </c>
      <c r="G118" s="243" t="str">
        <f>IFERROR(IF(compras_mes6[[#This Row],[CUIT]]="","-",VLOOKUP(compras_mes6[[#This Row],[CUIT]],Lista_CUIT[#All],2,0)),"CUIT NO CARGADO")</f>
        <v>OCAÑO ENRIQUE</v>
      </c>
      <c r="H118" s="244">
        <v>5768503.3799999999</v>
      </c>
      <c r="I118" s="245">
        <f>IF(compras_mes6[[#This Row],[NETO GRAVADO]]="","",compras_mes6[[#This Row],[NETO GRAVADO]]*0.21)</f>
        <v>1211385.7097999998</v>
      </c>
      <c r="J118" s="245"/>
      <c r="K118" s="245"/>
      <c r="L118" s="245"/>
      <c r="M118" s="245"/>
      <c r="N118" s="245"/>
      <c r="O118" s="245"/>
      <c r="P118" s="246">
        <f>SUM(compras_mes6[[#This Row],[NETO GRAVADO]:[Otros / No Grav.]])</f>
        <v>6979889.0898000002</v>
      </c>
      <c r="Q118" s="247" t="str">
        <f>IFERROR(IF(compras_mes6[[#This Row],[CUIT]]="","-",VLOOKUP(compras_mes6[[#This Row],[CUIT]],Lista_CUIT[#All],3,0)),"CUIT NO CARGADO")</f>
        <v>Material de Empaque</v>
      </c>
      <c r="R118" s="247">
        <f>IFERROR(IF(compras_mes6[[#This Row],[CUIT]]="","-",VLOOKUP(compras_mes6[[#This Row],[CUIT]],Lista_CUIT[#All],4,0)),"CUIT NO CARGADO")</f>
        <v>0</v>
      </c>
    </row>
    <row r="119" spans="2:18">
      <c r="B119" s="239">
        <v>45462</v>
      </c>
      <c r="C119" s="240">
        <v>1</v>
      </c>
      <c r="D119" s="241">
        <v>1</v>
      </c>
      <c r="E119" s="257">
        <v>244</v>
      </c>
      <c r="F119" s="242">
        <v>20077604627</v>
      </c>
      <c r="G119" s="243" t="str">
        <f>IFERROR(IF(compras_mes6[[#This Row],[CUIT]]="","-",VLOOKUP(compras_mes6[[#This Row],[CUIT]],Lista_CUIT[#All],2,0)),"CUIT NO CARGADO")</f>
        <v>OCAÑO ENRIQUE</v>
      </c>
      <c r="H119" s="244">
        <v>4365605.38</v>
      </c>
      <c r="I119" s="245">
        <f>IF(compras_mes6[[#This Row],[NETO GRAVADO]]="","",compras_mes6[[#This Row],[NETO GRAVADO]]*0.21)</f>
        <v>916777.1298</v>
      </c>
      <c r="J119" s="245"/>
      <c r="K119" s="245"/>
      <c r="L119" s="245"/>
      <c r="M119" s="245"/>
      <c r="N119" s="245"/>
      <c r="O119" s="245"/>
      <c r="P119" s="246">
        <f>SUM(compras_mes6[[#This Row],[NETO GRAVADO]:[Otros / No Grav.]])</f>
        <v>5282382.5098000001</v>
      </c>
      <c r="Q119" s="247" t="str">
        <f>IFERROR(IF(compras_mes6[[#This Row],[CUIT]]="","-",VLOOKUP(compras_mes6[[#This Row],[CUIT]],Lista_CUIT[#All],3,0)),"CUIT NO CARGADO")</f>
        <v>Material de Empaque</v>
      </c>
      <c r="R119" s="247">
        <f>IFERROR(IF(compras_mes6[[#This Row],[CUIT]]="","-",VLOOKUP(compras_mes6[[#This Row],[CUIT]],Lista_CUIT[#All],4,0)),"CUIT NO CARGADO")</f>
        <v>0</v>
      </c>
    </row>
    <row r="120" spans="2:18">
      <c r="B120" s="239">
        <v>45473</v>
      </c>
      <c r="C120" s="240">
        <v>1</v>
      </c>
      <c r="D120" s="241">
        <v>1</v>
      </c>
      <c r="E120" s="257">
        <v>248</v>
      </c>
      <c r="F120" s="242">
        <v>20077604627</v>
      </c>
      <c r="G120" s="243" t="str">
        <f>IFERROR(IF(compras_mes6[[#This Row],[CUIT]]="","-",VLOOKUP(compras_mes6[[#This Row],[CUIT]],Lista_CUIT[#All],2,0)),"CUIT NO CARGADO")</f>
        <v>OCAÑO ENRIQUE</v>
      </c>
      <c r="H120" s="244">
        <v>1965172</v>
      </c>
      <c r="I120" s="245">
        <f>IF(compras_mes6[[#This Row],[NETO GRAVADO]]="","",compras_mes6[[#This Row],[NETO GRAVADO]]*0.21)</f>
        <v>412686.12</v>
      </c>
      <c r="J120" s="245"/>
      <c r="K120" s="245"/>
      <c r="L120" s="245"/>
      <c r="M120" s="245"/>
      <c r="N120" s="245"/>
      <c r="O120" s="245"/>
      <c r="P120" s="246">
        <f>SUM(compras_mes6[[#This Row],[NETO GRAVADO]:[Otros / No Grav.]])</f>
        <v>2377858.12</v>
      </c>
      <c r="Q120" s="247" t="str">
        <f>IFERROR(IF(compras_mes6[[#This Row],[CUIT]]="","-",VLOOKUP(compras_mes6[[#This Row],[CUIT]],Lista_CUIT[#All],3,0)),"CUIT NO CARGADO")</f>
        <v>Material de Empaque</v>
      </c>
      <c r="R120" s="247">
        <f>IFERROR(IF(compras_mes6[[#This Row],[CUIT]]="","-",VLOOKUP(compras_mes6[[#This Row],[CUIT]],Lista_CUIT[#All],4,0)),"CUIT NO CARGADO")</f>
        <v>0</v>
      </c>
    </row>
    <row r="121" spans="2:18">
      <c r="B121" s="239">
        <v>45446</v>
      </c>
      <c r="C121" s="240">
        <v>1</v>
      </c>
      <c r="D121" s="241">
        <v>5015</v>
      </c>
      <c r="E121" s="257">
        <v>615076</v>
      </c>
      <c r="F121" s="242">
        <v>30574876474</v>
      </c>
      <c r="G121" s="243" t="str">
        <f>IFERROR(IF(compras_mes6[[#This Row],[CUIT]]="","-",VLOOKUP(compras_mes6[[#This Row],[CUIT]],Lista_CUIT[#All],2,0)),"CUIT NO CARGADO")</f>
        <v>AUTOPISTAS URBANAS S A</v>
      </c>
      <c r="H121" s="244">
        <v>177312.39</v>
      </c>
      <c r="I121" s="245">
        <f>IF(compras_mes6[[#This Row],[NETO GRAVADO]]="","",compras_mes6[[#This Row],[NETO GRAVADO]]*0.21)</f>
        <v>37235.601900000001</v>
      </c>
      <c r="J121" s="245"/>
      <c r="K121" s="245"/>
      <c r="L121" s="245"/>
      <c r="M121" s="245"/>
      <c r="N121" s="245"/>
      <c r="O121" s="245">
        <v>23050.53</v>
      </c>
      <c r="P121" s="494">
        <f>SUM(compras_mes6[[#This Row],[NETO GRAVADO]:[Otros / No Grav.]])</f>
        <v>237598.52190000002</v>
      </c>
      <c r="Q121" s="247" t="str">
        <f>IFERROR(IF(compras_mes6[[#This Row],[CUIT]]="","-",VLOOKUP(compras_mes6[[#This Row],[CUIT]],Lista_CUIT[#All],3,0)),"CUIT NO CARGADO")</f>
        <v>Peajes</v>
      </c>
      <c r="R121" s="247">
        <f>IFERROR(IF(compras_mes6[[#This Row],[CUIT]]="","-",VLOOKUP(compras_mes6[[#This Row],[CUIT]],Lista_CUIT[#All],4,0)),"CUIT NO CARGADO")</f>
        <v>0</v>
      </c>
    </row>
    <row r="122" spans="2:18">
      <c r="B122" s="239">
        <v>45447</v>
      </c>
      <c r="C122" s="240">
        <v>1</v>
      </c>
      <c r="D122" s="241">
        <v>711</v>
      </c>
      <c r="E122" s="257">
        <v>5754854</v>
      </c>
      <c r="F122" s="242">
        <v>30677237119</v>
      </c>
      <c r="G122" s="243" t="str">
        <f>IFERROR(IF(compras_mes6[[#This Row],[CUIT]]="","-",VLOOKUP(compras_mes6[[#This Row],[CUIT]],Lista_CUIT[#All],2,0)),"CUIT NO CARGADO")</f>
        <v>AUTOPISTAS DEL SOL S A</v>
      </c>
      <c r="H122" s="244">
        <v>11115.68</v>
      </c>
      <c r="I122" s="245">
        <f>IF(compras_mes6[[#This Row],[NETO GRAVADO]]="","",compras_mes6[[#This Row],[NETO GRAVADO]]*0.21)</f>
        <v>2334.2928000000002</v>
      </c>
      <c r="J122" s="245"/>
      <c r="K122" s="245"/>
      <c r="L122" s="245"/>
      <c r="M122" s="245"/>
      <c r="N122" s="245"/>
      <c r="O122" s="245">
        <v>333.47</v>
      </c>
      <c r="P122" s="494">
        <f>SUM(compras_mes6[[#This Row],[NETO GRAVADO]:[Otros / No Grav.]])</f>
        <v>13783.442799999999</v>
      </c>
      <c r="Q122" s="247" t="str">
        <f>IFERROR(IF(compras_mes6[[#This Row],[CUIT]]="","-",VLOOKUP(compras_mes6[[#This Row],[CUIT]],Lista_CUIT[#All],3,0)),"CUIT NO CARGADO")</f>
        <v>Peajes</v>
      </c>
      <c r="R122" s="247">
        <f>IFERROR(IF(compras_mes6[[#This Row],[CUIT]]="","-",VLOOKUP(compras_mes6[[#This Row],[CUIT]],Lista_CUIT[#All],4,0)),"CUIT NO CARGADO")</f>
        <v>0</v>
      </c>
    </row>
    <row r="123" spans="2:18">
      <c r="B123" s="239">
        <v>45447</v>
      </c>
      <c r="C123" s="240">
        <v>1</v>
      </c>
      <c r="D123" s="241">
        <v>629</v>
      </c>
      <c r="E123" s="257">
        <v>5169567</v>
      </c>
      <c r="F123" s="242">
        <v>30663498513</v>
      </c>
      <c r="G123" s="243" t="str">
        <f>IFERROR(IF(compras_mes6[[#This Row],[CUIT]]="","-",VLOOKUP(compras_mes6[[#This Row],[CUIT]],Lista_CUIT[#All],2,0)),"CUIT NO CARGADO")</f>
        <v>GRUPO CONCES. DEL OESTE SA</v>
      </c>
      <c r="H123" s="244">
        <v>24917.37</v>
      </c>
      <c r="I123" s="245">
        <f>IF(compras_mes6[[#This Row],[NETO GRAVADO]]="","",compras_mes6[[#This Row],[NETO GRAVADO]]*0.21)</f>
        <v>5232.6476999999995</v>
      </c>
      <c r="J123" s="245"/>
      <c r="K123" s="245"/>
      <c r="L123" s="245"/>
      <c r="M123" s="245"/>
      <c r="N123" s="245"/>
      <c r="O123" s="245"/>
      <c r="P123" s="246">
        <f>SUM(compras_mes6[[#This Row],[NETO GRAVADO]:[Otros / No Grav.]])</f>
        <v>30150.017699999997</v>
      </c>
      <c r="Q123" s="247" t="str">
        <f>IFERROR(IF(compras_mes6[[#This Row],[CUIT]]="","-",VLOOKUP(compras_mes6[[#This Row],[CUIT]],Lista_CUIT[#All],3,0)),"CUIT NO CARGADO")</f>
        <v>Peajes</v>
      </c>
      <c r="R123" s="247">
        <f>IFERROR(IF(compras_mes6[[#This Row],[CUIT]]="","-",VLOOKUP(compras_mes6[[#This Row],[CUIT]],Lista_CUIT[#All],4,0)),"CUIT NO CARGADO")</f>
        <v>0</v>
      </c>
    </row>
    <row r="124" spans="2:18">
      <c r="B124" s="239">
        <v>45448</v>
      </c>
      <c r="C124" s="240">
        <v>1</v>
      </c>
      <c r="D124" s="241">
        <v>700</v>
      </c>
      <c r="E124" s="257">
        <v>1709033</v>
      </c>
      <c r="F124" s="242">
        <v>30715804812</v>
      </c>
      <c r="G124" s="243" t="str">
        <f>IFERROR(IF(compras_mes6[[#This Row],[CUIT]]="","-",VLOOKUP(compras_mes6[[#This Row],[CUIT]],Lista_CUIT[#All],2,0)),"CUIT NO CARGADO")</f>
        <v>CORREDORES VIALES SOCIEDAD ANONIMA</v>
      </c>
      <c r="H124" s="244">
        <v>1322.31</v>
      </c>
      <c r="I124" s="245">
        <f>IF(compras_mes6[[#This Row],[NETO GRAVADO]]="","",compras_mes6[[#This Row],[NETO GRAVADO]]*0.21)</f>
        <v>277.68509999999998</v>
      </c>
      <c r="J124" s="245"/>
      <c r="K124" s="245"/>
      <c r="L124" s="245"/>
      <c r="M124" s="245"/>
      <c r="N124" s="245"/>
      <c r="O124" s="245"/>
      <c r="P124" s="246">
        <f>SUM(compras_mes6[[#This Row],[NETO GRAVADO]:[Otros / No Grav.]])</f>
        <v>1599.9950999999999</v>
      </c>
      <c r="Q124" s="247" t="str">
        <f>IFERROR(IF(compras_mes6[[#This Row],[CUIT]]="","-",VLOOKUP(compras_mes6[[#This Row],[CUIT]],Lista_CUIT[#All],3,0)),"CUIT NO CARGADO")</f>
        <v>Peajes</v>
      </c>
      <c r="R124" s="247">
        <f>IFERROR(IF(compras_mes6[[#This Row],[CUIT]]="","-",VLOOKUP(compras_mes6[[#This Row],[CUIT]],Lista_CUIT[#All],4,0)),"CUIT NO CARGADO")</f>
        <v>0</v>
      </c>
    </row>
    <row r="125" spans="2:18">
      <c r="B125" s="239">
        <v>45460</v>
      </c>
      <c r="C125" s="240">
        <v>1</v>
      </c>
      <c r="D125" s="241">
        <v>711</v>
      </c>
      <c r="E125" s="257">
        <v>5812257</v>
      </c>
      <c r="F125" s="242">
        <v>30677237119</v>
      </c>
      <c r="G125" s="243" t="str">
        <f>IFERROR(IF(compras_mes6[[#This Row],[CUIT]]="","-",VLOOKUP(compras_mes6[[#This Row],[CUIT]],Lista_CUIT[#All],2,0)),"CUIT NO CARGADO")</f>
        <v>AUTOPISTAS DEL SOL S A</v>
      </c>
      <c r="H125" s="244">
        <v>11652.84</v>
      </c>
      <c r="I125" s="245">
        <f>IF(compras_mes6[[#This Row],[NETO GRAVADO]]="","",compras_mes6[[#This Row],[NETO GRAVADO]]*0.21)</f>
        <v>2447.0963999999999</v>
      </c>
      <c r="J125" s="245"/>
      <c r="K125" s="245"/>
      <c r="L125" s="245"/>
      <c r="M125" s="245"/>
      <c r="N125" s="245"/>
      <c r="O125" s="245">
        <v>349.59</v>
      </c>
      <c r="P125" s="494">
        <f>SUM(compras_mes6[[#This Row],[NETO GRAVADO]:[Otros / No Grav.]])</f>
        <v>14449.526400000001</v>
      </c>
      <c r="Q125" s="247" t="str">
        <f>IFERROR(IF(compras_mes6[[#This Row],[CUIT]]="","-",VLOOKUP(compras_mes6[[#This Row],[CUIT]],Lista_CUIT[#All],3,0)),"CUIT NO CARGADO")</f>
        <v>Peajes</v>
      </c>
      <c r="R125" s="247">
        <f>IFERROR(IF(compras_mes6[[#This Row],[CUIT]]="","-",VLOOKUP(compras_mes6[[#This Row],[CUIT]],Lista_CUIT[#All],4,0)),"CUIT NO CARGADO")</f>
        <v>0</v>
      </c>
    </row>
    <row r="126" spans="2:18">
      <c r="B126" s="239">
        <v>45460</v>
      </c>
      <c r="C126" s="240">
        <v>1</v>
      </c>
      <c r="D126" s="241">
        <v>629</v>
      </c>
      <c r="E126" s="257">
        <v>5209182</v>
      </c>
      <c r="F126" s="242">
        <v>30663498513</v>
      </c>
      <c r="G126" s="243" t="str">
        <f>IFERROR(IF(compras_mes6[[#This Row],[CUIT]]="","-",VLOOKUP(compras_mes6[[#This Row],[CUIT]],Lista_CUIT[#All],2,0)),"CUIT NO CARGADO")</f>
        <v>GRUPO CONCES. DEL OESTE SA</v>
      </c>
      <c r="H126" s="244">
        <v>21404.95</v>
      </c>
      <c r="I126" s="245">
        <f>IF(compras_mes6[[#This Row],[NETO GRAVADO]]="","",compras_mes6[[#This Row],[NETO GRAVADO]]*0.21)</f>
        <v>4495.0394999999999</v>
      </c>
      <c r="J126" s="245"/>
      <c r="K126" s="245"/>
      <c r="L126" s="245"/>
      <c r="M126" s="245"/>
      <c r="N126" s="245"/>
      <c r="O126" s="245"/>
      <c r="P126" s="246">
        <f>SUM(compras_mes6[[#This Row],[NETO GRAVADO]:[Otros / No Grav.]])</f>
        <v>25899.9895</v>
      </c>
      <c r="Q126" s="247" t="str">
        <f>IFERROR(IF(compras_mes6[[#This Row],[CUIT]]="","-",VLOOKUP(compras_mes6[[#This Row],[CUIT]],Lista_CUIT[#All],3,0)),"CUIT NO CARGADO")</f>
        <v>Peajes</v>
      </c>
      <c r="R126" s="247">
        <f>IFERROR(IF(compras_mes6[[#This Row],[CUIT]]="","-",VLOOKUP(compras_mes6[[#This Row],[CUIT]],Lista_CUIT[#All],4,0)),"CUIT NO CARGADO")</f>
        <v>0</v>
      </c>
    </row>
    <row r="127" spans="2:18">
      <c r="B127" s="239">
        <v>45460</v>
      </c>
      <c r="C127" s="240">
        <v>1</v>
      </c>
      <c r="D127" s="241">
        <v>5015</v>
      </c>
      <c r="E127" s="257">
        <v>618822</v>
      </c>
      <c r="F127" s="242">
        <v>30574876474</v>
      </c>
      <c r="G127" s="243" t="str">
        <f>IFERROR(IF(compras_mes6[[#This Row],[CUIT]]="","-",VLOOKUP(compras_mes6[[#This Row],[CUIT]],Lista_CUIT[#All],2,0)),"CUIT NO CARGADO")</f>
        <v>AUTOPISTAS URBANAS S A</v>
      </c>
      <c r="H127" s="244">
        <v>162736.06</v>
      </c>
      <c r="I127" s="245">
        <f>IF(compras_mes6[[#This Row],[NETO GRAVADO]]="","",compras_mes6[[#This Row],[NETO GRAVADO]]*0.21)</f>
        <v>34174.5726</v>
      </c>
      <c r="J127" s="245"/>
      <c r="K127" s="245"/>
      <c r="L127" s="245"/>
      <c r="M127" s="245"/>
      <c r="N127" s="245"/>
      <c r="O127" s="245">
        <v>21155.66</v>
      </c>
      <c r="P127" s="494">
        <f>SUM(compras_mes6[[#This Row],[NETO GRAVADO]:[Otros / No Grav.]])</f>
        <v>218066.29260000002</v>
      </c>
      <c r="Q127" s="247" t="str">
        <f>IFERROR(IF(compras_mes6[[#This Row],[CUIT]]="","-",VLOOKUP(compras_mes6[[#This Row],[CUIT]],Lista_CUIT[#All],3,0)),"CUIT NO CARGADO")</f>
        <v>Peajes</v>
      </c>
      <c r="R127" s="247">
        <f>IFERROR(IF(compras_mes6[[#This Row],[CUIT]]="","-",VLOOKUP(compras_mes6[[#This Row],[CUIT]],Lista_CUIT[#All],4,0)),"CUIT NO CARGADO")</f>
        <v>0</v>
      </c>
    </row>
    <row r="128" spans="2:18">
      <c r="B128" s="239">
        <v>45467</v>
      </c>
      <c r="C128" s="240">
        <v>1</v>
      </c>
      <c r="D128" s="241">
        <v>700</v>
      </c>
      <c r="E128" s="257">
        <v>1740293</v>
      </c>
      <c r="F128" s="242">
        <v>30715804812</v>
      </c>
      <c r="G128" s="243" t="str">
        <f>IFERROR(IF(compras_mes6[[#This Row],[CUIT]]="","-",VLOOKUP(compras_mes6[[#This Row],[CUIT]],Lista_CUIT[#All],2,0)),"CUIT NO CARGADO")</f>
        <v>CORREDORES VIALES SOCIEDAD ANONIMA</v>
      </c>
      <c r="H128" s="244">
        <v>2314.0500000000002</v>
      </c>
      <c r="I128" s="245">
        <f>IF(compras_mes6[[#This Row],[NETO GRAVADO]]="","",compras_mes6[[#This Row],[NETO GRAVADO]]*0.21)</f>
        <v>485.95050000000003</v>
      </c>
      <c r="J128" s="245"/>
      <c r="K128" s="245"/>
      <c r="L128" s="245"/>
      <c r="M128" s="245"/>
      <c r="N128" s="245"/>
      <c r="O128" s="245"/>
      <c r="P128" s="246">
        <f>SUM(compras_mes6[[#This Row],[NETO GRAVADO]:[Otros / No Grav.]])</f>
        <v>2800.0005000000001</v>
      </c>
      <c r="Q128" s="247" t="str">
        <f>IFERROR(IF(compras_mes6[[#This Row],[CUIT]]="","-",VLOOKUP(compras_mes6[[#This Row],[CUIT]],Lista_CUIT[#All],3,0)),"CUIT NO CARGADO")</f>
        <v>Peajes</v>
      </c>
      <c r="R128" s="247">
        <f>IFERROR(IF(compras_mes6[[#This Row],[CUIT]]="","-",VLOOKUP(compras_mes6[[#This Row],[CUIT]],Lista_CUIT[#All],4,0)),"CUIT NO CARGADO")</f>
        <v>0</v>
      </c>
    </row>
    <row r="129" spans="2:18">
      <c r="B129" s="239">
        <v>45471</v>
      </c>
      <c r="C129" s="240">
        <v>1</v>
      </c>
      <c r="D129" s="241">
        <v>503</v>
      </c>
      <c r="E129" s="257">
        <v>1372863</v>
      </c>
      <c r="F129" s="242">
        <v>30639935872</v>
      </c>
      <c r="G129" s="243" t="str">
        <f>IFERROR(IF(compras_mes6[[#This Row],[CUIT]]="","-",VLOOKUP(compras_mes6[[#This Row],[CUIT]],Lista_CUIT[#All],2,0)),"CUIT NO CARGADO")</f>
        <v>CAMINOS DEL RIO URUGUAY S A DE CONSTRUCCIONES Y CONCESIONES VIALES</v>
      </c>
      <c r="H129" s="244">
        <v>1198.3399999999999</v>
      </c>
      <c r="I129" s="245">
        <f>IF(compras_mes6[[#This Row],[NETO GRAVADO]]="","",compras_mes6[[#This Row],[NETO GRAVADO]]*0.21)</f>
        <v>251.65139999999997</v>
      </c>
      <c r="J129" s="245"/>
      <c r="K129" s="245"/>
      <c r="L129" s="245"/>
      <c r="M129" s="245"/>
      <c r="N129" s="245">
        <v>71.900000000000006</v>
      </c>
      <c r="O129" s="245"/>
      <c r="P129" s="494">
        <f>SUM(compras_mes6[[#This Row],[NETO GRAVADO]:[Otros / No Grav.]])</f>
        <v>1521.8914</v>
      </c>
      <c r="Q129" s="247" t="str">
        <f>IFERROR(IF(compras_mes6[[#This Row],[CUIT]]="","-",VLOOKUP(compras_mes6[[#This Row],[CUIT]],Lista_CUIT[#All],3,0)),"CUIT NO CARGADO")</f>
        <v>Peajes</v>
      </c>
      <c r="R129" s="247">
        <f>IFERROR(IF(compras_mes6[[#This Row],[CUIT]]="","-",VLOOKUP(compras_mes6[[#This Row],[CUIT]],Lista_CUIT[#All],4,0)),"CUIT NO CARGADO")</f>
        <v>0</v>
      </c>
    </row>
    <row r="130" spans="2:18">
      <c r="B130" s="239">
        <v>45472</v>
      </c>
      <c r="C130" s="240">
        <v>1</v>
      </c>
      <c r="D130" s="241">
        <v>104</v>
      </c>
      <c r="E130" s="257">
        <v>6152305</v>
      </c>
      <c r="F130" s="242">
        <v>30715804812</v>
      </c>
      <c r="G130" s="243" t="str">
        <f>IFERROR(IF(compras_mes6[[#This Row],[CUIT]]="","-",VLOOKUP(compras_mes6[[#This Row],[CUIT]],Lista_CUIT[#All],2,0)),"CUIT NO CARGADO")</f>
        <v>CORREDORES VIALES SOCIEDAD ANONIMA</v>
      </c>
      <c r="H130" s="244">
        <v>1487.6</v>
      </c>
      <c r="I130" s="245">
        <f>IF(compras_mes6[[#This Row],[NETO GRAVADO]]="","",compras_mes6[[#This Row],[NETO GRAVADO]]*0.21)</f>
        <v>312.39599999999996</v>
      </c>
      <c r="J130" s="245"/>
      <c r="K130" s="245"/>
      <c r="L130" s="245"/>
      <c r="M130" s="245"/>
      <c r="N130" s="245">
        <v>89.26</v>
      </c>
      <c r="O130" s="245"/>
      <c r="P130" s="494">
        <f>SUM(compras_mes6[[#This Row],[NETO GRAVADO]:[Otros / No Grav.]])</f>
        <v>1889.2559999999999</v>
      </c>
      <c r="Q130" s="247" t="str">
        <f>IFERROR(IF(compras_mes6[[#This Row],[CUIT]]="","-",VLOOKUP(compras_mes6[[#This Row],[CUIT]],Lista_CUIT[#All],3,0)),"CUIT NO CARGADO")</f>
        <v>Peajes</v>
      </c>
      <c r="R130" s="247">
        <f>IFERROR(IF(compras_mes6[[#This Row],[CUIT]]="","-",VLOOKUP(compras_mes6[[#This Row],[CUIT]],Lista_CUIT[#All],4,0)),"CUIT NO CARGADO")</f>
        <v>0</v>
      </c>
    </row>
    <row r="131" spans="2:18">
      <c r="B131" s="239">
        <v>45473</v>
      </c>
      <c r="C131" s="240">
        <v>1</v>
      </c>
      <c r="D131" s="241">
        <v>50</v>
      </c>
      <c r="E131" s="257">
        <v>3669913</v>
      </c>
      <c r="F131" s="242">
        <v>30714112836</v>
      </c>
      <c r="G131" s="243" t="str">
        <f>IFERROR(IF(compras_mes6[[#This Row],[CUIT]]="","-",VLOOKUP(compras_mes6[[#This Row],[CUIT]],Lista_CUIT[#All],2,0)),"CUIT NO CARGADO")</f>
        <v>AUTOPISTAS DE BS AS</v>
      </c>
      <c r="H131" s="244">
        <v>19020.66</v>
      </c>
      <c r="I131" s="245">
        <f>IF(compras_mes6[[#This Row],[NETO GRAVADO]]="","",compras_mes6[[#This Row],[NETO GRAVADO]]*0.21)</f>
        <v>3994.3386</v>
      </c>
      <c r="J131" s="245"/>
      <c r="K131" s="245"/>
      <c r="L131" s="245">
        <v>570.62</v>
      </c>
      <c r="M131" s="245"/>
      <c r="N131" s="245"/>
      <c r="O131" s="245"/>
      <c r="P131" s="494">
        <f>SUM(compras_mes6[[#This Row],[NETO GRAVADO]:[Otros / No Grav.]])</f>
        <v>23585.618599999998</v>
      </c>
      <c r="Q131" s="247" t="str">
        <f>IFERROR(IF(compras_mes6[[#This Row],[CUIT]]="","-",VLOOKUP(compras_mes6[[#This Row],[CUIT]],Lista_CUIT[#All],3,0)),"CUIT NO CARGADO")</f>
        <v>Peajes</v>
      </c>
      <c r="R131" s="247">
        <f>IFERROR(IF(compras_mes6[[#This Row],[CUIT]]="","-",VLOOKUP(compras_mes6[[#This Row],[CUIT]],Lista_CUIT[#All],4,0)),"CUIT NO CARGADO")</f>
        <v>0</v>
      </c>
    </row>
    <row r="132" spans="2:18">
      <c r="B132" s="239">
        <v>45473</v>
      </c>
      <c r="C132" s="240">
        <v>1</v>
      </c>
      <c r="D132" s="241">
        <v>5015</v>
      </c>
      <c r="E132" s="257">
        <v>622530</v>
      </c>
      <c r="F132" s="242">
        <v>30574876474</v>
      </c>
      <c r="G132" s="243" t="str">
        <f>IFERROR(IF(compras_mes6[[#This Row],[CUIT]]="","-",VLOOKUP(compras_mes6[[#This Row],[CUIT]],Lista_CUIT[#All],2,0)),"CUIT NO CARGADO")</f>
        <v>AUTOPISTAS URBANAS S A</v>
      </c>
      <c r="H132" s="244">
        <v>123887.37</v>
      </c>
      <c r="I132" s="245">
        <f>IF(compras_mes6[[#This Row],[NETO GRAVADO]]="","",compras_mes6[[#This Row],[NETO GRAVADO]]*0.21)</f>
        <v>26016.347699999998</v>
      </c>
      <c r="J132" s="245"/>
      <c r="K132" s="245"/>
      <c r="L132" s="245"/>
      <c r="M132" s="245"/>
      <c r="N132" s="245"/>
      <c r="O132" s="245">
        <v>16105.34</v>
      </c>
      <c r="P132" s="494">
        <f>SUM(compras_mes6[[#This Row],[NETO GRAVADO]:[Otros / No Grav.]])</f>
        <v>166009.05769999998</v>
      </c>
      <c r="Q132" s="247" t="str">
        <f>IFERROR(IF(compras_mes6[[#This Row],[CUIT]]="","-",VLOOKUP(compras_mes6[[#This Row],[CUIT]],Lista_CUIT[#All],3,0)),"CUIT NO CARGADO")</f>
        <v>Peajes</v>
      </c>
      <c r="R132" s="247">
        <f>IFERROR(IF(compras_mes6[[#This Row],[CUIT]]="","-",VLOOKUP(compras_mes6[[#This Row],[CUIT]],Lista_CUIT[#All],4,0)),"CUIT NO CARGADO")</f>
        <v>0</v>
      </c>
    </row>
    <row r="133" spans="2:18">
      <c r="B133" s="239">
        <v>45446</v>
      </c>
      <c r="C133" s="240">
        <v>1</v>
      </c>
      <c r="D133" s="241">
        <v>2</v>
      </c>
      <c r="E133" s="257">
        <v>3699</v>
      </c>
      <c r="F133" s="242">
        <v>30629863571</v>
      </c>
      <c r="G133" s="243" t="str">
        <f>IFERROR(IF(compras_mes6[[#This Row],[CUIT]]="","-",VLOOKUP(compras_mes6[[#This Row],[CUIT]],Lista_CUIT[#All],2,0)),"CUIT NO CARGADO")</f>
        <v>TECNIMAR S R L</v>
      </c>
      <c r="H133" s="244">
        <v>2318385.9</v>
      </c>
      <c r="I133" s="245">
        <f>IF(compras_mes6[[#This Row],[NETO GRAVADO]]="","",compras_mes6[[#This Row],[NETO GRAVADO]]*0.21)</f>
        <v>486861.03899999999</v>
      </c>
      <c r="J133" s="245"/>
      <c r="K133" s="245"/>
      <c r="L133" s="245"/>
      <c r="M133" s="245"/>
      <c r="N133" s="245"/>
      <c r="O133" s="245"/>
      <c r="P133" s="246">
        <f>SUM(compras_mes6[[#This Row],[NETO GRAVADO]:[Otros / No Grav.]])</f>
        <v>2805246.9389999998</v>
      </c>
      <c r="Q133" s="247" t="str">
        <f>IFERROR(IF(compras_mes6[[#This Row],[CUIT]]="","-",VLOOKUP(compras_mes6[[#This Row],[CUIT]],Lista_CUIT[#All],3,0)),"CUIT NO CARGADO")</f>
        <v>Productos Venta</v>
      </c>
      <c r="R133" s="247">
        <f>IFERROR(IF(compras_mes6[[#This Row],[CUIT]]="","-",VLOOKUP(compras_mes6[[#This Row],[CUIT]],Lista_CUIT[#All],4,0)),"CUIT NO CARGADO")</f>
        <v>0</v>
      </c>
    </row>
    <row r="134" spans="2:18">
      <c r="B134" s="239">
        <v>45446</v>
      </c>
      <c r="C134" s="240">
        <v>1</v>
      </c>
      <c r="D134" s="241">
        <v>1</v>
      </c>
      <c r="E134" s="257">
        <v>98</v>
      </c>
      <c r="F134" s="242">
        <v>30718148207</v>
      </c>
      <c r="G134" s="243" t="str">
        <f>IFERROR(IF(compras_mes6[[#This Row],[CUIT]]="","-",VLOOKUP(compras_mes6[[#This Row],[CUIT]],Lista_CUIT[#All],2,0)),"CUIT NO CARGADO")</f>
        <v>VIPA INTERNATIONAL S.R.L.</v>
      </c>
      <c r="H134" s="244">
        <v>878640</v>
      </c>
      <c r="I134" s="245">
        <f>IF(compras_mes6[[#This Row],[NETO GRAVADO]]="","",compras_mes6[[#This Row],[NETO GRAVADO]]*0.21)</f>
        <v>184514.4</v>
      </c>
      <c r="J134" s="245"/>
      <c r="K134" s="245"/>
      <c r="L134" s="245"/>
      <c r="M134" s="245"/>
      <c r="N134" s="245"/>
      <c r="O134" s="245"/>
      <c r="P134" s="246">
        <f>SUM(compras_mes6[[#This Row],[NETO GRAVADO]:[Otros / No Grav.]])</f>
        <v>1063154.3999999999</v>
      </c>
      <c r="Q134" s="247" t="str">
        <f>IFERROR(IF(compras_mes6[[#This Row],[CUIT]]="","-",VLOOKUP(compras_mes6[[#This Row],[CUIT]],Lista_CUIT[#All],3,0)),"CUIT NO CARGADO")</f>
        <v>Productos Venta</v>
      </c>
      <c r="R134" s="247">
        <f>IFERROR(IF(compras_mes6[[#This Row],[CUIT]]="","-",VLOOKUP(compras_mes6[[#This Row],[CUIT]],Lista_CUIT[#All],4,0)),"CUIT NO CARGADO")</f>
        <v>0</v>
      </c>
    </row>
    <row r="135" spans="2:18">
      <c r="B135" s="239">
        <v>45446</v>
      </c>
      <c r="C135" s="240">
        <v>1</v>
      </c>
      <c r="D135" s="241">
        <v>1</v>
      </c>
      <c r="E135" s="257">
        <v>8</v>
      </c>
      <c r="F135" s="242">
        <v>30718189388</v>
      </c>
      <c r="G135" s="243" t="str">
        <f>IFERROR(IF(compras_mes6[[#This Row],[CUIT]]="","-",VLOOKUP(compras_mes6[[#This Row],[CUIT]],Lista_CUIT[#All],2,0)),"CUIT NO CARGADO")</f>
        <v>PICALI Y ASOCIADOS S.R.L.</v>
      </c>
      <c r="H135" s="244">
        <v>981000</v>
      </c>
      <c r="I135" s="245">
        <f>IF(compras_mes6[[#This Row],[NETO GRAVADO]]="","",compras_mes6[[#This Row],[NETO GRAVADO]]*0.21)</f>
        <v>206010</v>
      </c>
      <c r="J135" s="245"/>
      <c r="K135" s="245"/>
      <c r="L135" s="245"/>
      <c r="M135" s="245"/>
      <c r="N135" s="245"/>
      <c r="O135" s="245"/>
      <c r="P135" s="246">
        <f>SUM(compras_mes6[[#This Row],[NETO GRAVADO]:[Otros / No Grav.]])</f>
        <v>1187010</v>
      </c>
      <c r="Q135" s="247" t="str">
        <f>IFERROR(IF(compras_mes6[[#This Row],[CUIT]]="","-",VLOOKUP(compras_mes6[[#This Row],[CUIT]],Lista_CUIT[#All],3,0)),"CUIT NO CARGADO")</f>
        <v>Productos Venta</v>
      </c>
      <c r="R135" s="247">
        <f>IFERROR(IF(compras_mes6[[#This Row],[CUIT]]="","-",VLOOKUP(compras_mes6[[#This Row],[CUIT]],Lista_CUIT[#All],4,0)),"CUIT NO CARGADO")</f>
        <v>0</v>
      </c>
    </row>
    <row r="136" spans="2:18">
      <c r="B136" s="239">
        <v>45447</v>
      </c>
      <c r="C136" s="240">
        <v>1</v>
      </c>
      <c r="D136" s="241">
        <v>2</v>
      </c>
      <c r="E136" s="257">
        <v>7849</v>
      </c>
      <c r="F136" s="242">
        <v>33714677239</v>
      </c>
      <c r="G136" s="243" t="str">
        <f>IFERROR(IF(compras_mes6[[#This Row],[CUIT]]="","-",VLOOKUP(compras_mes6[[#This Row],[CUIT]],Lista_CUIT[#All],2,0)),"CUIT NO CARGADO")</f>
        <v xml:space="preserve">BOMBAS VAPORIZADORAS </v>
      </c>
      <c r="H136" s="244">
        <v>2748000</v>
      </c>
      <c r="I136" s="245">
        <f>IF(compras_mes6[[#This Row],[NETO GRAVADO]]="","",compras_mes6[[#This Row],[NETO GRAVADO]]*0.21)</f>
        <v>577080</v>
      </c>
      <c r="J136" s="245"/>
      <c r="K136" s="245"/>
      <c r="L136" s="245"/>
      <c r="M136" s="245"/>
      <c r="N136" s="245"/>
      <c r="O136" s="245"/>
      <c r="P136" s="246">
        <f>SUM(compras_mes6[[#This Row],[NETO GRAVADO]:[Otros / No Grav.]])</f>
        <v>3325080</v>
      </c>
      <c r="Q136" s="247" t="str">
        <f>IFERROR(IF(compras_mes6[[#This Row],[CUIT]]="","-",VLOOKUP(compras_mes6[[#This Row],[CUIT]],Lista_CUIT[#All],3,0)),"CUIT NO CARGADO")</f>
        <v>Productos Venta</v>
      </c>
      <c r="R136" s="247">
        <f>IFERROR(IF(compras_mes6[[#This Row],[CUIT]]="","-",VLOOKUP(compras_mes6[[#This Row],[CUIT]],Lista_CUIT[#All],4,0)),"CUIT NO CARGADO")</f>
        <v>0</v>
      </c>
    </row>
    <row r="137" spans="2:18">
      <c r="B137" s="239">
        <v>45447</v>
      </c>
      <c r="C137" s="240">
        <v>1</v>
      </c>
      <c r="D137" s="241">
        <v>2</v>
      </c>
      <c r="E137" s="257">
        <v>3701</v>
      </c>
      <c r="F137" s="242">
        <v>30629863571</v>
      </c>
      <c r="G137" s="243" t="str">
        <f>IFERROR(IF(compras_mes6[[#This Row],[CUIT]]="","-",VLOOKUP(compras_mes6[[#This Row],[CUIT]],Lista_CUIT[#All],2,0)),"CUIT NO CARGADO")</f>
        <v>TECNIMAR S R L</v>
      </c>
      <c r="H137" s="244">
        <v>506926.38</v>
      </c>
      <c r="I137" s="245">
        <f>IF(compras_mes6[[#This Row],[NETO GRAVADO]]="","",compras_mes6[[#This Row],[NETO GRAVADO]]*0.21)</f>
        <v>106454.5398</v>
      </c>
      <c r="J137" s="245"/>
      <c r="K137" s="245"/>
      <c r="L137" s="245"/>
      <c r="M137" s="245"/>
      <c r="N137" s="245"/>
      <c r="O137" s="245"/>
      <c r="P137" s="246">
        <f>SUM(compras_mes6[[#This Row],[NETO GRAVADO]:[Otros / No Grav.]])</f>
        <v>613380.91980000003</v>
      </c>
      <c r="Q137" s="247" t="str">
        <f>IFERROR(IF(compras_mes6[[#This Row],[CUIT]]="","-",VLOOKUP(compras_mes6[[#This Row],[CUIT]],Lista_CUIT[#All],3,0)),"CUIT NO CARGADO")</f>
        <v>Productos Venta</v>
      </c>
      <c r="R137" s="247">
        <f>IFERROR(IF(compras_mes6[[#This Row],[CUIT]]="","-",VLOOKUP(compras_mes6[[#This Row],[CUIT]],Lista_CUIT[#All],4,0)),"CUIT NO CARGADO")</f>
        <v>0</v>
      </c>
    </row>
    <row r="138" spans="2:18">
      <c r="B138" s="239">
        <v>45447</v>
      </c>
      <c r="C138" s="240">
        <v>1</v>
      </c>
      <c r="D138" s="241">
        <v>2</v>
      </c>
      <c r="E138" s="257">
        <v>3700</v>
      </c>
      <c r="F138" s="242">
        <v>30629863571</v>
      </c>
      <c r="G138" s="243" t="str">
        <f>IFERROR(IF(compras_mes6[[#This Row],[CUIT]]="","-",VLOOKUP(compras_mes6[[#This Row],[CUIT]],Lista_CUIT[#All],2,0)),"CUIT NO CARGADO")</f>
        <v>TECNIMAR S R L</v>
      </c>
      <c r="H138" s="244">
        <v>1904144</v>
      </c>
      <c r="I138" s="245">
        <f>IF(compras_mes6[[#This Row],[NETO GRAVADO]]="","",compras_mes6[[#This Row],[NETO GRAVADO]]*0.21)</f>
        <v>399870.24</v>
      </c>
      <c r="J138" s="245"/>
      <c r="K138" s="245"/>
      <c r="L138" s="245"/>
      <c r="M138" s="245"/>
      <c r="N138" s="245"/>
      <c r="O138" s="245"/>
      <c r="P138" s="246">
        <f>SUM(compras_mes6[[#This Row],[NETO GRAVADO]:[Otros / No Grav.]])</f>
        <v>2304014.2400000002</v>
      </c>
      <c r="Q138" s="247" t="str">
        <f>IFERROR(IF(compras_mes6[[#This Row],[CUIT]]="","-",VLOOKUP(compras_mes6[[#This Row],[CUIT]],Lista_CUIT[#All],3,0)),"CUIT NO CARGADO")</f>
        <v>Productos Venta</v>
      </c>
      <c r="R138" s="247">
        <f>IFERROR(IF(compras_mes6[[#This Row],[CUIT]]="","-",VLOOKUP(compras_mes6[[#This Row],[CUIT]],Lista_CUIT[#All],4,0)),"CUIT NO CARGADO")</f>
        <v>0</v>
      </c>
    </row>
    <row r="139" spans="2:18">
      <c r="B139" s="239">
        <v>45447</v>
      </c>
      <c r="C139" s="240">
        <v>1</v>
      </c>
      <c r="D139" s="241">
        <v>2</v>
      </c>
      <c r="E139" s="257">
        <v>2687</v>
      </c>
      <c r="F139" s="242">
        <v>30715811622</v>
      </c>
      <c r="G139" s="243" t="str">
        <f>IFERROR(IF(compras_mes6[[#This Row],[CUIT]]="","-",VLOOKUP(compras_mes6[[#This Row],[CUIT]],Lista_CUIT[#All],2,0)),"CUIT NO CARGADO")</f>
        <v>VTEC SRL</v>
      </c>
      <c r="H139" s="244">
        <v>616770.24</v>
      </c>
      <c r="I139" s="245">
        <f>IF(compras_mes6[[#This Row],[NETO GRAVADO]]="","",compras_mes6[[#This Row],[NETO GRAVADO]]*0.21)</f>
        <v>129521.75039999999</v>
      </c>
      <c r="J139" s="245"/>
      <c r="K139" s="245"/>
      <c r="L139" s="245"/>
      <c r="M139" s="245"/>
      <c r="N139" s="245"/>
      <c r="O139" s="245"/>
      <c r="P139" s="246">
        <f>SUM(compras_mes6[[#This Row],[NETO GRAVADO]:[Otros / No Grav.]])</f>
        <v>746291.99040000001</v>
      </c>
      <c r="Q139" s="247" t="str">
        <f>IFERROR(IF(compras_mes6[[#This Row],[CUIT]]="","-",VLOOKUP(compras_mes6[[#This Row],[CUIT]],Lista_CUIT[#All],3,0)),"CUIT NO CARGADO")</f>
        <v>Productos Venta</v>
      </c>
      <c r="R139" s="247">
        <f>IFERROR(IF(compras_mes6[[#This Row],[CUIT]]="","-",VLOOKUP(compras_mes6[[#This Row],[CUIT]],Lista_CUIT[#All],4,0)),"CUIT NO CARGADO")</f>
        <v>0</v>
      </c>
    </row>
    <row r="140" spans="2:18">
      <c r="B140" s="239">
        <v>45448</v>
      </c>
      <c r="C140" s="240">
        <v>1</v>
      </c>
      <c r="D140" s="241">
        <v>2</v>
      </c>
      <c r="E140" s="257">
        <v>3706</v>
      </c>
      <c r="F140" s="242">
        <v>30629863571</v>
      </c>
      <c r="G140" s="243" t="str">
        <f>IFERROR(IF(compras_mes6[[#This Row],[CUIT]]="","-",VLOOKUP(compras_mes6[[#This Row],[CUIT]],Lista_CUIT[#All],2,0)),"CUIT NO CARGADO")</f>
        <v>TECNIMAR S R L</v>
      </c>
      <c r="H140" s="244">
        <v>413538</v>
      </c>
      <c r="I140" s="245">
        <f>IF(compras_mes6[[#This Row],[NETO GRAVADO]]="","",compras_mes6[[#This Row],[NETO GRAVADO]]*0.21)</f>
        <v>86842.98</v>
      </c>
      <c r="J140" s="245"/>
      <c r="K140" s="245"/>
      <c r="L140" s="245"/>
      <c r="M140" s="245"/>
      <c r="N140" s="245"/>
      <c r="O140" s="245"/>
      <c r="P140" s="246">
        <f>SUM(compras_mes6[[#This Row],[NETO GRAVADO]:[Otros / No Grav.]])</f>
        <v>500380.98</v>
      </c>
      <c r="Q140" s="247" t="str">
        <f>IFERROR(IF(compras_mes6[[#This Row],[CUIT]]="","-",VLOOKUP(compras_mes6[[#This Row],[CUIT]],Lista_CUIT[#All],3,0)),"CUIT NO CARGADO")</f>
        <v>Productos Venta</v>
      </c>
      <c r="R140" s="247">
        <f>IFERROR(IF(compras_mes6[[#This Row],[CUIT]]="","-",VLOOKUP(compras_mes6[[#This Row],[CUIT]],Lista_CUIT[#All],4,0)),"CUIT NO CARGADO")</f>
        <v>0</v>
      </c>
    </row>
    <row r="141" spans="2:18">
      <c r="B141" s="239">
        <v>45455</v>
      </c>
      <c r="C141" s="240">
        <v>1</v>
      </c>
      <c r="D141" s="241">
        <v>2</v>
      </c>
      <c r="E141" s="257">
        <v>3712</v>
      </c>
      <c r="F141" s="242">
        <v>30629863571</v>
      </c>
      <c r="G141" s="243" t="str">
        <f>IFERROR(IF(compras_mes6[[#This Row],[CUIT]]="","-",VLOOKUP(compras_mes6[[#This Row],[CUIT]],Lista_CUIT[#All],2,0)),"CUIT NO CARGADO")</f>
        <v>TECNIMAR S R L</v>
      </c>
      <c r="H141" s="244">
        <v>795991.67</v>
      </c>
      <c r="I141" s="245">
        <f>IF(compras_mes6[[#This Row],[NETO GRAVADO]]="","",compras_mes6[[#This Row],[NETO GRAVADO]]*0.21)</f>
        <v>167158.2507</v>
      </c>
      <c r="J141" s="245"/>
      <c r="K141" s="245"/>
      <c r="L141" s="245"/>
      <c r="M141" s="245"/>
      <c r="N141" s="245"/>
      <c r="O141" s="245"/>
      <c r="P141" s="246">
        <f>SUM(compras_mes6[[#This Row],[NETO GRAVADO]:[Otros / No Grav.]])</f>
        <v>963149.92070000002</v>
      </c>
      <c r="Q141" s="247" t="str">
        <f>IFERROR(IF(compras_mes6[[#This Row],[CUIT]]="","-",VLOOKUP(compras_mes6[[#This Row],[CUIT]],Lista_CUIT[#All],3,0)),"CUIT NO CARGADO")</f>
        <v>Productos Venta</v>
      </c>
      <c r="R141" s="247">
        <f>IFERROR(IF(compras_mes6[[#This Row],[CUIT]]="","-",VLOOKUP(compras_mes6[[#This Row],[CUIT]],Lista_CUIT[#All],4,0)),"CUIT NO CARGADO")</f>
        <v>0</v>
      </c>
    </row>
    <row r="142" spans="2:18">
      <c r="B142" s="239">
        <v>45455</v>
      </c>
      <c r="C142" s="240">
        <v>1</v>
      </c>
      <c r="D142" s="241">
        <v>6</v>
      </c>
      <c r="E142" s="257">
        <v>3158</v>
      </c>
      <c r="F142" s="242">
        <v>30574603788</v>
      </c>
      <c r="G142" s="243" t="str">
        <f>IFERROR(IF(compras_mes6[[#This Row],[CUIT]]="","-",VLOOKUP(compras_mes6[[#This Row],[CUIT]],Lista_CUIT[#All],2,0)),"CUIT NO CARGADO")</f>
        <v>CODAC SRL</v>
      </c>
      <c r="H142" s="244">
        <v>3882470</v>
      </c>
      <c r="I142" s="245">
        <f>IF(compras_mes6[[#This Row],[NETO GRAVADO]]="","",compras_mes6[[#This Row],[NETO GRAVADO]]*0.21)</f>
        <v>815318.7</v>
      </c>
      <c r="J142" s="245"/>
      <c r="K142" s="245"/>
      <c r="L142" s="245"/>
      <c r="M142" s="245"/>
      <c r="N142" s="245"/>
      <c r="O142" s="245"/>
      <c r="P142" s="246">
        <f>SUM(compras_mes6[[#This Row],[NETO GRAVADO]:[Otros / No Grav.]])</f>
        <v>4697788.7</v>
      </c>
      <c r="Q142" s="247" t="str">
        <f>IFERROR(IF(compras_mes6[[#This Row],[CUIT]]="","-",VLOOKUP(compras_mes6[[#This Row],[CUIT]],Lista_CUIT[#All],3,0)),"CUIT NO CARGADO")</f>
        <v>Productos Venta</v>
      </c>
      <c r="R142" s="247" t="str">
        <f>IFERROR(IF(compras_mes6[[#This Row],[CUIT]]="","-",VLOOKUP(compras_mes6[[#This Row],[CUIT]],Lista_CUIT[#All],4,0)),"CUIT NO CARGADO")</f>
        <v>BUENOS AIRES</v>
      </c>
    </row>
    <row r="143" spans="2:18">
      <c r="B143" s="239">
        <v>45461</v>
      </c>
      <c r="C143" s="240">
        <v>1</v>
      </c>
      <c r="D143" s="241">
        <v>6</v>
      </c>
      <c r="E143" s="257">
        <v>3163</v>
      </c>
      <c r="F143" s="242">
        <v>30574603788</v>
      </c>
      <c r="G143" s="243" t="str">
        <f>IFERROR(IF(compras_mes6[[#This Row],[CUIT]]="","-",VLOOKUP(compras_mes6[[#This Row],[CUIT]],Lista_CUIT[#All],2,0)),"CUIT NO CARGADO")</f>
        <v>CODAC SRL</v>
      </c>
      <c r="H143" s="244">
        <v>1773350</v>
      </c>
      <c r="I143" s="245">
        <f>IF(compras_mes6[[#This Row],[NETO GRAVADO]]="","",compras_mes6[[#This Row],[NETO GRAVADO]]*0.21)</f>
        <v>372403.5</v>
      </c>
      <c r="J143" s="245"/>
      <c r="K143" s="245"/>
      <c r="L143" s="245"/>
      <c r="M143" s="245"/>
      <c r="N143" s="245"/>
      <c r="O143" s="245"/>
      <c r="P143" s="246">
        <f>SUM(compras_mes6[[#This Row],[NETO GRAVADO]:[Otros / No Grav.]])</f>
        <v>2145753.5</v>
      </c>
      <c r="Q143" s="247" t="str">
        <f>IFERROR(IF(compras_mes6[[#This Row],[CUIT]]="","-",VLOOKUP(compras_mes6[[#This Row],[CUIT]],Lista_CUIT[#All],3,0)),"CUIT NO CARGADO")</f>
        <v>Productos Venta</v>
      </c>
      <c r="R143" s="247" t="str">
        <f>IFERROR(IF(compras_mes6[[#This Row],[CUIT]]="","-",VLOOKUP(compras_mes6[[#This Row],[CUIT]],Lista_CUIT[#All],4,0)),"CUIT NO CARGADO")</f>
        <v>BUENOS AIRES</v>
      </c>
    </row>
    <row r="144" spans="2:18">
      <c r="B144" s="239">
        <v>45461</v>
      </c>
      <c r="C144" s="240">
        <v>1</v>
      </c>
      <c r="D144" s="241">
        <v>4</v>
      </c>
      <c r="E144" s="257">
        <v>2420</v>
      </c>
      <c r="F144" s="242">
        <v>30715946250</v>
      </c>
      <c r="G144" s="243" t="str">
        <f>IFERROR(IF(compras_mes6[[#This Row],[CUIT]]="","-",VLOOKUP(compras_mes6[[#This Row],[CUIT]],Lista_CUIT[#All],2,0)),"CUIT NO CARGADO")</f>
        <v>GLOBAL AESTHETICS PRODUCTS AND SERVICES SRL</v>
      </c>
      <c r="H144" s="244">
        <v>1620456</v>
      </c>
      <c r="I144" s="245">
        <f>IF(compras_mes6[[#This Row],[NETO GRAVADO]]="","",compras_mes6[[#This Row],[NETO GRAVADO]]*0.21)</f>
        <v>340295.76</v>
      </c>
      <c r="J144" s="245"/>
      <c r="K144" s="245"/>
      <c r="L144" s="245"/>
      <c r="M144" s="245"/>
      <c r="N144" s="245"/>
      <c r="O144" s="245"/>
      <c r="P144" s="246">
        <f>SUM(compras_mes6[[#This Row],[NETO GRAVADO]:[Otros / No Grav.]])</f>
        <v>1960751.76</v>
      </c>
      <c r="Q144" s="247" t="str">
        <f>IFERROR(IF(compras_mes6[[#This Row],[CUIT]]="","-",VLOOKUP(compras_mes6[[#This Row],[CUIT]],Lista_CUIT[#All],3,0)),"CUIT NO CARGADO")</f>
        <v>Productos Venta</v>
      </c>
      <c r="R144" s="247">
        <f>IFERROR(IF(compras_mes6[[#This Row],[CUIT]]="","-",VLOOKUP(compras_mes6[[#This Row],[CUIT]],Lista_CUIT[#All],4,0)),"CUIT NO CARGADO")</f>
        <v>0</v>
      </c>
    </row>
    <row r="145" spans="2:18">
      <c r="B145" s="239">
        <v>45461</v>
      </c>
      <c r="C145" s="240">
        <v>1</v>
      </c>
      <c r="D145" s="241">
        <v>1</v>
      </c>
      <c r="E145" s="257">
        <v>91</v>
      </c>
      <c r="F145" s="242">
        <v>20263486464</v>
      </c>
      <c r="G145" s="243" t="str">
        <f>IFERROR(IF(compras_mes6[[#This Row],[CUIT]]="","-",VLOOKUP(compras_mes6[[#This Row],[CUIT]],Lista_CUIT[#All],2,0)),"CUIT NO CARGADO")</f>
        <v>ROMANO SEBASTIAN ANTONIO</v>
      </c>
      <c r="H145" s="244">
        <v>820800</v>
      </c>
      <c r="I145" s="245">
        <f>IF(compras_mes6[[#This Row],[NETO GRAVADO]]="","",compras_mes6[[#This Row],[NETO GRAVADO]]*0.21)</f>
        <v>172368</v>
      </c>
      <c r="J145" s="245"/>
      <c r="K145" s="245"/>
      <c r="L145" s="245"/>
      <c r="M145" s="245"/>
      <c r="N145" s="245"/>
      <c r="O145" s="245"/>
      <c r="P145" s="246">
        <f>SUM(compras_mes6[[#This Row],[NETO GRAVADO]:[Otros / No Grav.]])</f>
        <v>993168</v>
      </c>
      <c r="Q145" s="247" t="str">
        <f>IFERROR(IF(compras_mes6[[#This Row],[CUIT]]="","-",VLOOKUP(compras_mes6[[#This Row],[CUIT]],Lista_CUIT[#All],3,0)),"CUIT NO CARGADO")</f>
        <v>Productos Venta</v>
      </c>
      <c r="R145" s="247">
        <f>IFERROR(IF(compras_mes6[[#This Row],[CUIT]]="","-",VLOOKUP(compras_mes6[[#This Row],[CUIT]],Lista_CUIT[#All],4,0)),"CUIT NO CARGADO")</f>
        <v>0</v>
      </c>
    </row>
    <row r="146" spans="2:18">
      <c r="B146" s="239">
        <v>45462</v>
      </c>
      <c r="C146" s="240">
        <v>1</v>
      </c>
      <c r="D146" s="241">
        <v>2</v>
      </c>
      <c r="E146" s="257">
        <v>3719</v>
      </c>
      <c r="F146" s="242">
        <v>30629863571</v>
      </c>
      <c r="G146" s="243" t="str">
        <f>IFERROR(IF(compras_mes6[[#This Row],[CUIT]]="","-",VLOOKUP(compras_mes6[[#This Row],[CUIT]],Lista_CUIT[#All],2,0)),"CUIT NO CARGADO")</f>
        <v>TECNIMAR S R L</v>
      </c>
      <c r="H146" s="244">
        <v>738089.1</v>
      </c>
      <c r="I146" s="245">
        <f>IF(compras_mes6[[#This Row],[NETO GRAVADO]]="","",compras_mes6[[#This Row],[NETO GRAVADO]]*0.21)</f>
        <v>154998.71099999998</v>
      </c>
      <c r="J146" s="245"/>
      <c r="K146" s="245"/>
      <c r="L146" s="245"/>
      <c r="M146" s="245"/>
      <c r="N146" s="245"/>
      <c r="O146" s="245"/>
      <c r="P146" s="246">
        <f>SUM(compras_mes6[[#This Row],[NETO GRAVADO]:[Otros / No Grav.]])</f>
        <v>893087.81099999999</v>
      </c>
      <c r="Q146" s="247" t="str">
        <f>IFERROR(IF(compras_mes6[[#This Row],[CUIT]]="","-",VLOOKUP(compras_mes6[[#This Row],[CUIT]],Lista_CUIT[#All],3,0)),"CUIT NO CARGADO")</f>
        <v>Productos Venta</v>
      </c>
      <c r="R146" s="247">
        <f>IFERROR(IF(compras_mes6[[#This Row],[CUIT]]="","-",VLOOKUP(compras_mes6[[#This Row],[CUIT]],Lista_CUIT[#All],4,0)),"CUIT NO CARGADO")</f>
        <v>0</v>
      </c>
    </row>
    <row r="147" spans="2:18">
      <c r="B147" s="239">
        <v>45467</v>
      </c>
      <c r="C147" s="240">
        <v>1</v>
      </c>
      <c r="D147" s="241">
        <v>1</v>
      </c>
      <c r="E147" s="257">
        <v>99</v>
      </c>
      <c r="F147" s="242">
        <v>30718148207</v>
      </c>
      <c r="G147" s="243" t="str">
        <f>IFERROR(IF(compras_mes6[[#This Row],[CUIT]]="","-",VLOOKUP(compras_mes6[[#This Row],[CUIT]],Lista_CUIT[#All],2,0)),"CUIT NO CARGADO")</f>
        <v>VIPA INTERNATIONAL S.R.L.</v>
      </c>
      <c r="H147" s="244">
        <v>1177229.43</v>
      </c>
      <c r="I147" s="245">
        <f>IF(compras_mes6[[#This Row],[NETO GRAVADO]]="","",compras_mes6[[#This Row],[NETO GRAVADO]]*0.21)</f>
        <v>247218.18029999998</v>
      </c>
      <c r="J147" s="245"/>
      <c r="K147" s="245"/>
      <c r="L147" s="245"/>
      <c r="M147" s="245"/>
      <c r="N147" s="245"/>
      <c r="O147" s="245"/>
      <c r="P147" s="246">
        <f>SUM(compras_mes6[[#This Row],[NETO GRAVADO]:[Otros / No Grav.]])</f>
        <v>1424447.6102999998</v>
      </c>
      <c r="Q147" s="247" t="str">
        <f>IFERROR(IF(compras_mes6[[#This Row],[CUIT]]="","-",VLOOKUP(compras_mes6[[#This Row],[CUIT]],Lista_CUIT[#All],3,0)),"CUIT NO CARGADO")</f>
        <v>Productos Venta</v>
      </c>
      <c r="R147" s="247">
        <f>IFERROR(IF(compras_mes6[[#This Row],[CUIT]]="","-",VLOOKUP(compras_mes6[[#This Row],[CUIT]],Lista_CUIT[#All],4,0)),"CUIT NO CARGADO")</f>
        <v>0</v>
      </c>
    </row>
    <row r="148" spans="2:18">
      <c r="B148" s="239">
        <v>45467</v>
      </c>
      <c r="C148" s="240">
        <v>1</v>
      </c>
      <c r="D148" s="241">
        <v>1</v>
      </c>
      <c r="E148" s="257">
        <v>9</v>
      </c>
      <c r="F148" s="242">
        <v>30718189388</v>
      </c>
      <c r="G148" s="243" t="str">
        <f>IFERROR(IF(compras_mes6[[#This Row],[CUIT]]="","-",VLOOKUP(compras_mes6[[#This Row],[CUIT]],Lista_CUIT[#All],2,0)),"CUIT NO CARGADO")</f>
        <v>PICALI Y ASOCIADOS S.R.L.</v>
      </c>
      <c r="H148" s="244">
        <v>1353967</v>
      </c>
      <c r="I148" s="245">
        <f>IF(compras_mes6[[#This Row],[NETO GRAVADO]]="","",compras_mes6[[#This Row],[NETO GRAVADO]]*0.21)</f>
        <v>284333.07</v>
      </c>
      <c r="J148" s="245"/>
      <c r="K148" s="245"/>
      <c r="L148" s="245"/>
      <c r="M148" s="245"/>
      <c r="N148" s="245"/>
      <c r="O148" s="245"/>
      <c r="P148" s="246">
        <f>SUM(compras_mes6[[#This Row],[NETO GRAVADO]:[Otros / No Grav.]])</f>
        <v>1638300.07</v>
      </c>
      <c r="Q148" s="247" t="str">
        <f>IFERROR(IF(compras_mes6[[#This Row],[CUIT]]="","-",VLOOKUP(compras_mes6[[#This Row],[CUIT]],Lista_CUIT[#All],3,0)),"CUIT NO CARGADO")</f>
        <v>Productos Venta</v>
      </c>
      <c r="R148" s="247">
        <f>IFERROR(IF(compras_mes6[[#This Row],[CUIT]]="","-",VLOOKUP(compras_mes6[[#This Row],[CUIT]],Lista_CUIT[#All],4,0)),"CUIT NO CARGADO")</f>
        <v>0</v>
      </c>
    </row>
    <row r="149" spans="2:18">
      <c r="B149" s="239">
        <v>45468</v>
      </c>
      <c r="C149" s="240">
        <v>1</v>
      </c>
      <c r="D149" s="241">
        <v>1</v>
      </c>
      <c r="E149" s="257">
        <v>96</v>
      </c>
      <c r="F149" s="242">
        <v>20263486464</v>
      </c>
      <c r="G149" s="243" t="str">
        <f>IFERROR(IF(compras_mes6[[#This Row],[CUIT]]="","-",VLOOKUP(compras_mes6[[#This Row],[CUIT]],Lista_CUIT[#All],2,0)),"CUIT NO CARGADO")</f>
        <v>ROMANO SEBASTIAN ANTONIO</v>
      </c>
      <c r="H149" s="244">
        <v>546465</v>
      </c>
      <c r="I149" s="245">
        <f>IF(compras_mes6[[#This Row],[NETO GRAVADO]]="","",compras_mes6[[#This Row],[NETO GRAVADO]]*0.21)</f>
        <v>114757.65</v>
      </c>
      <c r="J149" s="245"/>
      <c r="K149" s="245"/>
      <c r="L149" s="245"/>
      <c r="M149" s="245"/>
      <c r="N149" s="245"/>
      <c r="O149" s="245"/>
      <c r="P149" s="246">
        <f>SUM(compras_mes6[[#This Row],[NETO GRAVADO]:[Otros / No Grav.]])</f>
        <v>661222.65</v>
      </c>
      <c r="Q149" s="247" t="str">
        <f>IFERROR(IF(compras_mes6[[#This Row],[CUIT]]="","-",VLOOKUP(compras_mes6[[#This Row],[CUIT]],Lista_CUIT[#All],3,0)),"CUIT NO CARGADO")</f>
        <v>Productos Venta</v>
      </c>
      <c r="R149" s="247">
        <f>IFERROR(IF(compras_mes6[[#This Row],[CUIT]]="","-",VLOOKUP(compras_mes6[[#This Row],[CUIT]],Lista_CUIT[#All],4,0)),"CUIT NO CARGADO")</f>
        <v>0</v>
      </c>
    </row>
    <row r="150" spans="2:18">
      <c r="B150" s="239">
        <v>45469</v>
      </c>
      <c r="C150" s="240">
        <v>1</v>
      </c>
      <c r="D150" s="241">
        <v>2</v>
      </c>
      <c r="E150" s="257">
        <v>7907</v>
      </c>
      <c r="F150" s="242">
        <v>33714677239</v>
      </c>
      <c r="G150" s="243" t="str">
        <f>IFERROR(IF(compras_mes6[[#This Row],[CUIT]]="","-",VLOOKUP(compras_mes6[[#This Row],[CUIT]],Lista_CUIT[#All],2,0)),"CUIT NO CARGADO")</f>
        <v xml:space="preserve">BOMBAS VAPORIZADORAS </v>
      </c>
      <c r="H150" s="244">
        <v>3016000</v>
      </c>
      <c r="I150" s="245">
        <f>IF(compras_mes6[[#This Row],[NETO GRAVADO]]="","",compras_mes6[[#This Row],[NETO GRAVADO]]*0.21)</f>
        <v>633360</v>
      </c>
      <c r="J150" s="245"/>
      <c r="K150" s="245"/>
      <c r="L150" s="245"/>
      <c r="M150" s="245"/>
      <c r="N150" s="245"/>
      <c r="O150" s="245"/>
      <c r="P150" s="246">
        <f>SUM(compras_mes6[[#This Row],[NETO GRAVADO]:[Otros / No Grav.]])</f>
        <v>3649360</v>
      </c>
      <c r="Q150" s="247" t="str">
        <f>IFERROR(IF(compras_mes6[[#This Row],[CUIT]]="","-",VLOOKUP(compras_mes6[[#This Row],[CUIT]],Lista_CUIT[#All],3,0)),"CUIT NO CARGADO")</f>
        <v>Productos Venta</v>
      </c>
      <c r="R150" s="247">
        <f>IFERROR(IF(compras_mes6[[#This Row],[CUIT]]="","-",VLOOKUP(compras_mes6[[#This Row],[CUIT]],Lista_CUIT[#All],4,0)),"CUIT NO CARGADO")</f>
        <v>0</v>
      </c>
    </row>
    <row r="151" spans="2:18">
      <c r="B151" s="239">
        <v>45469</v>
      </c>
      <c r="C151" s="240">
        <v>1</v>
      </c>
      <c r="D151" s="241">
        <v>3</v>
      </c>
      <c r="E151" s="257">
        <v>6850</v>
      </c>
      <c r="F151" s="242">
        <v>30708006420</v>
      </c>
      <c r="G151" s="243" t="str">
        <f>IFERROR(IF(compras_mes6[[#This Row],[CUIT]]="","-",VLOOKUP(compras_mes6[[#This Row],[CUIT]],Lista_CUIT[#All],2,0)),"CUIT NO CARGADO")</f>
        <v>MEDILEA S.A.</v>
      </c>
      <c r="H151" s="244">
        <v>579000</v>
      </c>
      <c r="I151" s="245">
        <f>IF(compras_mes6[[#This Row],[NETO GRAVADO]]="","",compras_mes6[[#This Row],[NETO GRAVADO]]*0.21)</f>
        <v>121590</v>
      </c>
      <c r="J151" s="245"/>
      <c r="K151" s="245"/>
      <c r="L151" s="245"/>
      <c r="M151" s="245"/>
      <c r="N151" s="245"/>
      <c r="O151" s="245"/>
      <c r="P151" s="246">
        <f>SUM(compras_mes6[[#This Row],[NETO GRAVADO]:[Otros / No Grav.]])</f>
        <v>700590</v>
      </c>
      <c r="Q151" s="247" t="str">
        <f>IFERROR(IF(compras_mes6[[#This Row],[CUIT]]="","-",VLOOKUP(compras_mes6[[#This Row],[CUIT]],Lista_CUIT[#All],3,0)),"CUIT NO CARGADO")</f>
        <v>Productos Venta</v>
      </c>
      <c r="R151" s="247">
        <f>IFERROR(IF(compras_mes6[[#This Row],[CUIT]]="","-",VLOOKUP(compras_mes6[[#This Row],[CUIT]],Lista_CUIT[#All],4,0)),"CUIT NO CARGADO")</f>
        <v>0</v>
      </c>
    </row>
    <row r="152" spans="2:18">
      <c r="B152" s="239">
        <v>45469</v>
      </c>
      <c r="C152" s="240">
        <v>1</v>
      </c>
      <c r="D152" s="241">
        <v>2</v>
      </c>
      <c r="E152" s="257">
        <v>3723</v>
      </c>
      <c r="F152" s="242">
        <v>30629863571</v>
      </c>
      <c r="G152" s="243" t="str">
        <f>IFERROR(IF(compras_mes6[[#This Row],[CUIT]]="","-",VLOOKUP(compras_mes6[[#This Row],[CUIT]],Lista_CUIT[#All],2,0)),"CUIT NO CARGADO")</f>
        <v>TECNIMAR S R L</v>
      </c>
      <c r="H152" s="244">
        <v>2415138.2400000002</v>
      </c>
      <c r="I152" s="245">
        <f>IF(compras_mes6[[#This Row],[NETO GRAVADO]]="","",compras_mes6[[#This Row],[NETO GRAVADO]]*0.21)</f>
        <v>507179.03040000005</v>
      </c>
      <c r="J152" s="245"/>
      <c r="K152" s="245"/>
      <c r="L152" s="245"/>
      <c r="M152" s="245"/>
      <c r="N152" s="245"/>
      <c r="O152" s="245"/>
      <c r="P152" s="246">
        <f>SUM(compras_mes6[[#This Row],[NETO GRAVADO]:[Otros / No Grav.]])</f>
        <v>2922317.2704000003</v>
      </c>
      <c r="Q152" s="247" t="str">
        <f>IFERROR(IF(compras_mes6[[#This Row],[CUIT]]="","-",VLOOKUP(compras_mes6[[#This Row],[CUIT]],Lista_CUIT[#All],3,0)),"CUIT NO CARGADO")</f>
        <v>Productos Venta</v>
      </c>
      <c r="R152" s="247">
        <f>IFERROR(IF(compras_mes6[[#This Row],[CUIT]]="","-",VLOOKUP(compras_mes6[[#This Row],[CUIT]],Lista_CUIT[#All],4,0)),"CUIT NO CARGADO")</f>
        <v>0</v>
      </c>
    </row>
    <row r="153" spans="2:18">
      <c r="B153" s="239">
        <v>45469</v>
      </c>
      <c r="C153" s="240">
        <v>3</v>
      </c>
      <c r="D153" s="241">
        <v>6</v>
      </c>
      <c r="E153" s="257">
        <v>475</v>
      </c>
      <c r="F153" s="242">
        <v>30574603788</v>
      </c>
      <c r="G153" s="243" t="str">
        <f>IFERROR(IF(compras_mes6[[#This Row],[CUIT]]="","-",VLOOKUP(compras_mes6[[#This Row],[CUIT]],Lista_CUIT[#All],2,0)),"CUIT NO CARGADO")</f>
        <v>CODAC SRL</v>
      </c>
      <c r="H153" s="244">
        <v>-131340</v>
      </c>
      <c r="I153" s="245">
        <f>IF(compras_mes6[[#This Row],[NETO GRAVADO]]="","",compras_mes6[[#This Row],[NETO GRAVADO]]*0.21)</f>
        <v>-27581.399999999998</v>
      </c>
      <c r="J153" s="245"/>
      <c r="K153" s="245"/>
      <c r="L153" s="245"/>
      <c r="M153" s="245"/>
      <c r="N153" s="245"/>
      <c r="O153" s="245"/>
      <c r="P153" s="246">
        <f>SUM(compras_mes6[[#This Row],[NETO GRAVADO]:[Otros / No Grav.]])</f>
        <v>-158921.4</v>
      </c>
      <c r="Q153" s="247" t="str">
        <f>IFERROR(IF(compras_mes6[[#This Row],[CUIT]]="","-",VLOOKUP(compras_mes6[[#This Row],[CUIT]],Lista_CUIT[#All],3,0)),"CUIT NO CARGADO")</f>
        <v>Productos Venta</v>
      </c>
      <c r="R153" s="247" t="str">
        <f>IFERROR(IF(compras_mes6[[#This Row],[CUIT]]="","-",VLOOKUP(compras_mes6[[#This Row],[CUIT]],Lista_CUIT[#All],4,0)),"CUIT NO CARGADO")</f>
        <v>BUENOS AIRES</v>
      </c>
    </row>
    <row r="154" spans="2:18" s="56" customFormat="1" ht="18.600000000000001" customHeight="1">
      <c r="B154" s="239">
        <v>45470</v>
      </c>
      <c r="C154" s="240">
        <v>1</v>
      </c>
      <c r="D154" s="241">
        <v>2</v>
      </c>
      <c r="E154" s="257">
        <v>3725</v>
      </c>
      <c r="F154" s="242">
        <v>30629863571</v>
      </c>
      <c r="G154" s="243" t="str">
        <f>IFERROR(IF(compras_mes6[[#This Row],[CUIT]]="","-",VLOOKUP(compras_mes6[[#This Row],[CUIT]],Lista_CUIT[#All],2,0)),"CUIT NO CARGADO")</f>
        <v>TECNIMAR S R L</v>
      </c>
      <c r="H154" s="244">
        <v>1183305</v>
      </c>
      <c r="I154" s="245">
        <f>IF(compras_mes6[[#This Row],[NETO GRAVADO]]="","",compras_mes6[[#This Row],[NETO GRAVADO]]*0.21)</f>
        <v>248494.05</v>
      </c>
      <c r="J154" s="245"/>
      <c r="K154" s="245"/>
      <c r="L154" s="245"/>
      <c r="M154" s="245"/>
      <c r="N154" s="245"/>
      <c r="O154" s="245"/>
      <c r="P154" s="246">
        <f>SUM(compras_mes6[[#This Row],[NETO GRAVADO]:[Otros / No Grav.]])</f>
        <v>1431799.05</v>
      </c>
      <c r="Q154" s="247" t="str">
        <f>IFERROR(IF(compras_mes6[[#This Row],[CUIT]]="","-",VLOOKUP(compras_mes6[[#This Row],[CUIT]],Lista_CUIT[#All],3,0)),"CUIT NO CARGADO")</f>
        <v>Productos Venta</v>
      </c>
      <c r="R154" s="247">
        <f>IFERROR(IF(compras_mes6[[#This Row],[CUIT]]="","-",VLOOKUP(compras_mes6[[#This Row],[CUIT]],Lista_CUIT[#All],4,0)),"CUIT NO CARGADO")</f>
        <v>0</v>
      </c>
    </row>
    <row r="155" spans="2:18">
      <c r="B155" s="40">
        <v>45470</v>
      </c>
      <c r="C155" s="240">
        <v>1</v>
      </c>
      <c r="D155" s="42">
        <v>1</v>
      </c>
      <c r="E155" s="43">
        <v>98</v>
      </c>
      <c r="F155" s="44">
        <v>20263486464</v>
      </c>
      <c r="G155" s="45" t="str">
        <f>IFERROR(IF(compras_mes6[[#This Row],[CUIT]]="","-",VLOOKUP(compras_mes6[[#This Row],[CUIT]],Lista_CUIT[#All],2,0)),"CUIT NO CARGADO")</f>
        <v>ROMANO SEBASTIAN ANTONIO</v>
      </c>
      <c r="H155" s="46">
        <v>354465</v>
      </c>
      <c r="I155" s="245">
        <f>IF(compras_mes6[[#This Row],[NETO GRAVADO]]="","",compras_mes6[[#This Row],[NETO GRAVADO]]*0.21)</f>
        <v>74437.649999999994</v>
      </c>
      <c r="J155" s="85"/>
      <c r="K155" s="85"/>
      <c r="L155" s="85"/>
      <c r="M155" s="85"/>
      <c r="N155" s="85"/>
      <c r="O155" s="85"/>
      <c r="P155" s="246">
        <f>SUM(compras_mes6[[#This Row],[NETO GRAVADO]:[Otros / No Grav.]])</f>
        <v>428902.65</v>
      </c>
      <c r="Q155" s="49" t="str">
        <f>IFERROR(IF(compras_mes6[[#This Row],[CUIT]]="","-",VLOOKUP(compras_mes6[[#This Row],[CUIT]],Lista_CUIT[#All],3,0)),"CUIT NO CARGADO")</f>
        <v>Productos Venta</v>
      </c>
      <c r="R155" s="49">
        <f>IFERROR(IF(compras_mes6[[#This Row],[CUIT]]="","-",VLOOKUP(compras_mes6[[#This Row],[CUIT]],Lista_CUIT[#All],4,0)),"CUIT NO CARGADO")</f>
        <v>0</v>
      </c>
    </row>
    <row r="156" spans="2:18">
      <c r="B156" s="239">
        <v>45471</v>
      </c>
      <c r="C156" s="240">
        <v>1</v>
      </c>
      <c r="D156" s="241">
        <v>3</v>
      </c>
      <c r="E156" s="257">
        <v>4028</v>
      </c>
      <c r="F156" s="242">
        <v>30714618977</v>
      </c>
      <c r="G156" s="243" t="str">
        <f>IFERROR(IF(compras_mes6[[#This Row],[CUIT]]="","-",VLOOKUP(compras_mes6[[#This Row],[CUIT]],Lista_CUIT[#All],2,0)),"CUIT NO CARGADO")</f>
        <v>DISTRIBUIDORA N.G. S.A.</v>
      </c>
      <c r="H156" s="244">
        <v>900000</v>
      </c>
      <c r="I156" s="245">
        <f>IF(compras_mes6[[#This Row],[NETO GRAVADO]]="","",compras_mes6[[#This Row],[NETO GRAVADO]]*0.21)</f>
        <v>189000</v>
      </c>
      <c r="J156" s="245"/>
      <c r="K156" s="245"/>
      <c r="L156" s="245"/>
      <c r="M156" s="245"/>
      <c r="N156" s="245"/>
      <c r="O156" s="245"/>
      <c r="P156" s="246">
        <f>SUM(compras_mes6[[#This Row],[NETO GRAVADO]:[Otros / No Grav.]])</f>
        <v>1089000</v>
      </c>
      <c r="Q156" s="247" t="str">
        <f>IFERROR(IF(compras_mes6[[#This Row],[CUIT]]="","-",VLOOKUP(compras_mes6[[#This Row],[CUIT]],Lista_CUIT[#All],3,0)),"CUIT NO CARGADO")</f>
        <v>Productos Venta</v>
      </c>
      <c r="R156" s="247">
        <f>IFERROR(IF(compras_mes6[[#This Row],[CUIT]]="","-",VLOOKUP(compras_mes6[[#This Row],[CUIT]],Lista_CUIT[#All],4,0)),"CUIT NO CARGADO")</f>
        <v>0</v>
      </c>
    </row>
    <row r="157" spans="2:18" ht="14.45" customHeight="1">
      <c r="B157" s="239">
        <v>45446</v>
      </c>
      <c r="C157" s="240">
        <v>1</v>
      </c>
      <c r="D157" s="241">
        <v>3099</v>
      </c>
      <c r="E157" s="257">
        <v>159475</v>
      </c>
      <c r="F157" s="242">
        <v>30678814357</v>
      </c>
      <c r="G157" s="243" t="str">
        <f>IFERROR(IF(compras_mes6[[#This Row],[CUIT]]="","-",VLOOKUP(compras_mes6[[#This Row],[CUIT]],Lista_CUIT[#All],2,0)),"CUIT NO CARGADO")</f>
        <v>TELEFONICA MOVILES ARG</v>
      </c>
      <c r="H157" s="244">
        <v>104708</v>
      </c>
      <c r="I157" s="495"/>
      <c r="J157" s="245">
        <f>compras_mes6[[#This Row],[NETO GRAVADO]]*0.27</f>
        <v>28271.160000000003</v>
      </c>
      <c r="K157" s="245"/>
      <c r="L157" s="245">
        <v>3141.24</v>
      </c>
      <c r="M157" s="245"/>
      <c r="N157" s="245">
        <v>6282.48</v>
      </c>
      <c r="O157" s="245"/>
      <c r="P157" s="494">
        <f>SUM(compras_mes6[[#This Row],[NETO GRAVADO]:[Otros / No Grav.]])</f>
        <v>142402.88</v>
      </c>
      <c r="Q157" s="247" t="str">
        <f>IFERROR(IF(compras_mes6[[#This Row],[CUIT]]="","-",VLOOKUP(compras_mes6[[#This Row],[CUIT]],Lista_CUIT[#All],3,0)),"CUIT NO CARGADO")</f>
        <v>Servicios Gas, Luz, etc.</v>
      </c>
      <c r="R157" s="247">
        <f>IFERROR(IF(compras_mes6[[#This Row],[CUIT]]="","-",VLOOKUP(compras_mes6[[#This Row],[CUIT]],Lista_CUIT[#All],4,0)),"CUIT NO CARGADO")</f>
        <v>0</v>
      </c>
    </row>
    <row r="158" spans="2:18" ht="15" customHeight="1">
      <c r="B158" s="239">
        <v>45447</v>
      </c>
      <c r="C158" s="240">
        <v>1</v>
      </c>
      <c r="D158" s="241">
        <v>63</v>
      </c>
      <c r="E158" s="257">
        <v>2860523</v>
      </c>
      <c r="F158" s="242">
        <v>30640897267</v>
      </c>
      <c r="G158" s="243" t="str">
        <f>IFERROR(IF(compras_mes6[[#This Row],[CUIT]]="","-",VLOOKUP(compras_mes6[[#This Row],[CUIT]],Lista_CUIT[#All],2,0)),"CUIT NO CARGADO")</f>
        <v>TELECENTRO S.A.</v>
      </c>
      <c r="H158" s="244">
        <v>44914.879999999997</v>
      </c>
      <c r="I158" s="245">
        <f>IF(compras_mes6[[#This Row],[NETO GRAVADO]]="","",compras_mes6[[#This Row],[NETO GRAVADO]]*0.21)</f>
        <v>9432.1247999999996</v>
      </c>
      <c r="J158" s="245"/>
      <c r="K158" s="245"/>
      <c r="L158" s="245">
        <v>1347.45</v>
      </c>
      <c r="M158" s="245"/>
      <c r="N158" s="245">
        <v>2694.89</v>
      </c>
      <c r="O158" s="245"/>
      <c r="P158" s="494">
        <f>SUM(compras_mes6[[#This Row],[NETO GRAVADO]:[Otros / No Grav.]])</f>
        <v>58389.344799999992</v>
      </c>
      <c r="Q158" s="247" t="str">
        <f>IFERROR(IF(compras_mes6[[#This Row],[CUIT]]="","-",VLOOKUP(compras_mes6[[#This Row],[CUIT]],Lista_CUIT[#All],3,0)),"CUIT NO CARGADO")</f>
        <v>Servicios Gas, Luz, etc.</v>
      </c>
      <c r="R158" s="247">
        <f>IFERROR(IF(compras_mes6[[#This Row],[CUIT]]="","-",VLOOKUP(compras_mes6[[#This Row],[CUIT]],Lista_CUIT[#All],4,0)),"CUIT NO CARGADO")</f>
        <v>0</v>
      </c>
    </row>
    <row r="159" spans="2:18" ht="15" customHeight="1">
      <c r="B159" s="239">
        <v>45447</v>
      </c>
      <c r="C159" s="240">
        <v>1</v>
      </c>
      <c r="D159" s="241">
        <v>63</v>
      </c>
      <c r="E159" s="257">
        <v>2859683</v>
      </c>
      <c r="F159" s="242">
        <v>30640897267</v>
      </c>
      <c r="G159" s="243" t="str">
        <f>IFERROR(IF(compras_mes6[[#This Row],[CUIT]]="","-",VLOOKUP(compras_mes6[[#This Row],[CUIT]],Lista_CUIT[#All],2,0)),"CUIT NO CARGADO")</f>
        <v>TELECENTRO S.A.</v>
      </c>
      <c r="H159" s="244">
        <v>44914.879999999997</v>
      </c>
      <c r="I159" s="245">
        <f>IF(compras_mes6[[#This Row],[NETO GRAVADO]]="","",compras_mes6[[#This Row],[NETO GRAVADO]]*0.21)</f>
        <v>9432.1247999999996</v>
      </c>
      <c r="J159" s="245"/>
      <c r="K159" s="245"/>
      <c r="L159" s="245">
        <v>1347.45</v>
      </c>
      <c r="M159" s="245"/>
      <c r="N159" s="245">
        <v>2694.89</v>
      </c>
      <c r="O159" s="245"/>
      <c r="P159" s="494">
        <f>SUM(compras_mes6[[#This Row],[NETO GRAVADO]:[Otros / No Grav.]])</f>
        <v>58389.344799999992</v>
      </c>
      <c r="Q159" s="247" t="str">
        <f>IFERROR(IF(compras_mes6[[#This Row],[CUIT]]="","-",VLOOKUP(compras_mes6[[#This Row],[CUIT]],Lista_CUIT[#All],3,0)),"CUIT NO CARGADO")</f>
        <v>Servicios Gas, Luz, etc.</v>
      </c>
      <c r="R159" s="247">
        <f>IFERROR(IF(compras_mes6[[#This Row],[CUIT]]="","-",VLOOKUP(compras_mes6[[#This Row],[CUIT]],Lista_CUIT[#All],4,0)),"CUIT NO CARGADO")</f>
        <v>0</v>
      </c>
    </row>
    <row r="160" spans="2:18" ht="14.45" customHeight="1">
      <c r="B160" s="239">
        <v>45448</v>
      </c>
      <c r="C160" s="240">
        <v>1</v>
      </c>
      <c r="D160" s="241">
        <v>3</v>
      </c>
      <c r="E160" s="257">
        <v>22675</v>
      </c>
      <c r="F160" s="242">
        <v>33707953549</v>
      </c>
      <c r="G160" s="243" t="str">
        <f>IFERROR(IF(compras_mes6[[#This Row],[CUIT]]="","-",VLOOKUP(compras_mes6[[#This Row],[CUIT]],Lista_CUIT[#All],2,0)),"CUIT NO CARGADO")</f>
        <v>TELESMART</v>
      </c>
      <c r="H160" s="244">
        <v>19500</v>
      </c>
      <c r="I160" s="245">
        <f>IF(compras_mes6[[#This Row],[NETO GRAVADO]]="","",compras_mes6[[#This Row],[NETO GRAVADO]]*0.21)</f>
        <v>4095</v>
      </c>
      <c r="J160" s="245"/>
      <c r="K160" s="245"/>
      <c r="L160" s="245"/>
      <c r="M160" s="245"/>
      <c r="N160" s="245"/>
      <c r="O160" s="245"/>
      <c r="P160" s="246">
        <f>SUM(compras_mes6[[#This Row],[NETO GRAVADO]:[Otros / No Grav.]])</f>
        <v>23595</v>
      </c>
      <c r="Q160" s="247" t="str">
        <f>IFERROR(IF(compras_mes6[[#This Row],[CUIT]]="","-",VLOOKUP(compras_mes6[[#This Row],[CUIT]],Lista_CUIT[#All],3,0)),"CUIT NO CARGADO")</f>
        <v>Servicios Gas, Luz, etc.</v>
      </c>
      <c r="R160" s="247">
        <f>IFERROR(IF(compras_mes6[[#This Row],[CUIT]]="","-",VLOOKUP(compras_mes6[[#This Row],[CUIT]],Lista_CUIT[#All],4,0)),"CUIT NO CARGADO")</f>
        <v>0</v>
      </c>
    </row>
    <row r="161" spans="2:18" ht="14.45" customHeight="1">
      <c r="B161" s="239">
        <v>45452</v>
      </c>
      <c r="C161" s="240">
        <v>1</v>
      </c>
      <c r="D161" s="241">
        <v>3101</v>
      </c>
      <c r="E161" s="257">
        <v>107912</v>
      </c>
      <c r="F161" s="242">
        <v>30678814357</v>
      </c>
      <c r="G161" s="243" t="str">
        <f>IFERROR(IF(compras_mes6[[#This Row],[CUIT]]="","-",VLOOKUP(compras_mes6[[#This Row],[CUIT]],Lista_CUIT[#All],2,0)),"CUIT NO CARGADO")</f>
        <v>TELEFONICA MOVILES ARG</v>
      </c>
      <c r="H161" s="244">
        <v>30902</v>
      </c>
      <c r="I161" s="496"/>
      <c r="J161" s="245">
        <f>compras_mes6[[#This Row],[NETO GRAVADO]]*0.27</f>
        <v>8343.5400000000009</v>
      </c>
      <c r="K161" s="245"/>
      <c r="L161" s="245">
        <v>927.06</v>
      </c>
      <c r="M161" s="245"/>
      <c r="N161" s="245">
        <v>1854.12</v>
      </c>
      <c r="O161" s="245"/>
      <c r="P161" s="494">
        <f>SUM(compras_mes6[[#This Row],[NETO GRAVADO]:[Otros / No Grav.]])</f>
        <v>42026.720000000001</v>
      </c>
      <c r="Q161" s="247" t="str">
        <f>IFERROR(IF(compras_mes6[[#This Row],[CUIT]]="","-",VLOOKUP(compras_mes6[[#This Row],[CUIT]],Lista_CUIT[#All],3,0)),"CUIT NO CARGADO")</f>
        <v>Servicios Gas, Luz, etc.</v>
      </c>
      <c r="R161" s="247">
        <f>IFERROR(IF(compras_mes6[[#This Row],[CUIT]]="","-",VLOOKUP(compras_mes6[[#This Row],[CUIT]],Lista_CUIT[#All],4,0)),"CUIT NO CARGADO")</f>
        <v>0</v>
      </c>
    </row>
    <row r="162" spans="2:18" ht="15" customHeight="1">
      <c r="B162" s="239">
        <v>45453</v>
      </c>
      <c r="C162" s="240">
        <v>1</v>
      </c>
      <c r="D162" s="241">
        <v>6364</v>
      </c>
      <c r="E162" s="257">
        <v>8378752</v>
      </c>
      <c r="F162" s="242">
        <v>30639453738</v>
      </c>
      <c r="G162" s="243" t="str">
        <f>IFERROR(IF(compras_mes6[[#This Row],[CUIT]]="","-",VLOOKUP(compras_mes6[[#This Row],[CUIT]],Lista_CUIT[#All],2,0)),"CUIT NO CARGADO")</f>
        <v>TELECOM ARG SA</v>
      </c>
      <c r="H162" s="244">
        <v>189175.6</v>
      </c>
      <c r="I162" s="245">
        <f>188368.57*0.21</f>
        <v>39557.399700000002</v>
      </c>
      <c r="J162" s="245">
        <f>807.03*0.27</f>
        <v>217.8981</v>
      </c>
      <c r="K162" s="245"/>
      <c r="L162" s="245"/>
      <c r="M162" s="245"/>
      <c r="N162" s="245">
        <v>10443.65</v>
      </c>
      <c r="O162" s="245">
        <v>5738.34</v>
      </c>
      <c r="P162" s="494">
        <f>SUM(compras_mes6[[#This Row],[NETO GRAVADO]:[Otros / No Grav.]])</f>
        <v>245132.8878</v>
      </c>
      <c r="Q162" s="247" t="str">
        <f>IFERROR(IF(compras_mes6[[#This Row],[CUIT]]="","-",VLOOKUP(compras_mes6[[#This Row],[CUIT]],Lista_CUIT[#All],3,0)),"CUIT NO CARGADO")</f>
        <v>Servicios Gas, Luz, etc.</v>
      </c>
      <c r="R162" s="247">
        <f>IFERROR(IF(compras_mes6[[#This Row],[CUIT]]="","-",VLOOKUP(compras_mes6[[#This Row],[CUIT]],Lista_CUIT[#All],4,0)),"CUIT NO CARGADO")</f>
        <v>0</v>
      </c>
    </row>
    <row r="163" spans="2:18" ht="15" customHeight="1">
      <c r="B163" s="239">
        <v>45460</v>
      </c>
      <c r="C163" s="240">
        <v>1</v>
      </c>
      <c r="D163" s="241">
        <v>4264</v>
      </c>
      <c r="E163" s="257">
        <v>3919233</v>
      </c>
      <c r="F163" s="242">
        <v>30639453738</v>
      </c>
      <c r="G163" s="243" t="str">
        <f>IFERROR(IF(compras_mes6[[#This Row],[CUIT]]="","-",VLOOKUP(compras_mes6[[#This Row],[CUIT]],Lista_CUIT[#All],2,0)),"CUIT NO CARGADO")</f>
        <v>TELECOM ARG SA</v>
      </c>
      <c r="H163" s="244">
        <v>135700</v>
      </c>
      <c r="I163" s="245">
        <f>IF(compras_mes6[[#This Row],[NETO GRAVADO]]="","",compras_mes6[[#This Row],[NETO GRAVADO]]*0.21)</f>
        <v>28497</v>
      </c>
      <c r="J163" s="245"/>
      <c r="K163" s="245"/>
      <c r="L163" s="245"/>
      <c r="M163" s="245"/>
      <c r="N163" s="245">
        <v>12213</v>
      </c>
      <c r="O163" s="245"/>
      <c r="P163" s="494">
        <f>SUM(compras_mes6[[#This Row],[NETO GRAVADO]:[Otros / No Grav.]])</f>
        <v>176410</v>
      </c>
      <c r="Q163" s="247" t="str">
        <f>IFERROR(IF(compras_mes6[[#This Row],[CUIT]]="","-",VLOOKUP(compras_mes6[[#This Row],[CUIT]],Lista_CUIT[#All],3,0)),"CUIT NO CARGADO")</f>
        <v>Servicios Gas, Luz, etc.</v>
      </c>
      <c r="R163" s="247">
        <f>IFERROR(IF(compras_mes6[[#This Row],[CUIT]]="","-",VLOOKUP(compras_mes6[[#This Row],[CUIT]],Lista_CUIT[#All],4,0)),"CUIT NO CARGADO")</f>
        <v>0</v>
      </c>
    </row>
    <row r="164" spans="2:18" ht="15" customHeight="1">
      <c r="B164" s="239">
        <v>45460</v>
      </c>
      <c r="C164" s="240">
        <v>1</v>
      </c>
      <c r="D164" s="241">
        <v>4264</v>
      </c>
      <c r="E164" s="257">
        <v>3880888</v>
      </c>
      <c r="F164" s="242">
        <v>30639453738</v>
      </c>
      <c r="G164" s="243" t="str">
        <f>IFERROR(IF(compras_mes6[[#This Row],[CUIT]]="","-",VLOOKUP(compras_mes6[[#This Row],[CUIT]],Lista_CUIT[#All],2,0)),"CUIT NO CARGADO")</f>
        <v>TELECOM ARG SA</v>
      </c>
      <c r="H164" s="244">
        <v>50400</v>
      </c>
      <c r="I164" s="245">
        <f>IF(compras_mes6[[#This Row],[NETO GRAVADO]]="","",compras_mes6[[#This Row],[NETO GRAVADO]]*0.21)</f>
        <v>10584</v>
      </c>
      <c r="J164" s="245"/>
      <c r="K164" s="245"/>
      <c r="L164" s="245"/>
      <c r="M164" s="245"/>
      <c r="N164" s="245">
        <v>1512</v>
      </c>
      <c r="O164" s="245"/>
      <c r="P164" s="494">
        <f>SUM(compras_mes6[[#This Row],[NETO GRAVADO]:[Otros / No Grav.]])</f>
        <v>62496</v>
      </c>
      <c r="Q164" s="247" t="str">
        <f>IFERROR(IF(compras_mes6[[#This Row],[CUIT]]="","-",VLOOKUP(compras_mes6[[#This Row],[CUIT]],Lista_CUIT[#All],3,0)),"CUIT NO CARGADO")</f>
        <v>Servicios Gas, Luz, etc.</v>
      </c>
      <c r="R164" s="247">
        <f>IFERROR(IF(compras_mes6[[#This Row],[CUIT]]="","-",VLOOKUP(compras_mes6[[#This Row],[CUIT]],Lista_CUIT[#All],4,0)),"CUIT NO CARGADO")</f>
        <v>0</v>
      </c>
    </row>
    <row r="165" spans="2:18" ht="15" customHeight="1">
      <c r="B165" s="239">
        <v>45460</v>
      </c>
      <c r="C165" s="240">
        <v>1</v>
      </c>
      <c r="D165" s="241">
        <v>4264</v>
      </c>
      <c r="E165" s="257">
        <v>3874187</v>
      </c>
      <c r="F165" s="242">
        <v>30639453738</v>
      </c>
      <c r="G165" s="243" t="str">
        <f>IFERROR(IF(compras_mes6[[#This Row],[CUIT]]="","-",VLOOKUP(compras_mes6[[#This Row],[CUIT]],Lista_CUIT[#All],2,0)),"CUIT NO CARGADO")</f>
        <v>TELECOM ARG SA</v>
      </c>
      <c r="H165" s="244">
        <v>67850</v>
      </c>
      <c r="I165" s="245">
        <f>IF(compras_mes6[[#This Row],[NETO GRAVADO]]="","",compras_mes6[[#This Row],[NETO GRAVADO]]*0.21)</f>
        <v>14248.5</v>
      </c>
      <c r="J165" s="245"/>
      <c r="K165" s="245"/>
      <c r="L165" s="245"/>
      <c r="M165" s="245"/>
      <c r="N165" s="245">
        <v>6106.5</v>
      </c>
      <c r="O165" s="245"/>
      <c r="P165" s="494">
        <f>SUM(compras_mes6[[#This Row],[NETO GRAVADO]:[Otros / No Grav.]])</f>
        <v>88205</v>
      </c>
      <c r="Q165" s="247" t="str">
        <f>IFERROR(IF(compras_mes6[[#This Row],[CUIT]]="","-",VLOOKUP(compras_mes6[[#This Row],[CUIT]],Lista_CUIT[#All],3,0)),"CUIT NO CARGADO")</f>
        <v>Servicios Gas, Luz, etc.</v>
      </c>
      <c r="R165" s="247">
        <f>IFERROR(IF(compras_mes6[[#This Row],[CUIT]]="","-",VLOOKUP(compras_mes6[[#This Row],[CUIT]],Lista_CUIT[#All],4,0)),"CUIT NO CARGADO")</f>
        <v>0</v>
      </c>
    </row>
    <row r="166" spans="2:18" ht="15" customHeight="1">
      <c r="B166" s="239">
        <v>45464</v>
      </c>
      <c r="C166" s="240">
        <v>1</v>
      </c>
      <c r="D166" s="241">
        <v>5</v>
      </c>
      <c r="E166" s="257">
        <v>3059750</v>
      </c>
      <c r="F166" s="242">
        <v>30702652975</v>
      </c>
      <c r="G166" s="243" t="str">
        <f>IFERROR(IF(compras_mes6[[#This Row],[CUIT]]="","-",VLOOKUP(compras_mes6[[#This Row],[CUIT]],Lista_CUIT[#All],2,0)),"CUIT NO CARGADO")</f>
        <v>NSS SA</v>
      </c>
      <c r="H166" s="244">
        <v>29078.14</v>
      </c>
      <c r="I166" s="245">
        <f>IF(compras_mes6[[#This Row],[NETO GRAVADO]]="","",compras_mes6[[#This Row],[NETO GRAVADO]]*0.21)</f>
        <v>6106.4093999999996</v>
      </c>
      <c r="J166" s="245"/>
      <c r="K166" s="245"/>
      <c r="L166" s="245"/>
      <c r="M166" s="245"/>
      <c r="N166" s="245">
        <v>1744.69</v>
      </c>
      <c r="O166" s="245"/>
      <c r="P166" s="494">
        <f>SUM(compras_mes6[[#This Row],[NETO GRAVADO]:[Otros / No Grav.]])</f>
        <v>36929.239399999999</v>
      </c>
      <c r="Q166" s="247" t="str">
        <f>IFERROR(IF(compras_mes6[[#This Row],[CUIT]]="","-",VLOOKUP(compras_mes6[[#This Row],[CUIT]],Lista_CUIT[#All],3,0)),"CUIT NO CARGADO")</f>
        <v>Servicios Gas, Luz, etc.</v>
      </c>
      <c r="R166" s="247">
        <f>IFERROR(IF(compras_mes6[[#This Row],[CUIT]]="","-",VLOOKUP(compras_mes6[[#This Row],[CUIT]],Lista_CUIT[#All],4,0)),"CUIT NO CARGADO")</f>
        <v>0</v>
      </c>
    </row>
    <row r="167" spans="2:18">
      <c r="B167" s="239">
        <v>45470</v>
      </c>
      <c r="C167" s="240">
        <v>1</v>
      </c>
      <c r="D167" s="241">
        <v>5695</v>
      </c>
      <c r="E167" s="257">
        <v>2736</v>
      </c>
      <c r="F167" s="242">
        <v>30639453738</v>
      </c>
      <c r="G167" s="243" t="str">
        <f>IFERROR(IF(compras_mes6[[#This Row],[CUIT]]="","-",VLOOKUP(compras_mes6[[#This Row],[CUIT]],Lista_CUIT[#All],2,0)),"CUIT NO CARGADO")</f>
        <v>TELECOM ARG SA</v>
      </c>
      <c r="H167" s="244">
        <v>0.01</v>
      </c>
      <c r="I167" s="245">
        <f>IF(compras_mes6[[#This Row],[NETO GRAVADO]]="","",compras_mes6[[#This Row],[NETO GRAVADO]]*0.21)</f>
        <v>2.0999999999999999E-3</v>
      </c>
      <c r="J167" s="245"/>
      <c r="K167" s="245"/>
      <c r="L167" s="245"/>
      <c r="M167" s="245"/>
      <c r="N167" s="245"/>
      <c r="O167" s="245"/>
      <c r="P167" s="246">
        <f>SUM(compras_mes6[[#This Row],[NETO GRAVADO]:[Otros / No Grav.]])</f>
        <v>1.21E-2</v>
      </c>
      <c r="Q167" s="247" t="str">
        <f>IFERROR(IF(compras_mes6[[#This Row],[CUIT]]="","-",VLOOKUP(compras_mes6[[#This Row],[CUIT]],Lista_CUIT[#All],3,0)),"CUIT NO CARGADO")</f>
        <v>Servicios Gas, Luz, etc.</v>
      </c>
      <c r="R167" s="247">
        <f>IFERROR(IF(compras_mes6[[#This Row],[CUIT]]="","-",VLOOKUP(compras_mes6[[#This Row],[CUIT]],Lista_CUIT[#All],4,0)),"CUIT NO CARGADO")</f>
        <v>0</v>
      </c>
    </row>
    <row r="168" spans="2:18">
      <c r="B168" s="96" t="s">
        <v>103</v>
      </c>
      <c r="C168" s="96"/>
      <c r="D168" s="96"/>
      <c r="E168" s="96"/>
      <c r="F168" s="96"/>
      <c r="G168" s="97"/>
      <c r="H168" s="98">
        <f>SUBTOTAL(109,compras_mes6[NETO GRAVADO])</f>
        <v>61352419.290000014</v>
      </c>
      <c r="I168" s="98">
        <f>SUBTOTAL(109,compras_mes6[IVA 21 %])</f>
        <v>12299570.807500001</v>
      </c>
      <c r="J168" s="98">
        <f>SUBTOTAL(109,compras_mes6[IVA 27%])</f>
        <v>36832.598100000003</v>
      </c>
      <c r="K168" s="98">
        <f>SUBTOTAL(109,compras_mes6[IVA 10,5%])</f>
        <v>277221.37904999999</v>
      </c>
      <c r="L168" s="98">
        <f>SUBTOTAL(109,compras_mes6[PERC. IVA])</f>
        <v>16631.190000000002</v>
      </c>
      <c r="M168" s="98">
        <f>SUBTOTAL(109,compras_mes6[PERC IIBB 
BS AS])</f>
        <v>0</v>
      </c>
      <c r="N168" s="98">
        <f>SUBTOTAL(109,compras_mes6[PERC. IIBB CABA])</f>
        <v>125064.65999999997</v>
      </c>
      <c r="O168" s="98">
        <f>SUBTOTAL(109,compras_mes6[Otros / No Grav.])</f>
        <v>1110773.5700000003</v>
      </c>
      <c r="P168" s="98">
        <f>SUBTOTAL(109,compras_mes6[TOTAL])</f>
        <v>75218513.494649976</v>
      </c>
      <c r="Q168" s="96"/>
      <c r="R168" s="96"/>
    </row>
    <row r="169" spans="2:18">
      <c r="B169" s="40"/>
      <c r="C169" s="41"/>
      <c r="D169" s="42"/>
      <c r="E169" s="43"/>
      <c r="F169" s="44"/>
      <c r="G169" s="45"/>
      <c r="H169" s="46"/>
      <c r="I169" s="47"/>
      <c r="J169" s="47"/>
      <c r="K169" s="47"/>
      <c r="L169" s="47"/>
      <c r="M169" s="47"/>
      <c r="N169" s="47"/>
      <c r="O169" s="47"/>
      <c r="P169" s="48"/>
      <c r="Q169" s="49"/>
      <c r="R169" s="49"/>
    </row>
    <row r="170" spans="2:18" ht="21">
      <c r="D170" s="712" t="s">
        <v>15</v>
      </c>
      <c r="E170" s="712"/>
      <c r="F170" s="712"/>
      <c r="G170" s="712"/>
      <c r="H170" s="712"/>
      <c r="I170" s="712"/>
      <c r="J170" s="712"/>
      <c r="K170" s="712"/>
      <c r="L170" s="712"/>
    </row>
    <row r="171" spans="2:18" ht="15.75">
      <c r="D171" s="73" t="s">
        <v>0</v>
      </c>
      <c r="E171" s="74" t="s">
        <v>26</v>
      </c>
      <c r="F171" s="74" t="s">
        <v>16</v>
      </c>
      <c r="G171" s="74" t="s">
        <v>5</v>
      </c>
      <c r="H171" s="74" t="s">
        <v>17</v>
      </c>
      <c r="I171" s="74" t="s">
        <v>7</v>
      </c>
      <c r="J171" s="75" t="s">
        <v>18</v>
      </c>
      <c r="K171" s="75" t="s">
        <v>19</v>
      </c>
      <c r="L171" s="76" t="s">
        <v>20</v>
      </c>
      <c r="M171" s="283" t="s">
        <v>10</v>
      </c>
    </row>
    <row r="172" spans="2:18">
      <c r="C172">
        <v>30500003193</v>
      </c>
      <c r="D172" s="253">
        <v>45473</v>
      </c>
      <c r="E172" s="256">
        <v>30062024</v>
      </c>
      <c r="F172" s="80" t="s">
        <v>2235</v>
      </c>
      <c r="G172" s="254">
        <v>88410</v>
      </c>
      <c r="H172" s="254">
        <f>extracto_banco_mes6[[#This Row],[NETO]]*0.21</f>
        <v>18566.099999999999</v>
      </c>
      <c r="I172" s="254"/>
      <c r="J172" s="254">
        <v>5088</v>
      </c>
      <c r="K172" s="254">
        <v>2582.12</v>
      </c>
      <c r="L172" s="254"/>
      <c r="M172" s="507">
        <f>SUM(extracto_banco_mes6[[#This Row],[NETO]:[PERC IIBB]])</f>
        <v>114646.22</v>
      </c>
    </row>
    <row r="173" spans="2:18">
      <c r="C173" t="s">
        <v>2304</v>
      </c>
      <c r="D173" s="253">
        <v>45472</v>
      </c>
      <c r="E173" s="256">
        <v>29062024</v>
      </c>
      <c r="F173" s="80" t="s">
        <v>2236</v>
      </c>
      <c r="G173" s="254">
        <v>25825.333333333332</v>
      </c>
      <c r="H173" s="254">
        <f>extracto_banco_mes6[[#This Row],[NETO]]*0.21</f>
        <v>5423.32</v>
      </c>
      <c r="I173" s="254"/>
      <c r="J173" s="254">
        <v>14441.54</v>
      </c>
      <c r="K173" s="254">
        <v>774.76</v>
      </c>
      <c r="L173" s="254"/>
      <c r="M173" s="507">
        <f>SUM(extracto_banco_mes6[[#This Row],[NETO]:[PERC IIBB]])</f>
        <v>46464.953333333331</v>
      </c>
    </row>
    <row r="174" spans="2:18">
      <c r="D174" s="253">
        <v>45471</v>
      </c>
      <c r="E174" s="256">
        <v>28062024</v>
      </c>
      <c r="F174" s="80" t="s">
        <v>2237</v>
      </c>
      <c r="G174" s="254">
        <v>1476.68</v>
      </c>
      <c r="H174" s="254">
        <f>extracto_banco_mes6[[#This Row],[NETO]]*0.21</f>
        <v>310.1028</v>
      </c>
      <c r="I174" s="254"/>
      <c r="J174" s="254">
        <v>11.96</v>
      </c>
      <c r="K174" s="254">
        <v>1057.3599999999999</v>
      </c>
      <c r="L174" s="254"/>
      <c r="M174" s="507">
        <f>SUM(extracto_banco_mes6[[#This Row],[NETO]:[PERC IIBB]])</f>
        <v>2856.1027999999997</v>
      </c>
    </row>
    <row r="175" spans="2:18">
      <c r="D175" s="253">
        <v>45470</v>
      </c>
      <c r="E175" s="256">
        <v>27062024</v>
      </c>
      <c r="F175" s="80" t="s">
        <v>2238</v>
      </c>
      <c r="G175" s="254">
        <v>143495</v>
      </c>
      <c r="H175" s="254">
        <f>extracto_banco_mes6[[#This Row],[NETO]]*0.21</f>
        <v>30133.949999999997</v>
      </c>
      <c r="I175" s="254"/>
      <c r="J175" s="254"/>
      <c r="K175" s="254">
        <v>4304.8500000000004</v>
      </c>
      <c r="L175" s="254"/>
      <c r="M175" s="507">
        <f>SUM(extracto_banco_mes6[[#This Row],[NETO]:[PERC IIBB]])</f>
        <v>177933.80000000002</v>
      </c>
    </row>
    <row r="176" spans="2:18" ht="18" customHeight="1">
      <c r="D176" s="253">
        <v>45469</v>
      </c>
      <c r="E176" s="256">
        <v>26062024</v>
      </c>
      <c r="F176" s="80" t="s">
        <v>2238</v>
      </c>
      <c r="G176" s="254">
        <v>8595.0400000000009</v>
      </c>
      <c r="H176" s="254">
        <f>extracto_banco_mes6[[#This Row],[NETO]]*0.21</f>
        <v>1804.9584000000002</v>
      </c>
      <c r="I176" s="254"/>
      <c r="J176" s="254">
        <v>8985.4399999999987</v>
      </c>
      <c r="K176" s="254">
        <v>257.86</v>
      </c>
      <c r="L176" s="254"/>
      <c r="M176" s="507">
        <f>SUM(extracto_banco_mes6[[#This Row],[NETO]:[PERC IIBB]])</f>
        <v>19643.2984</v>
      </c>
    </row>
    <row r="177" spans="4:13">
      <c r="D177" s="253">
        <v>45468</v>
      </c>
      <c r="E177" s="256">
        <v>25062024</v>
      </c>
      <c r="F177" s="80" t="s">
        <v>2239</v>
      </c>
      <c r="G177" s="254">
        <v>1500</v>
      </c>
      <c r="H177" s="254">
        <f>extracto_banco_mes6[[#This Row],[NETO]]*0.21</f>
        <v>315</v>
      </c>
      <c r="I177" s="254"/>
      <c r="J177" s="254"/>
      <c r="K177" s="254"/>
      <c r="L177" s="254"/>
      <c r="M177" s="507">
        <f>SUM(extracto_banco_mes6[[#This Row],[NETO]:[PERC IIBB]])</f>
        <v>1815</v>
      </c>
    </row>
    <row r="178" spans="4:13">
      <c r="D178" s="253"/>
      <c r="E178" s="256"/>
      <c r="F178" s="255"/>
      <c r="G178" s="254"/>
      <c r="H178" s="254">
        <f>extracto_banco_mes6[[#This Row],[NETO]]*0.21</f>
        <v>0</v>
      </c>
      <c r="I178" s="254"/>
      <c r="J178" s="254"/>
      <c r="K178" s="254"/>
      <c r="L178" s="254"/>
      <c r="M178" s="507">
        <f>SUM(extracto_banco_mes6[[#This Row],[NETO]:[PERC IIBB]])</f>
        <v>0</v>
      </c>
    </row>
    <row r="179" spans="4:13" ht="18" customHeight="1">
      <c r="D179" s="253"/>
      <c r="E179" s="256"/>
      <c r="F179" s="255"/>
      <c r="G179" s="254"/>
      <c r="H179" s="254">
        <f>extracto_banco_mes6[[#This Row],[NETO]]*0.21</f>
        <v>0</v>
      </c>
      <c r="I179" s="254"/>
      <c r="J179" s="254"/>
      <c r="K179" s="254"/>
      <c r="L179" s="254"/>
      <c r="M179" s="507">
        <f>SUM(extracto_banco_mes6[[#This Row],[NETO]:[PERC IIBB]])</f>
        <v>0</v>
      </c>
    </row>
    <row r="180" spans="4:13">
      <c r="D180" s="82" t="s">
        <v>103</v>
      </c>
      <c r="E180" s="80"/>
      <c r="F180" s="80"/>
      <c r="G180" s="83">
        <f>SUBTOTAL(109,extracto_banco_mes6[NETO])</f>
        <v>269302.05333333329</v>
      </c>
      <c r="H180" s="83">
        <f>SUBTOTAL(109,extracto_banco_mes6[IVA 21%])</f>
        <v>56553.431199999999</v>
      </c>
      <c r="I180" s="83">
        <f>SUBTOTAL(109,extracto_banco_mes6[IVA 10,5%])</f>
        <v>0</v>
      </c>
      <c r="J180" s="83">
        <f>SUBTOTAL(109,extracto_banco_mes6[RET IIBB CABA])</f>
        <v>28526.94</v>
      </c>
      <c r="K180" s="83">
        <f>SUBTOTAL(109,extracto_banco_mes6[PERC IVA])</f>
        <v>8976.9500000000007</v>
      </c>
      <c r="L180" s="83">
        <f>SUBTOTAL(109,extracto_banco_mes6[PERC IIBB])</f>
        <v>0</v>
      </c>
      <c r="M180" s="260"/>
    </row>
    <row r="181" spans="4:13" ht="18" customHeight="1"/>
    <row r="182" spans="4:13" ht="21">
      <c r="D182" s="712" t="s">
        <v>25</v>
      </c>
      <c r="E182" s="712"/>
      <c r="F182" s="712"/>
      <c r="G182" s="712"/>
      <c r="H182" s="712"/>
      <c r="I182" s="712"/>
      <c r="J182" s="712"/>
      <c r="K182" s="712"/>
    </row>
    <row r="183" spans="4:13">
      <c r="D183" s="51" t="s">
        <v>0</v>
      </c>
      <c r="E183" s="51" t="s">
        <v>2</v>
      </c>
      <c r="F183" s="51" t="s">
        <v>74</v>
      </c>
      <c r="G183" s="51" t="s">
        <v>3</v>
      </c>
      <c r="H183" s="51" t="s">
        <v>4</v>
      </c>
      <c r="I183" s="52" t="s">
        <v>10</v>
      </c>
      <c r="J183" s="51" t="s">
        <v>13</v>
      </c>
      <c r="K183" s="51" t="s">
        <v>38</v>
      </c>
    </row>
    <row r="184" spans="4:13">
      <c r="D184" s="239"/>
      <c r="E184" s="248"/>
      <c r="F184" s="248"/>
      <c r="G184" s="249"/>
      <c r="H184" s="250" t="str">
        <f>IFERROR(IF(factura_c_mes6[[#This Row],[CUIT]]="","-",VLOOKUP(factura_c_mes6[[#This Row],[CUIT]],Lista_CUIT[#All],2,0)),"CUIT NO CARGADO")</f>
        <v>-</v>
      </c>
      <c r="I184" s="251"/>
      <c r="J184" s="252" t="str">
        <f>IFERROR(IF(factura_c_mes6[[#This Row],[CUIT]]="","-",VLOOKUP(factura_c_mes6[[#This Row],[CUIT]],Lista_CUIT[#All],3,0)),"CUIT NO CARGADO")</f>
        <v>-</v>
      </c>
      <c r="K184" s="252" t="str">
        <f>IFERROR(IF(factura_c_mes6[[#This Row],[CUIT]]="","-",VLOOKUP(factura_c_mes6[[#This Row],[CUIT]],Lista_CUIT[#All],4,0)),"CUIT NO CARGADO")</f>
        <v>-</v>
      </c>
    </row>
    <row r="185" spans="4:13">
      <c r="D185" s="239"/>
      <c r="E185" s="248"/>
      <c r="F185" s="248"/>
      <c r="G185" s="249"/>
      <c r="H185" s="250" t="str">
        <f>IFERROR(IF(factura_c_mes6[[#This Row],[CUIT]]="","-",VLOOKUP(factura_c_mes6[[#This Row],[CUIT]],Lista_CUIT[#All],2,0)),"CUIT NO CARGADO")</f>
        <v>-</v>
      </c>
      <c r="I185" s="251"/>
      <c r="J185" s="252" t="str">
        <f>IFERROR(IF(factura_c_mes6[[#This Row],[CUIT]]="","-",VLOOKUP(factura_c_mes6[[#This Row],[CUIT]],Lista_CUIT[#All],3,0)),"CUIT NO CARGADO")</f>
        <v>-</v>
      </c>
      <c r="K185" s="252" t="str">
        <f>IFERROR(IF(factura_c_mes6[[#This Row],[CUIT]]="","-",VLOOKUP(factura_c_mes6[[#This Row],[CUIT]],Lista_CUIT[#All],4,0)),"CUIT NO CARGADO")</f>
        <v>-</v>
      </c>
    </row>
    <row r="186" spans="4:13">
      <c r="D186" s="239"/>
      <c r="E186" s="248"/>
      <c r="F186" s="248"/>
      <c r="G186" s="249"/>
      <c r="H186" s="250" t="str">
        <f>IFERROR(IF(factura_c_mes6[[#This Row],[CUIT]]="","-",VLOOKUP(factura_c_mes6[[#This Row],[CUIT]],Lista_CUIT[#All],2,0)),"CUIT NO CARGADO")</f>
        <v>-</v>
      </c>
      <c r="I186" s="251"/>
      <c r="J186" s="252" t="str">
        <f>IFERROR(IF(factura_c_mes6[[#This Row],[CUIT]]="","-",VLOOKUP(factura_c_mes6[[#This Row],[CUIT]],Lista_CUIT[#All],3,0)),"CUIT NO CARGADO")</f>
        <v>-</v>
      </c>
      <c r="K186" s="252" t="str">
        <f>IFERROR(IF(factura_c_mes6[[#This Row],[CUIT]]="","-",VLOOKUP(factura_c_mes6[[#This Row],[CUIT]],Lista_CUIT[#All],4,0)),"CUIT NO CARGADO")</f>
        <v>-</v>
      </c>
    </row>
    <row r="187" spans="4:13">
      <c r="D187" s="50"/>
      <c r="E187" s="42"/>
      <c r="F187" s="43"/>
      <c r="G187" s="44"/>
      <c r="H187" s="53" t="str">
        <f>IFERROR(IF(factura_c_mes6[[#This Row],[CUIT]]="","-",VLOOKUP(factura_c_mes6[[#This Row],[CUIT]],Lista_CUIT[#All],2,0)),"CUIT NO CARGADO")</f>
        <v>-</v>
      </c>
      <c r="I187" s="81"/>
      <c r="J187" s="54" t="str">
        <f>IFERROR(IF(factura_c_mes6[[#This Row],[CUIT]]="","-",VLOOKUP(factura_c_mes6[[#This Row],[CUIT]],Lista_CUIT[#All],3,0)),"CUIT NO CARGADO")</f>
        <v>-</v>
      </c>
      <c r="K187" s="54" t="str">
        <f>IFERROR(IF(factura_c_mes6[[#This Row],[CUIT]]="","-",VLOOKUP(factura_c_mes6[[#This Row],[CUIT]],Lista_CUIT[#All],4,0)),"CUIT NO CARGADO")</f>
        <v>-</v>
      </c>
    </row>
    <row r="188" spans="4:13">
      <c r="D188" s="239">
        <v>45447</v>
      </c>
      <c r="E188" s="248">
        <v>2</v>
      </c>
      <c r="F188" s="248">
        <v>4277</v>
      </c>
      <c r="G188" s="249">
        <v>20136536320</v>
      </c>
      <c r="H188" s="250" t="str">
        <f>IFERROR(IF(factura_c_mes6[[#This Row],[CUIT]]="","-",VLOOKUP(factura_c_mes6[[#This Row],[CUIT]],Lista_CUIT[#All],2,0)),"CUIT NO CARGADO")</f>
        <v>FONTENLA ERNESTO MARIO</v>
      </c>
      <c r="I188" s="251">
        <v>2000</v>
      </c>
      <c r="J188" s="252" t="str">
        <f>IFERROR(IF(factura_c_mes6[[#This Row],[CUIT]]="","-",VLOOKUP(factura_c_mes6[[#This Row],[CUIT]],Lista_CUIT[#All],3,0)),"CUIT NO CARGADO")</f>
        <v>Gastos Varios</v>
      </c>
      <c r="K188" s="252" t="str">
        <f>IFERROR(IF(factura_c_mes6[[#This Row],[CUIT]]="","-",VLOOKUP(factura_c_mes6[[#This Row],[CUIT]],Lista_CUIT[#All],4,0)),"CUIT NO CARGADO")</f>
        <v>CABA</v>
      </c>
    </row>
    <row r="189" spans="4:13">
      <c r="D189" s="239">
        <v>45449</v>
      </c>
      <c r="E189" s="248">
        <v>2</v>
      </c>
      <c r="F189" s="248">
        <v>4282</v>
      </c>
      <c r="G189" s="249">
        <v>20136536320</v>
      </c>
      <c r="H189" s="250" t="str">
        <f>IFERROR(IF(factura_c_mes6[[#This Row],[CUIT]]="","-",VLOOKUP(factura_c_mes6[[#This Row],[CUIT]],Lista_CUIT[#All],2,0)),"CUIT NO CARGADO")</f>
        <v>FONTENLA ERNESTO MARIO</v>
      </c>
      <c r="I189" s="251">
        <v>5800</v>
      </c>
      <c r="J189" s="252" t="str">
        <f>IFERROR(IF(factura_c_mes6[[#This Row],[CUIT]]="","-",VLOOKUP(factura_c_mes6[[#This Row],[CUIT]],Lista_CUIT[#All],3,0)),"CUIT NO CARGADO")</f>
        <v>Gastos Varios</v>
      </c>
      <c r="K189" s="252" t="str">
        <f>IFERROR(IF(factura_c_mes6[[#This Row],[CUIT]]="","-",VLOOKUP(factura_c_mes6[[#This Row],[CUIT]],Lista_CUIT[#All],4,0)),"CUIT NO CARGADO")</f>
        <v>CABA</v>
      </c>
    </row>
    <row r="190" spans="4:13">
      <c r="D190" s="239">
        <v>45450</v>
      </c>
      <c r="E190" s="248">
        <v>2</v>
      </c>
      <c r="F190" s="248">
        <v>4283</v>
      </c>
      <c r="G190" s="249">
        <v>20136536320</v>
      </c>
      <c r="H190" s="250" t="str">
        <f>IFERROR(IF(factura_c_mes6[[#This Row],[CUIT]]="","-",VLOOKUP(factura_c_mes6[[#This Row],[CUIT]],Lista_CUIT[#All],2,0)),"CUIT NO CARGADO")</f>
        <v>FONTENLA ERNESTO MARIO</v>
      </c>
      <c r="I190" s="251">
        <v>4100</v>
      </c>
      <c r="J190" s="252" t="str">
        <f>IFERROR(IF(factura_c_mes6[[#This Row],[CUIT]]="","-",VLOOKUP(factura_c_mes6[[#This Row],[CUIT]],Lista_CUIT[#All],3,0)),"CUIT NO CARGADO")</f>
        <v>Gastos Varios</v>
      </c>
      <c r="K190" s="252" t="str">
        <f>IFERROR(IF(factura_c_mes6[[#This Row],[CUIT]]="","-",VLOOKUP(factura_c_mes6[[#This Row],[CUIT]],Lista_CUIT[#All],4,0)),"CUIT NO CARGADO")</f>
        <v>CABA</v>
      </c>
    </row>
    <row r="191" spans="4:13">
      <c r="D191" s="239">
        <v>45455</v>
      </c>
      <c r="E191" s="248">
        <v>2</v>
      </c>
      <c r="F191" s="248">
        <v>4302</v>
      </c>
      <c r="G191" s="249">
        <v>20136536320</v>
      </c>
      <c r="H191" s="250" t="str">
        <f>IFERROR(IF(factura_c_mes6[[#This Row],[CUIT]]="","-",VLOOKUP(factura_c_mes6[[#This Row],[CUIT]],Lista_CUIT[#All],2,0)),"CUIT NO CARGADO")</f>
        <v>FONTENLA ERNESTO MARIO</v>
      </c>
      <c r="I191" s="251">
        <v>4650</v>
      </c>
      <c r="J191" s="252" t="str">
        <f>IFERROR(IF(factura_c_mes6[[#This Row],[CUIT]]="","-",VLOOKUP(factura_c_mes6[[#This Row],[CUIT]],Lista_CUIT[#All],3,0)),"CUIT NO CARGADO")</f>
        <v>Gastos Varios</v>
      </c>
      <c r="K191" s="252" t="str">
        <f>IFERROR(IF(factura_c_mes6[[#This Row],[CUIT]]="","-",VLOOKUP(factura_c_mes6[[#This Row],[CUIT]],Lista_CUIT[#All],4,0)),"CUIT NO CARGADO")</f>
        <v>CABA</v>
      </c>
    </row>
    <row r="192" spans="4:13">
      <c r="D192" s="239">
        <v>45457</v>
      </c>
      <c r="E192" s="248">
        <v>2</v>
      </c>
      <c r="F192" s="248">
        <v>4307</v>
      </c>
      <c r="G192" s="249">
        <v>20136536320</v>
      </c>
      <c r="H192" s="250" t="str">
        <f>IFERROR(IF(factura_c_mes6[[#This Row],[CUIT]]="","-",VLOOKUP(factura_c_mes6[[#This Row],[CUIT]],Lista_CUIT[#All],2,0)),"CUIT NO CARGADO")</f>
        <v>FONTENLA ERNESTO MARIO</v>
      </c>
      <c r="I192" s="251">
        <v>14400</v>
      </c>
      <c r="J192" s="252" t="str">
        <f>IFERROR(IF(factura_c_mes6[[#This Row],[CUIT]]="","-",VLOOKUP(factura_c_mes6[[#This Row],[CUIT]],Lista_CUIT[#All],3,0)),"CUIT NO CARGADO")</f>
        <v>Gastos Varios</v>
      </c>
      <c r="K192" s="252" t="str">
        <f>IFERROR(IF(factura_c_mes6[[#This Row],[CUIT]]="","-",VLOOKUP(factura_c_mes6[[#This Row],[CUIT]],Lista_CUIT[#All],4,0)),"CUIT NO CARGADO")</f>
        <v>CABA</v>
      </c>
    </row>
    <row r="193" spans="4:11">
      <c r="D193" s="239">
        <v>45457</v>
      </c>
      <c r="E193" s="415">
        <v>2</v>
      </c>
      <c r="F193" s="415">
        <v>4308</v>
      </c>
      <c r="G193" s="416">
        <v>20136536320</v>
      </c>
      <c r="H193" s="417" t="str">
        <f>IFERROR(IF(factura_c_mes6[[#This Row],[CUIT]]="","-",VLOOKUP(factura_c_mes6[[#This Row],[CUIT]],Lista_CUIT[#All],2,0)),"CUIT NO CARGADO")</f>
        <v>FONTENLA ERNESTO MARIO</v>
      </c>
      <c r="I193" s="418">
        <v>7300</v>
      </c>
      <c r="J193" s="419" t="str">
        <f>IFERROR(IF(factura_c_mes6[[#This Row],[CUIT]]="","-",VLOOKUP(factura_c_mes6[[#This Row],[CUIT]],Lista_CUIT[#All],3,0)),"CUIT NO CARGADO")</f>
        <v>Gastos Varios</v>
      </c>
      <c r="K193" s="419" t="str">
        <f>IFERROR(IF(factura_c_mes6[[#This Row],[CUIT]]="","-",VLOOKUP(factura_c_mes6[[#This Row],[CUIT]],Lista_CUIT[#All],4,0)),"CUIT NO CARGADO")</f>
        <v>CABA</v>
      </c>
    </row>
    <row r="194" spans="4:11">
      <c r="D194" s="239">
        <v>45459</v>
      </c>
      <c r="E194" s="415">
        <v>3</v>
      </c>
      <c r="F194" s="415">
        <v>1135</v>
      </c>
      <c r="G194" s="416">
        <v>20173025557</v>
      </c>
      <c r="H194" s="417" t="str">
        <f>IFERROR(IF(factura_c_mes6[[#This Row],[CUIT]]="","-",VLOOKUP(factura_c_mes6[[#This Row],[CUIT]],Lista_CUIT[#All],2,0)),"CUIT NO CARGADO")</f>
        <v>MARAUDA HECTOR</v>
      </c>
      <c r="I194" s="418">
        <v>5000</v>
      </c>
      <c r="J194" s="419" t="str">
        <f>IFERROR(IF(factura_c_mes6[[#This Row],[CUIT]]="","-",VLOOKUP(factura_c_mes6[[#This Row],[CUIT]],Lista_CUIT[#All],3,0)),"CUIT NO CARGADO")</f>
        <v>Gastos Varios</v>
      </c>
      <c r="K194" s="419">
        <f>IFERROR(IF(factura_c_mes6[[#This Row],[CUIT]]="","-",VLOOKUP(factura_c_mes6[[#This Row],[CUIT]],Lista_CUIT[#All],4,0)),"CUIT NO CARGADO")</f>
        <v>0</v>
      </c>
    </row>
    <row r="195" spans="4:11">
      <c r="D195" s="239">
        <v>45461</v>
      </c>
      <c r="E195" s="415">
        <v>2</v>
      </c>
      <c r="F195" s="415">
        <v>4311</v>
      </c>
      <c r="G195" s="416">
        <v>20136536320</v>
      </c>
      <c r="H195" s="417" t="str">
        <f>IFERROR(IF(factura_c_mes6[[#This Row],[CUIT]]="","-",VLOOKUP(factura_c_mes6[[#This Row],[CUIT]],Lista_CUIT[#All],2,0)),"CUIT NO CARGADO")</f>
        <v>FONTENLA ERNESTO MARIO</v>
      </c>
      <c r="I195" s="418">
        <v>5600</v>
      </c>
      <c r="J195" s="419" t="str">
        <f>IFERROR(IF(factura_c_mes6[[#This Row],[CUIT]]="","-",VLOOKUP(factura_c_mes6[[#This Row],[CUIT]],Lista_CUIT[#All],3,0)),"CUIT NO CARGADO")</f>
        <v>Gastos Varios</v>
      </c>
      <c r="K195" s="419" t="str">
        <f>IFERROR(IF(factura_c_mes6[[#This Row],[CUIT]]="","-",VLOOKUP(factura_c_mes6[[#This Row],[CUIT]],Lista_CUIT[#All],4,0)),"CUIT NO CARGADO")</f>
        <v>CABA</v>
      </c>
    </row>
    <row r="196" spans="4:11">
      <c r="D196" s="239">
        <v>45461</v>
      </c>
      <c r="E196" s="415">
        <v>2</v>
      </c>
      <c r="F196" s="415">
        <v>4313</v>
      </c>
      <c r="G196" s="416">
        <v>20136536320</v>
      </c>
      <c r="H196" s="417" t="str">
        <f>IFERROR(IF(factura_c_mes6[[#This Row],[CUIT]]="","-",VLOOKUP(factura_c_mes6[[#This Row],[CUIT]],Lista_CUIT[#All],2,0)),"CUIT NO CARGADO")</f>
        <v>FONTENLA ERNESTO MARIO</v>
      </c>
      <c r="I196" s="418">
        <v>8400</v>
      </c>
      <c r="J196" s="419" t="str">
        <f>IFERROR(IF(factura_c_mes6[[#This Row],[CUIT]]="","-",VLOOKUP(factura_c_mes6[[#This Row],[CUIT]],Lista_CUIT[#All],3,0)),"CUIT NO CARGADO")</f>
        <v>Gastos Varios</v>
      </c>
      <c r="K196" s="419" t="str">
        <f>IFERROR(IF(factura_c_mes6[[#This Row],[CUIT]]="","-",VLOOKUP(factura_c_mes6[[#This Row],[CUIT]],Lista_CUIT[#All],4,0)),"CUIT NO CARGADO")</f>
        <v>CABA</v>
      </c>
    </row>
    <row r="197" spans="4:11">
      <c r="D197" s="239">
        <v>45462</v>
      </c>
      <c r="E197" s="415">
        <v>3</v>
      </c>
      <c r="F197" s="415">
        <v>116</v>
      </c>
      <c r="G197" s="416">
        <v>23161391999</v>
      </c>
      <c r="H197" s="417" t="str">
        <f>IFERROR(IF(factura_c_mes6[[#This Row],[CUIT]]="","-",VLOOKUP(factura_c_mes6[[#This Row],[CUIT]],Lista_CUIT[#All],2,0)),"CUIT NO CARGADO")</f>
        <v>LAHITTE MARIO ALBERTO</v>
      </c>
      <c r="I197" s="418">
        <v>54000</v>
      </c>
      <c r="J197" s="419" t="str">
        <f>IFERROR(IF(factura_c_mes6[[#This Row],[CUIT]]="","-",VLOOKUP(factura_c_mes6[[#This Row],[CUIT]],Lista_CUIT[#All],3,0)),"CUIT NO CARGADO")</f>
        <v>Gastos Varios</v>
      </c>
      <c r="K197" s="419">
        <f>IFERROR(IF(factura_c_mes6[[#This Row],[CUIT]]="","-",VLOOKUP(factura_c_mes6[[#This Row],[CUIT]],Lista_CUIT[#All],4,0)),"CUIT NO CARGADO")</f>
        <v>0</v>
      </c>
    </row>
    <row r="198" spans="4:11">
      <c r="D198" s="239">
        <v>45467</v>
      </c>
      <c r="E198" s="415">
        <v>2</v>
      </c>
      <c r="F198" s="415">
        <v>4337</v>
      </c>
      <c r="G198" s="416">
        <v>20136536320</v>
      </c>
      <c r="H198" s="417" t="str">
        <f>IFERROR(IF(factura_c_mes6[[#This Row],[CUIT]]="","-",VLOOKUP(factura_c_mes6[[#This Row],[CUIT]],Lista_CUIT[#All],2,0)),"CUIT NO CARGADO")</f>
        <v>FONTENLA ERNESTO MARIO</v>
      </c>
      <c r="I198" s="418">
        <v>6300</v>
      </c>
      <c r="J198" s="419" t="str">
        <f>IFERROR(IF(factura_c_mes6[[#This Row],[CUIT]]="","-",VLOOKUP(factura_c_mes6[[#This Row],[CUIT]],Lista_CUIT[#All],3,0)),"CUIT NO CARGADO")</f>
        <v>Gastos Varios</v>
      </c>
      <c r="K198" s="419" t="str">
        <f>IFERROR(IF(factura_c_mes6[[#This Row],[CUIT]]="","-",VLOOKUP(factura_c_mes6[[#This Row],[CUIT]],Lista_CUIT[#All],4,0)),"CUIT NO CARGADO")</f>
        <v>CABA</v>
      </c>
    </row>
    <row r="199" spans="4:11">
      <c r="D199" s="239">
        <v>45467</v>
      </c>
      <c r="E199" s="415">
        <v>2</v>
      </c>
      <c r="F199" s="415">
        <v>4338</v>
      </c>
      <c r="G199" s="416">
        <v>20136536320</v>
      </c>
      <c r="H199" s="417" t="str">
        <f>IFERROR(IF(factura_c_mes6[[#This Row],[CUIT]]="","-",VLOOKUP(factura_c_mes6[[#This Row],[CUIT]],Lista_CUIT[#All],2,0)),"CUIT NO CARGADO")</f>
        <v>FONTENLA ERNESTO MARIO</v>
      </c>
      <c r="I199" s="418">
        <v>1500</v>
      </c>
      <c r="J199" s="419" t="str">
        <f>IFERROR(IF(factura_c_mes6[[#This Row],[CUIT]]="","-",VLOOKUP(factura_c_mes6[[#This Row],[CUIT]],Lista_CUIT[#All],3,0)),"CUIT NO CARGADO")</f>
        <v>Gastos Varios</v>
      </c>
      <c r="K199" s="419" t="str">
        <f>IFERROR(IF(factura_c_mes6[[#This Row],[CUIT]]="","-",VLOOKUP(factura_c_mes6[[#This Row],[CUIT]],Lista_CUIT[#All],4,0)),"CUIT NO CARGADO")</f>
        <v>CABA</v>
      </c>
    </row>
    <row r="200" spans="4:11">
      <c r="D200" s="239">
        <v>45469</v>
      </c>
      <c r="E200" s="415">
        <v>10</v>
      </c>
      <c r="F200" s="415">
        <v>203</v>
      </c>
      <c r="G200" s="416">
        <v>20302234389</v>
      </c>
      <c r="H200" s="417" t="str">
        <f>IFERROR(IF(factura_c_mes6[[#This Row],[CUIT]]="","-",VLOOKUP(factura_c_mes6[[#This Row],[CUIT]],Lista_CUIT[#All],2,0)),"CUIT NO CARGADO")</f>
        <v>VIGORELLI GUILLERMO DANIEL</v>
      </c>
      <c r="I200" s="418">
        <v>141000</v>
      </c>
      <c r="J200" s="419" t="str">
        <f>IFERROR(IF(factura_c_mes6[[#This Row],[CUIT]]="","-",VLOOKUP(factura_c_mes6[[#This Row],[CUIT]],Lista_CUIT[#All],3,0)),"CUIT NO CARGADO")</f>
        <v>Gastos Varios</v>
      </c>
      <c r="K200" s="419">
        <f>IFERROR(IF(factura_c_mes6[[#This Row],[CUIT]]="","-",VLOOKUP(factura_c_mes6[[#This Row],[CUIT]],Lista_CUIT[#All],4,0)),"CUIT NO CARGADO")</f>
        <v>0</v>
      </c>
    </row>
    <row r="201" spans="4:11">
      <c r="D201" s="239">
        <v>45446</v>
      </c>
      <c r="E201" s="248">
        <v>3</v>
      </c>
      <c r="F201" s="248">
        <v>852</v>
      </c>
      <c r="G201" s="249">
        <v>20086277523</v>
      </c>
      <c r="H201" s="250" t="str">
        <f>IFERROR(IF(factura_c_mes6[[#This Row],[CUIT]]="","-",VLOOKUP(factura_c_mes6[[#This Row],[CUIT]],Lista_CUIT[#All],2,0)),"CUIT NO CARGADO")</f>
        <v>BOTINDARI JUAN CARLOS</v>
      </c>
      <c r="I201" s="251">
        <v>220000</v>
      </c>
      <c r="J201" s="252" t="str">
        <f>IFERROR(IF(factura_c_mes6[[#This Row],[CUIT]]="","-",VLOOKUP(factura_c_mes6[[#This Row],[CUIT]],Lista_CUIT[#All],3,0)),"CUIT NO CARGADO")</f>
        <v>Honorarios Contables</v>
      </c>
      <c r="K201" s="252">
        <f>IFERROR(IF(factura_c_mes6[[#This Row],[CUIT]]="","-",VLOOKUP(factura_c_mes6[[#This Row],[CUIT]],Lista_CUIT[#All],4,0)),"CUIT NO CARGADO")</f>
        <v>0</v>
      </c>
    </row>
    <row r="202" spans="4:11">
      <c r="D202" s="239">
        <v>45449</v>
      </c>
      <c r="E202" s="248">
        <v>2</v>
      </c>
      <c r="F202" s="248">
        <v>295</v>
      </c>
      <c r="G202" s="249">
        <v>23319210954</v>
      </c>
      <c r="H202" s="250" t="str">
        <f>IFERROR(IF(factura_c_mes6[[#This Row],[CUIT]]="","-",VLOOKUP(factura_c_mes6[[#This Row],[CUIT]],Lista_CUIT[#All],2,0)),"CUIT NO CARGADO")</f>
        <v>CAFFARATTI ROMINA PAOLA</v>
      </c>
      <c r="I202" s="251">
        <v>135200</v>
      </c>
      <c r="J202" s="252" t="str">
        <f>IFERROR(IF(factura_c_mes6[[#This Row],[CUIT]]="","-",VLOOKUP(factura_c_mes6[[#This Row],[CUIT]],Lista_CUIT[#All],3,0)),"CUIT NO CARGADO")</f>
        <v>Honorarios Contables</v>
      </c>
      <c r="K202" s="252">
        <f>IFERROR(IF(factura_c_mes6[[#This Row],[CUIT]]="","-",VLOOKUP(factura_c_mes6[[#This Row],[CUIT]],Lista_CUIT[#All],4,0)),"CUIT NO CARGADO")</f>
        <v>0</v>
      </c>
    </row>
    <row r="203" spans="4:11">
      <c r="D203" s="239">
        <v>45446</v>
      </c>
      <c r="E203" s="248">
        <v>3</v>
      </c>
      <c r="F203" s="248">
        <v>482</v>
      </c>
      <c r="G203" s="249">
        <v>20210551574</v>
      </c>
      <c r="H203" s="250" t="str">
        <f>IFERROR(IF(factura_c_mes6[[#This Row],[CUIT]]="","-",VLOOKUP(factura_c_mes6[[#This Row],[CUIT]],Lista_CUIT[#All],2,0)),"CUIT NO CARGADO")</f>
        <v>REUS JORGE DIEGO</v>
      </c>
      <c r="I203" s="251">
        <v>208000</v>
      </c>
      <c r="J203" s="252" t="str">
        <f>IFERROR(IF(factura_c_mes6[[#This Row],[CUIT]]="","-",VLOOKUP(factura_c_mes6[[#This Row],[CUIT]],Lista_CUIT[#All],3,0)),"CUIT NO CARGADO")</f>
        <v>Honorarios Legales</v>
      </c>
      <c r="K203" s="252">
        <f>IFERROR(IF(factura_c_mes6[[#This Row],[CUIT]]="","-",VLOOKUP(factura_c_mes6[[#This Row],[CUIT]],Lista_CUIT[#All],4,0)),"CUIT NO CARGADO")</f>
        <v>0</v>
      </c>
    </row>
    <row r="204" spans="4:11">
      <c r="D204" s="239">
        <v>45455</v>
      </c>
      <c r="E204" s="248">
        <v>4</v>
      </c>
      <c r="F204" s="248">
        <v>828</v>
      </c>
      <c r="G204" s="249">
        <v>20148722081</v>
      </c>
      <c r="H204" s="250" t="str">
        <f>IFERROR(IF(factura_c_mes6[[#This Row],[CUIT]]="","-",VLOOKUP(factura_c_mes6[[#This Row],[CUIT]],Lista_CUIT[#All],2,0)),"CUIT NO CARGADO")</f>
        <v>VAZQUEZ EDUARDO HUGO</v>
      </c>
      <c r="I204" s="251">
        <v>150000</v>
      </c>
      <c r="J204" s="252" t="str">
        <f>IFERROR(IF(factura_c_mes6[[#This Row],[CUIT]]="","-",VLOOKUP(factura_c_mes6[[#This Row],[CUIT]],Lista_CUIT[#All],3,0)),"CUIT NO CARGADO")</f>
        <v>Honorarios Legales</v>
      </c>
      <c r="K204" s="252">
        <f>IFERROR(IF(factura_c_mes6[[#This Row],[CUIT]]="","-",VLOOKUP(factura_c_mes6[[#This Row],[CUIT]],Lista_CUIT[#All],4,0)),"CUIT NO CARGADO")</f>
        <v>0</v>
      </c>
    </row>
    <row r="205" spans="4:11">
      <c r="D205" s="239">
        <v>45473</v>
      </c>
      <c r="E205" s="415">
        <v>4</v>
      </c>
      <c r="F205" s="415">
        <v>470</v>
      </c>
      <c r="G205" s="416">
        <v>23222942934</v>
      </c>
      <c r="H205" s="417" t="str">
        <f>IFERROR(IF(factura_c_mes6[[#This Row],[CUIT]]="","-",VLOOKUP(factura_c_mes6[[#This Row],[CUIT]],Lista_CUIT[#All],2,0)),"CUIT NO CARGADO")</f>
        <v>FIORI SILVIA LORENA</v>
      </c>
      <c r="I205" s="418">
        <v>132500</v>
      </c>
      <c r="J205" s="419" t="str">
        <f>IFERROR(IF(factura_c_mes6[[#This Row],[CUIT]]="","-",VLOOKUP(factura_c_mes6[[#This Row],[CUIT]],Lista_CUIT[#All],3,0)),"CUIT NO CARGADO")</f>
        <v>Honorarios Profesionales</v>
      </c>
      <c r="K205" s="419">
        <f>IFERROR(IF(factura_c_mes6[[#This Row],[CUIT]]="","-",VLOOKUP(factura_c_mes6[[#This Row],[CUIT]],Lista_CUIT[#All],4,0)),"CUIT NO CARGADO")</f>
        <v>0</v>
      </c>
    </row>
    <row r="206" spans="4:11" ht="17.25" customHeight="1">
      <c r="D206" s="239">
        <v>45469</v>
      </c>
      <c r="E206" s="415">
        <v>1</v>
      </c>
      <c r="F206" s="415">
        <v>50</v>
      </c>
      <c r="G206" s="416">
        <v>20176922363</v>
      </c>
      <c r="H206" s="417" t="str">
        <f>IFERROR(IF(factura_c_mes6[[#This Row],[CUIT]]="","-",VLOOKUP(factura_c_mes6[[#This Row],[CUIT]],Lista_CUIT[#All],2,0)),"CUIT NO CARGADO")</f>
        <v>CASTILLO JUAN RAMON</v>
      </c>
      <c r="I206" s="418">
        <v>840000</v>
      </c>
      <c r="J206" s="419" t="str">
        <f>IFERROR(IF(factura_c_mes6[[#This Row],[CUIT]]="","-",VLOOKUP(factura_c_mes6[[#This Row],[CUIT]],Lista_CUIT[#All],3,0)),"CUIT NO CARGADO")</f>
        <v>Honorarios Profesionales</v>
      </c>
      <c r="K206" s="419">
        <f>IFERROR(IF(factura_c_mes6[[#This Row],[CUIT]]="","-",VLOOKUP(factura_c_mes6[[#This Row],[CUIT]],Lista_CUIT[#All],4,0)),"CUIT NO CARGADO")</f>
        <v>0</v>
      </c>
    </row>
    <row r="207" spans="4:11" ht="15.75" customHeight="1">
      <c r="D207" s="239">
        <v>45444</v>
      </c>
      <c r="E207" s="248">
        <v>2</v>
      </c>
      <c r="F207" s="248">
        <v>350</v>
      </c>
      <c r="G207" s="249">
        <v>20300814094</v>
      </c>
      <c r="H207" s="250" t="str">
        <f>IFERROR(IF(factura_c_mes6[[#This Row],[CUIT]]="","-",VLOOKUP(factura_c_mes6[[#This Row],[CUIT]],Lista_CUIT[#All],2,0)),"CUIT NO CARGADO")</f>
        <v>FARRAPEIRA OSCAR MAXIMO</v>
      </c>
      <c r="I207" s="251">
        <v>1051297</v>
      </c>
      <c r="J207" s="252" t="str">
        <f>IFERROR(IF(factura_c_mes6[[#This Row],[CUIT]]="","-",VLOOKUP(factura_c_mes6[[#This Row],[CUIT]],Lista_CUIT[#All],3,0)),"CUIT NO CARGADO")</f>
        <v>Material de Empaque</v>
      </c>
      <c r="K207" s="252">
        <f>IFERROR(IF(factura_c_mes6[[#This Row],[CUIT]]="","-",VLOOKUP(factura_c_mes6[[#This Row],[CUIT]],Lista_CUIT[#All],4,0)),"CUIT NO CARGADO")</f>
        <v>0</v>
      </c>
    </row>
    <row r="208" spans="4:11">
      <c r="D208" s="239">
        <v>45446</v>
      </c>
      <c r="E208" s="248">
        <v>1</v>
      </c>
      <c r="F208" s="248">
        <v>75</v>
      </c>
      <c r="G208" s="249">
        <v>20299505430</v>
      </c>
      <c r="H208" s="250" t="str">
        <f>IFERROR(IF(factura_c_mes6[[#This Row],[CUIT]]="","-",VLOOKUP(factura_c_mes6[[#This Row],[CUIT]],Lista_CUIT[#All],2,0)),"CUIT NO CARGADO")</f>
        <v>PRADO EMILIANO HERNAN</v>
      </c>
      <c r="I208" s="251">
        <v>1027564</v>
      </c>
      <c r="J208" s="252" t="str">
        <f>IFERROR(IF(factura_c_mes6[[#This Row],[CUIT]]="","-",VLOOKUP(factura_c_mes6[[#This Row],[CUIT]],Lista_CUIT[#All],3,0)),"CUIT NO CARGADO")</f>
        <v>Material de Empaque</v>
      </c>
      <c r="K208" s="252">
        <f>IFERROR(IF(factura_c_mes6[[#This Row],[CUIT]]="","-",VLOOKUP(factura_c_mes6[[#This Row],[CUIT]],Lista_CUIT[#All],4,0)),"CUIT NO CARGADO")</f>
        <v>0</v>
      </c>
    </row>
    <row r="209" spans="2:18">
      <c r="D209" s="239">
        <v>45450</v>
      </c>
      <c r="E209" s="248">
        <v>2</v>
      </c>
      <c r="F209" s="248">
        <v>352</v>
      </c>
      <c r="G209" s="249">
        <v>20300814094</v>
      </c>
      <c r="H209" s="250" t="str">
        <f>IFERROR(IF(factura_c_mes6[[#This Row],[CUIT]]="","-",VLOOKUP(factura_c_mes6[[#This Row],[CUIT]],Lista_CUIT[#All],2,0)),"CUIT NO CARGADO")</f>
        <v>FARRAPEIRA OSCAR MAXIMO</v>
      </c>
      <c r="I209" s="251">
        <v>303658</v>
      </c>
      <c r="J209" s="252" t="str">
        <f>IFERROR(IF(factura_c_mes6[[#This Row],[CUIT]]="","-",VLOOKUP(factura_c_mes6[[#This Row],[CUIT]],Lista_CUIT[#All],3,0)),"CUIT NO CARGADO")</f>
        <v>Material de Empaque</v>
      </c>
      <c r="K209" s="252">
        <f>IFERROR(IF(factura_c_mes6[[#This Row],[CUIT]]="","-",VLOOKUP(factura_c_mes6[[#This Row],[CUIT]],Lista_CUIT[#All],4,0)),"CUIT NO CARGADO")</f>
        <v>0</v>
      </c>
    </row>
    <row r="210" spans="2:18">
      <c r="D210" s="239">
        <v>45467</v>
      </c>
      <c r="E210" s="415">
        <v>8</v>
      </c>
      <c r="F210" s="415">
        <v>606</v>
      </c>
      <c r="G210" s="416">
        <v>27409592487</v>
      </c>
      <c r="H210" s="417" t="str">
        <f>IFERROR(IF(factura_c_mes6[[#This Row],[CUIT]]="","-",VLOOKUP(factura_c_mes6[[#This Row],[CUIT]],Lista_CUIT[#All],2,0)),"CUIT NO CARGADO")</f>
        <v>BAUDONE ANTONELLA AGOSTINA</v>
      </c>
      <c r="I210" s="418">
        <v>60000</v>
      </c>
      <c r="J210" s="419" t="str">
        <f>IFERROR(IF(factura_c_mes6[[#This Row],[CUIT]]="","-",VLOOKUP(factura_c_mes6[[#This Row],[CUIT]],Lista_CUIT[#All],3,0)),"CUIT NO CARGADO")</f>
        <v>Material de Empaque</v>
      </c>
      <c r="K210" s="419">
        <f>IFERROR(IF(factura_c_mes6[[#This Row],[CUIT]]="","-",VLOOKUP(factura_c_mes6[[#This Row],[CUIT]],Lista_CUIT[#All],4,0)),"CUIT NO CARGADO")</f>
        <v>0</v>
      </c>
    </row>
    <row r="211" spans="2:18">
      <c r="D211" s="239">
        <v>45471</v>
      </c>
      <c r="E211" s="415">
        <v>8</v>
      </c>
      <c r="F211" s="415">
        <v>610</v>
      </c>
      <c r="G211" s="416">
        <v>27409592487</v>
      </c>
      <c r="H211" s="417" t="str">
        <f>IFERROR(IF(factura_c_mes6[[#This Row],[CUIT]]="","-",VLOOKUP(factura_c_mes6[[#This Row],[CUIT]],Lista_CUIT[#All],2,0)),"CUIT NO CARGADO")</f>
        <v>BAUDONE ANTONELLA AGOSTINA</v>
      </c>
      <c r="I211" s="418">
        <v>110400</v>
      </c>
      <c r="J211" s="419" t="str">
        <f>IFERROR(IF(factura_c_mes6[[#This Row],[CUIT]]="","-",VLOOKUP(factura_c_mes6[[#This Row],[CUIT]],Lista_CUIT[#All],3,0)),"CUIT NO CARGADO")</f>
        <v>Material de Empaque</v>
      </c>
      <c r="K211" s="419">
        <f>IFERROR(IF(factura_c_mes6[[#This Row],[CUIT]]="","-",VLOOKUP(factura_c_mes6[[#This Row],[CUIT]],Lista_CUIT[#All],4,0)),"CUIT NO CARGADO")</f>
        <v>0</v>
      </c>
    </row>
    <row r="212" spans="2:18" ht="19.149999999999999" customHeight="1">
      <c r="D212" s="55" t="s">
        <v>103</v>
      </c>
      <c r="E212" s="55"/>
      <c r="F212" s="55"/>
      <c r="G212" s="55"/>
      <c r="H212" s="57"/>
      <c r="I212" s="58">
        <f>SUBTOTAL(109,factura_c_mes6[TOTAL])</f>
        <v>4498669</v>
      </c>
      <c r="J212" s="55"/>
      <c r="K212" s="55"/>
    </row>
    <row r="213" spans="2:18" ht="18" customHeight="1">
      <c r="B213" s="56"/>
      <c r="C213" s="56"/>
      <c r="L213" s="56"/>
      <c r="M213" s="56"/>
      <c r="N213" s="56"/>
      <c r="O213" s="56"/>
      <c r="P213" s="56"/>
      <c r="Q213" s="56"/>
      <c r="R213" s="56"/>
    </row>
    <row r="218" spans="2:18" ht="26.25">
      <c r="B218" s="720" t="s">
        <v>29</v>
      </c>
      <c r="C218" s="720"/>
      <c r="D218" s="720"/>
      <c r="E218" s="720"/>
      <c r="F218" s="720"/>
      <c r="G218" s="720"/>
      <c r="H218" s="720"/>
      <c r="I218" s="720"/>
      <c r="J218" s="720"/>
      <c r="K218" s="716">
        <f>N1</f>
        <v>45078</v>
      </c>
      <c r="L218" s="716"/>
      <c r="M218" s="716"/>
    </row>
    <row r="220" spans="2:18" ht="21">
      <c r="B220" s="713" t="s">
        <v>30</v>
      </c>
      <c r="C220" s="713"/>
    </row>
    <row r="221" spans="2:18" ht="15.75">
      <c r="B221" s="60" t="s">
        <v>0</v>
      </c>
      <c r="C221" s="61" t="s">
        <v>1</v>
      </c>
      <c r="D221" s="61" t="s">
        <v>21</v>
      </c>
      <c r="E221" s="61" t="s">
        <v>22</v>
      </c>
      <c r="F221" s="61" t="s">
        <v>3</v>
      </c>
      <c r="G221" s="61" t="s">
        <v>4</v>
      </c>
      <c r="H221" s="61" t="s">
        <v>23</v>
      </c>
      <c r="I221" s="61" t="s">
        <v>17</v>
      </c>
      <c r="J221" s="61" t="s">
        <v>7</v>
      </c>
      <c r="K221" s="61" t="s">
        <v>24</v>
      </c>
      <c r="L221" s="61" t="s">
        <v>10</v>
      </c>
      <c r="M221" s="62" t="s">
        <v>38</v>
      </c>
    </row>
    <row r="222" spans="2:18">
      <c r="B222" s="40" t="s">
        <v>2305</v>
      </c>
      <c r="C222" s="41">
        <v>1</v>
      </c>
      <c r="D222" s="42">
        <v>10</v>
      </c>
      <c r="E222" s="43">
        <v>11623</v>
      </c>
      <c r="F222" s="44">
        <v>27266689875</v>
      </c>
      <c r="G222" s="99" t="str">
        <f>IFERROR(IF(venta_a_mes6[[#This Row],[CUIT]]="","-",VLOOKUP(venta_a_mes6[[#This Row],[CUIT]],Lista_CUIT[#All],2,0)),"CUIT NO CARGADO")</f>
        <v>KIKA COSMETICA</v>
      </c>
      <c r="H222" s="100">
        <v>72954.55</v>
      </c>
      <c r="I222" s="101">
        <f>venta_a_mes6[[#This Row],[IMPORTE NETO]]*0.21</f>
        <v>15320.4555</v>
      </c>
      <c r="J222" s="65"/>
      <c r="K222" s="65"/>
      <c r="L222" s="65">
        <f>SUM(venta_a_mes6[[#This Row],[IMPORTE NETO]:[EXENTO]])</f>
        <v>88275.005499999999</v>
      </c>
      <c r="M222" s="59"/>
    </row>
    <row r="223" spans="2:18">
      <c r="B223" s="40" t="s">
        <v>2305</v>
      </c>
      <c r="C223" s="41">
        <v>1</v>
      </c>
      <c r="D223" s="42">
        <v>10</v>
      </c>
      <c r="E223" s="43">
        <v>11622</v>
      </c>
      <c r="F223" s="44">
        <v>27266689875</v>
      </c>
      <c r="G223" s="99" t="str">
        <f>IFERROR(IF(venta_a_mes6[[#This Row],[CUIT]]="","-",VLOOKUP(venta_a_mes6[[#This Row],[CUIT]],Lista_CUIT[#All],2,0)),"CUIT NO CARGADO")</f>
        <v>KIKA COSMETICA</v>
      </c>
      <c r="H223" s="100">
        <v>233107.79</v>
      </c>
      <c r="I223" s="101">
        <f>venta_a_mes6[[#This Row],[IMPORTE NETO]]*0.21</f>
        <v>48952.635900000001</v>
      </c>
      <c r="J223" s="65"/>
      <c r="K223" s="65"/>
      <c r="L223" s="65">
        <f>SUM(venta_a_mes6[[#This Row],[IMPORTE NETO]:[EXENTO]])</f>
        <v>282060.42590000003</v>
      </c>
      <c r="M223" s="59"/>
    </row>
    <row r="224" spans="2:18">
      <c r="B224" s="40" t="s">
        <v>2305</v>
      </c>
      <c r="C224" s="41">
        <v>1</v>
      </c>
      <c r="D224" s="42">
        <v>10</v>
      </c>
      <c r="E224" s="43">
        <v>11621</v>
      </c>
      <c r="F224" s="44">
        <v>30712104550</v>
      </c>
      <c r="G224" s="99" t="str">
        <f>IFERROR(IF(venta_a_mes6[[#This Row],[CUIT]]="","-",VLOOKUP(venta_a_mes6[[#This Row],[CUIT]],Lista_CUIT[#All],2,0)),"CUIT NO CARGADO")</f>
        <v>EUROCOSMETICA S.A.</v>
      </c>
      <c r="H224" s="100">
        <v>154284.45000000001</v>
      </c>
      <c r="I224" s="101">
        <f>venta_a_mes6[[#This Row],[IMPORTE NETO]]*0.21</f>
        <v>32399.734500000002</v>
      </c>
      <c r="J224" s="65"/>
      <c r="K224" s="65"/>
      <c r="L224" s="65">
        <f>SUM(venta_a_mes6[[#This Row],[IMPORTE NETO]:[EXENTO]])</f>
        <v>186684.1845</v>
      </c>
      <c r="M224" s="59"/>
    </row>
    <row r="225" spans="2:13">
      <c r="B225" s="40" t="s">
        <v>2305</v>
      </c>
      <c r="C225" s="41">
        <v>1</v>
      </c>
      <c r="D225" s="42">
        <v>10</v>
      </c>
      <c r="E225" s="43">
        <v>11619</v>
      </c>
      <c r="F225" s="44">
        <v>30712104550</v>
      </c>
      <c r="G225" s="99" t="str">
        <f>IFERROR(IF(venta_a_mes6[[#This Row],[CUIT]]="","-",VLOOKUP(venta_a_mes6[[#This Row],[CUIT]],Lista_CUIT[#All],2,0)),"CUIT NO CARGADO")</f>
        <v>EUROCOSMETICA S.A.</v>
      </c>
      <c r="H225" s="100">
        <v>595626.41</v>
      </c>
      <c r="I225" s="101">
        <f>venta_a_mes6[[#This Row],[IMPORTE NETO]]*0.21</f>
        <v>125081.54610000001</v>
      </c>
      <c r="J225" s="65"/>
      <c r="K225" s="65"/>
      <c r="L225" s="65">
        <f>SUM(venta_a_mes6[[#This Row],[IMPORTE NETO]:[EXENTO]])</f>
        <v>720707.95610000007</v>
      </c>
      <c r="M225" s="59"/>
    </row>
    <row r="226" spans="2:13">
      <c r="B226" s="40" t="s">
        <v>2305</v>
      </c>
      <c r="C226" s="41">
        <v>1</v>
      </c>
      <c r="D226" s="42">
        <v>10</v>
      </c>
      <c r="E226" s="43">
        <v>11620</v>
      </c>
      <c r="F226" s="44">
        <v>30712104550</v>
      </c>
      <c r="G226" s="99" t="str">
        <f>IFERROR(IF(venta_a_mes6[[#This Row],[CUIT]]="","-",VLOOKUP(venta_a_mes6[[#This Row],[CUIT]],Lista_CUIT[#All],2,0)),"CUIT NO CARGADO")</f>
        <v>EUROCOSMETICA S.A.</v>
      </c>
      <c r="H226" s="100">
        <v>489375.6</v>
      </c>
      <c r="I226" s="101">
        <f>venta_a_mes6[[#This Row],[IMPORTE NETO]]*0.21</f>
        <v>102768.87599999999</v>
      </c>
      <c r="J226" s="65"/>
      <c r="K226" s="65"/>
      <c r="L226" s="65">
        <f>SUM(venta_a_mes6[[#This Row],[IMPORTE NETO]:[EXENTO]])</f>
        <v>592144.47600000002</v>
      </c>
      <c r="M226" s="59"/>
    </row>
    <row r="227" spans="2:13">
      <c r="B227" s="40" t="s">
        <v>2305</v>
      </c>
      <c r="C227" s="41">
        <v>1</v>
      </c>
      <c r="D227" s="42">
        <v>10</v>
      </c>
      <c r="E227" s="43">
        <v>11617</v>
      </c>
      <c r="F227" s="44">
        <v>30709163503</v>
      </c>
      <c r="G227" s="99" t="str">
        <f>IFERROR(IF(venta_a_mes6[[#This Row],[CUIT]]="","-",VLOOKUP(venta_a_mes6[[#This Row],[CUIT]],Lista_CUIT[#All],2,0)),"CUIT NO CARGADO")</f>
        <v>CANADEZ S.R.L.</v>
      </c>
      <c r="H227" s="100">
        <v>604727.27</v>
      </c>
      <c r="I227" s="101">
        <f>venta_a_mes6[[#This Row],[IMPORTE NETO]]*0.21</f>
        <v>126992.7267</v>
      </c>
      <c r="J227" s="65"/>
      <c r="K227" s="65"/>
      <c r="L227" s="65">
        <f>SUM(venta_a_mes6[[#This Row],[IMPORTE NETO]:[EXENTO]])</f>
        <v>731719.99670000002</v>
      </c>
      <c r="M227" s="59"/>
    </row>
    <row r="228" spans="2:13">
      <c r="B228" s="40" t="s">
        <v>2305</v>
      </c>
      <c r="C228" s="41">
        <v>1</v>
      </c>
      <c r="D228" s="42">
        <v>10</v>
      </c>
      <c r="E228" s="43">
        <v>11616</v>
      </c>
      <c r="F228" s="44">
        <v>30709163503</v>
      </c>
      <c r="G228" s="99" t="str">
        <f>IFERROR(IF(venta_a_mes6[[#This Row],[CUIT]]="","-",VLOOKUP(venta_a_mes6[[#This Row],[CUIT]],Lista_CUIT[#All],2,0)),"CUIT NO CARGADO")</f>
        <v>CANADEZ S.R.L.</v>
      </c>
      <c r="H228" s="100">
        <v>1107768.6000000001</v>
      </c>
      <c r="I228" s="101">
        <f>venta_a_mes6[[#This Row],[IMPORTE NETO]]*0.21</f>
        <v>232631.40600000002</v>
      </c>
      <c r="J228" s="65"/>
      <c r="K228" s="65"/>
      <c r="L228" s="65">
        <f>SUM(venta_a_mes6[[#This Row],[IMPORTE NETO]:[EXENTO]])</f>
        <v>1340400.0060000001</v>
      </c>
      <c r="M228" s="59"/>
    </row>
    <row r="229" spans="2:13">
      <c r="B229" s="40" t="s">
        <v>2305</v>
      </c>
      <c r="C229" s="41">
        <v>1</v>
      </c>
      <c r="D229" s="42">
        <v>10</v>
      </c>
      <c r="E229" s="43">
        <v>11615</v>
      </c>
      <c r="F229" s="44">
        <v>30709163503</v>
      </c>
      <c r="G229" s="99" t="str">
        <f>IFERROR(IF(venta_a_mes6[[#This Row],[CUIT]]="","-",VLOOKUP(venta_a_mes6[[#This Row],[CUIT]],Lista_CUIT[#All],2,0)),"CUIT NO CARGADO")</f>
        <v>CANADEZ S.R.L.</v>
      </c>
      <c r="H229" s="100">
        <v>785950.41</v>
      </c>
      <c r="I229" s="101">
        <f>venta_a_mes6[[#This Row],[IMPORTE NETO]]*0.21</f>
        <v>165049.58610000001</v>
      </c>
      <c r="J229" s="65"/>
      <c r="K229" s="65"/>
      <c r="L229" s="65">
        <f>SUM(venta_a_mes6[[#This Row],[IMPORTE NETO]:[EXENTO]])</f>
        <v>950999.99610000011</v>
      </c>
      <c r="M229" s="59"/>
    </row>
    <row r="230" spans="2:13">
      <c r="B230" s="40" t="s">
        <v>2305</v>
      </c>
      <c r="C230" s="41">
        <v>1</v>
      </c>
      <c r="D230" s="42">
        <v>10</v>
      </c>
      <c r="E230" s="43">
        <v>11614</v>
      </c>
      <c r="F230" s="44">
        <v>30709163503</v>
      </c>
      <c r="G230" s="99" t="str">
        <f>IFERROR(IF(venta_a_mes6[[#This Row],[CUIT]]="","-",VLOOKUP(venta_a_mes6[[#This Row],[CUIT]],Lista_CUIT[#All],2,0)),"CUIT NO CARGADO")</f>
        <v>CANADEZ S.R.L.</v>
      </c>
      <c r="H230" s="100">
        <v>1190115.6499999999</v>
      </c>
      <c r="I230" s="101">
        <f>venta_a_mes6[[#This Row],[IMPORTE NETO]]*0.21</f>
        <v>249924.28649999996</v>
      </c>
      <c r="J230" s="65"/>
      <c r="K230" s="65"/>
      <c r="L230" s="65">
        <f>SUM(venta_a_mes6[[#This Row],[IMPORTE NETO]:[EXENTO]])</f>
        <v>1440039.9364999998</v>
      </c>
      <c r="M230" s="59"/>
    </row>
    <row r="231" spans="2:13">
      <c r="B231" s="40" t="s">
        <v>2305</v>
      </c>
      <c r="C231" s="41">
        <v>1</v>
      </c>
      <c r="D231" s="42">
        <v>10</v>
      </c>
      <c r="E231" s="43">
        <v>11618</v>
      </c>
      <c r="F231" s="44">
        <v>30709163503</v>
      </c>
      <c r="G231" s="99" t="str">
        <f>IFERROR(IF(venta_a_mes6[[#This Row],[CUIT]]="","-",VLOOKUP(venta_a_mes6[[#This Row],[CUIT]],Lista_CUIT[#All],2,0)),"CUIT NO CARGADO")</f>
        <v>CANADEZ S.R.L.</v>
      </c>
      <c r="H231" s="100">
        <v>909795.2</v>
      </c>
      <c r="I231" s="101">
        <f>venta_a_mes6[[#This Row],[IMPORTE NETO]]*0.21</f>
        <v>191056.99199999997</v>
      </c>
      <c r="J231" s="65"/>
      <c r="K231" s="65"/>
      <c r="L231" s="65">
        <f>SUM(venta_a_mes6[[#This Row],[IMPORTE NETO]:[EXENTO]])</f>
        <v>1100852.1919999998</v>
      </c>
      <c r="M231" s="59"/>
    </row>
    <row r="232" spans="2:13">
      <c r="B232" s="40" t="s">
        <v>2305</v>
      </c>
      <c r="C232" s="41">
        <v>1</v>
      </c>
      <c r="D232" s="42">
        <v>10</v>
      </c>
      <c r="E232" s="43">
        <v>11625</v>
      </c>
      <c r="F232" s="44">
        <v>30717318060</v>
      </c>
      <c r="G232" s="99" t="str">
        <f>IFERROR(IF(venta_a_mes6[[#This Row],[CUIT]]="","-",VLOOKUP(venta_a_mes6[[#This Row],[CUIT]],Lista_CUIT[#All],2,0)),"CUIT NO CARGADO")</f>
        <v>CUIT NO CARGADO</v>
      </c>
      <c r="H232" s="100">
        <v>140552.98000000001</v>
      </c>
      <c r="I232" s="101">
        <f>venta_a_mes6[[#This Row],[IMPORTE NETO]]*0.21</f>
        <v>29516.125800000002</v>
      </c>
      <c r="J232" s="65"/>
      <c r="K232" s="65"/>
      <c r="L232" s="65">
        <f>SUM(venta_a_mes6[[#This Row],[IMPORTE NETO]:[EXENTO]])</f>
        <v>170069.10580000002</v>
      </c>
      <c r="M232" s="59"/>
    </row>
    <row r="233" spans="2:13">
      <c r="B233" s="40" t="s">
        <v>2305</v>
      </c>
      <c r="C233" s="41">
        <v>1</v>
      </c>
      <c r="D233" s="42">
        <v>10</v>
      </c>
      <c r="E233" s="43">
        <v>11624</v>
      </c>
      <c r="F233" s="44">
        <v>30717318060</v>
      </c>
      <c r="G233" s="99" t="str">
        <f>IFERROR(IF(venta_a_mes6[[#This Row],[CUIT]]="","-",VLOOKUP(venta_a_mes6[[#This Row],[CUIT]],Lista_CUIT[#All],2,0)),"CUIT NO CARGADO")</f>
        <v>CUIT NO CARGADO</v>
      </c>
      <c r="H233" s="100">
        <v>255811.49</v>
      </c>
      <c r="I233" s="101">
        <f>venta_a_mes6[[#This Row],[IMPORTE NETO]]*0.21</f>
        <v>53720.412899999996</v>
      </c>
      <c r="J233" s="65"/>
      <c r="K233" s="65"/>
      <c r="L233" s="65">
        <f>SUM(venta_a_mes6[[#This Row],[IMPORTE NETO]:[EXENTO]])</f>
        <v>309531.90289999999</v>
      </c>
      <c r="M233" s="59"/>
    </row>
    <row r="234" spans="2:13">
      <c r="B234" s="40" t="s">
        <v>2305</v>
      </c>
      <c r="C234" s="41">
        <v>1</v>
      </c>
      <c r="D234" s="42">
        <v>15</v>
      </c>
      <c r="E234" s="43">
        <v>268</v>
      </c>
      <c r="F234" s="44">
        <v>27142831339</v>
      </c>
      <c r="G234" s="99" t="str">
        <f>IFERROR(IF(venta_a_mes6[[#This Row],[CUIT]]="","-",VLOOKUP(venta_a_mes6[[#This Row],[CUIT]],Lista_CUIT[#All],2,0)),"CUIT NO CARGADO")</f>
        <v>BIEN MUJER</v>
      </c>
      <c r="H234" s="100">
        <v>48140.5</v>
      </c>
      <c r="I234" s="101">
        <f>venta_a_mes6[[#This Row],[IMPORTE NETO]]*0.21</f>
        <v>10109.504999999999</v>
      </c>
      <c r="J234" s="65"/>
      <c r="K234" s="65"/>
      <c r="L234" s="65">
        <f>SUM(venta_a_mes6[[#This Row],[IMPORTE NETO]:[EXENTO]])</f>
        <v>58250.004999999997</v>
      </c>
      <c r="M234" s="59"/>
    </row>
    <row r="235" spans="2:13">
      <c r="B235" s="40" t="s">
        <v>2305</v>
      </c>
      <c r="C235" s="41">
        <v>3</v>
      </c>
      <c r="D235" s="42">
        <v>10</v>
      </c>
      <c r="E235" s="43">
        <v>755</v>
      </c>
      <c r="F235" s="44">
        <v>30712031618</v>
      </c>
      <c r="G235" s="99" t="str">
        <f>IFERROR(IF(venta_a_mes6[[#This Row],[CUIT]]="","-",VLOOKUP(venta_a_mes6[[#This Row],[CUIT]],Lista_CUIT[#All],2,0)),"CUIT NO CARGADO")</f>
        <v>CUIT NO CARGADO</v>
      </c>
      <c r="H235" s="100">
        <v>-3824.85</v>
      </c>
      <c r="I235" s="101">
        <f>venta_a_mes6[[#This Row],[IMPORTE NETO]]*0.21</f>
        <v>-803.21849999999995</v>
      </c>
      <c r="J235" s="65"/>
      <c r="K235" s="65"/>
      <c r="L235" s="65">
        <f>SUM(venta_a_mes6[[#This Row],[IMPORTE NETO]:[EXENTO]])</f>
        <v>-4628.0684999999994</v>
      </c>
      <c r="M235" s="59"/>
    </row>
    <row r="236" spans="2:13">
      <c r="B236" s="40" t="s">
        <v>2306</v>
      </c>
      <c r="C236" s="41">
        <v>1</v>
      </c>
      <c r="D236" s="42">
        <v>10</v>
      </c>
      <c r="E236" s="43">
        <v>11633</v>
      </c>
      <c r="F236" s="44">
        <v>27061737230</v>
      </c>
      <c r="G236" s="99" t="str">
        <f>IFERROR(IF(venta_a_mes6[[#This Row],[CUIT]]="","-",VLOOKUP(venta_a_mes6[[#This Row],[CUIT]],Lista_CUIT[#All],2,0)),"CUIT NO CARGADO")</f>
        <v>LO DUCA STELLA MARIS RAMONA</v>
      </c>
      <c r="H236" s="100">
        <v>54707.44</v>
      </c>
      <c r="I236" s="101">
        <f>venta_a_mes6[[#This Row],[IMPORTE NETO]]*0.21</f>
        <v>11488.562400000001</v>
      </c>
      <c r="J236" s="65"/>
      <c r="K236" s="65"/>
      <c r="L236" s="65">
        <f>SUM(venta_a_mes6[[#This Row],[IMPORTE NETO]:[EXENTO]])</f>
        <v>66196.002399999998</v>
      </c>
      <c r="M236" s="59"/>
    </row>
    <row r="237" spans="2:13">
      <c r="B237" s="40" t="s">
        <v>2306</v>
      </c>
      <c r="C237" s="41">
        <v>1</v>
      </c>
      <c r="D237" s="42">
        <v>13</v>
      </c>
      <c r="E237" s="43">
        <v>1272</v>
      </c>
      <c r="F237" s="44">
        <v>20206063239</v>
      </c>
      <c r="G237" s="99" t="str">
        <f>IFERROR(IF(venta_a_mes6[[#This Row],[CUIT]]="","-",VLOOKUP(venta_a_mes6[[#This Row],[CUIT]],Lista_CUIT[#All],2,0)),"CUIT NO CARGADO")</f>
        <v>GONZALEZ VILAS DANIEL</v>
      </c>
      <c r="H237" s="100">
        <v>51347.11</v>
      </c>
      <c r="I237" s="101">
        <f>venta_a_mes6[[#This Row],[IMPORTE NETO]]*0.21</f>
        <v>10782.893099999999</v>
      </c>
      <c r="J237" s="65"/>
      <c r="K237" s="65"/>
      <c r="L237" s="65">
        <f>SUM(venta_a_mes6[[#This Row],[IMPORTE NETO]:[EXENTO]])</f>
        <v>62130.003100000002</v>
      </c>
      <c r="M237" s="59"/>
    </row>
    <row r="238" spans="2:13">
      <c r="B238" s="40" t="s">
        <v>2306</v>
      </c>
      <c r="C238" s="41">
        <v>1</v>
      </c>
      <c r="D238" s="42">
        <v>10</v>
      </c>
      <c r="E238" s="43">
        <v>11634</v>
      </c>
      <c r="F238" s="44">
        <v>30716421151</v>
      </c>
      <c r="G238" s="99" t="str">
        <f>IFERROR(IF(venta_a_mes6[[#This Row],[CUIT]]="","-",VLOOKUP(venta_a_mes6[[#This Row],[CUIT]],Lista_CUIT[#All],2,0)),"CUIT NO CARGADO")</f>
        <v>ILONA AYOUB S.A.S. </v>
      </c>
      <c r="H238" s="100">
        <v>14713.22</v>
      </c>
      <c r="I238" s="101">
        <f>venta_a_mes6[[#This Row],[IMPORTE NETO]]*0.21</f>
        <v>3089.7761999999998</v>
      </c>
      <c r="J238" s="65"/>
      <c r="K238" s="65"/>
      <c r="L238" s="65">
        <f>SUM(venta_a_mes6[[#This Row],[IMPORTE NETO]:[EXENTO]])</f>
        <v>17802.996199999998</v>
      </c>
      <c r="M238" s="59"/>
    </row>
    <row r="239" spans="2:13">
      <c r="B239" s="40" t="s">
        <v>2306</v>
      </c>
      <c r="C239" s="41">
        <v>1</v>
      </c>
      <c r="D239" s="42">
        <v>10</v>
      </c>
      <c r="E239" s="43">
        <v>11636</v>
      </c>
      <c r="F239" s="44">
        <v>30711720169</v>
      </c>
      <c r="G239" s="99" t="str">
        <f>IFERROR(IF(venta_a_mes6[[#This Row],[CUIT]]="","-",VLOOKUP(venta_a_mes6[[#This Row],[CUIT]],Lista_CUIT[#All],2,0)),"CUIT NO CARGADO")</f>
        <v>KINE ESTETIC SRL</v>
      </c>
      <c r="H239" s="100">
        <v>35289.26</v>
      </c>
      <c r="I239" s="101">
        <f>venta_a_mes6[[#This Row],[IMPORTE NETO]]*0.21</f>
        <v>7410.7446</v>
      </c>
      <c r="J239" s="65"/>
      <c r="K239" s="65"/>
      <c r="L239" s="65">
        <f>SUM(venta_a_mes6[[#This Row],[IMPORTE NETO]:[EXENTO]])</f>
        <v>42700.0046</v>
      </c>
      <c r="M239" s="59"/>
    </row>
    <row r="240" spans="2:13">
      <c r="B240" s="40" t="s">
        <v>2306</v>
      </c>
      <c r="C240" s="41">
        <v>1</v>
      </c>
      <c r="D240" s="42">
        <v>10</v>
      </c>
      <c r="E240" s="43">
        <v>11635</v>
      </c>
      <c r="F240" s="44">
        <v>30711720169</v>
      </c>
      <c r="G240" s="99" t="str">
        <f>IFERROR(IF(venta_a_mes6[[#This Row],[CUIT]]="","-",VLOOKUP(venta_a_mes6[[#This Row],[CUIT]],Lista_CUIT[#All],2,0)),"CUIT NO CARGADO")</f>
        <v>KINE ESTETIC SRL</v>
      </c>
      <c r="H240" s="100">
        <v>144909.07999999999</v>
      </c>
      <c r="I240" s="101">
        <f>venta_a_mes6[[#This Row],[IMPORTE NETO]]*0.21</f>
        <v>30430.906799999997</v>
      </c>
      <c r="J240" s="65"/>
      <c r="K240" s="65"/>
      <c r="L240" s="65">
        <f>SUM(venta_a_mes6[[#This Row],[IMPORTE NETO]:[EXENTO]])</f>
        <v>175339.98679999998</v>
      </c>
      <c r="M240" s="59"/>
    </row>
    <row r="241" spans="2:13">
      <c r="B241" s="40" t="s">
        <v>2306</v>
      </c>
      <c r="C241" s="41">
        <v>1</v>
      </c>
      <c r="D241" s="42">
        <v>10</v>
      </c>
      <c r="E241" s="43">
        <v>11628</v>
      </c>
      <c r="F241" s="44">
        <v>20181612410</v>
      </c>
      <c r="G241" s="99" t="str">
        <f>IFERROR(IF(venta_a_mes6[[#This Row],[CUIT]]="","-",VLOOKUP(venta_a_mes6[[#This Row],[CUIT]],Lista_CUIT[#All],2,0)),"CUIT NO CARGADO")</f>
        <v>PACCOR ANGEL LUIS</v>
      </c>
      <c r="H241" s="100">
        <v>65950.41</v>
      </c>
      <c r="I241" s="101">
        <f>venta_a_mes6[[#This Row],[IMPORTE NETO]]*0.21</f>
        <v>13849.5861</v>
      </c>
      <c r="J241" s="65"/>
      <c r="K241" s="65"/>
      <c r="L241" s="65">
        <f>SUM(venta_a_mes6[[#This Row],[IMPORTE NETO]:[EXENTO]])</f>
        <v>79799.996100000004</v>
      </c>
      <c r="M241" s="59"/>
    </row>
    <row r="242" spans="2:13">
      <c r="B242" s="40" t="s">
        <v>2306</v>
      </c>
      <c r="C242" s="41">
        <v>1</v>
      </c>
      <c r="D242" s="42">
        <v>10</v>
      </c>
      <c r="E242" s="43">
        <v>11627</v>
      </c>
      <c r="F242" s="44">
        <v>20181612410</v>
      </c>
      <c r="G242" s="99" t="str">
        <f>IFERROR(IF(venta_a_mes6[[#This Row],[CUIT]]="","-",VLOOKUP(venta_a_mes6[[#This Row],[CUIT]],Lista_CUIT[#All],2,0)),"CUIT NO CARGADO")</f>
        <v>PACCOR ANGEL LUIS</v>
      </c>
      <c r="H242" s="100">
        <v>491604.96</v>
      </c>
      <c r="I242" s="101">
        <f>venta_a_mes6[[#This Row],[IMPORTE NETO]]*0.21</f>
        <v>103237.0416</v>
      </c>
      <c r="J242" s="65"/>
      <c r="K242" s="65"/>
      <c r="L242" s="65">
        <f>SUM(venta_a_mes6[[#This Row],[IMPORTE NETO]:[EXENTO]])</f>
        <v>594842.00160000008</v>
      </c>
      <c r="M242" s="59"/>
    </row>
    <row r="243" spans="2:13">
      <c r="B243" s="40" t="s">
        <v>2306</v>
      </c>
      <c r="C243" s="41">
        <v>1</v>
      </c>
      <c r="D243" s="42">
        <v>10</v>
      </c>
      <c r="E243" s="43">
        <v>11626</v>
      </c>
      <c r="F243" s="44">
        <v>20220002005</v>
      </c>
      <c r="G243" s="99" t="str">
        <f>IFERROR(IF(venta_a_mes6[[#This Row],[CUIT]]="","-",VLOOKUP(venta_a_mes6[[#This Row],[CUIT]],Lista_CUIT[#All],2,0)),"CUIT NO CARGADO")</f>
        <v>CUIT NO CARGADO</v>
      </c>
      <c r="H243" s="100">
        <v>12830.58</v>
      </c>
      <c r="I243" s="101">
        <f>venta_a_mes6[[#This Row],[IMPORTE NETO]]*0.21</f>
        <v>2694.4218000000001</v>
      </c>
      <c r="J243" s="65"/>
      <c r="K243" s="65"/>
      <c r="L243" s="65">
        <f>SUM(venta_a_mes6[[#This Row],[IMPORTE NETO]:[EXENTO]])</f>
        <v>15525.0018</v>
      </c>
      <c r="M243" s="59"/>
    </row>
    <row r="244" spans="2:13">
      <c r="B244" s="40" t="s">
        <v>2306</v>
      </c>
      <c r="C244" s="41">
        <v>1</v>
      </c>
      <c r="D244" s="42">
        <v>10</v>
      </c>
      <c r="E244" s="43">
        <v>11630</v>
      </c>
      <c r="F244" s="44">
        <v>30711604703</v>
      </c>
      <c r="G244" s="99" t="str">
        <f>IFERROR(IF(venta_a_mes6[[#This Row],[CUIT]]="","-",VLOOKUP(venta_a_mes6[[#This Row],[CUIT]],Lista_CUIT[#All],2,0)),"CUIT NO CARGADO")</f>
        <v>KORE S.A.</v>
      </c>
      <c r="H244" s="100">
        <v>563989.42000000004</v>
      </c>
      <c r="I244" s="101">
        <f>venta_a_mes6[[#This Row],[IMPORTE NETO]]*0.21</f>
        <v>118437.7782</v>
      </c>
      <c r="J244" s="65"/>
      <c r="K244" s="65"/>
      <c r="L244" s="65">
        <f>SUM(venta_a_mes6[[#This Row],[IMPORTE NETO]:[EXENTO]])</f>
        <v>682427.19819999998</v>
      </c>
      <c r="M244" s="59"/>
    </row>
    <row r="245" spans="2:13">
      <c r="B245" s="40" t="s">
        <v>2306</v>
      </c>
      <c r="C245" s="41">
        <v>1</v>
      </c>
      <c r="D245" s="42">
        <v>10</v>
      </c>
      <c r="E245" s="43">
        <v>11632</v>
      </c>
      <c r="F245" s="44">
        <v>30711604703</v>
      </c>
      <c r="G245" s="99" t="str">
        <f>IFERROR(IF(venta_a_mes6[[#This Row],[CUIT]]="","-",VLOOKUP(venta_a_mes6[[#This Row],[CUIT]],Lista_CUIT[#All],2,0)),"CUIT NO CARGADO")</f>
        <v>KORE S.A.</v>
      </c>
      <c r="H245" s="100">
        <v>393226.12</v>
      </c>
      <c r="I245" s="101">
        <f>venta_a_mes6[[#This Row],[IMPORTE NETO]]*0.21</f>
        <v>82577.485199999996</v>
      </c>
      <c r="J245" s="65"/>
      <c r="K245" s="65"/>
      <c r="L245" s="65">
        <f>SUM(venta_a_mes6[[#This Row],[IMPORTE NETO]:[EXENTO]])</f>
        <v>475803.60519999999</v>
      </c>
      <c r="M245" s="59"/>
    </row>
    <row r="246" spans="2:13">
      <c r="B246" s="40" t="s">
        <v>2306</v>
      </c>
      <c r="C246" s="41">
        <v>1</v>
      </c>
      <c r="D246" s="42">
        <v>10</v>
      </c>
      <c r="E246" s="43">
        <v>11629</v>
      </c>
      <c r="F246" s="44">
        <v>30711604703</v>
      </c>
      <c r="G246" s="99" t="str">
        <f>IFERROR(IF(venta_a_mes6[[#This Row],[CUIT]]="","-",VLOOKUP(venta_a_mes6[[#This Row],[CUIT]],Lista_CUIT[#All],2,0)),"CUIT NO CARGADO")</f>
        <v>KORE S.A.</v>
      </c>
      <c r="H246" s="100">
        <v>1035731.23</v>
      </c>
      <c r="I246" s="101">
        <f>venta_a_mes6[[#This Row],[IMPORTE NETO]]*0.21</f>
        <v>217503.55829999998</v>
      </c>
      <c r="J246" s="65"/>
      <c r="K246" s="65"/>
      <c r="L246" s="65">
        <f>SUM(venta_a_mes6[[#This Row],[IMPORTE NETO]:[EXENTO]])</f>
        <v>1253234.7882999999</v>
      </c>
      <c r="M246" s="59"/>
    </row>
    <row r="247" spans="2:13">
      <c r="B247" s="40" t="s">
        <v>2306</v>
      </c>
      <c r="C247" s="41">
        <v>1</v>
      </c>
      <c r="D247" s="42">
        <v>10</v>
      </c>
      <c r="E247" s="43">
        <v>11631</v>
      </c>
      <c r="F247" s="44">
        <v>30711604703</v>
      </c>
      <c r="G247" s="99" t="str">
        <f>IFERROR(IF(venta_a_mes6[[#This Row],[CUIT]]="","-",VLOOKUP(venta_a_mes6[[#This Row],[CUIT]],Lista_CUIT[#All],2,0)),"CUIT NO CARGADO")</f>
        <v>KORE S.A.</v>
      </c>
      <c r="H247" s="100">
        <v>894392.89</v>
      </c>
      <c r="I247" s="101">
        <f>venta_a_mes6[[#This Row],[IMPORTE NETO]]*0.21</f>
        <v>187822.50690000001</v>
      </c>
      <c r="J247" s="65"/>
      <c r="K247" s="65"/>
      <c r="L247" s="65">
        <f>SUM(venta_a_mes6[[#This Row],[IMPORTE NETO]:[EXENTO]])</f>
        <v>1082215.3969000001</v>
      </c>
      <c r="M247" s="59"/>
    </row>
    <row r="248" spans="2:13">
      <c r="B248" s="40" t="s">
        <v>2307</v>
      </c>
      <c r="C248" s="41">
        <v>1</v>
      </c>
      <c r="D248" s="42">
        <v>12</v>
      </c>
      <c r="E248" s="43">
        <v>1572</v>
      </c>
      <c r="F248" s="44">
        <v>27175380146</v>
      </c>
      <c r="G248" s="99" t="str">
        <f>IFERROR(IF(venta_a_mes6[[#This Row],[CUIT]]="","-",VLOOKUP(venta_a_mes6[[#This Row],[CUIT]],Lista_CUIT[#All],2,0)),"CUIT NO CARGADO")</f>
        <v>CALICCHIO MARIA ANDREA</v>
      </c>
      <c r="H248" s="100">
        <v>8264.4599999999991</v>
      </c>
      <c r="I248" s="101">
        <f>venta_a_mes6[[#This Row],[IMPORTE NETO]]*0.21</f>
        <v>1735.5365999999997</v>
      </c>
      <c r="J248" s="65"/>
      <c r="K248" s="65"/>
      <c r="L248" s="65">
        <f>SUM(venta_a_mes6[[#This Row],[IMPORTE NETO]:[EXENTO]])</f>
        <v>9999.9965999999986</v>
      </c>
      <c r="M248" s="59"/>
    </row>
    <row r="249" spans="2:13">
      <c r="B249" s="40" t="s">
        <v>2307</v>
      </c>
      <c r="C249" s="41">
        <v>1</v>
      </c>
      <c r="D249" s="42">
        <v>12</v>
      </c>
      <c r="E249" s="43">
        <v>1571</v>
      </c>
      <c r="F249" s="44">
        <v>27175380146</v>
      </c>
      <c r="G249" s="99" t="str">
        <f>IFERROR(IF(venta_a_mes6[[#This Row],[CUIT]]="","-",VLOOKUP(venta_a_mes6[[#This Row],[CUIT]],Lista_CUIT[#All],2,0)),"CUIT NO CARGADO")</f>
        <v>CALICCHIO MARIA ANDREA</v>
      </c>
      <c r="H249" s="100">
        <v>8057.85</v>
      </c>
      <c r="I249" s="101">
        <f>venta_a_mes6[[#This Row],[IMPORTE NETO]]*0.21</f>
        <v>1692.1485</v>
      </c>
      <c r="J249" s="65"/>
      <c r="K249" s="65"/>
      <c r="L249" s="65">
        <f>SUM(venta_a_mes6[[#This Row],[IMPORTE NETO]:[EXENTO]])</f>
        <v>9749.9984999999997</v>
      </c>
      <c r="M249" s="59"/>
    </row>
    <row r="250" spans="2:13">
      <c r="B250" s="40" t="s">
        <v>2307</v>
      </c>
      <c r="C250" s="41">
        <v>1</v>
      </c>
      <c r="D250" s="42">
        <v>12</v>
      </c>
      <c r="E250" s="43">
        <v>1570</v>
      </c>
      <c r="F250" s="44">
        <v>27175380146</v>
      </c>
      <c r="G250" s="99" t="str">
        <f>IFERROR(IF(venta_a_mes6[[#This Row],[CUIT]]="","-",VLOOKUP(venta_a_mes6[[#This Row],[CUIT]],Lista_CUIT[#All],2,0)),"CUIT NO CARGADO")</f>
        <v>CALICCHIO MARIA ANDREA</v>
      </c>
      <c r="H250" s="100">
        <v>78099.179999999993</v>
      </c>
      <c r="I250" s="101">
        <f>venta_a_mes6[[#This Row],[IMPORTE NETO]]*0.21</f>
        <v>16400.827799999999</v>
      </c>
      <c r="J250" s="65"/>
      <c r="K250" s="65"/>
      <c r="L250" s="65">
        <f>SUM(venta_a_mes6[[#This Row],[IMPORTE NETO]:[EXENTO]])</f>
        <v>94500.007799999992</v>
      </c>
      <c r="M250" s="59"/>
    </row>
    <row r="251" spans="2:13">
      <c r="B251" s="40" t="s">
        <v>2307</v>
      </c>
      <c r="C251" s="41">
        <v>1</v>
      </c>
      <c r="D251" s="42">
        <v>10</v>
      </c>
      <c r="E251" s="43">
        <v>11639</v>
      </c>
      <c r="F251" s="44">
        <v>30708994924</v>
      </c>
      <c r="G251" s="99" t="str">
        <f>IFERROR(IF(venta_a_mes6[[#This Row],[CUIT]]="","-",VLOOKUP(venta_a_mes6[[#This Row],[CUIT]],Lista_CUIT[#All],2,0)),"CUIT NO CARGADO")</f>
        <v>MILANO SA</v>
      </c>
      <c r="H251" s="100">
        <v>2209715.35</v>
      </c>
      <c r="I251" s="101">
        <f>venta_a_mes6[[#This Row],[IMPORTE NETO]]*0.21</f>
        <v>464040.22350000002</v>
      </c>
      <c r="J251" s="65"/>
      <c r="K251" s="65"/>
      <c r="L251" s="65">
        <f>SUM(venta_a_mes6[[#This Row],[IMPORTE NETO]:[EXENTO]])</f>
        <v>2673755.5734999999</v>
      </c>
      <c r="M251" s="59"/>
    </row>
    <row r="252" spans="2:13">
      <c r="B252" s="40" t="s">
        <v>2307</v>
      </c>
      <c r="C252" s="41">
        <v>1</v>
      </c>
      <c r="D252" s="42">
        <v>10</v>
      </c>
      <c r="E252" s="43">
        <v>11637</v>
      </c>
      <c r="F252" s="44">
        <v>27117015489</v>
      </c>
      <c r="G252" s="99" t="str">
        <f>IFERROR(IF(venta_a_mes6[[#This Row],[CUIT]]="","-",VLOOKUP(venta_a_mes6[[#This Row],[CUIT]],Lista_CUIT[#All],2,0)),"CUIT NO CARGADO")</f>
        <v>CUIT NO CARGADO</v>
      </c>
      <c r="H252" s="100">
        <v>155340.01</v>
      </c>
      <c r="I252" s="101">
        <f>venta_a_mes6[[#This Row],[IMPORTE NETO]]*0.21</f>
        <v>32621.402099999999</v>
      </c>
      <c r="J252" s="65"/>
      <c r="K252" s="65"/>
      <c r="L252" s="65">
        <f>SUM(venta_a_mes6[[#This Row],[IMPORTE NETO]:[EXENTO]])</f>
        <v>187961.41210000002</v>
      </c>
      <c r="M252" s="59"/>
    </row>
    <row r="253" spans="2:13">
      <c r="B253" s="40" t="s">
        <v>2307</v>
      </c>
      <c r="C253" s="41">
        <v>1</v>
      </c>
      <c r="D253" s="42">
        <v>12</v>
      </c>
      <c r="E253" s="43">
        <v>1566</v>
      </c>
      <c r="F253" s="44">
        <v>27940533924</v>
      </c>
      <c r="G253" s="99" t="str">
        <f>IFERROR(IF(venta_a_mes6[[#This Row],[CUIT]]="","-",VLOOKUP(venta_a_mes6[[#This Row],[CUIT]],Lista_CUIT[#All],2,0)),"CUIT NO CARGADO")</f>
        <v>QUEZADA PINEDA KAREN STEPHANY</v>
      </c>
      <c r="H253" s="100">
        <v>43677.69</v>
      </c>
      <c r="I253" s="101">
        <f>venta_a_mes6[[#This Row],[IMPORTE NETO]]*0.21</f>
        <v>9172.3148999999994</v>
      </c>
      <c r="J253" s="65"/>
      <c r="K253" s="65"/>
      <c r="L253" s="65">
        <f>SUM(venta_a_mes6[[#This Row],[IMPORTE NETO]:[EXENTO]])</f>
        <v>52850.0049</v>
      </c>
      <c r="M253" s="59"/>
    </row>
    <row r="254" spans="2:13">
      <c r="B254" s="40" t="s">
        <v>2307</v>
      </c>
      <c r="C254" s="41">
        <v>1</v>
      </c>
      <c r="D254" s="42">
        <v>12</v>
      </c>
      <c r="E254" s="43">
        <v>1567</v>
      </c>
      <c r="F254" s="44">
        <v>27940533924</v>
      </c>
      <c r="G254" s="99" t="str">
        <f>IFERROR(IF(venta_a_mes6[[#This Row],[CUIT]]="","-",VLOOKUP(venta_a_mes6[[#This Row],[CUIT]],Lista_CUIT[#All],2,0)),"CUIT NO CARGADO")</f>
        <v>QUEZADA PINEDA KAREN STEPHANY</v>
      </c>
      <c r="H254" s="100">
        <v>6305.78</v>
      </c>
      <c r="I254" s="101">
        <f>venta_a_mes6[[#This Row],[IMPORTE NETO]]*0.21</f>
        <v>1324.2138</v>
      </c>
      <c r="J254" s="65"/>
      <c r="K254" s="65"/>
      <c r="L254" s="65">
        <f>SUM(venta_a_mes6[[#This Row],[IMPORTE NETO]:[EXENTO]])</f>
        <v>7629.9938000000002</v>
      </c>
      <c r="M254" s="59"/>
    </row>
    <row r="255" spans="2:13">
      <c r="B255" s="40" t="s">
        <v>2307</v>
      </c>
      <c r="C255" s="41">
        <v>1</v>
      </c>
      <c r="D255" s="42">
        <v>12</v>
      </c>
      <c r="E255" s="43">
        <v>1568</v>
      </c>
      <c r="F255" s="44">
        <v>27175380146</v>
      </c>
      <c r="G255" s="99" t="str">
        <f>IFERROR(IF(venta_a_mes6[[#This Row],[CUIT]]="","-",VLOOKUP(venta_a_mes6[[#This Row],[CUIT]],Lista_CUIT[#All],2,0)),"CUIT NO CARGADO")</f>
        <v>CALICCHIO MARIA ANDREA</v>
      </c>
      <c r="H255" s="100">
        <v>21390.5</v>
      </c>
      <c r="I255" s="101">
        <f>venta_a_mes6[[#This Row],[IMPORTE NETO]]*0.21</f>
        <v>4492.0050000000001</v>
      </c>
      <c r="J255" s="65"/>
      <c r="K255" s="65"/>
      <c r="L255" s="65">
        <f>SUM(venta_a_mes6[[#This Row],[IMPORTE NETO]:[EXENTO]])</f>
        <v>25882.505000000001</v>
      </c>
      <c r="M255" s="59"/>
    </row>
    <row r="256" spans="2:13">
      <c r="B256" s="40" t="s">
        <v>2307</v>
      </c>
      <c r="C256" s="41">
        <v>1</v>
      </c>
      <c r="D256" s="42">
        <v>12</v>
      </c>
      <c r="E256" s="43">
        <v>1569</v>
      </c>
      <c r="F256" s="44">
        <v>27175380146</v>
      </c>
      <c r="G256" s="99" t="str">
        <f>IFERROR(IF(venta_a_mes6[[#This Row],[CUIT]]="","-",VLOOKUP(venta_a_mes6[[#This Row],[CUIT]],Lista_CUIT[#All],2,0)),"CUIT NO CARGADO")</f>
        <v>CALICCHIO MARIA ANDREA</v>
      </c>
      <c r="H256" s="100">
        <v>22561.98</v>
      </c>
      <c r="I256" s="101">
        <f>venta_a_mes6[[#This Row],[IMPORTE NETO]]*0.21</f>
        <v>4738.0158000000001</v>
      </c>
      <c r="J256" s="65"/>
      <c r="K256" s="65"/>
      <c r="L256" s="65">
        <f>SUM(venta_a_mes6[[#This Row],[IMPORTE NETO]:[EXENTO]])</f>
        <v>27299.995800000001</v>
      </c>
      <c r="M256" s="59"/>
    </row>
    <row r="257" spans="2:13">
      <c r="B257" s="40" t="s">
        <v>2307</v>
      </c>
      <c r="C257" s="41">
        <v>1</v>
      </c>
      <c r="D257" s="42">
        <v>10</v>
      </c>
      <c r="E257" s="43">
        <v>11638</v>
      </c>
      <c r="F257" s="44">
        <v>30708994924</v>
      </c>
      <c r="G257" s="99" t="str">
        <f>IFERROR(IF(venta_a_mes6[[#This Row],[CUIT]]="","-",VLOOKUP(venta_a_mes6[[#This Row],[CUIT]],Lista_CUIT[#All],2,0)),"CUIT NO CARGADO")</f>
        <v>MILANO SA</v>
      </c>
      <c r="H257" s="100">
        <v>1760330.58</v>
      </c>
      <c r="I257" s="101">
        <f>venta_a_mes6[[#This Row],[IMPORTE NETO]]*0.21</f>
        <v>369669.42180000001</v>
      </c>
      <c r="J257" s="65"/>
      <c r="K257" s="65"/>
      <c r="L257" s="65">
        <f>SUM(venta_a_mes6[[#This Row],[IMPORTE NETO]:[EXENTO]])</f>
        <v>2130000.0018000002</v>
      </c>
      <c r="M257" s="59"/>
    </row>
    <row r="258" spans="2:13">
      <c r="B258" s="40" t="s">
        <v>2307</v>
      </c>
      <c r="C258" s="41">
        <v>1</v>
      </c>
      <c r="D258" s="42">
        <v>11</v>
      </c>
      <c r="E258" s="43">
        <v>1953</v>
      </c>
      <c r="F258" s="44">
        <v>27161298285</v>
      </c>
      <c r="G258" s="99" t="str">
        <f>IFERROR(IF(venta_a_mes6[[#This Row],[CUIT]]="","-",VLOOKUP(venta_a_mes6[[#This Row],[CUIT]],Lista_CUIT[#All],2,0)),"CUIT NO CARGADO")</f>
        <v>ROLDAN MARIA CLAUDIA</v>
      </c>
      <c r="H258" s="100">
        <v>25314.05</v>
      </c>
      <c r="I258" s="101">
        <f>venta_a_mes6[[#This Row],[IMPORTE NETO]]*0.21</f>
        <v>5315.9504999999999</v>
      </c>
      <c r="J258" s="65"/>
      <c r="K258" s="65"/>
      <c r="L258" s="65">
        <f>SUM(venta_a_mes6[[#This Row],[IMPORTE NETO]:[EXENTO]])</f>
        <v>30630.000499999998</v>
      </c>
      <c r="M258" s="59"/>
    </row>
    <row r="259" spans="2:13">
      <c r="B259" s="40" t="s">
        <v>2307</v>
      </c>
      <c r="C259" s="41">
        <v>3</v>
      </c>
      <c r="D259" s="42">
        <v>10</v>
      </c>
      <c r="E259" s="43">
        <v>756</v>
      </c>
      <c r="F259" s="44">
        <v>30712031618</v>
      </c>
      <c r="G259" s="99" t="str">
        <f>IFERROR(IF(venta_a_mes6[[#This Row],[CUIT]]="","-",VLOOKUP(venta_a_mes6[[#This Row],[CUIT]],Lista_CUIT[#All],2,0)),"CUIT NO CARGADO")</f>
        <v>CUIT NO CARGADO</v>
      </c>
      <c r="H259" s="100">
        <v>-14273.97</v>
      </c>
      <c r="I259" s="101">
        <f>venta_a_mes6[[#This Row],[IMPORTE NETO]]*0.21</f>
        <v>-2997.5337</v>
      </c>
      <c r="J259" s="65"/>
      <c r="K259" s="65"/>
      <c r="L259" s="65">
        <f>SUM(venta_a_mes6[[#This Row],[IMPORTE NETO]:[EXENTO]])</f>
        <v>-17271.503700000001</v>
      </c>
      <c r="M259" s="59"/>
    </row>
    <row r="260" spans="2:13">
      <c r="B260" s="40" t="s">
        <v>2307</v>
      </c>
      <c r="C260" s="41">
        <v>3</v>
      </c>
      <c r="D260" s="42">
        <v>10</v>
      </c>
      <c r="E260" s="43">
        <v>758</v>
      </c>
      <c r="F260" s="44">
        <v>30708994924</v>
      </c>
      <c r="G260" s="99" t="str">
        <f>IFERROR(IF(venta_a_mes6[[#This Row],[CUIT]]="","-",VLOOKUP(venta_a_mes6[[#This Row],[CUIT]],Lista_CUIT[#All],2,0)),"CUIT NO CARGADO")</f>
        <v>MILANO SA</v>
      </c>
      <c r="H260" s="100">
        <v>-2225464.13</v>
      </c>
      <c r="I260" s="101">
        <f>venta_a_mes6[[#This Row],[IMPORTE NETO]]*0.21</f>
        <v>-467347.46729999996</v>
      </c>
      <c r="J260" s="65"/>
      <c r="K260" s="65"/>
      <c r="L260" s="65">
        <f>SUM(venta_a_mes6[[#This Row],[IMPORTE NETO]:[EXENTO]])</f>
        <v>-2692811.5973</v>
      </c>
      <c r="M260" s="59"/>
    </row>
    <row r="261" spans="2:13">
      <c r="B261" s="40" t="s">
        <v>2307</v>
      </c>
      <c r="C261" s="41">
        <v>3</v>
      </c>
      <c r="D261" s="42">
        <v>10</v>
      </c>
      <c r="E261" s="43">
        <v>757</v>
      </c>
      <c r="F261" s="44">
        <v>30708994924</v>
      </c>
      <c r="G261" s="99" t="str">
        <f>IFERROR(IF(venta_a_mes6[[#This Row],[CUIT]]="","-",VLOOKUP(venta_a_mes6[[#This Row],[CUIT]],Lista_CUIT[#All],2,0)),"CUIT NO CARGADO")</f>
        <v>MILANO SA</v>
      </c>
      <c r="H261" s="100">
        <v>-1744165.29</v>
      </c>
      <c r="I261" s="101">
        <f>venta_a_mes6[[#This Row],[IMPORTE NETO]]*0.21</f>
        <v>-366274.71090000001</v>
      </c>
      <c r="J261" s="65"/>
      <c r="K261" s="65"/>
      <c r="L261" s="65">
        <f>SUM(venta_a_mes6[[#This Row],[IMPORTE NETO]:[EXENTO]])</f>
        <v>-2110440.0008999999</v>
      </c>
      <c r="M261" s="59"/>
    </row>
    <row r="262" spans="2:13">
      <c r="B262" s="40" t="s">
        <v>2308</v>
      </c>
      <c r="C262" s="41">
        <v>1</v>
      </c>
      <c r="D262" s="42">
        <v>11</v>
      </c>
      <c r="E262" s="43">
        <v>1954</v>
      </c>
      <c r="F262" s="44">
        <v>23103062179</v>
      </c>
      <c r="G262" s="99" t="str">
        <f>IFERROR(IF(venta_a_mes6[[#This Row],[CUIT]]="","-",VLOOKUP(venta_a_mes6[[#This Row],[CUIT]],Lista_CUIT[#All],2,0)),"CUIT NO CARGADO")</f>
        <v>CUIT NO CARGADO</v>
      </c>
      <c r="H262" s="100">
        <v>51669.42</v>
      </c>
      <c r="I262" s="101">
        <f>venta_a_mes6[[#This Row],[IMPORTE NETO]]*0.21</f>
        <v>10850.5782</v>
      </c>
      <c r="J262" s="65"/>
      <c r="K262" s="65"/>
      <c r="L262" s="65">
        <f>SUM(venta_a_mes6[[#This Row],[IMPORTE NETO]:[EXENTO]])</f>
        <v>62519.998200000002</v>
      </c>
      <c r="M262" s="59"/>
    </row>
    <row r="263" spans="2:13">
      <c r="B263" s="40" t="s">
        <v>2308</v>
      </c>
      <c r="C263" s="41">
        <v>1</v>
      </c>
      <c r="D263" s="42">
        <v>15</v>
      </c>
      <c r="E263" s="43">
        <v>269</v>
      </c>
      <c r="F263" s="44">
        <v>27180396662</v>
      </c>
      <c r="G263" s="99" t="str">
        <f>IFERROR(IF(venta_a_mes6[[#This Row],[CUIT]]="","-",VLOOKUP(venta_a_mes6[[#This Row],[CUIT]],Lista_CUIT[#All],2,0)),"CUIT NO CARGADO")</f>
        <v>CUIT NO CARGADO</v>
      </c>
      <c r="H263" s="100">
        <v>8264.4599999999991</v>
      </c>
      <c r="I263" s="101">
        <f>venta_a_mes6[[#This Row],[IMPORTE NETO]]*0.21</f>
        <v>1735.5365999999997</v>
      </c>
      <c r="J263" s="65"/>
      <c r="K263" s="65"/>
      <c r="L263" s="65">
        <f>SUM(venta_a_mes6[[#This Row],[IMPORTE NETO]:[EXENTO]])</f>
        <v>9999.9965999999986</v>
      </c>
      <c r="M263" s="59"/>
    </row>
    <row r="264" spans="2:13">
      <c r="B264" s="40" t="s">
        <v>2309</v>
      </c>
      <c r="C264" s="41">
        <v>1</v>
      </c>
      <c r="D264" s="42">
        <v>10</v>
      </c>
      <c r="E264" s="43">
        <v>11641</v>
      </c>
      <c r="F264" s="44">
        <v>27242128252</v>
      </c>
      <c r="G264" s="99" t="str">
        <f>IFERROR(IF(venta_a_mes6[[#This Row],[CUIT]]="","-",VLOOKUP(venta_a_mes6[[#This Row],[CUIT]],Lista_CUIT[#All],2,0)),"CUIT NO CARGADO")</f>
        <v>ZALEWSKI MONICA ROXANA</v>
      </c>
      <c r="H264" s="100">
        <v>72491.759999999995</v>
      </c>
      <c r="I264" s="101">
        <f>venta_a_mes6[[#This Row],[IMPORTE NETO]]*0.21</f>
        <v>15223.269599999998</v>
      </c>
      <c r="J264" s="65"/>
      <c r="K264" s="65"/>
      <c r="L264" s="65">
        <f>SUM(venta_a_mes6[[#This Row],[IMPORTE NETO]:[EXENTO]])</f>
        <v>87715.029599999994</v>
      </c>
      <c r="M264" s="59"/>
    </row>
    <row r="265" spans="2:13">
      <c r="B265" s="40" t="s">
        <v>2309</v>
      </c>
      <c r="C265" s="41">
        <v>1</v>
      </c>
      <c r="D265" s="42">
        <v>10</v>
      </c>
      <c r="E265" s="43">
        <v>11642</v>
      </c>
      <c r="F265" s="44">
        <v>30717318060</v>
      </c>
      <c r="G265" s="99" t="str">
        <f>IFERROR(IF(venta_a_mes6[[#This Row],[CUIT]]="","-",VLOOKUP(venta_a_mes6[[#This Row],[CUIT]],Lista_CUIT[#All],2,0)),"CUIT NO CARGADO")</f>
        <v>CUIT NO CARGADO</v>
      </c>
      <c r="H265" s="100">
        <v>269315.96999999997</v>
      </c>
      <c r="I265" s="101">
        <f>venta_a_mes6[[#This Row],[IMPORTE NETO]]*0.21</f>
        <v>56556.353699999992</v>
      </c>
      <c r="J265" s="65"/>
      <c r="K265" s="65"/>
      <c r="L265" s="65">
        <f>SUM(venta_a_mes6[[#This Row],[IMPORTE NETO]:[EXENTO]])</f>
        <v>325872.32369999995</v>
      </c>
      <c r="M265" s="59"/>
    </row>
    <row r="266" spans="2:13">
      <c r="B266" s="40" t="s">
        <v>2309</v>
      </c>
      <c r="C266" s="41">
        <v>1</v>
      </c>
      <c r="D266" s="42">
        <v>10</v>
      </c>
      <c r="E266" s="43">
        <v>11643</v>
      </c>
      <c r="F266" s="44">
        <v>30717318060</v>
      </c>
      <c r="G266" s="99" t="str">
        <f>IFERROR(IF(venta_a_mes6[[#This Row],[CUIT]]="","-",VLOOKUP(venta_a_mes6[[#This Row],[CUIT]],Lista_CUIT[#All],2,0)),"CUIT NO CARGADO")</f>
        <v>CUIT NO CARGADO</v>
      </c>
      <c r="H266" s="100">
        <v>215552.71</v>
      </c>
      <c r="I266" s="101">
        <f>venta_a_mes6[[#This Row],[IMPORTE NETO]]*0.21</f>
        <v>45266.069099999993</v>
      </c>
      <c r="J266" s="65"/>
      <c r="K266" s="65"/>
      <c r="L266" s="65">
        <f>SUM(venta_a_mes6[[#This Row],[IMPORTE NETO]:[EXENTO]])</f>
        <v>260818.77909999999</v>
      </c>
      <c r="M266" s="59"/>
    </row>
    <row r="267" spans="2:13">
      <c r="B267" s="40" t="s">
        <v>2309</v>
      </c>
      <c r="C267" s="41">
        <v>1</v>
      </c>
      <c r="D267" s="42">
        <v>12</v>
      </c>
      <c r="E267" s="43">
        <v>1573</v>
      </c>
      <c r="F267" s="44">
        <v>30712119574</v>
      </c>
      <c r="G267" s="99" t="str">
        <f>IFERROR(IF(venta_a_mes6[[#This Row],[CUIT]]="","-",VLOOKUP(venta_a_mes6[[#This Row],[CUIT]],Lista_CUIT[#All],2,0)),"CUIT NO CARGADO")</f>
        <v>ESTETICA NORTE S.A.</v>
      </c>
      <c r="H267" s="100">
        <v>11074.4</v>
      </c>
      <c r="I267" s="101">
        <f>venta_a_mes6[[#This Row],[IMPORTE NETO]]*0.21</f>
        <v>2325.6239999999998</v>
      </c>
      <c r="J267" s="65"/>
      <c r="K267" s="65"/>
      <c r="L267" s="65">
        <f>SUM(venta_a_mes6[[#This Row],[IMPORTE NETO]:[EXENTO]])</f>
        <v>13400.023999999999</v>
      </c>
      <c r="M267" s="59"/>
    </row>
    <row r="268" spans="2:13">
      <c r="B268" s="40" t="s">
        <v>2309</v>
      </c>
      <c r="C268" s="41">
        <v>1</v>
      </c>
      <c r="D268" s="42">
        <v>10</v>
      </c>
      <c r="E268" s="43">
        <v>11640</v>
      </c>
      <c r="F268" s="44">
        <v>30711604703</v>
      </c>
      <c r="G268" s="99" t="str">
        <f>IFERROR(IF(venta_a_mes6[[#This Row],[CUIT]]="","-",VLOOKUP(venta_a_mes6[[#This Row],[CUIT]],Lista_CUIT[#All],2,0)),"CUIT NO CARGADO")</f>
        <v>KORE S.A.</v>
      </c>
      <c r="H268" s="100">
        <v>1035731.23</v>
      </c>
      <c r="I268" s="101">
        <f>venta_a_mes6[[#This Row],[IMPORTE NETO]]*0.21</f>
        <v>217503.55829999998</v>
      </c>
      <c r="J268" s="65"/>
      <c r="K268" s="65"/>
      <c r="L268" s="65">
        <f>SUM(venta_a_mes6[[#This Row],[IMPORTE NETO]:[EXENTO]])</f>
        <v>1253234.7882999999</v>
      </c>
      <c r="M268" s="59"/>
    </row>
    <row r="269" spans="2:13">
      <c r="B269" s="40" t="s">
        <v>2309</v>
      </c>
      <c r="C269" s="41">
        <v>3</v>
      </c>
      <c r="D269" s="42">
        <v>10</v>
      </c>
      <c r="E269" s="43">
        <v>760</v>
      </c>
      <c r="F269" s="44">
        <v>30708994924</v>
      </c>
      <c r="G269" s="99" t="str">
        <f>IFERROR(IF(venta_a_mes6[[#This Row],[CUIT]]="","-",VLOOKUP(venta_a_mes6[[#This Row],[CUIT]],Lista_CUIT[#All],2,0)),"CUIT NO CARGADO")</f>
        <v>MILANO SA</v>
      </c>
      <c r="H269" s="100">
        <v>-12607.44</v>
      </c>
      <c r="I269" s="101">
        <f>venta_a_mes6[[#This Row],[IMPORTE NETO]]*0.21</f>
        <v>-2647.5623999999998</v>
      </c>
      <c r="J269" s="65"/>
      <c r="K269" s="65"/>
      <c r="L269" s="65">
        <f>SUM(venta_a_mes6[[#This Row],[IMPORTE NETO]:[EXENTO]])</f>
        <v>-15255.002400000001</v>
      </c>
      <c r="M269" s="59"/>
    </row>
    <row r="270" spans="2:13">
      <c r="B270" s="40" t="s">
        <v>2309</v>
      </c>
      <c r="C270" s="41">
        <v>3</v>
      </c>
      <c r="D270" s="42">
        <v>10</v>
      </c>
      <c r="E270" s="43">
        <v>759</v>
      </c>
      <c r="F270" s="44">
        <v>30711604703</v>
      </c>
      <c r="G270" s="99" t="str">
        <f>IFERROR(IF(venta_a_mes6[[#This Row],[CUIT]]="","-",VLOOKUP(venta_a_mes6[[#This Row],[CUIT]],Lista_CUIT[#All],2,0)),"CUIT NO CARGADO")</f>
        <v>KORE S.A.</v>
      </c>
      <c r="H270" s="100">
        <v>-1035731.23</v>
      </c>
      <c r="I270" s="101">
        <f>venta_a_mes6[[#This Row],[IMPORTE NETO]]*0.21</f>
        <v>-217503.55829999998</v>
      </c>
      <c r="J270" s="65"/>
      <c r="K270" s="65"/>
      <c r="L270" s="65">
        <f>SUM(venta_a_mes6[[#This Row],[IMPORTE NETO]:[EXENTO]])</f>
        <v>-1253234.7882999999</v>
      </c>
      <c r="M270" s="59"/>
    </row>
    <row r="271" spans="2:13">
      <c r="B271" s="40" t="s">
        <v>2310</v>
      </c>
      <c r="C271" s="41">
        <v>1</v>
      </c>
      <c r="D271" s="42">
        <v>13</v>
      </c>
      <c r="E271" s="43">
        <v>1273</v>
      </c>
      <c r="F271" s="44">
        <v>27059572666</v>
      </c>
      <c r="G271" s="99" t="str">
        <f>IFERROR(IF(venta_a_mes6[[#This Row],[CUIT]]="","-",VLOOKUP(venta_a_mes6[[#This Row],[CUIT]],Lista_CUIT[#All],2,0)),"CUIT NO CARGADO")</f>
        <v>ALEVATTO STELLA MARIS </v>
      </c>
      <c r="H271" s="100">
        <v>82365.8</v>
      </c>
      <c r="I271" s="101">
        <f>venta_a_mes6[[#This Row],[IMPORTE NETO]]*0.21</f>
        <v>17296.817999999999</v>
      </c>
      <c r="J271" s="65"/>
      <c r="K271" s="65"/>
      <c r="L271" s="65">
        <f>SUM(venta_a_mes6[[#This Row],[IMPORTE NETO]:[EXENTO]])</f>
        <v>99662.618000000002</v>
      </c>
      <c r="M271" s="59"/>
    </row>
    <row r="272" spans="2:13">
      <c r="B272" s="40" t="s">
        <v>2311</v>
      </c>
      <c r="C272" s="41">
        <v>1</v>
      </c>
      <c r="D272" s="42">
        <v>11</v>
      </c>
      <c r="E272" s="43">
        <v>1955</v>
      </c>
      <c r="F272" s="44">
        <v>27280796552</v>
      </c>
      <c r="G272" s="99" t="str">
        <f>IFERROR(IF(venta_a_mes6[[#This Row],[CUIT]]="","-",VLOOKUP(venta_a_mes6[[#This Row],[CUIT]],Lista_CUIT[#All],2,0)),"CUIT NO CARGADO")</f>
        <v>CARRERO DANIELA SOLANGE </v>
      </c>
      <c r="H272" s="100">
        <v>136363.64000000001</v>
      </c>
      <c r="I272" s="101">
        <f>venta_a_mes6[[#This Row],[IMPORTE NETO]]*0.21</f>
        <v>28636.364400000002</v>
      </c>
      <c r="J272" s="65"/>
      <c r="K272" s="65"/>
      <c r="L272" s="65">
        <f>SUM(venta_a_mes6[[#This Row],[IMPORTE NETO]:[EXENTO]])</f>
        <v>165000.00440000001</v>
      </c>
      <c r="M272" s="59"/>
    </row>
    <row r="273" spans="2:13">
      <c r="B273" s="40" t="s">
        <v>2311</v>
      </c>
      <c r="C273" s="41">
        <v>1</v>
      </c>
      <c r="D273" s="42">
        <v>11</v>
      </c>
      <c r="E273" s="43">
        <v>1956</v>
      </c>
      <c r="F273" s="44">
        <v>27280796552</v>
      </c>
      <c r="G273" s="99" t="str">
        <f>IFERROR(IF(venta_a_mes6[[#This Row],[CUIT]]="","-",VLOOKUP(venta_a_mes6[[#This Row],[CUIT]],Lista_CUIT[#All],2,0)),"CUIT NO CARGADO")</f>
        <v>CARRERO DANIELA SOLANGE </v>
      </c>
      <c r="H273" s="100">
        <v>185454.55</v>
      </c>
      <c r="I273" s="101">
        <f>venta_a_mes6[[#This Row],[IMPORTE NETO]]*0.21</f>
        <v>38945.455499999996</v>
      </c>
      <c r="J273" s="65"/>
      <c r="K273" s="65"/>
      <c r="L273" s="65">
        <f>SUM(venta_a_mes6[[#This Row],[IMPORTE NETO]:[EXENTO]])</f>
        <v>224400.00549999997</v>
      </c>
      <c r="M273" s="59"/>
    </row>
    <row r="274" spans="2:13">
      <c r="B274" s="40" t="s">
        <v>2311</v>
      </c>
      <c r="C274" s="41">
        <v>1</v>
      </c>
      <c r="D274" s="42">
        <v>15</v>
      </c>
      <c r="E274" s="43">
        <v>270</v>
      </c>
      <c r="F274" s="44">
        <v>27315747347</v>
      </c>
      <c r="G274" s="99" t="str">
        <f>IFERROR(IF(venta_a_mes6[[#This Row],[CUIT]]="","-",VLOOKUP(venta_a_mes6[[#This Row],[CUIT]],Lista_CUIT[#All],2,0)),"CUIT NO CARGADO")</f>
        <v>CUIT NO CARGADO</v>
      </c>
      <c r="H274" s="100">
        <v>24504.13</v>
      </c>
      <c r="I274" s="101">
        <f>venta_a_mes6[[#This Row],[IMPORTE NETO]]*0.21</f>
        <v>5145.8672999999999</v>
      </c>
      <c r="J274" s="65"/>
      <c r="K274" s="65"/>
      <c r="L274" s="65">
        <f>SUM(venta_a_mes6[[#This Row],[IMPORTE NETO]:[EXENTO]])</f>
        <v>29649.997300000003</v>
      </c>
      <c r="M274" s="59"/>
    </row>
    <row r="275" spans="2:13">
      <c r="B275" s="40" t="s">
        <v>2311</v>
      </c>
      <c r="C275" s="41">
        <v>1</v>
      </c>
      <c r="D275" s="42">
        <v>10</v>
      </c>
      <c r="E275" s="43">
        <v>11644</v>
      </c>
      <c r="F275" s="44">
        <v>30712031618</v>
      </c>
      <c r="G275" s="99" t="str">
        <f>IFERROR(IF(venta_a_mes6[[#This Row],[CUIT]]="","-",VLOOKUP(venta_a_mes6[[#This Row],[CUIT]],Lista_CUIT[#All],2,0)),"CUIT NO CARGADO")</f>
        <v>CUIT NO CARGADO</v>
      </c>
      <c r="H275" s="100">
        <v>64876.03</v>
      </c>
      <c r="I275" s="101">
        <f>venta_a_mes6[[#This Row],[IMPORTE NETO]]*0.21</f>
        <v>13623.9663</v>
      </c>
      <c r="J275" s="65"/>
      <c r="K275" s="65"/>
      <c r="L275" s="65">
        <f>SUM(venta_a_mes6[[#This Row],[IMPORTE NETO]:[EXENTO]])</f>
        <v>78499.996299999999</v>
      </c>
      <c r="M275" s="59"/>
    </row>
    <row r="276" spans="2:13">
      <c r="B276" s="40" t="s">
        <v>2311</v>
      </c>
      <c r="C276" s="41">
        <v>1</v>
      </c>
      <c r="D276" s="42">
        <v>12</v>
      </c>
      <c r="E276" s="43">
        <v>1574</v>
      </c>
      <c r="F276" s="44">
        <v>27394920423</v>
      </c>
      <c r="G276" s="99" t="str">
        <f>IFERROR(IF(venta_a_mes6[[#This Row],[CUIT]]="","-",VLOOKUP(venta_a_mes6[[#This Row],[CUIT]],Lista_CUIT[#All],2,0)),"CUIT NO CARGADO")</f>
        <v>CASADIO AGOSTINA</v>
      </c>
      <c r="H276" s="100">
        <v>15123.97</v>
      </c>
      <c r="I276" s="101">
        <f>venta_a_mes6[[#This Row],[IMPORTE NETO]]*0.21</f>
        <v>3176.0337</v>
      </c>
      <c r="J276" s="65"/>
      <c r="K276" s="65"/>
      <c r="L276" s="65">
        <f>SUM(venta_a_mes6[[#This Row],[IMPORTE NETO]:[EXENTO]])</f>
        <v>18300.003700000001</v>
      </c>
      <c r="M276" s="59"/>
    </row>
    <row r="277" spans="2:13">
      <c r="B277" s="40" t="s">
        <v>2311</v>
      </c>
      <c r="C277" s="41">
        <v>3</v>
      </c>
      <c r="D277" s="42">
        <v>10</v>
      </c>
      <c r="E277" s="43">
        <v>761</v>
      </c>
      <c r="F277" s="44">
        <v>30712031618</v>
      </c>
      <c r="G277" s="99" t="str">
        <f>IFERROR(IF(venta_a_mes6[[#This Row],[CUIT]]="","-",VLOOKUP(venta_a_mes6[[#This Row],[CUIT]],Lista_CUIT[#All],2,0)),"CUIT NO CARGADO")</f>
        <v>CUIT NO CARGADO</v>
      </c>
      <c r="H277" s="100">
        <v>-4654.3999999999996</v>
      </c>
      <c r="I277" s="101">
        <f>venta_a_mes6[[#This Row],[IMPORTE NETO]]*0.21</f>
        <v>-977.42399999999986</v>
      </c>
      <c r="J277" s="65"/>
      <c r="K277" s="65"/>
      <c r="L277" s="65">
        <f>SUM(venta_a_mes6[[#This Row],[IMPORTE NETO]:[EXENTO]])</f>
        <v>-5631.8239999999996</v>
      </c>
      <c r="M277" s="59"/>
    </row>
    <row r="278" spans="2:13">
      <c r="B278" s="40" t="s">
        <v>2312</v>
      </c>
      <c r="C278" s="41">
        <v>1</v>
      </c>
      <c r="D278" s="42">
        <v>10</v>
      </c>
      <c r="E278" s="43">
        <v>11648</v>
      </c>
      <c r="F278" s="44">
        <v>30708994924</v>
      </c>
      <c r="G278" s="99" t="str">
        <f>IFERROR(IF(venta_a_mes6[[#This Row],[CUIT]]="","-",VLOOKUP(venta_a_mes6[[#This Row],[CUIT]],Lista_CUIT[#All],2,0)),"CUIT NO CARGADO")</f>
        <v>MILANO SA</v>
      </c>
      <c r="H278" s="100">
        <v>1325008</v>
      </c>
      <c r="I278" s="101">
        <f>venta_a_mes6[[#This Row],[IMPORTE NETO]]*0.21</f>
        <v>278251.68</v>
      </c>
      <c r="J278" s="65"/>
      <c r="K278" s="65"/>
      <c r="L278" s="65">
        <f>SUM(venta_a_mes6[[#This Row],[IMPORTE NETO]:[EXENTO]])</f>
        <v>1603259.68</v>
      </c>
      <c r="M278" s="59"/>
    </row>
    <row r="279" spans="2:13">
      <c r="B279" s="40" t="s">
        <v>2312</v>
      </c>
      <c r="C279" s="41">
        <v>1</v>
      </c>
      <c r="D279" s="42">
        <v>10</v>
      </c>
      <c r="E279" s="43">
        <v>11649</v>
      </c>
      <c r="F279" s="44">
        <v>30708994924</v>
      </c>
      <c r="G279" s="99" t="str">
        <f>IFERROR(IF(venta_a_mes6[[#This Row],[CUIT]]="","-",VLOOKUP(venta_a_mes6[[#This Row],[CUIT]],Lista_CUIT[#All],2,0)),"CUIT NO CARGADO")</f>
        <v>MILANO SA</v>
      </c>
      <c r="H279" s="100">
        <v>271140.5</v>
      </c>
      <c r="I279" s="101">
        <f>venta_a_mes6[[#This Row],[IMPORTE NETO]]*0.21</f>
        <v>56939.504999999997</v>
      </c>
      <c r="J279" s="65"/>
      <c r="K279" s="65"/>
      <c r="L279" s="65">
        <f>SUM(venta_a_mes6[[#This Row],[IMPORTE NETO]:[EXENTO]])</f>
        <v>328080.005</v>
      </c>
      <c r="M279" s="59"/>
    </row>
    <row r="280" spans="2:13">
      <c r="B280" s="40" t="s">
        <v>2312</v>
      </c>
      <c r="C280" s="41">
        <v>1</v>
      </c>
      <c r="D280" s="42">
        <v>10</v>
      </c>
      <c r="E280" s="43">
        <v>11650</v>
      </c>
      <c r="F280" s="44">
        <v>30708994924</v>
      </c>
      <c r="G280" s="99" t="str">
        <f>IFERROR(IF(venta_a_mes6[[#This Row],[CUIT]]="","-",VLOOKUP(venta_a_mes6[[#This Row],[CUIT]],Lista_CUIT[#All],2,0)),"CUIT NO CARGADO")</f>
        <v>MILANO SA</v>
      </c>
      <c r="H280" s="100">
        <v>584444.97</v>
      </c>
      <c r="I280" s="101">
        <f>venta_a_mes6[[#This Row],[IMPORTE NETO]]*0.21</f>
        <v>122733.44369999999</v>
      </c>
      <c r="J280" s="65"/>
      <c r="K280" s="65"/>
      <c r="L280" s="65">
        <f>SUM(venta_a_mes6[[#This Row],[IMPORTE NETO]:[EXENTO]])</f>
        <v>707178.41369999992</v>
      </c>
      <c r="M280" s="59"/>
    </row>
    <row r="281" spans="2:13">
      <c r="B281" s="40" t="s">
        <v>2312</v>
      </c>
      <c r="C281" s="41">
        <v>1</v>
      </c>
      <c r="D281" s="42">
        <v>10</v>
      </c>
      <c r="E281" s="43">
        <v>11645</v>
      </c>
      <c r="F281" s="44">
        <v>30708994924</v>
      </c>
      <c r="G281" s="99" t="str">
        <f>IFERROR(IF(venta_a_mes6[[#This Row],[CUIT]]="","-",VLOOKUP(venta_a_mes6[[#This Row],[CUIT]],Lista_CUIT[#All],2,0)),"CUIT NO CARGADO")</f>
        <v>MILANO SA</v>
      </c>
      <c r="H281" s="100">
        <v>2344537.09</v>
      </c>
      <c r="I281" s="101">
        <f>venta_a_mes6[[#This Row],[IMPORTE NETO]]*0.21</f>
        <v>492352.78889999993</v>
      </c>
      <c r="J281" s="65"/>
      <c r="K281" s="65"/>
      <c r="L281" s="65">
        <f>SUM(venta_a_mes6[[#This Row],[IMPORTE NETO]:[EXENTO]])</f>
        <v>2836889.8788999999</v>
      </c>
      <c r="M281" s="59"/>
    </row>
    <row r="282" spans="2:13">
      <c r="B282" s="40" t="s">
        <v>2312</v>
      </c>
      <c r="C282" s="41">
        <v>1</v>
      </c>
      <c r="D282" s="42">
        <v>10</v>
      </c>
      <c r="E282" s="43">
        <v>11646</v>
      </c>
      <c r="F282" s="44">
        <v>30708994924</v>
      </c>
      <c r="G282" s="99" t="str">
        <f>IFERROR(IF(venta_a_mes6[[#This Row],[CUIT]]="","-",VLOOKUP(venta_a_mes6[[#This Row],[CUIT]],Lista_CUIT[#All],2,0)),"CUIT NO CARGADO")</f>
        <v>MILANO SA</v>
      </c>
      <c r="H282" s="100">
        <v>2481766.58</v>
      </c>
      <c r="I282" s="101">
        <f>venta_a_mes6[[#This Row],[IMPORTE NETO]]*0.21</f>
        <v>521170.98180000001</v>
      </c>
      <c r="J282" s="65"/>
      <c r="K282" s="65"/>
      <c r="L282" s="65">
        <f>SUM(venta_a_mes6[[#This Row],[IMPORTE NETO]:[EXENTO]])</f>
        <v>3002937.5618000003</v>
      </c>
      <c r="M282" s="59"/>
    </row>
    <row r="283" spans="2:13">
      <c r="B283" s="40" t="s">
        <v>2312</v>
      </c>
      <c r="C283" s="41">
        <v>1</v>
      </c>
      <c r="D283" s="42">
        <v>10</v>
      </c>
      <c r="E283" s="43">
        <v>11647</v>
      </c>
      <c r="F283" s="44">
        <v>30708994924</v>
      </c>
      <c r="G283" s="99" t="str">
        <f>IFERROR(IF(venta_a_mes6[[#This Row],[CUIT]]="","-",VLOOKUP(venta_a_mes6[[#This Row],[CUIT]],Lista_CUIT[#All],2,0)),"CUIT NO CARGADO")</f>
        <v>MILANO SA</v>
      </c>
      <c r="H283" s="100">
        <v>1597908.82</v>
      </c>
      <c r="I283" s="101">
        <f>venta_a_mes6[[#This Row],[IMPORTE NETO]]*0.21</f>
        <v>335560.85220000002</v>
      </c>
      <c r="J283" s="65"/>
      <c r="K283" s="65"/>
      <c r="L283" s="65">
        <f>SUM(venta_a_mes6[[#This Row],[IMPORTE NETO]:[EXENTO]])</f>
        <v>1933469.6722000001</v>
      </c>
      <c r="M283" s="59"/>
    </row>
    <row r="284" spans="2:13">
      <c r="B284" s="40" t="s">
        <v>2312</v>
      </c>
      <c r="C284" s="41">
        <v>1</v>
      </c>
      <c r="D284" s="42">
        <v>12</v>
      </c>
      <c r="E284" s="43">
        <v>1575</v>
      </c>
      <c r="F284" s="44">
        <v>30715705946</v>
      </c>
      <c r="G284" s="99" t="str">
        <f>IFERROR(IF(venta_a_mes6[[#This Row],[CUIT]]="","-",VLOOKUP(venta_a_mes6[[#This Row],[CUIT]],Lista_CUIT[#All],2,0)),"CUIT NO CARGADO")</f>
        <v>MEDICINA Y ARTE S.R.L.</v>
      </c>
      <c r="H284" s="100">
        <v>470760.33</v>
      </c>
      <c r="I284" s="101">
        <f>venta_a_mes6[[#This Row],[IMPORTE NETO]]*0.21</f>
        <v>98859.669299999994</v>
      </c>
      <c r="J284" s="65"/>
      <c r="K284" s="65"/>
      <c r="L284" s="65">
        <f>SUM(venta_a_mes6[[#This Row],[IMPORTE NETO]:[EXENTO]])</f>
        <v>569619.99930000002</v>
      </c>
      <c r="M284" s="59"/>
    </row>
    <row r="285" spans="2:13">
      <c r="B285" s="40" t="s">
        <v>2312</v>
      </c>
      <c r="C285" s="41">
        <v>1</v>
      </c>
      <c r="D285" s="42">
        <v>13</v>
      </c>
      <c r="E285" s="43">
        <v>1274</v>
      </c>
      <c r="F285" s="44">
        <v>20108974932</v>
      </c>
      <c r="G285" s="99" t="str">
        <f>IFERROR(IF(venta_a_mes6[[#This Row],[CUIT]]="","-",VLOOKUP(venta_a_mes6[[#This Row],[CUIT]],Lista_CUIT[#All],2,0)),"CUIT NO CARGADO")</f>
        <v>CUIT NO CARGADO</v>
      </c>
      <c r="H285" s="100">
        <v>91731.8</v>
      </c>
      <c r="I285" s="101">
        <f>venta_a_mes6[[#This Row],[IMPORTE NETO]]*0.21</f>
        <v>19263.678</v>
      </c>
      <c r="J285" s="65"/>
      <c r="K285" s="65"/>
      <c r="L285" s="65">
        <f>SUM(venta_a_mes6[[#This Row],[IMPORTE NETO]:[EXENTO]])</f>
        <v>110995.478</v>
      </c>
      <c r="M285" s="59"/>
    </row>
    <row r="286" spans="2:13">
      <c r="B286" s="40" t="s">
        <v>2312</v>
      </c>
      <c r="C286" s="41">
        <v>3</v>
      </c>
      <c r="D286" s="42">
        <v>11</v>
      </c>
      <c r="E286" s="43">
        <v>103</v>
      </c>
      <c r="F286" s="44">
        <v>27280796552</v>
      </c>
      <c r="G286" s="99" t="str">
        <f>IFERROR(IF(venta_a_mes6[[#This Row],[CUIT]]="","-",VLOOKUP(venta_a_mes6[[#This Row],[CUIT]],Lista_CUIT[#All],2,0)),"CUIT NO CARGADO")</f>
        <v>CARRERO DANIELA SOLANGE </v>
      </c>
      <c r="H286" s="100">
        <v>-25289.26</v>
      </c>
      <c r="I286" s="101">
        <f>venta_a_mes6[[#This Row],[IMPORTE NETO]]*0.21</f>
        <v>-5310.7445999999991</v>
      </c>
      <c r="J286" s="65"/>
      <c r="K286" s="65"/>
      <c r="L286" s="65">
        <f>SUM(venta_a_mes6[[#This Row],[IMPORTE NETO]:[EXENTO]])</f>
        <v>-30600.004599999997</v>
      </c>
      <c r="M286" s="59"/>
    </row>
    <row r="287" spans="2:13">
      <c r="B287" s="40" t="s">
        <v>2312</v>
      </c>
      <c r="C287" s="41">
        <v>3</v>
      </c>
      <c r="D287" s="42">
        <v>10</v>
      </c>
      <c r="E287" s="43">
        <v>762</v>
      </c>
      <c r="F287" s="44">
        <v>30712031618</v>
      </c>
      <c r="G287" s="99" t="str">
        <f>IFERROR(IF(venta_a_mes6[[#This Row],[CUIT]]="","-",VLOOKUP(venta_a_mes6[[#This Row],[CUIT]],Lista_CUIT[#All],2,0)),"CUIT NO CARGADO")</f>
        <v>CUIT NO CARGADO</v>
      </c>
      <c r="H287" s="100">
        <v>-5304.68</v>
      </c>
      <c r="I287" s="101">
        <f>venta_a_mes6[[#This Row],[IMPORTE NETO]]*0.21</f>
        <v>-1113.9828</v>
      </c>
      <c r="J287" s="65"/>
      <c r="K287" s="65"/>
      <c r="L287" s="65">
        <f>SUM(venta_a_mes6[[#This Row],[IMPORTE NETO]:[EXENTO]])</f>
        <v>-6418.6628000000001</v>
      </c>
      <c r="M287" s="59"/>
    </row>
    <row r="288" spans="2:13">
      <c r="B288" s="40" t="s">
        <v>2313</v>
      </c>
      <c r="C288" s="41">
        <v>1</v>
      </c>
      <c r="D288" s="42">
        <v>11</v>
      </c>
      <c r="E288" s="43">
        <v>1958</v>
      </c>
      <c r="F288" s="44">
        <v>27280796552</v>
      </c>
      <c r="G288" s="99" t="str">
        <f>IFERROR(IF(venta_a_mes6[[#This Row],[CUIT]]="","-",VLOOKUP(venta_a_mes6[[#This Row],[CUIT]],Lista_CUIT[#All],2,0)),"CUIT NO CARGADO")</f>
        <v>CARRERO DANIELA SOLANGE </v>
      </c>
      <c r="H288" s="100">
        <v>42644.63</v>
      </c>
      <c r="I288" s="101">
        <f>venta_a_mes6[[#This Row],[IMPORTE NETO]]*0.21</f>
        <v>8955.3722999999991</v>
      </c>
      <c r="J288" s="65"/>
      <c r="K288" s="65"/>
      <c r="L288" s="65">
        <f>SUM(venta_a_mes6[[#This Row],[IMPORTE NETO]:[EXENTO]])</f>
        <v>51600.002299999993</v>
      </c>
      <c r="M288" s="59"/>
    </row>
    <row r="289" spans="2:13">
      <c r="B289" s="40" t="s">
        <v>2313</v>
      </c>
      <c r="C289" s="41">
        <v>1</v>
      </c>
      <c r="D289" s="42">
        <v>11</v>
      </c>
      <c r="E289" s="43">
        <v>1957</v>
      </c>
      <c r="F289" s="44">
        <v>27280796552</v>
      </c>
      <c r="G289" s="99" t="str">
        <f>IFERROR(IF(venta_a_mes6[[#This Row],[CUIT]]="","-",VLOOKUP(venta_a_mes6[[#This Row],[CUIT]],Lista_CUIT[#All],2,0)),"CUIT NO CARGADO")</f>
        <v>CARRERO DANIELA SOLANGE </v>
      </c>
      <c r="H289" s="100">
        <v>55413.22</v>
      </c>
      <c r="I289" s="101">
        <f>venta_a_mes6[[#This Row],[IMPORTE NETO]]*0.21</f>
        <v>11636.7762</v>
      </c>
      <c r="J289" s="65"/>
      <c r="K289" s="65"/>
      <c r="L289" s="65">
        <f>SUM(venta_a_mes6[[#This Row],[IMPORTE NETO]:[EXENTO]])</f>
        <v>67049.996199999994</v>
      </c>
      <c r="M289" s="59"/>
    </row>
    <row r="290" spans="2:13">
      <c r="B290" s="40" t="s">
        <v>2313</v>
      </c>
      <c r="C290" s="41">
        <v>1</v>
      </c>
      <c r="D290" s="42">
        <v>10</v>
      </c>
      <c r="E290" s="43">
        <v>11655</v>
      </c>
      <c r="F290" s="44">
        <v>23180421564</v>
      </c>
      <c r="G290" s="99" t="str">
        <f>IFERROR(IF(venta_a_mes6[[#This Row],[CUIT]]="","-",VLOOKUP(venta_a_mes6[[#This Row],[CUIT]],Lista_CUIT[#All],2,0)),"CUIT NO CARGADO")</f>
        <v>RAMOS CLAUDIA JAQUELINA</v>
      </c>
      <c r="H290" s="100">
        <v>675716.25</v>
      </c>
      <c r="I290" s="101">
        <f>venta_a_mes6[[#This Row],[IMPORTE NETO]]*0.21</f>
        <v>141900.41250000001</v>
      </c>
      <c r="J290" s="65"/>
      <c r="K290" s="65"/>
      <c r="L290" s="65">
        <f>SUM(venta_a_mes6[[#This Row],[IMPORTE NETO]:[EXENTO]])</f>
        <v>817616.66249999998</v>
      </c>
      <c r="M290" s="59"/>
    </row>
    <row r="291" spans="2:13">
      <c r="B291" s="40" t="s">
        <v>2313</v>
      </c>
      <c r="C291" s="41">
        <v>1</v>
      </c>
      <c r="D291" s="42">
        <v>10</v>
      </c>
      <c r="E291" s="43">
        <v>11656</v>
      </c>
      <c r="F291" s="44">
        <v>23180421564</v>
      </c>
      <c r="G291" s="99" t="str">
        <f>IFERROR(IF(venta_a_mes6[[#This Row],[CUIT]]="","-",VLOOKUP(venta_a_mes6[[#This Row],[CUIT]],Lista_CUIT[#All],2,0)),"CUIT NO CARGADO")</f>
        <v>RAMOS CLAUDIA JAQUELINA</v>
      </c>
      <c r="H291" s="100">
        <v>1031659.09</v>
      </c>
      <c r="I291" s="101">
        <f>venta_a_mes6[[#This Row],[IMPORTE NETO]]*0.21</f>
        <v>216648.40889999998</v>
      </c>
      <c r="J291" s="65"/>
      <c r="K291" s="65"/>
      <c r="L291" s="65">
        <f>SUM(venta_a_mes6[[#This Row],[IMPORTE NETO]:[EXENTO]])</f>
        <v>1248307.4989</v>
      </c>
      <c r="M291" s="59"/>
    </row>
    <row r="292" spans="2:13">
      <c r="B292" s="40" t="s">
        <v>2313</v>
      </c>
      <c r="C292" s="41">
        <v>1</v>
      </c>
      <c r="D292" s="42">
        <v>10</v>
      </c>
      <c r="E292" s="43">
        <v>11657</v>
      </c>
      <c r="F292" s="44">
        <v>30708994924</v>
      </c>
      <c r="G292" s="99" t="str">
        <f>IFERROR(IF(venta_a_mes6[[#This Row],[CUIT]]="","-",VLOOKUP(venta_a_mes6[[#This Row],[CUIT]],Lista_CUIT[#All],2,0)),"CUIT NO CARGADO")</f>
        <v>MILANO SA</v>
      </c>
      <c r="H292" s="100">
        <v>274289.40999999997</v>
      </c>
      <c r="I292" s="101">
        <f>venta_a_mes6[[#This Row],[IMPORTE NETO]]*0.21</f>
        <v>57600.776099999995</v>
      </c>
      <c r="J292" s="65"/>
      <c r="K292" s="65"/>
      <c r="L292" s="65">
        <f>SUM(venta_a_mes6[[#This Row],[IMPORTE NETO]:[EXENTO]])</f>
        <v>331890.18609999999</v>
      </c>
      <c r="M292" s="59"/>
    </row>
    <row r="293" spans="2:13">
      <c r="B293" s="40" t="s">
        <v>2313</v>
      </c>
      <c r="C293" s="41">
        <v>1</v>
      </c>
      <c r="D293" s="42">
        <v>12</v>
      </c>
      <c r="E293" s="43">
        <v>1576</v>
      </c>
      <c r="F293" s="44">
        <v>27940533924</v>
      </c>
      <c r="G293" s="99" t="str">
        <f>IFERROR(IF(venta_a_mes6[[#This Row],[CUIT]]="","-",VLOOKUP(venta_a_mes6[[#This Row],[CUIT]],Lista_CUIT[#All],2,0)),"CUIT NO CARGADO")</f>
        <v>QUEZADA PINEDA KAREN STEPHANY</v>
      </c>
      <c r="H293" s="100">
        <v>39280.99</v>
      </c>
      <c r="I293" s="101">
        <f>venta_a_mes6[[#This Row],[IMPORTE NETO]]*0.21</f>
        <v>8249.0078999999987</v>
      </c>
      <c r="J293" s="65"/>
      <c r="K293" s="65"/>
      <c r="L293" s="65">
        <f>SUM(venta_a_mes6[[#This Row],[IMPORTE NETO]:[EXENTO]])</f>
        <v>47529.997899999995</v>
      </c>
      <c r="M293" s="59"/>
    </row>
    <row r="294" spans="2:13">
      <c r="B294" s="40" t="s">
        <v>2313</v>
      </c>
      <c r="C294" s="41">
        <v>1</v>
      </c>
      <c r="D294" s="42">
        <v>10</v>
      </c>
      <c r="E294" s="43">
        <v>11653</v>
      </c>
      <c r="F294" s="44">
        <v>23180421564</v>
      </c>
      <c r="G294" s="99" t="str">
        <f>IFERROR(IF(venta_a_mes6[[#This Row],[CUIT]]="","-",VLOOKUP(venta_a_mes6[[#This Row],[CUIT]],Lista_CUIT[#All],2,0)),"CUIT NO CARGADO")</f>
        <v>RAMOS CLAUDIA JAQUELINA</v>
      </c>
      <c r="H294" s="100">
        <v>856352.32</v>
      </c>
      <c r="I294" s="101">
        <f>venta_a_mes6[[#This Row],[IMPORTE NETO]]*0.21</f>
        <v>179833.98719999997</v>
      </c>
      <c r="J294" s="65"/>
      <c r="K294" s="65"/>
      <c r="L294" s="65">
        <f>SUM(venta_a_mes6[[#This Row],[IMPORTE NETO]:[EXENTO]])</f>
        <v>1036186.3071999999</v>
      </c>
      <c r="M294" s="59"/>
    </row>
    <row r="295" spans="2:13">
      <c r="B295" s="40" t="s">
        <v>2313</v>
      </c>
      <c r="C295" s="41">
        <v>1</v>
      </c>
      <c r="D295" s="42">
        <v>10</v>
      </c>
      <c r="E295" s="43">
        <v>11651</v>
      </c>
      <c r="F295" s="44">
        <v>23180421564</v>
      </c>
      <c r="G295" s="99" t="str">
        <f>IFERROR(IF(venta_a_mes6[[#This Row],[CUIT]]="","-",VLOOKUP(venta_a_mes6[[#This Row],[CUIT]],Lista_CUIT[#All],2,0)),"CUIT NO CARGADO")</f>
        <v>RAMOS CLAUDIA JAQUELINA</v>
      </c>
      <c r="H295" s="100">
        <v>799216.91</v>
      </c>
      <c r="I295" s="101">
        <f>venta_a_mes6[[#This Row],[IMPORTE NETO]]*0.21</f>
        <v>167835.55110000001</v>
      </c>
      <c r="J295" s="65"/>
      <c r="K295" s="65"/>
      <c r="L295" s="65">
        <f>SUM(venta_a_mes6[[#This Row],[IMPORTE NETO]:[EXENTO]])</f>
        <v>967052.46110000007</v>
      </c>
      <c r="M295" s="59"/>
    </row>
    <row r="296" spans="2:13">
      <c r="B296" s="40" t="s">
        <v>2313</v>
      </c>
      <c r="C296" s="41">
        <v>1</v>
      </c>
      <c r="D296" s="42">
        <v>10</v>
      </c>
      <c r="E296" s="43">
        <v>11652</v>
      </c>
      <c r="F296" s="44">
        <v>23180421564</v>
      </c>
      <c r="G296" s="99" t="str">
        <f>IFERROR(IF(venta_a_mes6[[#This Row],[CUIT]]="","-",VLOOKUP(venta_a_mes6[[#This Row],[CUIT]],Lista_CUIT[#All],2,0)),"CUIT NO CARGADO")</f>
        <v>RAMOS CLAUDIA JAQUELINA</v>
      </c>
      <c r="H296" s="100">
        <v>696791.23</v>
      </c>
      <c r="I296" s="101">
        <f>venta_a_mes6[[#This Row],[IMPORTE NETO]]*0.21</f>
        <v>146326.15829999998</v>
      </c>
      <c r="J296" s="65"/>
      <c r="K296" s="65"/>
      <c r="L296" s="65">
        <f>SUM(venta_a_mes6[[#This Row],[IMPORTE NETO]:[EXENTO]])</f>
        <v>843117.38829999999</v>
      </c>
      <c r="M296" s="59"/>
    </row>
    <row r="297" spans="2:13">
      <c r="B297" s="40" t="s">
        <v>2313</v>
      </c>
      <c r="C297" s="41">
        <v>1</v>
      </c>
      <c r="D297" s="42">
        <v>10</v>
      </c>
      <c r="E297" s="43">
        <v>11654</v>
      </c>
      <c r="F297" s="44">
        <v>23180421564</v>
      </c>
      <c r="G297" s="99" t="str">
        <f>IFERROR(IF(venta_a_mes6[[#This Row],[CUIT]]="","-",VLOOKUP(venta_a_mes6[[#This Row],[CUIT]],Lista_CUIT[#All],2,0)),"CUIT NO CARGADO")</f>
        <v>RAMOS CLAUDIA JAQUELINA</v>
      </c>
      <c r="H297" s="100">
        <v>765181.82</v>
      </c>
      <c r="I297" s="101">
        <f>venta_a_mes6[[#This Row],[IMPORTE NETO]]*0.21</f>
        <v>160688.18219999998</v>
      </c>
      <c r="J297" s="65"/>
      <c r="K297" s="65"/>
      <c r="L297" s="65">
        <f>SUM(venta_a_mes6[[#This Row],[IMPORTE NETO]:[EXENTO]])</f>
        <v>925870.00219999999</v>
      </c>
      <c r="M297" s="59"/>
    </row>
    <row r="298" spans="2:13">
      <c r="B298" s="40" t="s">
        <v>2313</v>
      </c>
      <c r="C298" s="41">
        <v>1</v>
      </c>
      <c r="D298" s="42">
        <v>11</v>
      </c>
      <c r="E298" s="43">
        <v>1959</v>
      </c>
      <c r="F298" s="44">
        <v>20922961132</v>
      </c>
      <c r="G298" s="99" t="str">
        <f>IFERROR(IF(venta_a_mes6[[#This Row],[CUIT]]="","-",VLOOKUP(venta_a_mes6[[#This Row],[CUIT]],Lista_CUIT[#All],2,0)),"CUIT NO CARGADO")</f>
        <v>CUIT NO CARGADO</v>
      </c>
      <c r="H298" s="100">
        <v>29173.55</v>
      </c>
      <c r="I298" s="101">
        <f>venta_a_mes6[[#This Row],[IMPORTE NETO]]*0.21</f>
        <v>6126.4454999999998</v>
      </c>
      <c r="J298" s="65"/>
      <c r="K298" s="65"/>
      <c r="L298" s="65">
        <f>SUM(venta_a_mes6[[#This Row],[IMPORTE NETO]:[EXENTO]])</f>
        <v>35299.995499999997</v>
      </c>
      <c r="M298" s="59"/>
    </row>
    <row r="299" spans="2:13">
      <c r="B299" s="40" t="s">
        <v>2313</v>
      </c>
      <c r="C299" s="41">
        <v>3</v>
      </c>
      <c r="D299" s="42">
        <v>10</v>
      </c>
      <c r="E299" s="43">
        <v>763</v>
      </c>
      <c r="F299" s="44">
        <v>30708994924</v>
      </c>
      <c r="G299" s="99" t="str">
        <f>IFERROR(IF(venta_a_mes6[[#This Row],[CUIT]]="","-",VLOOKUP(venta_a_mes6[[#This Row],[CUIT]],Lista_CUIT[#All],2,0)),"CUIT NO CARGADO")</f>
        <v>MILANO SA</v>
      </c>
      <c r="H299" s="100">
        <v>-131652.89000000001</v>
      </c>
      <c r="I299" s="101">
        <f>venta_a_mes6[[#This Row],[IMPORTE NETO]]*0.21</f>
        <v>-27647.106900000002</v>
      </c>
      <c r="J299" s="65"/>
      <c r="K299" s="65"/>
      <c r="L299" s="65">
        <f>SUM(venta_a_mes6[[#This Row],[IMPORTE NETO]:[EXENTO]])</f>
        <v>-159299.99690000003</v>
      </c>
      <c r="M299" s="59"/>
    </row>
    <row r="300" spans="2:13">
      <c r="B300" s="40" t="s">
        <v>2314</v>
      </c>
      <c r="C300" s="41">
        <v>1</v>
      </c>
      <c r="D300" s="42">
        <v>10</v>
      </c>
      <c r="E300" s="43">
        <v>11659</v>
      </c>
      <c r="F300" s="44">
        <v>30711604703</v>
      </c>
      <c r="G300" s="99" t="str">
        <f>IFERROR(IF(venta_a_mes6[[#This Row],[CUIT]]="","-",VLOOKUP(venta_a_mes6[[#This Row],[CUIT]],Lista_CUIT[#All],2,0)),"CUIT NO CARGADO")</f>
        <v>KORE S.A.</v>
      </c>
      <c r="H300" s="100">
        <v>160781.20000000001</v>
      </c>
      <c r="I300" s="101">
        <f>venta_a_mes6[[#This Row],[IMPORTE NETO]]*0.21</f>
        <v>33764.052000000003</v>
      </c>
      <c r="J300" s="65"/>
      <c r="K300" s="65"/>
      <c r="L300" s="65">
        <f>SUM(venta_a_mes6[[#This Row],[IMPORTE NETO]:[EXENTO]])</f>
        <v>194545.25200000001</v>
      </c>
      <c r="M300" s="59"/>
    </row>
    <row r="301" spans="2:13">
      <c r="B301" s="40" t="s">
        <v>2314</v>
      </c>
      <c r="C301" s="41">
        <v>1</v>
      </c>
      <c r="D301" s="42">
        <v>10</v>
      </c>
      <c r="E301" s="43">
        <v>11658</v>
      </c>
      <c r="F301" s="44">
        <v>30711604703</v>
      </c>
      <c r="G301" s="99" t="str">
        <f>IFERROR(IF(venta_a_mes6[[#This Row],[CUIT]]="","-",VLOOKUP(venta_a_mes6[[#This Row],[CUIT]],Lista_CUIT[#All],2,0)),"CUIT NO CARGADO")</f>
        <v>KORE S.A.</v>
      </c>
      <c r="H301" s="100">
        <v>752653.69</v>
      </c>
      <c r="I301" s="101">
        <f>venta_a_mes6[[#This Row],[IMPORTE NETO]]*0.21</f>
        <v>158057.27489999999</v>
      </c>
      <c r="J301" s="65"/>
      <c r="K301" s="65"/>
      <c r="L301" s="65">
        <f>SUM(venta_a_mes6[[#This Row],[IMPORTE NETO]:[EXENTO]])</f>
        <v>910710.9648999999</v>
      </c>
      <c r="M301" s="59"/>
    </row>
    <row r="302" spans="2:13">
      <c r="B302" s="40" t="s">
        <v>2314</v>
      </c>
      <c r="C302" s="41">
        <v>1</v>
      </c>
      <c r="D302" s="42">
        <v>13</v>
      </c>
      <c r="E302" s="43">
        <v>1275</v>
      </c>
      <c r="F302" s="44">
        <v>27948848886</v>
      </c>
      <c r="G302" s="99" t="str">
        <f>IFERROR(IF(venta_a_mes6[[#This Row],[CUIT]]="","-",VLOOKUP(venta_a_mes6[[#This Row],[CUIT]],Lista_CUIT[#All],2,0)),"CUIT NO CARGADO")</f>
        <v>CUIT NO CARGADO</v>
      </c>
      <c r="H302" s="100">
        <v>28264.46</v>
      </c>
      <c r="I302" s="101">
        <f>venta_a_mes6[[#This Row],[IMPORTE NETO]]*0.21</f>
        <v>5935.5365999999995</v>
      </c>
      <c r="J302" s="65"/>
      <c r="K302" s="65"/>
      <c r="L302" s="65">
        <f>SUM(venta_a_mes6[[#This Row],[IMPORTE NETO]:[EXENTO]])</f>
        <v>34199.996599999999</v>
      </c>
      <c r="M302" s="59"/>
    </row>
    <row r="303" spans="2:13">
      <c r="B303" s="40" t="s">
        <v>2314</v>
      </c>
      <c r="C303" s="41">
        <v>1</v>
      </c>
      <c r="D303" s="42">
        <v>10</v>
      </c>
      <c r="E303" s="43">
        <v>11660</v>
      </c>
      <c r="F303" s="44">
        <v>30707243607</v>
      </c>
      <c r="G303" s="99" t="str">
        <f>IFERROR(IF(venta_a_mes6[[#This Row],[CUIT]]="","-",VLOOKUP(venta_a_mes6[[#This Row],[CUIT]],Lista_CUIT[#All],2,0)),"CUIT NO CARGADO")</f>
        <v>CUIT NO CARGADO</v>
      </c>
      <c r="H303" s="100">
        <v>112685.95</v>
      </c>
      <c r="I303" s="101">
        <f>venta_a_mes6[[#This Row],[IMPORTE NETO]]*0.21</f>
        <v>23664.049499999997</v>
      </c>
      <c r="J303" s="65"/>
      <c r="K303" s="65"/>
      <c r="L303" s="65">
        <f>SUM(venta_a_mes6[[#This Row],[IMPORTE NETO]:[EXENTO]])</f>
        <v>136349.99950000001</v>
      </c>
      <c r="M303" s="59"/>
    </row>
    <row r="304" spans="2:13">
      <c r="B304" s="40" t="s">
        <v>2315</v>
      </c>
      <c r="C304" s="41">
        <v>1</v>
      </c>
      <c r="D304" s="42">
        <v>12</v>
      </c>
      <c r="E304" s="43">
        <v>1577</v>
      </c>
      <c r="F304" s="44">
        <v>27172834189</v>
      </c>
      <c r="G304" s="99" t="str">
        <f>IFERROR(IF(venta_a_mes6[[#This Row],[CUIT]]="","-",VLOOKUP(venta_a_mes6[[#This Row],[CUIT]],Lista_CUIT[#All],2,0)),"CUIT NO CARGADO")</f>
        <v>BESSONE ADRIANA</v>
      </c>
      <c r="H304" s="100">
        <v>34214.879999999997</v>
      </c>
      <c r="I304" s="101">
        <f>venta_a_mes6[[#This Row],[IMPORTE NETO]]*0.21</f>
        <v>7185.1247999999996</v>
      </c>
      <c r="J304" s="65"/>
      <c r="K304" s="65"/>
      <c r="L304" s="65">
        <f>SUM(venta_a_mes6[[#This Row],[IMPORTE NETO]:[EXENTO]])</f>
        <v>41400.004799999995</v>
      </c>
      <c r="M304" s="59"/>
    </row>
    <row r="305" spans="2:13">
      <c r="B305" s="40" t="s">
        <v>2315</v>
      </c>
      <c r="C305" s="41">
        <v>1</v>
      </c>
      <c r="D305" s="42">
        <v>10</v>
      </c>
      <c r="E305" s="43">
        <v>11661</v>
      </c>
      <c r="F305" s="44">
        <v>27221574562</v>
      </c>
      <c r="G305" s="99" t="str">
        <f>IFERROR(IF(venta_a_mes6[[#This Row],[CUIT]]="","-",VLOOKUP(venta_a_mes6[[#This Row],[CUIT]],Lista_CUIT[#All],2,0)),"CUIT NO CARGADO")</f>
        <v>CUIT NO CARGADO</v>
      </c>
      <c r="H305" s="100">
        <v>29123.97</v>
      </c>
      <c r="I305" s="101">
        <f>venta_a_mes6[[#This Row],[IMPORTE NETO]]*0.21</f>
        <v>6116.0337</v>
      </c>
      <c r="J305" s="65"/>
      <c r="K305" s="65"/>
      <c r="L305" s="65">
        <f>SUM(venta_a_mes6[[#This Row],[IMPORTE NETO]:[EXENTO]])</f>
        <v>35240.003700000001</v>
      </c>
      <c r="M305" s="59"/>
    </row>
    <row r="306" spans="2:13">
      <c r="B306" s="40" t="s">
        <v>2315</v>
      </c>
      <c r="C306" s="41">
        <v>1</v>
      </c>
      <c r="D306" s="42">
        <v>13</v>
      </c>
      <c r="E306" s="43">
        <v>1278</v>
      </c>
      <c r="F306" s="44">
        <v>20259995400</v>
      </c>
      <c r="G306" s="99" t="str">
        <f>IFERROR(IF(venta_a_mes6[[#This Row],[CUIT]]="","-",VLOOKUP(venta_a_mes6[[#This Row],[CUIT]],Lista_CUIT[#All],2,0)),"CUIT NO CARGADO")</f>
        <v>CUIT NO CARGADO</v>
      </c>
      <c r="H306" s="100">
        <v>166777.14000000001</v>
      </c>
      <c r="I306" s="101">
        <f>venta_a_mes6[[#This Row],[IMPORTE NETO]]*0.21</f>
        <v>35023.199400000005</v>
      </c>
      <c r="J306" s="65"/>
      <c r="K306" s="65"/>
      <c r="L306" s="65">
        <f>SUM(venta_a_mes6[[#This Row],[IMPORTE NETO]:[EXENTO]])</f>
        <v>201800.33940000003</v>
      </c>
      <c r="M306" s="59"/>
    </row>
    <row r="307" spans="2:13">
      <c r="B307" s="40" t="s">
        <v>2315</v>
      </c>
      <c r="C307" s="41">
        <v>1</v>
      </c>
      <c r="D307" s="42">
        <v>13</v>
      </c>
      <c r="E307" s="43">
        <v>1276</v>
      </c>
      <c r="F307" s="44">
        <v>20263599005</v>
      </c>
      <c r="G307" s="99" t="str">
        <f>IFERROR(IF(venta_a_mes6[[#This Row],[CUIT]]="","-",VLOOKUP(venta_a_mes6[[#This Row],[CUIT]],Lista_CUIT[#All],2,0)),"CUIT NO CARGADO")</f>
        <v>CUIT NO CARGADO</v>
      </c>
      <c r="H307" s="100">
        <v>144049.59</v>
      </c>
      <c r="I307" s="101">
        <f>venta_a_mes6[[#This Row],[IMPORTE NETO]]*0.21</f>
        <v>30250.4139</v>
      </c>
      <c r="J307" s="65"/>
      <c r="K307" s="65"/>
      <c r="L307" s="65">
        <f>SUM(venta_a_mes6[[#This Row],[IMPORTE NETO]:[EXENTO]])</f>
        <v>174300.00390000001</v>
      </c>
      <c r="M307" s="59"/>
    </row>
    <row r="308" spans="2:13">
      <c r="B308" s="40" t="s">
        <v>2315</v>
      </c>
      <c r="C308" s="41">
        <v>1</v>
      </c>
      <c r="D308" s="42">
        <v>13</v>
      </c>
      <c r="E308" s="43">
        <v>1277</v>
      </c>
      <c r="F308" s="44">
        <v>20108974932</v>
      </c>
      <c r="G308" s="99" t="str">
        <f>IFERROR(IF(venta_a_mes6[[#This Row],[CUIT]]="","-",VLOOKUP(venta_a_mes6[[#This Row],[CUIT]],Lista_CUIT[#All],2,0)),"CUIT NO CARGADO")</f>
        <v>CUIT NO CARGADO</v>
      </c>
      <c r="H308" s="100">
        <v>100210.75</v>
      </c>
      <c r="I308" s="101">
        <f>venta_a_mes6[[#This Row],[IMPORTE NETO]]*0.21</f>
        <v>21044.2575</v>
      </c>
      <c r="J308" s="65"/>
      <c r="K308" s="65"/>
      <c r="L308" s="65">
        <f>SUM(venta_a_mes6[[#This Row],[IMPORTE NETO]:[EXENTO]])</f>
        <v>121255.00750000001</v>
      </c>
      <c r="M308" s="59"/>
    </row>
    <row r="309" spans="2:13">
      <c r="B309" s="40" t="s">
        <v>2316</v>
      </c>
      <c r="C309" s="41">
        <v>1</v>
      </c>
      <c r="D309" s="42">
        <v>10</v>
      </c>
      <c r="E309" s="43">
        <v>11662</v>
      </c>
      <c r="F309" s="44">
        <v>30717398196</v>
      </c>
      <c r="G309" s="99" t="str">
        <f>IFERROR(IF(venta_a_mes6[[#This Row],[CUIT]]="","-",VLOOKUP(venta_a_mes6[[#This Row],[CUIT]],Lista_CUIT[#All],2,0)),"CUIT NO CARGADO")</f>
        <v>QUANTUM KOSMETICA S.R.L.</v>
      </c>
      <c r="H309" s="100">
        <v>966527.12</v>
      </c>
      <c r="I309" s="101">
        <f>venta_a_mes6[[#This Row],[IMPORTE NETO]]*0.21</f>
        <v>202970.69519999999</v>
      </c>
      <c r="J309" s="65"/>
      <c r="K309" s="65"/>
      <c r="L309" s="65">
        <f>SUM(venta_a_mes6[[#This Row],[IMPORTE NETO]:[EXENTO]])</f>
        <v>1169497.8152000001</v>
      </c>
      <c r="M309" s="59"/>
    </row>
    <row r="310" spans="2:13">
      <c r="B310" s="40" t="s">
        <v>2316</v>
      </c>
      <c r="C310" s="41">
        <v>1</v>
      </c>
      <c r="D310" s="42">
        <v>10</v>
      </c>
      <c r="E310" s="43">
        <v>11663</v>
      </c>
      <c r="F310" s="44">
        <v>30717398196</v>
      </c>
      <c r="G310" s="99" t="str">
        <f>IFERROR(IF(venta_a_mes6[[#This Row],[CUIT]]="","-",VLOOKUP(venta_a_mes6[[#This Row],[CUIT]],Lista_CUIT[#All],2,0)),"CUIT NO CARGADO")</f>
        <v>QUANTUM KOSMETICA S.R.L.</v>
      </c>
      <c r="H310" s="100">
        <v>490495.87</v>
      </c>
      <c r="I310" s="101">
        <f>venta_a_mes6[[#This Row],[IMPORTE NETO]]*0.21</f>
        <v>103004.1327</v>
      </c>
      <c r="J310" s="65"/>
      <c r="K310" s="65"/>
      <c r="L310" s="65">
        <f>SUM(venta_a_mes6[[#This Row],[IMPORTE NETO]:[EXENTO]])</f>
        <v>593500.00269999995</v>
      </c>
      <c r="M310" s="59"/>
    </row>
    <row r="311" spans="2:13">
      <c r="B311" s="40" t="s">
        <v>2316</v>
      </c>
      <c r="C311" s="41">
        <v>1</v>
      </c>
      <c r="D311" s="42">
        <v>10</v>
      </c>
      <c r="E311" s="43">
        <v>11664</v>
      </c>
      <c r="F311" s="44">
        <v>30717318060</v>
      </c>
      <c r="G311" s="99" t="str">
        <f>IFERROR(IF(venta_a_mes6[[#This Row],[CUIT]]="","-",VLOOKUP(venta_a_mes6[[#This Row],[CUIT]],Lista_CUIT[#All],2,0)),"CUIT NO CARGADO")</f>
        <v>CUIT NO CARGADO</v>
      </c>
      <c r="H311" s="100">
        <v>65215.360000000001</v>
      </c>
      <c r="I311" s="101">
        <f>venta_a_mes6[[#This Row],[IMPORTE NETO]]*0.21</f>
        <v>13695.2256</v>
      </c>
      <c r="J311" s="65"/>
      <c r="K311" s="65"/>
      <c r="L311" s="65">
        <f>SUM(venta_a_mes6[[#This Row],[IMPORTE NETO]:[EXENTO]])</f>
        <v>78910.585600000006</v>
      </c>
      <c r="M311" s="59"/>
    </row>
    <row r="312" spans="2:13">
      <c r="B312" s="40" t="s">
        <v>2317</v>
      </c>
      <c r="C312" s="41">
        <v>1</v>
      </c>
      <c r="D312" s="42">
        <v>10</v>
      </c>
      <c r="E312" s="43">
        <v>11665</v>
      </c>
      <c r="F312" s="44">
        <v>30538688793</v>
      </c>
      <c r="G312" s="99" t="str">
        <f>IFERROR(IF(venta_a_mes6[[#This Row],[CUIT]]="","-",VLOOKUP(venta_a_mes6[[#This Row],[CUIT]],Lista_CUIT[#All],2,0)),"CUIT NO CARGADO")</f>
        <v>ASOCIACION DE EMPLEADOS FISCALES E INGRESOS PUBLICOS (A.E.F.I.P.)</v>
      </c>
      <c r="H312" s="100">
        <v>12892.56</v>
      </c>
      <c r="I312" s="101">
        <f>venta_a_mes6[[#This Row],[IMPORTE NETO]]*0.21</f>
        <v>2707.4375999999997</v>
      </c>
      <c r="J312" s="65"/>
      <c r="K312" s="65"/>
      <c r="L312" s="65">
        <f>SUM(venta_a_mes6[[#This Row],[IMPORTE NETO]:[EXENTO]])</f>
        <v>15599.997599999999</v>
      </c>
      <c r="M312" s="59"/>
    </row>
    <row r="313" spans="2:13">
      <c r="B313" s="40" t="s">
        <v>2317</v>
      </c>
      <c r="C313" s="41">
        <v>1</v>
      </c>
      <c r="D313" s="42">
        <v>12</v>
      </c>
      <c r="E313" s="43">
        <v>1578</v>
      </c>
      <c r="F313" s="44">
        <v>27340561630</v>
      </c>
      <c r="G313" s="99" t="str">
        <f>IFERROR(IF(venta_a_mes6[[#This Row],[CUIT]]="","-",VLOOKUP(venta_a_mes6[[#This Row],[CUIT]],Lista_CUIT[#All],2,0)),"CUIT NO CARGADO")</f>
        <v>CUIT NO CARGADO</v>
      </c>
      <c r="H313" s="100">
        <v>26115.7</v>
      </c>
      <c r="I313" s="101">
        <f>venta_a_mes6[[#This Row],[IMPORTE NETO]]*0.21</f>
        <v>5484.2969999999996</v>
      </c>
      <c r="J313" s="65"/>
      <c r="K313" s="65"/>
      <c r="L313" s="65">
        <f>SUM(venta_a_mes6[[#This Row],[IMPORTE NETO]:[EXENTO]])</f>
        <v>31599.996999999999</v>
      </c>
      <c r="M313" s="59"/>
    </row>
    <row r="314" spans="2:13">
      <c r="B314" s="40" t="s">
        <v>2317</v>
      </c>
      <c r="C314" s="41">
        <v>1</v>
      </c>
      <c r="D314" s="42">
        <v>10</v>
      </c>
      <c r="E314" s="43">
        <v>11667</v>
      </c>
      <c r="F314" s="44">
        <v>20243351309</v>
      </c>
      <c r="G314" s="99" t="str">
        <f>IFERROR(IF(venta_a_mes6[[#This Row],[CUIT]]="","-",VLOOKUP(venta_a_mes6[[#This Row],[CUIT]],Lista_CUIT[#All],2,0)),"CUIT NO CARGADO")</f>
        <v>Silvio Jorge Giostra</v>
      </c>
      <c r="H314" s="100">
        <v>334958.68</v>
      </c>
      <c r="I314" s="101">
        <f>venta_a_mes6[[#This Row],[IMPORTE NETO]]*0.21</f>
        <v>70341.322799999994</v>
      </c>
      <c r="J314" s="65"/>
      <c r="K314" s="65"/>
      <c r="L314" s="65">
        <f>SUM(venta_a_mes6[[#This Row],[IMPORTE NETO]:[EXENTO]])</f>
        <v>405300.00280000002</v>
      </c>
      <c r="M314" s="59"/>
    </row>
    <row r="315" spans="2:13">
      <c r="B315" s="40" t="s">
        <v>2317</v>
      </c>
      <c r="C315" s="41">
        <v>1</v>
      </c>
      <c r="D315" s="42">
        <v>10</v>
      </c>
      <c r="E315" s="43">
        <v>11666</v>
      </c>
      <c r="F315" s="44">
        <v>20204705829</v>
      </c>
      <c r="G315" s="99" t="str">
        <f>IFERROR(IF(venta_a_mes6[[#This Row],[CUIT]]="","-",VLOOKUP(venta_a_mes6[[#This Row],[CUIT]],Lista_CUIT[#All],2,0)),"CUIT NO CARGADO")</f>
        <v>CUIT NO CARGADO</v>
      </c>
      <c r="H315" s="100">
        <v>20661.16</v>
      </c>
      <c r="I315" s="101">
        <f>venta_a_mes6[[#This Row],[IMPORTE NETO]]*0.21</f>
        <v>4338.8436000000002</v>
      </c>
      <c r="J315" s="65"/>
      <c r="K315" s="65"/>
      <c r="L315" s="65">
        <f>SUM(venta_a_mes6[[#This Row],[IMPORTE NETO]:[EXENTO]])</f>
        <v>25000.0036</v>
      </c>
      <c r="M315" s="59"/>
    </row>
    <row r="316" spans="2:13">
      <c r="B316" s="40" t="s">
        <v>2318</v>
      </c>
      <c r="C316" s="41">
        <v>1</v>
      </c>
      <c r="D316" s="42">
        <v>12</v>
      </c>
      <c r="E316" s="43">
        <v>1580</v>
      </c>
      <c r="F316" s="44">
        <v>27940533924</v>
      </c>
      <c r="G316" s="99" t="str">
        <f>IFERROR(IF(venta_a_mes6[[#This Row],[CUIT]]="","-",VLOOKUP(venta_a_mes6[[#This Row],[CUIT]],Lista_CUIT[#All],2,0)),"CUIT NO CARGADO")</f>
        <v>QUEZADA PINEDA KAREN STEPHANY</v>
      </c>
      <c r="H316" s="100">
        <v>15041.32</v>
      </c>
      <c r="I316" s="101">
        <f>venta_a_mes6[[#This Row],[IMPORTE NETO]]*0.21</f>
        <v>3158.6771999999996</v>
      </c>
      <c r="J316" s="65"/>
      <c r="K316" s="65"/>
      <c r="L316" s="65">
        <f>SUM(venta_a_mes6[[#This Row],[IMPORTE NETO]:[EXENTO]])</f>
        <v>18199.997199999998</v>
      </c>
      <c r="M316" s="59"/>
    </row>
    <row r="317" spans="2:13">
      <c r="B317" s="40" t="s">
        <v>2318</v>
      </c>
      <c r="C317" s="41">
        <v>1</v>
      </c>
      <c r="D317" s="42">
        <v>10</v>
      </c>
      <c r="E317" s="43">
        <v>11669</v>
      </c>
      <c r="F317" s="44">
        <v>30717398196</v>
      </c>
      <c r="G317" s="99" t="str">
        <f>IFERROR(IF(venta_a_mes6[[#This Row],[CUIT]]="","-",VLOOKUP(venta_a_mes6[[#This Row],[CUIT]],Lista_CUIT[#All],2,0)),"CUIT NO CARGADO")</f>
        <v>QUANTUM KOSMETICA S.R.L.</v>
      </c>
      <c r="H317" s="100">
        <v>811404.96</v>
      </c>
      <c r="I317" s="101">
        <f>venta_a_mes6[[#This Row],[IMPORTE NETO]]*0.21</f>
        <v>170395.0416</v>
      </c>
      <c r="J317" s="65"/>
      <c r="K317" s="65"/>
      <c r="L317" s="65">
        <f>SUM(venta_a_mes6[[#This Row],[IMPORTE NETO]:[EXENTO]])</f>
        <v>981800.00159999996</v>
      </c>
      <c r="M317" s="59"/>
    </row>
    <row r="318" spans="2:13">
      <c r="B318" s="40" t="s">
        <v>2318</v>
      </c>
      <c r="C318" s="41">
        <v>1</v>
      </c>
      <c r="D318" s="42">
        <v>10</v>
      </c>
      <c r="E318" s="43">
        <v>11668</v>
      </c>
      <c r="F318" s="44">
        <v>30717398196</v>
      </c>
      <c r="G318" s="99" t="str">
        <f>IFERROR(IF(venta_a_mes6[[#This Row],[CUIT]]="","-",VLOOKUP(venta_a_mes6[[#This Row],[CUIT]],Lista_CUIT[#All],2,0)),"CUIT NO CARGADO")</f>
        <v>QUANTUM KOSMETICA S.R.L.</v>
      </c>
      <c r="H318" s="100">
        <v>975702.23</v>
      </c>
      <c r="I318" s="101">
        <f>venta_a_mes6[[#This Row],[IMPORTE NETO]]*0.21</f>
        <v>204897.46829999998</v>
      </c>
      <c r="J318" s="65"/>
      <c r="K318" s="65"/>
      <c r="L318" s="65">
        <f>SUM(venta_a_mes6[[#This Row],[IMPORTE NETO]:[EXENTO]])</f>
        <v>1180599.6983</v>
      </c>
      <c r="M318" s="59"/>
    </row>
    <row r="319" spans="2:13">
      <c r="B319" s="40" t="s">
        <v>2318</v>
      </c>
      <c r="C319" s="41">
        <v>1</v>
      </c>
      <c r="D319" s="42">
        <v>12</v>
      </c>
      <c r="E319" s="43">
        <v>1579</v>
      </c>
      <c r="F319" s="44">
        <v>27940533924</v>
      </c>
      <c r="G319" s="99" t="str">
        <f>IFERROR(IF(venta_a_mes6[[#This Row],[CUIT]]="","-",VLOOKUP(venta_a_mes6[[#This Row],[CUIT]],Lista_CUIT[#All],2,0)),"CUIT NO CARGADO")</f>
        <v>QUEZADA PINEDA KAREN STEPHANY</v>
      </c>
      <c r="H319" s="100">
        <v>42925.62</v>
      </c>
      <c r="I319" s="101">
        <f>venta_a_mes6[[#This Row],[IMPORTE NETO]]*0.21</f>
        <v>9014.3801999999996</v>
      </c>
      <c r="J319" s="65"/>
      <c r="K319" s="65"/>
      <c r="L319" s="65">
        <f>SUM(venta_a_mes6[[#This Row],[IMPORTE NETO]:[EXENTO]])</f>
        <v>51940.000200000002</v>
      </c>
      <c r="M319" s="59"/>
    </row>
    <row r="320" spans="2:13">
      <c r="B320" s="40" t="s">
        <v>2318</v>
      </c>
      <c r="C320" s="41">
        <v>3</v>
      </c>
      <c r="D320" s="42">
        <v>11</v>
      </c>
      <c r="E320" s="43">
        <v>104</v>
      </c>
      <c r="F320" s="44">
        <v>27280796552</v>
      </c>
      <c r="G320" s="99" t="str">
        <f>IFERROR(IF(venta_a_mes6[[#This Row],[CUIT]]="","-",VLOOKUP(venta_a_mes6[[#This Row],[CUIT]],Lista_CUIT[#All],2,0)),"CUIT NO CARGADO")</f>
        <v>CARRERO DANIELA SOLANGE </v>
      </c>
      <c r="H320" s="100">
        <v>-72272.73</v>
      </c>
      <c r="I320" s="101">
        <f>venta_a_mes6[[#This Row],[IMPORTE NETO]]*0.21</f>
        <v>-15177.273299999999</v>
      </c>
      <c r="J320" s="65"/>
      <c r="K320" s="65"/>
      <c r="L320" s="65">
        <f>SUM(venta_a_mes6[[#This Row],[IMPORTE NETO]:[EXENTO]])</f>
        <v>-87450.003299999997</v>
      </c>
      <c r="M320" s="59"/>
    </row>
    <row r="321" spans="2:13">
      <c r="B321" s="40" t="s">
        <v>2319</v>
      </c>
      <c r="C321" s="41">
        <v>1</v>
      </c>
      <c r="D321" s="42">
        <v>11</v>
      </c>
      <c r="E321" s="43">
        <v>1960</v>
      </c>
      <c r="F321" s="44">
        <v>27226500338</v>
      </c>
      <c r="G321" s="99" t="str">
        <f>IFERROR(IF(venta_a_mes6[[#This Row],[CUIT]]="","-",VLOOKUP(venta_a_mes6[[#This Row],[CUIT]],Lista_CUIT[#All],2,0)),"CUIT NO CARGADO")</f>
        <v>SINGER KARINA</v>
      </c>
      <c r="H321" s="100">
        <v>39421.49</v>
      </c>
      <c r="I321" s="101">
        <f>venta_a_mes6[[#This Row],[IMPORTE NETO]]*0.21</f>
        <v>8278.5128999999997</v>
      </c>
      <c r="J321" s="65"/>
      <c r="K321" s="65"/>
      <c r="L321" s="65">
        <f>SUM(venta_a_mes6[[#This Row],[IMPORTE NETO]:[EXENTO]])</f>
        <v>47700.002899999999</v>
      </c>
      <c r="M321" s="59"/>
    </row>
    <row r="322" spans="2:13">
      <c r="B322" s="40" t="s">
        <v>2319</v>
      </c>
      <c r="C322" s="41">
        <v>1</v>
      </c>
      <c r="D322" s="42">
        <v>10</v>
      </c>
      <c r="E322" s="43">
        <v>11670</v>
      </c>
      <c r="F322" s="44">
        <v>20234861973</v>
      </c>
      <c r="G322" s="99" t="str">
        <f>IFERROR(IF(venta_a_mes6[[#This Row],[CUIT]]="","-",VLOOKUP(venta_a_mes6[[#This Row],[CUIT]],Lista_CUIT[#All],2,0)),"CUIT NO CARGADO")</f>
        <v>MILEO VICENTE SAMUEL</v>
      </c>
      <c r="H322" s="100">
        <v>690083.39</v>
      </c>
      <c r="I322" s="101">
        <f>venta_a_mes6[[#This Row],[IMPORTE NETO]]*0.21</f>
        <v>144917.51189999998</v>
      </c>
      <c r="J322" s="65"/>
      <c r="K322" s="65"/>
      <c r="L322" s="65">
        <f>SUM(venta_a_mes6[[#This Row],[IMPORTE NETO]:[EXENTO]])</f>
        <v>835000.90189999994</v>
      </c>
      <c r="M322" s="59"/>
    </row>
    <row r="323" spans="2:13">
      <c r="B323" s="40" t="s">
        <v>2319</v>
      </c>
      <c r="C323" s="41">
        <v>1</v>
      </c>
      <c r="D323" s="42">
        <v>10</v>
      </c>
      <c r="E323" s="43">
        <v>11671</v>
      </c>
      <c r="F323" s="44">
        <v>20234861973</v>
      </c>
      <c r="G323" s="99" t="str">
        <f>IFERROR(IF(venta_a_mes6[[#This Row],[CUIT]]="","-",VLOOKUP(venta_a_mes6[[#This Row],[CUIT]],Lista_CUIT[#All],2,0)),"CUIT NO CARGADO")</f>
        <v>MILEO VICENTE SAMUEL</v>
      </c>
      <c r="H323" s="100">
        <v>463968.8</v>
      </c>
      <c r="I323" s="101">
        <f>venta_a_mes6[[#This Row],[IMPORTE NETO]]*0.21</f>
        <v>97433.447999999989</v>
      </c>
      <c r="J323" s="65"/>
      <c r="K323" s="65"/>
      <c r="L323" s="65">
        <f>SUM(venta_a_mes6[[#This Row],[IMPORTE NETO]:[EXENTO]])</f>
        <v>561402.24800000002</v>
      </c>
      <c r="M323" s="59"/>
    </row>
    <row r="324" spans="2:13">
      <c r="B324" s="40" t="s">
        <v>2320</v>
      </c>
      <c r="C324" s="41">
        <v>1</v>
      </c>
      <c r="D324" s="42">
        <v>13</v>
      </c>
      <c r="E324" s="43">
        <v>1279</v>
      </c>
      <c r="F324" s="44">
        <v>27178213593</v>
      </c>
      <c r="G324" s="99" t="str">
        <f>IFERROR(IF(venta_a_mes6[[#This Row],[CUIT]]="","-",VLOOKUP(venta_a_mes6[[#This Row],[CUIT]],Lista_CUIT[#All],2,0)),"CUIT NO CARGADO")</f>
        <v>CUIT NO CARGADO</v>
      </c>
      <c r="H324" s="100">
        <v>38495.879999999997</v>
      </c>
      <c r="I324" s="101">
        <f>venta_a_mes6[[#This Row],[IMPORTE NETO]]*0.21</f>
        <v>8084.1347999999989</v>
      </c>
      <c r="J324" s="65"/>
      <c r="K324" s="65"/>
      <c r="L324" s="65">
        <f>SUM(venta_a_mes6[[#This Row],[IMPORTE NETO]:[EXENTO]])</f>
        <v>46580.014799999997</v>
      </c>
      <c r="M324" s="59"/>
    </row>
    <row r="325" spans="2:13">
      <c r="B325" s="40" t="s">
        <v>2320</v>
      </c>
      <c r="C325" s="41">
        <v>1</v>
      </c>
      <c r="D325" s="42">
        <v>12</v>
      </c>
      <c r="E325" s="43">
        <v>1581</v>
      </c>
      <c r="F325" s="44">
        <v>27394920423</v>
      </c>
      <c r="G325" s="99" t="str">
        <f>IFERROR(IF(venta_a_mes6[[#This Row],[CUIT]]="","-",VLOOKUP(venta_a_mes6[[#This Row],[CUIT]],Lista_CUIT[#All],2,0)),"CUIT NO CARGADO")</f>
        <v>CASADIO AGOSTINA</v>
      </c>
      <c r="H325" s="100">
        <v>39338.839999999997</v>
      </c>
      <c r="I325" s="101">
        <f>venta_a_mes6[[#This Row],[IMPORTE NETO]]*0.21</f>
        <v>8261.1563999999998</v>
      </c>
      <c r="J325" s="65"/>
      <c r="K325" s="65"/>
      <c r="L325" s="65">
        <f>SUM(venta_a_mes6[[#This Row],[IMPORTE NETO]:[EXENTO]])</f>
        <v>47599.996399999996</v>
      </c>
      <c r="M325" s="59"/>
    </row>
    <row r="326" spans="2:13">
      <c r="B326" s="40" t="s">
        <v>2320</v>
      </c>
      <c r="C326" s="41">
        <v>1</v>
      </c>
      <c r="D326" s="42">
        <v>10</v>
      </c>
      <c r="E326" s="43">
        <v>11672</v>
      </c>
      <c r="F326" s="44">
        <v>27061737230</v>
      </c>
      <c r="G326" s="99" t="str">
        <f>IFERROR(IF(venta_a_mes6[[#This Row],[CUIT]]="","-",VLOOKUP(venta_a_mes6[[#This Row],[CUIT]],Lista_CUIT[#All],2,0)),"CUIT NO CARGADO")</f>
        <v>LO DUCA STELLA MARIS RAMONA</v>
      </c>
      <c r="H326" s="100">
        <v>22376.03</v>
      </c>
      <c r="I326" s="101">
        <f>venta_a_mes6[[#This Row],[IMPORTE NETO]]*0.21</f>
        <v>4698.9662999999991</v>
      </c>
      <c r="J326" s="65"/>
      <c r="K326" s="65"/>
      <c r="L326" s="65">
        <f>SUM(venta_a_mes6[[#This Row],[IMPORTE NETO]:[EXENTO]])</f>
        <v>27074.996299999999</v>
      </c>
      <c r="M326" s="59"/>
    </row>
    <row r="327" spans="2:13">
      <c r="B327" s="40" t="s">
        <v>2320</v>
      </c>
      <c r="C327" s="41">
        <v>1</v>
      </c>
      <c r="D327" s="42">
        <v>11</v>
      </c>
      <c r="E327" s="43">
        <v>1961</v>
      </c>
      <c r="F327" s="44">
        <v>27226500338</v>
      </c>
      <c r="G327" s="99" t="str">
        <f>IFERROR(IF(venta_a_mes6[[#This Row],[CUIT]]="","-",VLOOKUP(venta_a_mes6[[#This Row],[CUIT]],Lista_CUIT[#All],2,0)),"CUIT NO CARGADO")</f>
        <v>SINGER KARINA</v>
      </c>
      <c r="H327" s="100">
        <v>128181.82</v>
      </c>
      <c r="I327" s="101">
        <f>venta_a_mes6[[#This Row],[IMPORTE NETO]]*0.21</f>
        <v>26918.182199999999</v>
      </c>
      <c r="J327" s="65"/>
      <c r="K327" s="65"/>
      <c r="L327" s="65">
        <f>SUM(venta_a_mes6[[#This Row],[IMPORTE NETO]:[EXENTO]])</f>
        <v>155100.00220000002</v>
      </c>
      <c r="M327" s="59"/>
    </row>
    <row r="328" spans="2:13">
      <c r="B328" s="40" t="s">
        <v>2321</v>
      </c>
      <c r="C328" s="41">
        <v>1</v>
      </c>
      <c r="D328" s="42">
        <v>10</v>
      </c>
      <c r="E328" s="43">
        <v>11673</v>
      </c>
      <c r="F328" s="44">
        <v>20181612410</v>
      </c>
      <c r="G328" s="99" t="str">
        <f>IFERROR(IF(venta_a_mes6[[#This Row],[CUIT]]="","-",VLOOKUP(venta_a_mes6[[#This Row],[CUIT]],Lista_CUIT[#All],2,0)),"CUIT NO CARGADO")</f>
        <v>PACCOR ANGEL LUIS</v>
      </c>
      <c r="H328" s="100">
        <v>317727.17</v>
      </c>
      <c r="I328" s="101">
        <f>venta_a_mes6[[#This Row],[IMPORTE NETO]]*0.21</f>
        <v>66722.705699999991</v>
      </c>
      <c r="J328" s="65"/>
      <c r="K328" s="65"/>
      <c r="L328" s="65">
        <f>SUM(venta_a_mes6[[#This Row],[IMPORTE NETO]:[EXENTO]])</f>
        <v>384449.87569999998</v>
      </c>
      <c r="M328" s="59"/>
    </row>
    <row r="329" spans="2:13">
      <c r="B329" s="40" t="s">
        <v>2321</v>
      </c>
      <c r="C329" s="41">
        <v>1</v>
      </c>
      <c r="D329" s="42">
        <v>10</v>
      </c>
      <c r="E329" s="43">
        <v>11674</v>
      </c>
      <c r="F329" s="44">
        <v>27117015489</v>
      </c>
      <c r="G329" s="99" t="str">
        <f>IFERROR(IF(venta_a_mes6[[#This Row],[CUIT]]="","-",VLOOKUP(venta_a_mes6[[#This Row],[CUIT]],Lista_CUIT[#All],2,0)),"CUIT NO CARGADO")</f>
        <v>CUIT NO CARGADO</v>
      </c>
      <c r="H329" s="100">
        <v>170804.96</v>
      </c>
      <c r="I329" s="101">
        <f>venta_a_mes6[[#This Row],[IMPORTE NETO]]*0.21</f>
        <v>35869.041599999997</v>
      </c>
      <c r="J329" s="65"/>
      <c r="K329" s="65"/>
      <c r="L329" s="65">
        <f>SUM(venta_a_mes6[[#This Row],[IMPORTE NETO]:[EXENTO]])</f>
        <v>206674.00159999999</v>
      </c>
      <c r="M329" s="59"/>
    </row>
    <row r="330" spans="2:13">
      <c r="B330" s="40" t="s">
        <v>2322</v>
      </c>
      <c r="C330" s="41">
        <v>1</v>
      </c>
      <c r="D330" s="42">
        <v>10</v>
      </c>
      <c r="E330" s="43">
        <v>11675</v>
      </c>
      <c r="F330" s="44">
        <v>20254152715</v>
      </c>
      <c r="G330" s="99" t="str">
        <f>IFERROR(IF(venta_a_mes6[[#This Row],[CUIT]]="","-",VLOOKUP(venta_a_mes6[[#This Row],[CUIT]],Lista_CUIT[#All],2,0)),"CUIT NO CARGADO")</f>
        <v>CUIT NO CARGADO</v>
      </c>
      <c r="H330" s="100">
        <v>431207.13</v>
      </c>
      <c r="I330" s="101">
        <f>venta_a_mes6[[#This Row],[IMPORTE NETO]]*0.21</f>
        <v>90553.497300000003</v>
      </c>
      <c r="J330" s="65"/>
      <c r="K330" s="65"/>
      <c r="L330" s="65">
        <f>SUM(venta_a_mes6[[#This Row],[IMPORTE NETO]:[EXENTO]])</f>
        <v>521760.62729999999</v>
      </c>
      <c r="M330" s="59"/>
    </row>
    <row r="331" spans="2:13">
      <c r="B331" s="40" t="s">
        <v>2322</v>
      </c>
      <c r="C331" s="41">
        <v>1</v>
      </c>
      <c r="D331" s="42">
        <v>10</v>
      </c>
      <c r="E331" s="43">
        <v>11676</v>
      </c>
      <c r="F331" s="44">
        <v>20254152715</v>
      </c>
      <c r="G331" s="99" t="str">
        <f>IFERROR(IF(venta_a_mes6[[#This Row],[CUIT]]="","-",VLOOKUP(venta_a_mes6[[#This Row],[CUIT]],Lista_CUIT[#All],2,0)),"CUIT NO CARGADO")</f>
        <v>CUIT NO CARGADO</v>
      </c>
      <c r="H331" s="100">
        <v>42975.26</v>
      </c>
      <c r="I331" s="101">
        <f>venta_a_mes6[[#This Row],[IMPORTE NETO]]*0.21</f>
        <v>9024.8045999999995</v>
      </c>
      <c r="J331" s="65"/>
      <c r="K331" s="65"/>
      <c r="L331" s="65">
        <f>SUM(venta_a_mes6[[#This Row],[IMPORTE NETO]:[EXENTO]])</f>
        <v>52000.064599999998</v>
      </c>
      <c r="M331" s="59"/>
    </row>
    <row r="332" spans="2:13">
      <c r="B332" s="40" t="s">
        <v>2322</v>
      </c>
      <c r="C332" s="41">
        <v>1</v>
      </c>
      <c r="D332" s="42">
        <v>10</v>
      </c>
      <c r="E332" s="43">
        <v>11680</v>
      </c>
      <c r="F332" s="44">
        <v>20220002005</v>
      </c>
      <c r="G332" s="99" t="str">
        <f>IFERROR(IF(venta_a_mes6[[#This Row],[CUIT]]="","-",VLOOKUP(venta_a_mes6[[#This Row],[CUIT]],Lista_CUIT[#All],2,0)),"CUIT NO CARGADO")</f>
        <v>CUIT NO CARGADO</v>
      </c>
      <c r="H332" s="100">
        <v>58512.47</v>
      </c>
      <c r="I332" s="101">
        <f>venta_a_mes6[[#This Row],[IMPORTE NETO]]*0.21</f>
        <v>12287.618699999999</v>
      </c>
      <c r="J332" s="65"/>
      <c r="K332" s="65"/>
      <c r="L332" s="65">
        <f>SUM(venta_a_mes6[[#This Row],[IMPORTE NETO]:[EXENTO]])</f>
        <v>70800.088699999993</v>
      </c>
      <c r="M332" s="59"/>
    </row>
    <row r="333" spans="2:13">
      <c r="B333" s="40" t="s">
        <v>2322</v>
      </c>
      <c r="C333" s="41">
        <v>1</v>
      </c>
      <c r="D333" s="42">
        <v>10</v>
      </c>
      <c r="E333" s="43">
        <v>11678</v>
      </c>
      <c r="F333" s="44">
        <v>30717318060</v>
      </c>
      <c r="G333" s="99" t="str">
        <f>IFERROR(IF(venta_a_mes6[[#This Row],[CUIT]]="","-",VLOOKUP(venta_a_mes6[[#This Row],[CUIT]],Lista_CUIT[#All],2,0)),"CUIT NO CARGADO")</f>
        <v>CUIT NO CARGADO</v>
      </c>
      <c r="H333" s="100">
        <v>98338.98</v>
      </c>
      <c r="I333" s="101">
        <f>venta_a_mes6[[#This Row],[IMPORTE NETO]]*0.21</f>
        <v>20651.185799999999</v>
      </c>
      <c r="J333" s="65"/>
      <c r="K333" s="65"/>
      <c r="L333" s="65">
        <f>SUM(venta_a_mes6[[#This Row],[IMPORTE NETO]:[EXENTO]])</f>
        <v>118990.16579999999</v>
      </c>
      <c r="M333" s="59"/>
    </row>
    <row r="334" spans="2:13">
      <c r="B334" s="40" t="s">
        <v>2322</v>
      </c>
      <c r="C334" s="41">
        <v>1</v>
      </c>
      <c r="D334" s="42">
        <v>10</v>
      </c>
      <c r="E334" s="43">
        <v>11677</v>
      </c>
      <c r="F334" s="44">
        <v>30717318060</v>
      </c>
      <c r="G334" s="99" t="str">
        <f>IFERROR(IF(venta_a_mes6[[#This Row],[CUIT]]="","-",VLOOKUP(venta_a_mes6[[#This Row],[CUIT]],Lista_CUIT[#All],2,0)),"CUIT NO CARGADO")</f>
        <v>CUIT NO CARGADO</v>
      </c>
      <c r="H334" s="100">
        <v>380294.17</v>
      </c>
      <c r="I334" s="101">
        <f>venta_a_mes6[[#This Row],[IMPORTE NETO]]*0.21</f>
        <v>79861.775699999998</v>
      </c>
      <c r="J334" s="65"/>
      <c r="K334" s="65"/>
      <c r="L334" s="65">
        <f>SUM(venta_a_mes6[[#This Row],[IMPORTE NETO]:[EXENTO]])</f>
        <v>460155.94569999998</v>
      </c>
      <c r="M334" s="59"/>
    </row>
    <row r="335" spans="2:13">
      <c r="B335" s="40" t="s">
        <v>2322</v>
      </c>
      <c r="C335" s="41">
        <v>1</v>
      </c>
      <c r="D335" s="42">
        <v>10</v>
      </c>
      <c r="E335" s="43">
        <v>11679</v>
      </c>
      <c r="F335" s="44">
        <v>30717390942</v>
      </c>
      <c r="G335" s="99" t="str">
        <f>IFERROR(IF(venta_a_mes6[[#This Row],[CUIT]]="","-",VLOOKUP(venta_a_mes6[[#This Row],[CUIT]],Lista_CUIT[#All],2,0)),"CUIT NO CARGADO")</f>
        <v>CYN BELLEZA CON ESTILO S.A.</v>
      </c>
      <c r="H335" s="100">
        <v>222991.97</v>
      </c>
      <c r="I335" s="101">
        <f>venta_a_mes6[[#This Row],[IMPORTE NETO]]*0.21</f>
        <v>46828.313699999999</v>
      </c>
      <c r="J335" s="65"/>
      <c r="K335" s="65"/>
      <c r="L335" s="65">
        <f>SUM(venta_a_mes6[[#This Row],[IMPORTE NETO]:[EXENTO]])</f>
        <v>269820.28370000003</v>
      </c>
      <c r="M335" s="59"/>
    </row>
    <row r="336" spans="2:13">
      <c r="B336" s="40" t="s">
        <v>2323</v>
      </c>
      <c r="C336" s="41">
        <v>1</v>
      </c>
      <c r="D336" s="42">
        <v>10</v>
      </c>
      <c r="E336" s="43">
        <v>11691</v>
      </c>
      <c r="F336" s="44">
        <v>30712104550</v>
      </c>
      <c r="G336" s="99" t="str">
        <f>IFERROR(IF(venta_a_mes6[[#This Row],[CUIT]]="","-",VLOOKUP(venta_a_mes6[[#This Row],[CUIT]],Lista_CUIT[#All],2,0)),"CUIT NO CARGADO")</f>
        <v>EUROCOSMETICA S.A.</v>
      </c>
      <c r="H336" s="100">
        <v>563925.56999999995</v>
      </c>
      <c r="I336" s="101">
        <f>venta_a_mes6[[#This Row],[IMPORTE NETO]]*0.21</f>
        <v>118424.36969999998</v>
      </c>
      <c r="J336" s="65"/>
      <c r="K336" s="65"/>
      <c r="L336" s="65">
        <f>SUM(venta_a_mes6[[#This Row],[IMPORTE NETO]:[EXENTO]])</f>
        <v>682349.93969999999</v>
      </c>
      <c r="M336" s="59"/>
    </row>
    <row r="337" spans="2:13">
      <c r="B337" s="40" t="s">
        <v>2323</v>
      </c>
      <c r="C337" s="41">
        <v>1</v>
      </c>
      <c r="D337" s="42">
        <v>10</v>
      </c>
      <c r="E337" s="43">
        <v>11693</v>
      </c>
      <c r="F337" s="44">
        <v>30712104550</v>
      </c>
      <c r="G337" s="99" t="str">
        <f>IFERROR(IF(venta_a_mes6[[#This Row],[CUIT]]="","-",VLOOKUP(venta_a_mes6[[#This Row],[CUIT]],Lista_CUIT[#All],2,0)),"CUIT NO CARGADO")</f>
        <v>EUROCOSMETICA S.A.</v>
      </c>
      <c r="H337" s="100">
        <v>282958.65999999997</v>
      </c>
      <c r="I337" s="101">
        <f>venta_a_mes6[[#This Row],[IMPORTE NETO]]*0.21</f>
        <v>59421.318599999991</v>
      </c>
      <c r="J337" s="65"/>
      <c r="K337" s="65"/>
      <c r="L337" s="65">
        <f>SUM(venta_a_mes6[[#This Row],[IMPORTE NETO]:[EXENTO]])</f>
        <v>342379.97859999997</v>
      </c>
      <c r="M337" s="59"/>
    </row>
    <row r="338" spans="2:13">
      <c r="B338" s="40" t="s">
        <v>2323</v>
      </c>
      <c r="C338" s="41">
        <v>1</v>
      </c>
      <c r="D338" s="42">
        <v>10</v>
      </c>
      <c r="E338" s="43">
        <v>11689</v>
      </c>
      <c r="F338" s="44">
        <v>30712104550</v>
      </c>
      <c r="G338" s="99" t="str">
        <f>IFERROR(IF(venta_a_mes6[[#This Row],[CUIT]]="","-",VLOOKUP(venta_a_mes6[[#This Row],[CUIT]],Lista_CUIT[#All],2,0)),"CUIT NO CARGADO")</f>
        <v>EUROCOSMETICA S.A.</v>
      </c>
      <c r="H338" s="100">
        <v>614473.09</v>
      </c>
      <c r="I338" s="101">
        <f>venta_a_mes6[[#This Row],[IMPORTE NETO]]*0.21</f>
        <v>129039.34889999998</v>
      </c>
      <c r="J338" s="65"/>
      <c r="K338" s="65"/>
      <c r="L338" s="65">
        <f>SUM(venta_a_mes6[[#This Row],[IMPORTE NETO]:[EXENTO]])</f>
        <v>743512.43889999995</v>
      </c>
      <c r="M338" s="59"/>
    </row>
    <row r="339" spans="2:13">
      <c r="B339" s="40" t="s">
        <v>2323</v>
      </c>
      <c r="C339" s="41">
        <v>1</v>
      </c>
      <c r="D339" s="42">
        <v>10</v>
      </c>
      <c r="E339" s="43">
        <v>11690</v>
      </c>
      <c r="F339" s="44">
        <v>30712104550</v>
      </c>
      <c r="G339" s="99" t="str">
        <f>IFERROR(IF(venta_a_mes6[[#This Row],[CUIT]]="","-",VLOOKUP(venta_a_mes6[[#This Row],[CUIT]],Lista_CUIT[#All],2,0)),"CUIT NO CARGADO")</f>
        <v>EUROCOSMETICA S.A.</v>
      </c>
      <c r="H339" s="100">
        <v>668367.69999999995</v>
      </c>
      <c r="I339" s="101">
        <f>venta_a_mes6[[#This Row],[IMPORTE NETO]]*0.21</f>
        <v>140357.21699999998</v>
      </c>
      <c r="J339" s="65"/>
      <c r="K339" s="65"/>
      <c r="L339" s="65">
        <f>SUM(venta_a_mes6[[#This Row],[IMPORTE NETO]:[EXENTO]])</f>
        <v>808724.9169999999</v>
      </c>
      <c r="M339" s="59"/>
    </row>
    <row r="340" spans="2:13">
      <c r="B340" s="40" t="s">
        <v>2323</v>
      </c>
      <c r="C340" s="41">
        <v>1</v>
      </c>
      <c r="D340" s="42">
        <v>10</v>
      </c>
      <c r="E340" s="43">
        <v>11692</v>
      </c>
      <c r="F340" s="44">
        <v>30712104550</v>
      </c>
      <c r="G340" s="99" t="str">
        <f>IFERROR(IF(venta_a_mes6[[#This Row],[CUIT]]="","-",VLOOKUP(venta_a_mes6[[#This Row],[CUIT]],Lista_CUIT[#All],2,0)),"CUIT NO CARGADO")</f>
        <v>EUROCOSMETICA S.A.</v>
      </c>
      <c r="H340" s="100">
        <v>361332.76</v>
      </c>
      <c r="I340" s="101">
        <f>venta_a_mes6[[#This Row],[IMPORTE NETO]]*0.21</f>
        <v>75879.8796</v>
      </c>
      <c r="J340" s="65"/>
      <c r="K340" s="65"/>
      <c r="L340" s="65">
        <f>SUM(venta_a_mes6[[#This Row],[IMPORTE NETO]:[EXENTO]])</f>
        <v>437212.63959999999</v>
      </c>
      <c r="M340" s="59"/>
    </row>
    <row r="341" spans="2:13">
      <c r="B341" s="40" t="s">
        <v>2323</v>
      </c>
      <c r="C341" s="41">
        <v>1</v>
      </c>
      <c r="D341" s="42">
        <v>12</v>
      </c>
      <c r="E341" s="43">
        <v>1582</v>
      </c>
      <c r="F341" s="44">
        <v>27340561630</v>
      </c>
      <c r="G341" s="99" t="str">
        <f>IFERROR(IF(venta_a_mes6[[#This Row],[CUIT]]="","-",VLOOKUP(venta_a_mes6[[#This Row],[CUIT]],Lista_CUIT[#All],2,0)),"CUIT NO CARGADO")</f>
        <v>CUIT NO CARGADO</v>
      </c>
      <c r="H341" s="100">
        <v>9322.31</v>
      </c>
      <c r="I341" s="101">
        <f>venta_a_mes6[[#This Row],[IMPORTE NETO]]*0.21</f>
        <v>1957.6850999999999</v>
      </c>
      <c r="J341" s="65"/>
      <c r="K341" s="65"/>
      <c r="L341" s="65">
        <f>SUM(venta_a_mes6[[#This Row],[IMPORTE NETO]:[EXENTO]])</f>
        <v>11279.9951</v>
      </c>
      <c r="M341" s="59"/>
    </row>
    <row r="342" spans="2:13">
      <c r="B342" s="40" t="s">
        <v>2323</v>
      </c>
      <c r="C342" s="41">
        <v>1</v>
      </c>
      <c r="D342" s="42">
        <v>10</v>
      </c>
      <c r="E342" s="43">
        <v>11681</v>
      </c>
      <c r="F342" s="44">
        <v>30711604703</v>
      </c>
      <c r="G342" s="99" t="str">
        <f>IFERROR(IF(venta_a_mes6[[#This Row],[CUIT]]="","-",VLOOKUP(venta_a_mes6[[#This Row],[CUIT]],Lista_CUIT[#All],2,0)),"CUIT NO CARGADO")</f>
        <v>KORE S.A.</v>
      </c>
      <c r="H342" s="100">
        <v>879519.45</v>
      </c>
      <c r="I342" s="101">
        <f>venta_a_mes6[[#This Row],[IMPORTE NETO]]*0.21</f>
        <v>184699.0845</v>
      </c>
      <c r="J342" s="65"/>
      <c r="K342" s="65"/>
      <c r="L342" s="65">
        <f>SUM(venta_a_mes6[[#This Row],[IMPORTE NETO]:[EXENTO]])</f>
        <v>1064218.5345000001</v>
      </c>
      <c r="M342" s="59"/>
    </row>
    <row r="343" spans="2:13">
      <c r="B343" s="40" t="s">
        <v>2323</v>
      </c>
      <c r="C343" s="41">
        <v>1</v>
      </c>
      <c r="D343" s="42">
        <v>10</v>
      </c>
      <c r="E343" s="43">
        <v>11687</v>
      </c>
      <c r="F343" s="44">
        <v>23357502209</v>
      </c>
      <c r="G343" s="99" t="str">
        <f>IFERROR(IF(venta_a_mes6[[#This Row],[CUIT]]="","-",VLOOKUP(venta_a_mes6[[#This Row],[CUIT]],Lista_CUIT[#All],2,0)),"CUIT NO CARGADO")</f>
        <v>BIANCHINI LUCIANO</v>
      </c>
      <c r="H343" s="100">
        <v>52282.7</v>
      </c>
      <c r="I343" s="101">
        <f>venta_a_mes6[[#This Row],[IMPORTE NETO]]*0.21</f>
        <v>10979.366999999998</v>
      </c>
      <c r="J343" s="65"/>
      <c r="K343" s="65"/>
      <c r="L343" s="65">
        <f>SUM(venta_a_mes6[[#This Row],[IMPORTE NETO]:[EXENTO]])</f>
        <v>63262.066999999995</v>
      </c>
      <c r="M343" s="59"/>
    </row>
    <row r="344" spans="2:13">
      <c r="B344" s="40" t="s">
        <v>2323</v>
      </c>
      <c r="C344" s="41">
        <v>1</v>
      </c>
      <c r="D344" s="42">
        <v>10</v>
      </c>
      <c r="E344" s="43">
        <v>11686</v>
      </c>
      <c r="F344" s="44">
        <v>23357502209</v>
      </c>
      <c r="G344" s="99" t="str">
        <f>IFERROR(IF(venta_a_mes6[[#This Row],[CUIT]]="","-",VLOOKUP(venta_a_mes6[[#This Row],[CUIT]],Lista_CUIT[#All],2,0)),"CUIT NO CARGADO")</f>
        <v>BIANCHINI LUCIANO</v>
      </c>
      <c r="H344" s="100">
        <v>106909.22</v>
      </c>
      <c r="I344" s="101">
        <f>venta_a_mes6[[#This Row],[IMPORTE NETO]]*0.21</f>
        <v>22450.9362</v>
      </c>
      <c r="J344" s="65"/>
      <c r="K344" s="65"/>
      <c r="L344" s="65">
        <f>SUM(venta_a_mes6[[#This Row],[IMPORTE NETO]:[EXENTO]])</f>
        <v>129360.1562</v>
      </c>
      <c r="M344" s="59"/>
    </row>
    <row r="345" spans="2:13">
      <c r="B345" s="40" t="s">
        <v>2323</v>
      </c>
      <c r="C345" s="41">
        <v>1</v>
      </c>
      <c r="D345" s="42">
        <v>10</v>
      </c>
      <c r="E345" s="43">
        <v>11685</v>
      </c>
      <c r="F345" s="44">
        <v>27223495317</v>
      </c>
      <c r="G345" s="99" t="str">
        <f>IFERROR(IF(venta_a_mes6[[#This Row],[CUIT]]="","-",VLOOKUP(venta_a_mes6[[#This Row],[CUIT]],Lista_CUIT[#All],2,0)),"CUIT NO CARGADO")</f>
        <v>GALAN ANABEL ISABEL</v>
      </c>
      <c r="H345" s="100">
        <v>130718.49</v>
      </c>
      <c r="I345" s="101">
        <f>venta_a_mes6[[#This Row],[IMPORTE NETO]]*0.21</f>
        <v>27450.882900000001</v>
      </c>
      <c r="J345" s="65"/>
      <c r="K345" s="65"/>
      <c r="L345" s="65">
        <f>SUM(venta_a_mes6[[#This Row],[IMPORTE NETO]:[EXENTO]])</f>
        <v>158169.37290000002</v>
      </c>
      <c r="M345" s="59"/>
    </row>
    <row r="346" spans="2:13">
      <c r="B346" s="40" t="s">
        <v>2323</v>
      </c>
      <c r="C346" s="41">
        <v>1</v>
      </c>
      <c r="D346" s="42">
        <v>10</v>
      </c>
      <c r="E346" s="43">
        <v>11695</v>
      </c>
      <c r="F346" s="44">
        <v>30711428514</v>
      </c>
      <c r="G346" s="99" t="str">
        <f>IFERROR(IF(venta_a_mes6[[#This Row],[CUIT]]="","-",VLOOKUP(venta_a_mes6[[#This Row],[CUIT]],Lista_CUIT[#All],2,0)),"CUIT NO CARGADO")</f>
        <v>JABONES Y FRAGANCIAS S.A</v>
      </c>
      <c r="H346" s="100">
        <v>66776.929999999993</v>
      </c>
      <c r="I346" s="101">
        <f>venta_a_mes6[[#This Row],[IMPORTE NETO]]*0.21</f>
        <v>14023.155299999999</v>
      </c>
      <c r="J346" s="65"/>
      <c r="K346" s="65"/>
      <c r="L346" s="65">
        <f>SUM(venta_a_mes6[[#This Row],[IMPORTE NETO]:[EXENTO]])</f>
        <v>80800.085299999992</v>
      </c>
      <c r="M346" s="59"/>
    </row>
    <row r="347" spans="2:13">
      <c r="B347" s="40" t="s">
        <v>2323</v>
      </c>
      <c r="C347" s="41">
        <v>1</v>
      </c>
      <c r="D347" s="42">
        <v>10</v>
      </c>
      <c r="E347" s="43">
        <v>11688</v>
      </c>
      <c r="F347" s="44">
        <v>30712031618</v>
      </c>
      <c r="G347" s="99" t="str">
        <f>IFERROR(IF(venta_a_mes6[[#This Row],[CUIT]]="","-",VLOOKUP(venta_a_mes6[[#This Row],[CUIT]],Lista_CUIT[#All],2,0)),"CUIT NO CARGADO")</f>
        <v>CUIT NO CARGADO</v>
      </c>
      <c r="H347" s="100">
        <v>160123.97</v>
      </c>
      <c r="I347" s="101">
        <f>venta_a_mes6[[#This Row],[IMPORTE NETO]]*0.21</f>
        <v>33626.0337</v>
      </c>
      <c r="J347" s="65"/>
      <c r="K347" s="65"/>
      <c r="L347" s="65">
        <f>SUM(venta_a_mes6[[#This Row],[IMPORTE NETO]:[EXENTO]])</f>
        <v>193750.0037</v>
      </c>
      <c r="M347" s="59"/>
    </row>
    <row r="348" spans="2:13">
      <c r="B348" s="40" t="s">
        <v>2323</v>
      </c>
      <c r="C348" s="41">
        <v>1</v>
      </c>
      <c r="D348" s="42">
        <v>10</v>
      </c>
      <c r="E348" s="43">
        <v>11694</v>
      </c>
      <c r="F348" s="44">
        <v>20254152715</v>
      </c>
      <c r="G348" s="99" t="str">
        <f>IFERROR(IF(venta_a_mes6[[#This Row],[CUIT]]="","-",VLOOKUP(venta_a_mes6[[#This Row],[CUIT]],Lista_CUIT[#All],2,0)),"CUIT NO CARGADO")</f>
        <v>CUIT NO CARGADO</v>
      </c>
      <c r="H348" s="100">
        <v>86479.45</v>
      </c>
      <c r="I348" s="101">
        <f>venta_a_mes6[[#This Row],[IMPORTE NETO]]*0.21</f>
        <v>18160.684499999999</v>
      </c>
      <c r="J348" s="65"/>
      <c r="K348" s="65"/>
      <c r="L348" s="65">
        <f>SUM(venta_a_mes6[[#This Row],[IMPORTE NETO]:[EXENTO]])</f>
        <v>104640.1345</v>
      </c>
      <c r="M348" s="59"/>
    </row>
    <row r="349" spans="2:13">
      <c r="B349" s="40" t="s">
        <v>2323</v>
      </c>
      <c r="C349" s="41">
        <v>1</v>
      </c>
      <c r="D349" s="42">
        <v>10</v>
      </c>
      <c r="E349" s="43">
        <v>11682</v>
      </c>
      <c r="F349" s="44">
        <v>30711604703</v>
      </c>
      <c r="G349" s="99" t="str">
        <f>IFERROR(IF(venta_a_mes6[[#This Row],[CUIT]]="","-",VLOOKUP(venta_a_mes6[[#This Row],[CUIT]],Lista_CUIT[#All],2,0)),"CUIT NO CARGADO")</f>
        <v>KORE S.A.</v>
      </c>
      <c r="H349" s="100">
        <v>425130.1</v>
      </c>
      <c r="I349" s="101">
        <f>venta_a_mes6[[#This Row],[IMPORTE NETO]]*0.21</f>
        <v>89277.320999999996</v>
      </c>
      <c r="J349" s="65"/>
      <c r="K349" s="65"/>
      <c r="L349" s="65">
        <f>SUM(venta_a_mes6[[#This Row],[IMPORTE NETO]:[EXENTO]])</f>
        <v>514407.42099999997</v>
      </c>
      <c r="M349" s="59"/>
    </row>
    <row r="350" spans="2:13">
      <c r="B350" s="40" t="s">
        <v>2323</v>
      </c>
      <c r="C350" s="41">
        <v>1</v>
      </c>
      <c r="D350" s="42">
        <v>10</v>
      </c>
      <c r="E350" s="43">
        <v>11684</v>
      </c>
      <c r="F350" s="44">
        <v>30711604703</v>
      </c>
      <c r="G350" s="99" t="str">
        <f>IFERROR(IF(venta_a_mes6[[#This Row],[CUIT]]="","-",VLOOKUP(venta_a_mes6[[#This Row],[CUIT]],Lista_CUIT[#All],2,0)),"CUIT NO CARGADO")</f>
        <v>KORE S.A.</v>
      </c>
      <c r="H350" s="100">
        <v>483525</v>
      </c>
      <c r="I350" s="101">
        <f>venta_a_mes6[[#This Row],[IMPORTE NETO]]*0.21</f>
        <v>101540.25</v>
      </c>
      <c r="J350" s="65"/>
      <c r="K350" s="65"/>
      <c r="L350" s="65">
        <f>SUM(venta_a_mes6[[#This Row],[IMPORTE NETO]:[EXENTO]])</f>
        <v>585065.25</v>
      </c>
      <c r="M350" s="59"/>
    </row>
    <row r="351" spans="2:13">
      <c r="B351" s="40" t="s">
        <v>2323</v>
      </c>
      <c r="C351" s="41">
        <v>1</v>
      </c>
      <c r="D351" s="42">
        <v>10</v>
      </c>
      <c r="E351" s="43">
        <v>11683</v>
      </c>
      <c r="F351" s="44">
        <v>30711604703</v>
      </c>
      <c r="G351" s="99" t="str">
        <f>IFERROR(IF(venta_a_mes6[[#This Row],[CUIT]]="","-",VLOOKUP(venta_a_mes6[[#This Row],[CUIT]],Lista_CUIT[#All],2,0)),"CUIT NO CARGADO")</f>
        <v>KORE S.A.</v>
      </c>
      <c r="H351" s="100">
        <v>215289.26</v>
      </c>
      <c r="I351" s="101">
        <f>venta_a_mes6[[#This Row],[IMPORTE NETO]]*0.21</f>
        <v>45210.744599999998</v>
      </c>
      <c r="J351" s="65"/>
      <c r="K351" s="65"/>
      <c r="L351" s="65">
        <f>SUM(venta_a_mes6[[#This Row],[IMPORTE NETO]:[EXENTO]])</f>
        <v>260500.00460000001</v>
      </c>
      <c r="M351" s="59"/>
    </row>
    <row r="352" spans="2:13">
      <c r="B352" s="40" t="s">
        <v>2324</v>
      </c>
      <c r="C352" s="41">
        <v>1</v>
      </c>
      <c r="D352" s="42">
        <v>10</v>
      </c>
      <c r="E352" s="43">
        <v>11696</v>
      </c>
      <c r="F352" s="44">
        <v>30717318060</v>
      </c>
      <c r="G352" s="99" t="str">
        <f>IFERROR(IF(venta_a_mes6[[#This Row],[CUIT]]="","-",VLOOKUP(venta_a_mes6[[#This Row],[CUIT]],Lista_CUIT[#All],2,0)),"CUIT NO CARGADO")</f>
        <v>CUIT NO CARGADO</v>
      </c>
      <c r="H352" s="100">
        <v>37706.660000000003</v>
      </c>
      <c r="I352" s="101">
        <f>venta_a_mes6[[#This Row],[IMPORTE NETO]]*0.21</f>
        <v>7918.3986000000004</v>
      </c>
      <c r="J352" s="65"/>
      <c r="K352" s="65"/>
      <c r="L352" s="65">
        <f>SUM(venta_a_mes6[[#This Row],[IMPORTE NETO]:[EXENTO]])</f>
        <v>45625.058600000004</v>
      </c>
      <c r="M352" s="59"/>
    </row>
    <row r="353" spans="2:13">
      <c r="B353" s="40" t="s">
        <v>2324</v>
      </c>
      <c r="C353" s="41">
        <v>1</v>
      </c>
      <c r="D353" s="42">
        <v>12</v>
      </c>
      <c r="E353" s="43">
        <v>1583</v>
      </c>
      <c r="F353" s="44">
        <v>27940533924</v>
      </c>
      <c r="G353" s="99" t="str">
        <f>IFERROR(IF(venta_a_mes6[[#This Row],[CUIT]]="","-",VLOOKUP(venta_a_mes6[[#This Row],[CUIT]],Lista_CUIT[#All],2,0)),"CUIT NO CARGADO")</f>
        <v>QUEZADA PINEDA KAREN STEPHANY</v>
      </c>
      <c r="H353" s="100">
        <v>130801.65</v>
      </c>
      <c r="I353" s="101">
        <f>venta_a_mes6[[#This Row],[IMPORTE NETO]]*0.21</f>
        <v>27468.346499999996</v>
      </c>
      <c r="J353" s="65"/>
      <c r="K353" s="65"/>
      <c r="L353" s="65">
        <f>SUM(venta_a_mes6[[#This Row],[IMPORTE NETO]:[EXENTO]])</f>
        <v>158269.99649999998</v>
      </c>
      <c r="M353" s="59"/>
    </row>
    <row r="354" spans="2:13">
      <c r="B354" s="40" t="s">
        <v>2324</v>
      </c>
      <c r="C354" s="41">
        <v>1</v>
      </c>
      <c r="D354" s="42">
        <v>12</v>
      </c>
      <c r="E354" s="43">
        <v>1585</v>
      </c>
      <c r="F354" s="44">
        <v>23166393574</v>
      </c>
      <c r="G354" s="99" t="str">
        <f>IFERROR(IF(venta_a_mes6[[#This Row],[CUIT]]="","-",VLOOKUP(venta_a_mes6[[#This Row],[CUIT]],Lista_CUIT[#All],2,0)),"CUIT NO CARGADO")</f>
        <v>Amelia Claudia Djelil</v>
      </c>
      <c r="H354" s="100">
        <v>103867.77</v>
      </c>
      <c r="I354" s="101">
        <f>venta_a_mes6[[#This Row],[IMPORTE NETO]]*0.21</f>
        <v>21812.2317</v>
      </c>
      <c r="J354" s="65"/>
      <c r="K354" s="65"/>
      <c r="L354" s="65">
        <f>SUM(venta_a_mes6[[#This Row],[IMPORTE NETO]:[EXENTO]])</f>
        <v>125680.00170000001</v>
      </c>
      <c r="M354" s="59"/>
    </row>
    <row r="355" spans="2:13">
      <c r="B355" s="40" t="s">
        <v>2324</v>
      </c>
      <c r="C355" s="41">
        <v>1</v>
      </c>
      <c r="D355" s="42">
        <v>12</v>
      </c>
      <c r="E355" s="43">
        <v>1584</v>
      </c>
      <c r="F355" s="44">
        <v>27940533924</v>
      </c>
      <c r="G355" s="99" t="str">
        <f>IFERROR(IF(venta_a_mes6[[#This Row],[CUIT]]="","-",VLOOKUP(venta_a_mes6[[#This Row],[CUIT]],Lista_CUIT[#All],2,0)),"CUIT NO CARGADO")</f>
        <v>QUEZADA PINEDA KAREN STEPHANY</v>
      </c>
      <c r="H355" s="100">
        <v>4512.3999999999996</v>
      </c>
      <c r="I355" s="101">
        <f>venta_a_mes6[[#This Row],[IMPORTE NETO]]*0.21</f>
        <v>947.60399999999993</v>
      </c>
      <c r="J355" s="65"/>
      <c r="K355" s="65"/>
      <c r="L355" s="65">
        <f>SUM(venta_a_mes6[[#This Row],[IMPORTE NETO]:[EXENTO]])</f>
        <v>5460.0039999999999</v>
      </c>
      <c r="M355" s="59"/>
    </row>
    <row r="356" spans="2:13">
      <c r="B356" s="40" t="s">
        <v>2324</v>
      </c>
      <c r="C356" s="41">
        <v>1</v>
      </c>
      <c r="D356" s="42">
        <v>13</v>
      </c>
      <c r="E356" s="43">
        <v>1280</v>
      </c>
      <c r="F356" s="44">
        <v>20108974932</v>
      </c>
      <c r="G356" s="99" t="str">
        <f>IFERROR(IF(venta_a_mes6[[#This Row],[CUIT]]="","-",VLOOKUP(venta_a_mes6[[#This Row],[CUIT]],Lista_CUIT[#All],2,0)),"CUIT NO CARGADO")</f>
        <v>CUIT NO CARGADO</v>
      </c>
      <c r="H356" s="100">
        <v>61024.86</v>
      </c>
      <c r="I356" s="101">
        <f>venta_a_mes6[[#This Row],[IMPORTE NETO]]*0.21</f>
        <v>12815.220599999999</v>
      </c>
      <c r="J356" s="65"/>
      <c r="K356" s="65"/>
      <c r="L356" s="65">
        <f>SUM(venta_a_mes6[[#This Row],[IMPORTE NETO]:[EXENTO]])</f>
        <v>73840.080600000001</v>
      </c>
      <c r="M356" s="59"/>
    </row>
    <row r="357" spans="2:13">
      <c r="B357" s="40" t="s">
        <v>2324</v>
      </c>
      <c r="C357" s="41">
        <v>1</v>
      </c>
      <c r="D357" s="42">
        <v>10</v>
      </c>
      <c r="E357" s="43">
        <v>11697</v>
      </c>
      <c r="F357" s="44">
        <v>30717318060</v>
      </c>
      <c r="G357" s="99" t="str">
        <f>IFERROR(IF(venta_a_mes6[[#This Row],[CUIT]]="","-",VLOOKUP(venta_a_mes6[[#This Row],[CUIT]],Lista_CUIT[#All],2,0)),"CUIT NO CARGADO")</f>
        <v>CUIT NO CARGADO</v>
      </c>
      <c r="H357" s="100">
        <v>58219.09</v>
      </c>
      <c r="I357" s="101">
        <f>venta_a_mes6[[#This Row],[IMPORTE NETO]]*0.21</f>
        <v>12226.008899999999</v>
      </c>
      <c r="J357" s="65"/>
      <c r="K357" s="65"/>
      <c r="L357" s="65">
        <f>SUM(venta_a_mes6[[#This Row],[IMPORTE NETO]:[EXENTO]])</f>
        <v>70445.098899999997</v>
      </c>
      <c r="M357" s="59"/>
    </row>
    <row r="358" spans="2:13">
      <c r="B358" s="40" t="s">
        <v>2325</v>
      </c>
      <c r="C358" s="41">
        <v>1</v>
      </c>
      <c r="D358" s="42">
        <v>10</v>
      </c>
      <c r="E358" s="43">
        <v>11701</v>
      </c>
      <c r="F358" s="44">
        <v>20234861973</v>
      </c>
      <c r="G358" s="99" t="str">
        <f>IFERROR(IF(venta_a_mes6[[#This Row],[CUIT]]="","-",VLOOKUP(venta_a_mes6[[#This Row],[CUIT]],Lista_CUIT[#All],2,0)),"CUIT NO CARGADO")</f>
        <v>MILEO VICENTE SAMUEL</v>
      </c>
      <c r="H358" s="100">
        <v>521719.65</v>
      </c>
      <c r="I358" s="101">
        <f>venta_a_mes6[[#This Row],[IMPORTE NETO]]*0.21</f>
        <v>109561.1265</v>
      </c>
      <c r="J358" s="65"/>
      <c r="K358" s="65"/>
      <c r="L358" s="65">
        <f>SUM(venta_a_mes6[[#This Row],[IMPORTE NETO]:[EXENTO]])</f>
        <v>631280.77650000004</v>
      </c>
      <c r="M358" s="59"/>
    </row>
    <row r="359" spans="2:13">
      <c r="B359" s="40" t="s">
        <v>2325</v>
      </c>
      <c r="C359" s="41">
        <v>1</v>
      </c>
      <c r="D359" s="42">
        <v>10</v>
      </c>
      <c r="E359" s="43">
        <v>11702</v>
      </c>
      <c r="F359" s="44">
        <v>20234861973</v>
      </c>
      <c r="G359" s="99" t="str">
        <f>IFERROR(IF(venta_a_mes6[[#This Row],[CUIT]]="","-",VLOOKUP(venta_a_mes6[[#This Row],[CUIT]],Lista_CUIT[#All],2,0)),"CUIT NO CARGADO")</f>
        <v>MILEO VICENTE SAMUEL</v>
      </c>
      <c r="H359" s="100">
        <v>134297.51999999999</v>
      </c>
      <c r="I359" s="101">
        <f>venta_a_mes6[[#This Row],[IMPORTE NETO]]*0.21</f>
        <v>28202.479199999998</v>
      </c>
      <c r="J359" s="65"/>
      <c r="K359" s="65"/>
      <c r="L359" s="65">
        <f>SUM(venta_a_mes6[[#This Row],[IMPORTE NETO]:[EXENTO]])</f>
        <v>162499.99919999999</v>
      </c>
      <c r="M359" s="59"/>
    </row>
    <row r="360" spans="2:13">
      <c r="B360" s="40" t="s">
        <v>2325</v>
      </c>
      <c r="C360" s="41">
        <v>1</v>
      </c>
      <c r="D360" s="42">
        <v>10</v>
      </c>
      <c r="E360" s="43">
        <v>11700</v>
      </c>
      <c r="F360" s="44">
        <v>20234861973</v>
      </c>
      <c r="G360" s="99" t="str">
        <f>IFERROR(IF(venta_a_mes6[[#This Row],[CUIT]]="","-",VLOOKUP(venta_a_mes6[[#This Row],[CUIT]],Lista_CUIT[#All],2,0)),"CUIT NO CARGADO")</f>
        <v>MILEO VICENTE SAMUEL</v>
      </c>
      <c r="H360" s="100">
        <v>111702.62</v>
      </c>
      <c r="I360" s="101">
        <f>venta_a_mes6[[#This Row],[IMPORTE NETO]]*0.21</f>
        <v>23457.550199999998</v>
      </c>
      <c r="J360" s="65"/>
      <c r="K360" s="65"/>
      <c r="L360" s="65">
        <f>SUM(venta_a_mes6[[#This Row],[IMPORTE NETO]:[EXENTO]])</f>
        <v>135160.17019999999</v>
      </c>
      <c r="M360" s="59"/>
    </row>
    <row r="361" spans="2:13">
      <c r="B361" s="40" t="s">
        <v>2325</v>
      </c>
      <c r="C361" s="41">
        <v>1</v>
      </c>
      <c r="D361" s="42">
        <v>10</v>
      </c>
      <c r="E361" s="43">
        <v>11699</v>
      </c>
      <c r="F361" s="44">
        <v>30716421151</v>
      </c>
      <c r="G361" s="99" t="str">
        <f>IFERROR(IF(venta_a_mes6[[#This Row],[CUIT]]="","-",VLOOKUP(venta_a_mes6[[#This Row],[CUIT]],Lista_CUIT[#All],2,0)),"CUIT NO CARGADO")</f>
        <v>ILONA AYOUB S.A.S. </v>
      </c>
      <c r="H361" s="100">
        <v>93997.87</v>
      </c>
      <c r="I361" s="101">
        <f>venta_a_mes6[[#This Row],[IMPORTE NETO]]*0.21</f>
        <v>19739.552699999997</v>
      </c>
      <c r="J361" s="65"/>
      <c r="K361" s="65"/>
      <c r="L361" s="65">
        <f>SUM(venta_a_mes6[[#This Row],[IMPORTE NETO]:[EXENTO]])</f>
        <v>113737.4227</v>
      </c>
      <c r="M361" s="59"/>
    </row>
    <row r="362" spans="2:13">
      <c r="B362" s="40" t="s">
        <v>2325</v>
      </c>
      <c r="C362" s="41">
        <v>1</v>
      </c>
      <c r="D362" s="42">
        <v>10</v>
      </c>
      <c r="E362" s="43">
        <v>11698</v>
      </c>
      <c r="F362" s="44">
        <v>20114765822</v>
      </c>
      <c r="G362" s="99" t="str">
        <f>IFERROR(IF(venta_a_mes6[[#This Row],[CUIT]]="","-",VLOOKUP(venta_a_mes6[[#This Row],[CUIT]],Lista_CUIT[#All],2,0)),"CUIT NO CARGADO")</f>
        <v>CUIT NO CARGADO</v>
      </c>
      <c r="H362" s="100">
        <v>73750.080000000002</v>
      </c>
      <c r="I362" s="101">
        <f>venta_a_mes6[[#This Row],[IMPORTE NETO]]*0.21</f>
        <v>15487.516799999999</v>
      </c>
      <c r="J362" s="65"/>
      <c r="K362" s="65"/>
      <c r="L362" s="65">
        <f>SUM(venta_a_mes6[[#This Row],[IMPORTE NETO]:[EXENTO]])</f>
        <v>89237.596799999999</v>
      </c>
      <c r="M362" s="59"/>
    </row>
    <row r="363" spans="2:13">
      <c r="B363" s="40" t="s">
        <v>2325</v>
      </c>
      <c r="C363" s="41">
        <v>1</v>
      </c>
      <c r="D363" s="42">
        <v>10</v>
      </c>
      <c r="E363" s="43">
        <v>11703</v>
      </c>
      <c r="F363" s="44">
        <v>30717398196</v>
      </c>
      <c r="G363" s="99" t="str">
        <f>IFERROR(IF(venta_a_mes6[[#This Row],[CUIT]]="","-",VLOOKUP(venta_a_mes6[[#This Row],[CUIT]],Lista_CUIT[#All],2,0)),"CUIT NO CARGADO")</f>
        <v>QUANTUM KOSMETICA S.R.L.</v>
      </c>
      <c r="H363" s="100">
        <v>2039565.94</v>
      </c>
      <c r="I363" s="101">
        <f>venta_a_mes6[[#This Row],[IMPORTE NETO]]*0.21</f>
        <v>428308.84739999997</v>
      </c>
      <c r="J363" s="65"/>
      <c r="K363" s="65"/>
      <c r="L363" s="65">
        <f>SUM(venta_a_mes6[[#This Row],[IMPORTE NETO]:[EXENTO]])</f>
        <v>2467874.7873999998</v>
      </c>
      <c r="M363" s="59"/>
    </row>
    <row r="364" spans="2:13">
      <c r="B364" s="40" t="s">
        <v>2325</v>
      </c>
      <c r="C364" s="41">
        <v>1</v>
      </c>
      <c r="D364" s="42">
        <v>10</v>
      </c>
      <c r="E364" s="43">
        <v>11704</v>
      </c>
      <c r="F364" s="44">
        <v>30717398196</v>
      </c>
      <c r="G364" s="99" t="str">
        <f>IFERROR(IF(venta_a_mes6[[#This Row],[CUIT]]="","-",VLOOKUP(venta_a_mes6[[#This Row],[CUIT]],Lista_CUIT[#All],2,0)),"CUIT NO CARGADO")</f>
        <v>QUANTUM KOSMETICA S.R.L.</v>
      </c>
      <c r="H364" s="100">
        <v>751550.09</v>
      </c>
      <c r="I364" s="101">
        <f>venta_a_mes6[[#This Row],[IMPORTE NETO]]*0.21</f>
        <v>157825.5189</v>
      </c>
      <c r="J364" s="65"/>
      <c r="K364" s="65"/>
      <c r="L364" s="65">
        <f>SUM(venta_a_mes6[[#This Row],[IMPORTE NETO]:[EXENTO]])</f>
        <v>909375.60889999999</v>
      </c>
      <c r="M364" s="59"/>
    </row>
    <row r="365" spans="2:13">
      <c r="B365" s="40"/>
      <c r="C365" s="41"/>
      <c r="D365" s="42"/>
      <c r="E365" s="43"/>
      <c r="F365" s="44"/>
      <c r="G365" s="99" t="str">
        <f>IFERROR(IF(venta_a_mes6[[#This Row],[CUIT]]="","-",VLOOKUP(venta_a_mes6[[#This Row],[CUIT]],Lista_CUIT[#All],2,0)),"CUIT NO CARGADO")</f>
        <v>-</v>
      </c>
      <c r="H365" s="100"/>
      <c r="I365" s="101">
        <f>venta_a_mes6[[#This Row],[IMPORTE NETO]]*0.21</f>
        <v>0</v>
      </c>
      <c r="J365" s="65"/>
      <c r="K365" s="65"/>
      <c r="L365" s="65">
        <f>SUM(venta_a_mes6[[#This Row],[IMPORTE NETO]:[EXENTO]])</f>
        <v>0</v>
      </c>
      <c r="M365" s="59"/>
    </row>
    <row r="366" spans="2:13">
      <c r="B366" s="40"/>
      <c r="C366" s="41"/>
      <c r="D366" s="42"/>
      <c r="E366" s="43"/>
      <c r="F366" s="44"/>
      <c r="G366" s="99" t="str">
        <f>IFERROR(IF(venta_a_mes6[[#This Row],[CUIT]]="","-",VLOOKUP(venta_a_mes6[[#This Row],[CUIT]],Lista_CUIT[#All],2,0)),"CUIT NO CARGADO")</f>
        <v>-</v>
      </c>
      <c r="H366" s="100"/>
      <c r="I366" s="101">
        <f>venta_a_mes6[[#This Row],[IMPORTE NETO]]*0.21</f>
        <v>0</v>
      </c>
      <c r="J366" s="65"/>
      <c r="K366" s="65"/>
      <c r="L366" s="65">
        <f>SUM(venta_a_mes6[[#This Row],[IMPORTE NETO]:[EXENTO]])</f>
        <v>0</v>
      </c>
      <c r="M366" s="63"/>
    </row>
    <row r="367" spans="2:13">
      <c r="B367" s="102"/>
      <c r="C367" s="103"/>
      <c r="D367" s="104"/>
      <c r="E367" s="105"/>
      <c r="F367" s="106"/>
      <c r="G367" s="99" t="str">
        <f>IFERROR(IF(venta_a_mes6[[#This Row],[CUIT]]="","-",VLOOKUP(venta_a_mes6[[#This Row],[CUIT]],Lista_CUIT[#All],2,0)),"CUIT NO CARGADO")</f>
        <v>-</v>
      </c>
      <c r="H367" s="107"/>
      <c r="I367" s="108">
        <f>venta_a_mes6[[#This Row],[IMPORTE NETO]]*0.21</f>
        <v>0</v>
      </c>
      <c r="J367" s="72"/>
      <c r="K367" s="72"/>
      <c r="L367" s="72">
        <f>SUM(venta_a_mes6[[#This Row],[IMPORTE NETO]:[EXENTO]])</f>
        <v>0</v>
      </c>
      <c r="M367" s="63"/>
    </row>
    <row r="368" spans="2:13">
      <c r="B368" s="109"/>
      <c r="C368" s="110"/>
      <c r="D368" s="111"/>
      <c r="E368" s="112"/>
      <c r="F368" s="113"/>
      <c r="G368" s="99" t="str">
        <f>IFERROR(IF(venta_a_mes6[[#This Row],[CUIT]]="","-",VLOOKUP(venta_a_mes6[[#This Row],[CUIT]],Lista_CUIT[#All],2,0)),"CUIT NO CARGADO")</f>
        <v>-</v>
      </c>
      <c r="H368" s="100"/>
      <c r="I368" s="101">
        <f>venta_a_mes6[[#This Row],[IMPORTE NETO]]*0.21</f>
        <v>0</v>
      </c>
      <c r="J368" s="65"/>
      <c r="K368" s="65"/>
      <c r="L368" s="65">
        <f>SUM(venta_a_mes6[[#This Row],[IMPORTE NETO]:[EXENTO]])</f>
        <v>0</v>
      </c>
      <c r="M368" s="59"/>
    </row>
    <row r="369" spans="2:13">
      <c r="B369" s="66" t="s">
        <v>103</v>
      </c>
      <c r="C369" s="67"/>
      <c r="D369" s="67"/>
      <c r="E369" s="67"/>
      <c r="F369" s="67"/>
      <c r="G369" s="67"/>
      <c r="H369" s="69">
        <f>SUBTOTAL(109,venta_a_mes6[IMPORTE NETO])</f>
        <v>43681796.190000013</v>
      </c>
      <c r="I369" s="70">
        <f>SUBTOTAL(109,venta_a_mes6[IVA 21%])</f>
        <v>9173177.1998999994</v>
      </c>
      <c r="J369" s="71">
        <f>SUBTOTAL(109,venta_a_mes6[IVA 10,5%])</f>
        <v>0</v>
      </c>
      <c r="K369" s="71">
        <f>SUBTOTAL(109,venta_a_mes6[EXENTO])</f>
        <v>0</v>
      </c>
      <c r="L369" s="71">
        <f>SUBTOTAL(109,venta_a_mes6[TOTAL])</f>
        <v>52854973.389899991</v>
      </c>
      <c r="M369" s="68">
        <f>SUBTOTAL(103,venta_a_mes6[Provincia])</f>
        <v>0</v>
      </c>
    </row>
    <row r="372" spans="2:13" ht="21">
      <c r="B372" s="713" t="s">
        <v>1863</v>
      </c>
      <c r="C372" s="713"/>
    </row>
    <row r="373" spans="2:13" ht="15.75">
      <c r="B373" s="60" t="s">
        <v>0</v>
      </c>
      <c r="C373" s="61" t="s">
        <v>1</v>
      </c>
      <c r="D373" s="61" t="s">
        <v>21</v>
      </c>
      <c r="E373" s="61" t="s">
        <v>22</v>
      </c>
      <c r="F373" s="61" t="s">
        <v>3</v>
      </c>
      <c r="G373" s="61" t="s">
        <v>4</v>
      </c>
      <c r="H373" s="61" t="s">
        <v>23</v>
      </c>
      <c r="I373" s="61" t="s">
        <v>17</v>
      </c>
      <c r="J373" s="61" t="s">
        <v>7</v>
      </c>
      <c r="K373" s="61" t="s">
        <v>24</v>
      </c>
      <c r="L373" s="61" t="s">
        <v>10</v>
      </c>
      <c r="M373" s="62" t="s">
        <v>38</v>
      </c>
    </row>
    <row r="374" spans="2:13">
      <c r="B374" s="40" t="s">
        <v>2312</v>
      </c>
      <c r="C374" s="41"/>
      <c r="D374" s="42">
        <v>6</v>
      </c>
      <c r="E374" s="43">
        <v>93</v>
      </c>
      <c r="F374" s="44">
        <v>55000002126</v>
      </c>
      <c r="G374" s="1" t="str">
        <f>IFERROR(IF(ventas_b_mes6[[#This Row],[CUIT]]="","-",VLOOKUP(ventas_b_mes6[[#This Row],[CUIT]],Lista_CUIT[#All],2,0)),"CUIT NO CARGADO")</f>
        <v>Lauma Group LLC</v>
      </c>
      <c r="H374" s="64">
        <v>7294203.3999999994</v>
      </c>
      <c r="I374" s="64"/>
      <c r="J374" s="64"/>
      <c r="K374" s="64"/>
      <c r="L374" s="64">
        <f>SUM(ventas_b_mes6[[#This Row],[IMPORTE NETO]:[EXENTO]])</f>
        <v>7294203.3999999994</v>
      </c>
      <c r="M374" s="59"/>
    </row>
    <row r="375" spans="2:13">
      <c r="B375" s="40"/>
      <c r="C375" s="41"/>
      <c r="D375" s="42"/>
      <c r="E375" s="43"/>
      <c r="F375" s="44"/>
      <c r="G375" s="1" t="str">
        <f>IFERROR(IF(ventas_b_mes6[[#This Row],[CUIT]]="","-",VLOOKUP(ventas_b_mes6[[#This Row],[CUIT]],Lista_CUIT[#All],2,0)),"CUIT NO CARGADO")</f>
        <v>-</v>
      </c>
      <c r="H375" s="64"/>
      <c r="I375" s="64"/>
      <c r="J375" s="64"/>
      <c r="K375" s="64"/>
      <c r="L375" s="64">
        <f>SUM(ventas_b_mes6[[#This Row],[IMPORTE NETO]:[EXENTO]])</f>
        <v>0</v>
      </c>
      <c r="M375" s="59"/>
    </row>
    <row r="376" spans="2:13">
      <c r="B376" s="40"/>
      <c r="C376" s="41">
        <v>6</v>
      </c>
      <c r="D376" s="42"/>
      <c r="E376" s="43"/>
      <c r="F376" s="44"/>
      <c r="G376" s="1" t="str">
        <f>IFERROR(IF(ventas_b_mes6[[#This Row],[CUIT]]="","-",VLOOKUP(ventas_b_mes6[[#This Row],[CUIT]],Lista_CUIT[#All],2,0)),"CUIT NO CARGADO")</f>
        <v>-</v>
      </c>
      <c r="H376" s="64"/>
      <c r="I376" s="64"/>
      <c r="J376" s="64"/>
      <c r="K376" s="64"/>
      <c r="L376" s="64">
        <f>SUM(ventas_b_mes6[[#This Row],[IMPORTE NETO]:[EXENTO]])</f>
        <v>0</v>
      </c>
      <c r="M376" s="59"/>
    </row>
    <row r="377" spans="2:13">
      <c r="B377" s="40"/>
      <c r="C377" s="41"/>
      <c r="D377" s="42"/>
      <c r="E377" s="43"/>
      <c r="F377" s="44"/>
      <c r="G377" s="1" t="str">
        <f>IFERROR(IF(ventas_b_mes6[[#This Row],[CUIT]]="","-",VLOOKUP(ventas_b_mes6[[#This Row],[CUIT]],Lista_CUIT[#All],2,0)),"CUIT NO CARGADO")</f>
        <v>-</v>
      </c>
      <c r="H377" s="64"/>
      <c r="I377" s="64"/>
      <c r="J377" s="64"/>
      <c r="K377" s="64"/>
      <c r="L377" s="64">
        <f>SUM(ventas_b_mes6[[#This Row],[IMPORTE NETO]:[EXENTO]])</f>
        <v>0</v>
      </c>
      <c r="M377" s="59"/>
    </row>
    <row r="378" spans="2:13">
      <c r="B378" s="40"/>
      <c r="C378" s="41"/>
      <c r="D378" s="42"/>
      <c r="E378" s="43"/>
      <c r="F378" s="44"/>
      <c r="G378" s="1" t="str">
        <f>IFERROR(IF(ventas_b_mes6[[#This Row],[CUIT]]="","-",VLOOKUP(ventas_b_mes6[[#This Row],[CUIT]],Lista_CUIT[#All],2,0)),"CUIT NO CARGADO")</f>
        <v>-</v>
      </c>
      <c r="H378" s="64"/>
      <c r="I378" s="64"/>
      <c r="J378" s="64"/>
      <c r="K378" s="64"/>
      <c r="L378" s="64">
        <f>SUM(ventas_b_mes6[[#This Row],[IMPORTE NETO]:[EXENTO]])</f>
        <v>0</v>
      </c>
      <c r="M378" s="59"/>
    </row>
    <row r="379" spans="2:13">
      <c r="B379" s="40"/>
      <c r="C379" s="41"/>
      <c r="D379" s="42"/>
      <c r="E379" s="43"/>
      <c r="F379" s="44"/>
      <c r="G379" s="1" t="str">
        <f>IFERROR(IF(ventas_b_mes6[[#This Row],[CUIT]]="","-",VLOOKUP(ventas_b_mes6[[#This Row],[CUIT]],Lista_CUIT[#All],2,0)),"CUIT NO CARGADO")</f>
        <v>-</v>
      </c>
      <c r="H379" s="64"/>
      <c r="I379" s="64"/>
      <c r="J379" s="64"/>
      <c r="K379" s="64"/>
      <c r="L379" s="64">
        <f>SUM(ventas_b_mes6[[#This Row],[IMPORTE NETO]:[EXENTO]])</f>
        <v>0</v>
      </c>
      <c r="M379" s="59"/>
    </row>
    <row r="380" spans="2:13">
      <c r="B380" s="66" t="s">
        <v>103</v>
      </c>
      <c r="C380" s="67"/>
      <c r="D380" s="67"/>
      <c r="E380" s="67"/>
      <c r="F380" s="67"/>
      <c r="G380" s="67"/>
      <c r="H380" s="77">
        <f>SUBTOTAL(109,ventas_b_mes6[IMPORTE NETO])</f>
        <v>7294203.3999999994</v>
      </c>
      <c r="I380" s="77">
        <f>SUBTOTAL(109,ventas_b_mes6[IVA 21%])</f>
        <v>0</v>
      </c>
      <c r="J380" s="78">
        <f>SUBTOTAL(109,ventas_b_mes6[IVA 10,5%])</f>
        <v>0</v>
      </c>
      <c r="K380" s="78">
        <f>SUBTOTAL(109,ventas_b_mes6[EXENTO])</f>
        <v>0</v>
      </c>
      <c r="L380" s="78">
        <f>SUBTOTAL(109,ventas_b_mes6[TOTAL])</f>
        <v>7294203.3999999994</v>
      </c>
      <c r="M380" s="68">
        <f>SUBTOTAL(103,ventas_b_mes6[Provincia])</f>
        <v>0</v>
      </c>
    </row>
    <row r="382" spans="2:13" ht="21">
      <c r="B382" s="713" t="s">
        <v>31</v>
      </c>
      <c r="C382" s="713"/>
    </row>
    <row r="383" spans="2:13" ht="15.75">
      <c r="B383" s="60" t="s">
        <v>0</v>
      </c>
      <c r="C383" s="61" t="s">
        <v>1</v>
      </c>
      <c r="D383" s="61" t="s">
        <v>21</v>
      </c>
      <c r="E383" s="61" t="s">
        <v>22</v>
      </c>
      <c r="F383" s="61" t="s">
        <v>3</v>
      </c>
      <c r="G383" s="61" t="s">
        <v>4</v>
      </c>
      <c r="H383" s="61" t="s">
        <v>23</v>
      </c>
      <c r="I383" s="61" t="s">
        <v>17</v>
      </c>
      <c r="J383" s="61" t="s">
        <v>7</v>
      </c>
      <c r="K383" s="61" t="s">
        <v>24</v>
      </c>
      <c r="L383" s="61" t="s">
        <v>10</v>
      </c>
      <c r="M383" s="62" t="s">
        <v>38</v>
      </c>
    </row>
    <row r="384" spans="2:13">
      <c r="B384" s="40" t="s">
        <v>2327</v>
      </c>
      <c r="C384" s="41">
        <v>6</v>
      </c>
      <c r="D384" s="42">
        <v>11</v>
      </c>
      <c r="E384" s="43">
        <v>37970</v>
      </c>
      <c r="F384" s="44">
        <v>96314358</v>
      </c>
      <c r="G384" s="1" t="str">
        <f>IFERROR(IF(ventas_b_mes684[[#This Row],[CUIT]]="","-",VLOOKUP(ventas_b_mes684[[#This Row],[CUIT]],Lista_CUIT[#All],2,0)),"CUIT NO CARGADO")</f>
        <v>CUIT NO CARGADO</v>
      </c>
      <c r="H384" s="64">
        <v>867.77</v>
      </c>
      <c r="I384" s="64">
        <f>ventas_b_mes684[[#This Row],[IMPORTE NETO]]*0.21</f>
        <v>182.23169999999999</v>
      </c>
      <c r="J384" s="64"/>
      <c r="K384" s="64"/>
      <c r="L384" s="64">
        <f>SUM(ventas_b_mes684[[#This Row],[IMPORTE NETO]:[EXENTO]])</f>
        <v>1050.0017</v>
      </c>
      <c r="M384" s="59"/>
    </row>
    <row r="385" spans="2:13">
      <c r="B385" s="40" t="s">
        <v>2327</v>
      </c>
      <c r="C385" s="41">
        <v>6</v>
      </c>
      <c r="D385" s="42">
        <v>10</v>
      </c>
      <c r="E385" s="43">
        <v>54313</v>
      </c>
      <c r="F385" s="44">
        <v>96275487</v>
      </c>
      <c r="G385" s="1" t="str">
        <f>IFERROR(IF(ventas_b_mes684[[#This Row],[CUIT]]="","-",VLOOKUP(ventas_b_mes684[[#This Row],[CUIT]],Lista_CUIT[#All],2,0)),"CUIT NO CARGADO")</f>
        <v>CUIT NO CARGADO</v>
      </c>
      <c r="H385" s="64">
        <v>20661.16</v>
      </c>
      <c r="I385" s="64">
        <f>ventas_b_mes684[[#This Row],[IMPORTE NETO]]*0.21</f>
        <v>4338.8436000000002</v>
      </c>
      <c r="J385" s="64"/>
      <c r="K385" s="64"/>
      <c r="L385" s="64">
        <f>SUM(ventas_b_mes684[[#This Row],[IMPORTE NETO]:[EXENTO]])</f>
        <v>25000.0036</v>
      </c>
      <c r="M385" s="59"/>
    </row>
    <row r="386" spans="2:13">
      <c r="B386" s="40" t="s">
        <v>2327</v>
      </c>
      <c r="C386" s="41">
        <v>6</v>
      </c>
      <c r="D386" s="42">
        <v>12</v>
      </c>
      <c r="E386" s="43">
        <v>29536</v>
      </c>
      <c r="F386" s="44">
        <v>43085333</v>
      </c>
      <c r="G386" s="1" t="str">
        <f>IFERROR(IF(ventas_b_mes684[[#This Row],[CUIT]]="","-",VLOOKUP(ventas_b_mes684[[#This Row],[CUIT]],Lista_CUIT[#All],2,0)),"CUIT NO CARGADO")</f>
        <v>CUIT NO CARGADO</v>
      </c>
      <c r="H386" s="64">
        <v>6107.44</v>
      </c>
      <c r="I386" s="64">
        <f>ventas_b_mes684[[#This Row],[IMPORTE NETO]]*0.21</f>
        <v>1282.5623999999998</v>
      </c>
      <c r="J386" s="64"/>
      <c r="K386" s="64"/>
      <c r="L386" s="64">
        <f>SUM(ventas_b_mes684[[#This Row],[IMPORTE NETO]:[EXENTO]])</f>
        <v>7390.0023999999994</v>
      </c>
      <c r="M386" s="59"/>
    </row>
    <row r="387" spans="2:13">
      <c r="B387" s="40" t="s">
        <v>2327</v>
      </c>
      <c r="C387" s="41">
        <v>6</v>
      </c>
      <c r="D387" s="42">
        <v>15</v>
      </c>
      <c r="E387" s="43">
        <v>13134</v>
      </c>
      <c r="F387" s="44">
        <v>31316007</v>
      </c>
      <c r="G387" s="1" t="str">
        <f>IFERROR(IF(ventas_b_mes684[[#This Row],[CUIT]]="","-",VLOOKUP(ventas_b_mes684[[#This Row],[CUIT]],Lista_CUIT[#All],2,0)),"CUIT NO CARGADO")</f>
        <v>PAEZ, ANDREA VERONICA</v>
      </c>
      <c r="H387" s="64">
        <v>9545.4500000000007</v>
      </c>
      <c r="I387" s="64">
        <f>ventas_b_mes684[[#This Row],[IMPORTE NETO]]*0.21</f>
        <v>2004.5445</v>
      </c>
      <c r="J387" s="64"/>
      <c r="K387" s="64"/>
      <c r="L387" s="64">
        <f>SUM(ventas_b_mes684[[#This Row],[IMPORTE NETO]:[EXENTO]])</f>
        <v>11549.994500000001</v>
      </c>
      <c r="M387" s="59"/>
    </row>
    <row r="388" spans="2:13">
      <c r="B388" s="40" t="s">
        <v>2327</v>
      </c>
      <c r="C388" s="41">
        <v>6</v>
      </c>
      <c r="D388" s="42">
        <v>13</v>
      </c>
      <c r="E388" s="43">
        <v>32406</v>
      </c>
      <c r="F388" s="44">
        <v>17896532</v>
      </c>
      <c r="G388" s="1" t="str">
        <f>IFERROR(IF(ventas_b_mes684[[#This Row],[CUIT]]="","-",VLOOKUP(ventas_b_mes684[[#This Row],[CUIT]],Lista_CUIT[#All],2,0)),"CUIT NO CARGADO")</f>
        <v>CUIT NO CARGADO</v>
      </c>
      <c r="H388" s="64">
        <v>31181.82</v>
      </c>
      <c r="I388" s="64">
        <f>ventas_b_mes684[[#This Row],[IMPORTE NETO]]*0.21</f>
        <v>6548.1821999999993</v>
      </c>
      <c r="J388" s="64"/>
      <c r="K388" s="64"/>
      <c r="L388" s="64">
        <f>SUM(ventas_b_mes684[[#This Row],[IMPORTE NETO]:[EXENTO]])</f>
        <v>37730.002200000003</v>
      </c>
      <c r="M388" s="59"/>
    </row>
    <row r="389" spans="2:13">
      <c r="B389" s="40" t="s">
        <v>2327</v>
      </c>
      <c r="C389" s="41">
        <v>6</v>
      </c>
      <c r="D389" s="42">
        <v>11</v>
      </c>
      <c r="E389" s="43">
        <v>37992</v>
      </c>
      <c r="F389" s="44">
        <v>95894806</v>
      </c>
      <c r="G389" s="1" t="str">
        <f>IFERROR(IF(ventas_b_mes684[[#This Row],[CUIT]]="","-",VLOOKUP(ventas_b_mes684[[#This Row],[CUIT]],Lista_CUIT[#All],2,0)),"CUIT NO CARGADO")</f>
        <v>CUIT NO CARGADO</v>
      </c>
      <c r="H389" s="64">
        <v>43869.84</v>
      </c>
      <c r="I389" s="64">
        <f>ventas_b_mes684[[#This Row],[IMPORTE NETO]]*0.21</f>
        <v>9212.6663999999982</v>
      </c>
      <c r="J389" s="64"/>
      <c r="K389" s="64"/>
      <c r="L389" s="64">
        <f>SUM(ventas_b_mes684[[#This Row],[IMPORTE NETO]:[EXENTO]])</f>
        <v>53082.506399999998</v>
      </c>
      <c r="M389" s="59"/>
    </row>
    <row r="390" spans="2:13">
      <c r="B390" s="40" t="s">
        <v>2327</v>
      </c>
      <c r="C390" s="41">
        <v>6</v>
      </c>
      <c r="D390" s="42">
        <v>15</v>
      </c>
      <c r="E390" s="43">
        <v>13125</v>
      </c>
      <c r="F390" s="44">
        <v>28231056</v>
      </c>
      <c r="G390" s="1" t="str">
        <f>IFERROR(IF(ventas_b_mes684[[#This Row],[CUIT]]="","-",VLOOKUP(ventas_b_mes684[[#This Row],[CUIT]],Lista_CUIT[#All],2,0)),"CUIT NO CARGADO")</f>
        <v>CUIT NO CARGADO</v>
      </c>
      <c r="H390" s="64">
        <v>11442.15</v>
      </c>
      <c r="I390" s="64">
        <f>ventas_b_mes684[[#This Row],[IMPORTE NETO]]*0.21</f>
        <v>2402.8514999999998</v>
      </c>
      <c r="J390" s="64"/>
      <c r="K390" s="64"/>
      <c r="L390" s="64">
        <f>SUM(ventas_b_mes684[[#This Row],[IMPORTE NETO]:[EXENTO]])</f>
        <v>13845.001499999998</v>
      </c>
      <c r="M390" s="59"/>
    </row>
    <row r="391" spans="2:13">
      <c r="B391" s="40" t="s">
        <v>2327</v>
      </c>
      <c r="C391" s="41">
        <v>6</v>
      </c>
      <c r="D391" s="42">
        <v>10</v>
      </c>
      <c r="E391" s="43">
        <v>54312</v>
      </c>
      <c r="F391" s="44">
        <v>94263928</v>
      </c>
      <c r="G391" s="1" t="str">
        <f>IFERROR(IF(ventas_b_mes684[[#This Row],[CUIT]]="","-",VLOOKUP(ventas_b_mes684[[#This Row],[CUIT]],Lista_CUIT[#All],2,0)),"CUIT NO CARGADO")</f>
        <v>CUIT NO CARGADO</v>
      </c>
      <c r="H391" s="64">
        <v>7586.78</v>
      </c>
      <c r="I391" s="64">
        <f>ventas_b_mes684[[#This Row],[IMPORTE NETO]]*0.21</f>
        <v>1593.2238</v>
      </c>
      <c r="J391" s="64"/>
      <c r="K391" s="64"/>
      <c r="L391" s="64">
        <f>SUM(ventas_b_mes684[[#This Row],[IMPORTE NETO]:[EXENTO]])</f>
        <v>9180.0038000000004</v>
      </c>
      <c r="M391" s="59"/>
    </row>
    <row r="392" spans="2:13">
      <c r="B392" s="40" t="s">
        <v>2327</v>
      </c>
      <c r="C392" s="41">
        <v>6</v>
      </c>
      <c r="D392" s="42">
        <v>12</v>
      </c>
      <c r="E392" s="43">
        <v>29537</v>
      </c>
      <c r="F392" s="44">
        <v>43085333</v>
      </c>
      <c r="G392" s="1" t="str">
        <f>IFERROR(IF(ventas_b_mes684[[#This Row],[CUIT]]="","-",VLOOKUP(ventas_b_mes684[[#This Row],[CUIT]],Lista_CUIT[#All],2,0)),"CUIT NO CARGADO")</f>
        <v>CUIT NO CARGADO</v>
      </c>
      <c r="H392" s="64">
        <v>1966.94</v>
      </c>
      <c r="I392" s="64">
        <f>ventas_b_mes684[[#This Row],[IMPORTE NETO]]*0.21</f>
        <v>413.05739999999997</v>
      </c>
      <c r="J392" s="64"/>
      <c r="K392" s="64"/>
      <c r="L392" s="64">
        <f>SUM(ventas_b_mes684[[#This Row],[IMPORTE NETO]:[EXENTO]])</f>
        <v>2379.9974000000002</v>
      </c>
      <c r="M392" s="59"/>
    </row>
    <row r="393" spans="2:13">
      <c r="B393" s="40" t="s">
        <v>2327</v>
      </c>
      <c r="C393" s="41">
        <v>6</v>
      </c>
      <c r="D393" s="42">
        <v>13</v>
      </c>
      <c r="E393" s="43">
        <v>32397</v>
      </c>
      <c r="F393" s="44">
        <v>1111</v>
      </c>
      <c r="G393" s="1" t="str">
        <f>IFERROR(IF(ventas_b_mes684[[#This Row],[CUIT]]="","-",VLOOKUP(ventas_b_mes684[[#This Row],[CUIT]],Lista_CUIT[#All],2,0)),"CUIT NO CARGADO")</f>
        <v>CUIT NO CARGADO</v>
      </c>
      <c r="H393" s="64">
        <v>8264.4599999999991</v>
      </c>
      <c r="I393" s="64">
        <f>ventas_b_mes684[[#This Row],[IMPORTE NETO]]*0.21</f>
        <v>1735.5365999999997</v>
      </c>
      <c r="J393" s="64"/>
      <c r="K393" s="64"/>
      <c r="L393" s="64">
        <f>SUM(ventas_b_mes684[[#This Row],[IMPORTE NETO]:[EXENTO]])</f>
        <v>9999.9965999999986</v>
      </c>
      <c r="M393" s="59"/>
    </row>
    <row r="394" spans="2:13">
      <c r="B394" s="40" t="s">
        <v>2327</v>
      </c>
      <c r="C394" s="41">
        <v>6</v>
      </c>
      <c r="D394" s="42">
        <v>10</v>
      </c>
      <c r="E394" s="43">
        <v>54314</v>
      </c>
      <c r="F394" s="44">
        <v>96275487</v>
      </c>
      <c r="G394" s="1" t="str">
        <f>IFERROR(IF(ventas_b_mes684[[#This Row],[CUIT]]="","-",VLOOKUP(ventas_b_mes684[[#This Row],[CUIT]],Lista_CUIT[#All],2,0)),"CUIT NO CARGADO")</f>
        <v>CUIT NO CARGADO</v>
      </c>
      <c r="H394" s="64">
        <v>11442.15</v>
      </c>
      <c r="I394" s="64">
        <f>ventas_b_mes684[[#This Row],[IMPORTE NETO]]*0.21</f>
        <v>2402.8514999999998</v>
      </c>
      <c r="J394" s="64"/>
      <c r="K394" s="64"/>
      <c r="L394" s="64">
        <f>SUM(ventas_b_mes684[[#This Row],[IMPORTE NETO]:[EXENTO]])</f>
        <v>13845.001499999998</v>
      </c>
      <c r="M394" s="59"/>
    </row>
    <row r="395" spans="2:13">
      <c r="B395" s="40" t="s">
        <v>2327</v>
      </c>
      <c r="C395" s="41">
        <v>6</v>
      </c>
      <c r="D395" s="42">
        <v>12</v>
      </c>
      <c r="E395" s="43">
        <v>29535</v>
      </c>
      <c r="F395" s="44">
        <v>35647206</v>
      </c>
      <c r="G395" s="1" t="str">
        <f>IFERROR(IF(ventas_b_mes684[[#This Row],[CUIT]]="","-",VLOOKUP(ventas_b_mes684[[#This Row],[CUIT]],Lista_CUIT[#All],2,0)),"CUIT NO CARGADO")</f>
        <v>CUIT NO CARGADO</v>
      </c>
      <c r="H395" s="64">
        <v>4966.9399999999996</v>
      </c>
      <c r="I395" s="64">
        <f>ventas_b_mes684[[#This Row],[IMPORTE NETO]]*0.21</f>
        <v>1043.0573999999999</v>
      </c>
      <c r="J395" s="64"/>
      <c r="K395" s="64"/>
      <c r="L395" s="64">
        <f>SUM(ventas_b_mes684[[#This Row],[IMPORTE NETO]:[EXENTO]])</f>
        <v>6009.9973999999993</v>
      </c>
      <c r="M395" s="59"/>
    </row>
    <row r="396" spans="2:13">
      <c r="B396" s="40" t="s">
        <v>2327</v>
      </c>
      <c r="C396" s="41">
        <v>6</v>
      </c>
      <c r="D396" s="42">
        <v>11</v>
      </c>
      <c r="E396" s="43">
        <v>37984</v>
      </c>
      <c r="F396" s="44">
        <v>41874281</v>
      </c>
      <c r="G396" s="1" t="str">
        <f>IFERROR(IF(ventas_b_mes684[[#This Row],[CUIT]]="","-",VLOOKUP(ventas_b_mes684[[#This Row],[CUIT]],Lista_CUIT[#All],2,0)),"CUIT NO CARGADO")</f>
        <v>CUIT NO CARGADO</v>
      </c>
      <c r="H396" s="64">
        <v>20661.16</v>
      </c>
      <c r="I396" s="64">
        <f>ventas_b_mes684[[#This Row],[IMPORTE NETO]]*0.21</f>
        <v>4338.8436000000002</v>
      </c>
      <c r="J396" s="64"/>
      <c r="K396" s="64"/>
      <c r="L396" s="64">
        <f>SUM(ventas_b_mes684[[#This Row],[IMPORTE NETO]:[EXENTO]])</f>
        <v>25000.0036</v>
      </c>
      <c r="M396" s="59"/>
    </row>
    <row r="397" spans="2:13">
      <c r="B397" s="40" t="s">
        <v>2327</v>
      </c>
      <c r="C397" s="41">
        <v>6</v>
      </c>
      <c r="D397" s="42">
        <v>13</v>
      </c>
      <c r="E397" s="43">
        <v>32407</v>
      </c>
      <c r="F397" s="44">
        <v>18699110</v>
      </c>
      <c r="G397" s="1" t="str">
        <f>IFERROR(IF(ventas_b_mes684[[#This Row],[CUIT]]="","-",VLOOKUP(ventas_b_mes684[[#This Row],[CUIT]],Lista_CUIT[#All],2,0)),"CUIT NO CARGADO")</f>
        <v>CUIT NO CARGADO</v>
      </c>
      <c r="H397" s="64">
        <v>137723.14000000001</v>
      </c>
      <c r="I397" s="64">
        <f>ventas_b_mes684[[#This Row],[IMPORTE NETO]]*0.21</f>
        <v>28921.859400000001</v>
      </c>
      <c r="J397" s="64"/>
      <c r="K397" s="64"/>
      <c r="L397" s="64">
        <f>SUM(ventas_b_mes684[[#This Row],[IMPORTE NETO]:[EXENTO]])</f>
        <v>166644.99940000003</v>
      </c>
      <c r="M397" s="59"/>
    </row>
    <row r="398" spans="2:13">
      <c r="B398" s="40" t="s">
        <v>2327</v>
      </c>
      <c r="C398" s="41">
        <v>6</v>
      </c>
      <c r="D398" s="42">
        <v>11</v>
      </c>
      <c r="E398" s="43">
        <v>37980</v>
      </c>
      <c r="F398" s="44">
        <v>47028983</v>
      </c>
      <c r="G398" s="1" t="str">
        <f>IFERROR(IF(ventas_b_mes684[[#This Row],[CUIT]]="","-",VLOOKUP(ventas_b_mes684[[#This Row],[CUIT]],Lista_CUIT[#All],2,0)),"CUIT NO CARGADO")</f>
        <v>CUIT NO CARGADO</v>
      </c>
      <c r="H398" s="64">
        <v>4135.54</v>
      </c>
      <c r="I398" s="64">
        <f>ventas_b_mes684[[#This Row],[IMPORTE NETO]]*0.21</f>
        <v>868.46339999999998</v>
      </c>
      <c r="J398" s="64"/>
      <c r="K398" s="64"/>
      <c r="L398" s="64">
        <f>SUM(ventas_b_mes684[[#This Row],[IMPORTE NETO]:[EXENTO]])</f>
        <v>5004.0033999999996</v>
      </c>
      <c r="M398" s="59"/>
    </row>
    <row r="399" spans="2:13">
      <c r="B399" s="40" t="s">
        <v>2327</v>
      </c>
      <c r="C399" s="41">
        <v>6</v>
      </c>
      <c r="D399" s="42">
        <v>13</v>
      </c>
      <c r="E399" s="43">
        <v>32404</v>
      </c>
      <c r="F399" s="44">
        <v>23205803</v>
      </c>
      <c r="G399" s="1" t="str">
        <f>IFERROR(IF(ventas_b_mes684[[#This Row],[CUIT]]="","-",VLOOKUP(ventas_b_mes684[[#This Row],[CUIT]],Lista_CUIT[#All],2,0)),"CUIT NO CARGADO")</f>
        <v>CUIT NO CARGADO</v>
      </c>
      <c r="H399" s="64">
        <v>77396.69</v>
      </c>
      <c r="I399" s="64">
        <f>ventas_b_mes684[[#This Row],[IMPORTE NETO]]*0.21</f>
        <v>16253.304899999999</v>
      </c>
      <c r="J399" s="64"/>
      <c r="K399" s="64"/>
      <c r="L399" s="64">
        <f>SUM(ventas_b_mes684[[#This Row],[IMPORTE NETO]:[EXENTO]])</f>
        <v>93649.994900000005</v>
      </c>
      <c r="M399" s="59"/>
    </row>
    <row r="400" spans="2:13">
      <c r="B400" s="40" t="s">
        <v>2327</v>
      </c>
      <c r="C400" s="41">
        <v>6</v>
      </c>
      <c r="D400" s="42">
        <v>11</v>
      </c>
      <c r="E400" s="43">
        <v>37981</v>
      </c>
      <c r="F400" s="44">
        <v>47028983</v>
      </c>
      <c r="G400" s="1" t="str">
        <f>IFERROR(IF(ventas_b_mes684[[#This Row],[CUIT]]="","-",VLOOKUP(ventas_b_mes684[[#This Row],[CUIT]],Lista_CUIT[#All],2,0)),"CUIT NO CARGADO")</f>
        <v>CUIT NO CARGADO</v>
      </c>
      <c r="H400" s="64">
        <v>23392.560000000001</v>
      </c>
      <c r="I400" s="64">
        <f>ventas_b_mes684[[#This Row],[IMPORTE NETO]]*0.21</f>
        <v>4912.4376000000002</v>
      </c>
      <c r="J400" s="64"/>
      <c r="K400" s="64"/>
      <c r="L400" s="64">
        <f>SUM(ventas_b_mes684[[#This Row],[IMPORTE NETO]:[EXENTO]])</f>
        <v>28304.997600000002</v>
      </c>
      <c r="M400" s="59"/>
    </row>
    <row r="401" spans="2:13">
      <c r="B401" s="40" t="s">
        <v>2327</v>
      </c>
      <c r="C401" s="41">
        <v>6</v>
      </c>
      <c r="D401" s="42">
        <v>13</v>
      </c>
      <c r="E401" s="43">
        <v>32401</v>
      </c>
      <c r="F401" s="44">
        <v>20209481</v>
      </c>
      <c r="G401" s="1" t="str">
        <f>IFERROR(IF(ventas_b_mes684[[#This Row],[CUIT]]="","-",VLOOKUP(ventas_b_mes684[[#This Row],[CUIT]],Lista_CUIT[#All],2,0)),"CUIT NO CARGADO")</f>
        <v>CUIT NO CARGADO</v>
      </c>
      <c r="H401" s="64">
        <v>12512.4</v>
      </c>
      <c r="I401" s="64">
        <f>ventas_b_mes684[[#This Row],[IMPORTE NETO]]*0.21</f>
        <v>2627.6039999999998</v>
      </c>
      <c r="J401" s="64"/>
      <c r="K401" s="64"/>
      <c r="L401" s="64">
        <f>SUM(ventas_b_mes684[[#This Row],[IMPORTE NETO]:[EXENTO]])</f>
        <v>15140.003999999999</v>
      </c>
      <c r="M401" s="59"/>
    </row>
    <row r="402" spans="2:13">
      <c r="B402" s="40" t="s">
        <v>2327</v>
      </c>
      <c r="C402" s="41">
        <v>6</v>
      </c>
      <c r="D402" s="42">
        <v>15</v>
      </c>
      <c r="E402" s="43">
        <v>13132</v>
      </c>
      <c r="F402" s="44">
        <v>24481247</v>
      </c>
      <c r="G402" s="1" t="str">
        <f>IFERROR(IF(ventas_b_mes684[[#This Row],[CUIT]]="","-",VLOOKUP(ventas_b_mes684[[#This Row],[CUIT]],Lista_CUIT[#All],2,0)),"CUIT NO CARGADO")</f>
        <v>CUIT NO CARGADO</v>
      </c>
      <c r="H402" s="64">
        <v>30247.93</v>
      </c>
      <c r="I402" s="64">
        <f>ventas_b_mes684[[#This Row],[IMPORTE NETO]]*0.21</f>
        <v>6352.0653000000002</v>
      </c>
      <c r="J402" s="64"/>
      <c r="K402" s="64"/>
      <c r="L402" s="64">
        <f>SUM(ventas_b_mes684[[#This Row],[IMPORTE NETO]:[EXENTO]])</f>
        <v>36599.995300000002</v>
      </c>
      <c r="M402" s="59"/>
    </row>
    <row r="403" spans="2:13">
      <c r="B403" s="40" t="s">
        <v>2327</v>
      </c>
      <c r="C403" s="41">
        <v>6</v>
      </c>
      <c r="D403" s="42">
        <v>12</v>
      </c>
      <c r="E403" s="43">
        <v>29539</v>
      </c>
      <c r="F403" s="44">
        <v>41292920</v>
      </c>
      <c r="G403" s="1" t="str">
        <f>IFERROR(IF(ventas_b_mes684[[#This Row],[CUIT]]="","-",VLOOKUP(ventas_b_mes684[[#This Row],[CUIT]],Lista_CUIT[#All],2,0)),"CUIT NO CARGADO")</f>
        <v>CUIT NO CARGADO</v>
      </c>
      <c r="H403" s="64">
        <v>20661.16</v>
      </c>
      <c r="I403" s="64">
        <f>ventas_b_mes684[[#This Row],[IMPORTE NETO]]*0.21</f>
        <v>4338.8436000000002</v>
      </c>
      <c r="J403" s="64"/>
      <c r="K403" s="64"/>
      <c r="L403" s="64">
        <f>SUM(ventas_b_mes684[[#This Row],[IMPORTE NETO]:[EXENTO]])</f>
        <v>25000.0036</v>
      </c>
      <c r="M403" s="59"/>
    </row>
    <row r="404" spans="2:13">
      <c r="B404" s="40" t="s">
        <v>2327</v>
      </c>
      <c r="C404" s="41">
        <v>6</v>
      </c>
      <c r="D404" s="42">
        <v>13</v>
      </c>
      <c r="E404" s="43">
        <v>32402</v>
      </c>
      <c r="F404" s="44">
        <v>944408921</v>
      </c>
      <c r="G404" s="1" t="str">
        <f>IFERROR(IF(ventas_b_mes684[[#This Row],[CUIT]]="","-",VLOOKUP(ventas_b_mes684[[#This Row],[CUIT]],Lista_CUIT[#All],2,0)),"CUIT NO CARGADO")</f>
        <v>CUIT NO CARGADO</v>
      </c>
      <c r="H404" s="64">
        <v>6008.26</v>
      </c>
      <c r="I404" s="64">
        <f>ventas_b_mes684[[#This Row],[IMPORTE NETO]]*0.21</f>
        <v>1261.7346</v>
      </c>
      <c r="J404" s="64"/>
      <c r="K404" s="64"/>
      <c r="L404" s="64">
        <f>SUM(ventas_b_mes684[[#This Row],[IMPORTE NETO]:[EXENTO]])</f>
        <v>7269.9946</v>
      </c>
      <c r="M404" s="59"/>
    </row>
    <row r="405" spans="2:13">
      <c r="B405" s="40" t="s">
        <v>2327</v>
      </c>
      <c r="C405" s="41">
        <v>6</v>
      </c>
      <c r="D405" s="42">
        <v>11</v>
      </c>
      <c r="E405" s="43">
        <v>37993</v>
      </c>
      <c r="F405" s="44">
        <v>22964838</v>
      </c>
      <c r="G405" s="1" t="str">
        <f>IFERROR(IF(ventas_b_mes684[[#This Row],[CUIT]]="","-",VLOOKUP(ventas_b_mes684[[#This Row],[CUIT]],Lista_CUIT[#All],2,0)),"CUIT NO CARGADO")</f>
        <v>CUIT NO CARGADO</v>
      </c>
      <c r="H405" s="64">
        <v>24785.119999999999</v>
      </c>
      <c r="I405" s="64">
        <f>ventas_b_mes684[[#This Row],[IMPORTE NETO]]*0.21</f>
        <v>5204.8751999999995</v>
      </c>
      <c r="J405" s="64"/>
      <c r="K405" s="64"/>
      <c r="L405" s="64">
        <f>SUM(ventas_b_mes684[[#This Row],[IMPORTE NETO]:[EXENTO]])</f>
        <v>29989.995199999998</v>
      </c>
      <c r="M405" s="59"/>
    </row>
    <row r="406" spans="2:13">
      <c r="B406" s="40" t="s">
        <v>2327</v>
      </c>
      <c r="C406" s="41">
        <v>6</v>
      </c>
      <c r="D406" s="42">
        <v>13</v>
      </c>
      <c r="E406" s="43">
        <v>32411</v>
      </c>
      <c r="F406" s="44">
        <v>36444012</v>
      </c>
      <c r="G406" s="1" t="str">
        <f>IFERROR(IF(ventas_b_mes684[[#This Row],[CUIT]]="","-",VLOOKUP(ventas_b_mes684[[#This Row],[CUIT]],Lista_CUIT[#All],2,0)),"CUIT NO CARGADO")</f>
        <v>CUIT NO CARGADO</v>
      </c>
      <c r="H406" s="64">
        <v>18000</v>
      </c>
      <c r="I406" s="64">
        <f>ventas_b_mes684[[#This Row],[IMPORTE NETO]]*0.21</f>
        <v>3780</v>
      </c>
      <c r="J406" s="64"/>
      <c r="K406" s="64"/>
      <c r="L406" s="64">
        <f>SUM(ventas_b_mes684[[#This Row],[IMPORTE NETO]:[EXENTO]])</f>
        <v>21780</v>
      </c>
      <c r="M406" s="59"/>
    </row>
    <row r="407" spans="2:13">
      <c r="B407" s="40" t="s">
        <v>2327</v>
      </c>
      <c r="C407" s="41">
        <v>6</v>
      </c>
      <c r="D407" s="42">
        <v>13</v>
      </c>
      <c r="E407" s="43">
        <v>32412</v>
      </c>
      <c r="F407" s="44">
        <v>20209481</v>
      </c>
      <c r="G407" s="1" t="str">
        <f>IFERROR(IF(ventas_b_mes684[[#This Row],[CUIT]]="","-",VLOOKUP(ventas_b_mes684[[#This Row],[CUIT]],Lista_CUIT[#All],2,0)),"CUIT NO CARGADO")</f>
        <v>CUIT NO CARGADO</v>
      </c>
      <c r="H407" s="64">
        <v>53072.31</v>
      </c>
      <c r="I407" s="64">
        <f>ventas_b_mes684[[#This Row],[IMPORTE NETO]]*0.21</f>
        <v>11145.185099999999</v>
      </c>
      <c r="J407" s="64"/>
      <c r="K407" s="64"/>
      <c r="L407" s="64">
        <f>SUM(ventas_b_mes684[[#This Row],[IMPORTE NETO]:[EXENTO]])</f>
        <v>64217.4951</v>
      </c>
      <c r="M407" s="59"/>
    </row>
    <row r="408" spans="2:13">
      <c r="B408" s="40" t="s">
        <v>2327</v>
      </c>
      <c r="C408" s="41">
        <v>6</v>
      </c>
      <c r="D408" s="42">
        <v>13</v>
      </c>
      <c r="E408" s="43">
        <v>32413</v>
      </c>
      <c r="F408" s="44">
        <v>20209481</v>
      </c>
      <c r="G408" s="1" t="str">
        <f>IFERROR(IF(ventas_b_mes684[[#This Row],[CUIT]]="","-",VLOOKUP(ventas_b_mes684[[#This Row],[CUIT]],Lista_CUIT[#All],2,0)),"CUIT NO CARGADO")</f>
        <v>CUIT NO CARGADO</v>
      </c>
      <c r="H408" s="64">
        <v>6743.8</v>
      </c>
      <c r="I408" s="64">
        <f>ventas_b_mes684[[#This Row],[IMPORTE NETO]]*0.21</f>
        <v>1416.1980000000001</v>
      </c>
      <c r="J408" s="64"/>
      <c r="K408" s="64"/>
      <c r="L408" s="64">
        <f>SUM(ventas_b_mes684[[#This Row],[IMPORTE NETO]:[EXENTO]])</f>
        <v>8159.9980000000005</v>
      </c>
      <c r="M408" s="59"/>
    </row>
    <row r="409" spans="2:13">
      <c r="B409" s="40" t="s">
        <v>2327</v>
      </c>
      <c r="C409" s="41">
        <v>6</v>
      </c>
      <c r="D409" s="42">
        <v>12</v>
      </c>
      <c r="E409" s="43">
        <v>29542</v>
      </c>
      <c r="F409" s="44">
        <v>35983549</v>
      </c>
      <c r="G409" s="1" t="str">
        <f>IFERROR(IF(ventas_b_mes684[[#This Row],[CUIT]]="","-",VLOOKUP(ventas_b_mes684[[#This Row],[CUIT]],Lista_CUIT[#All],2,0)),"CUIT NO CARGADO")</f>
        <v>CUIT NO CARGADO</v>
      </c>
      <c r="H409" s="64">
        <v>4925.62</v>
      </c>
      <c r="I409" s="64">
        <f>ventas_b_mes684[[#This Row],[IMPORTE NETO]]*0.21</f>
        <v>1034.3801999999998</v>
      </c>
      <c r="J409" s="64"/>
      <c r="K409" s="64"/>
      <c r="L409" s="64">
        <f>SUM(ventas_b_mes684[[#This Row],[IMPORTE NETO]:[EXENTO]])</f>
        <v>5960.0001999999995</v>
      </c>
      <c r="M409" s="59"/>
    </row>
    <row r="410" spans="2:13">
      <c r="B410" s="40" t="s">
        <v>2327</v>
      </c>
      <c r="C410" s="41">
        <v>6</v>
      </c>
      <c r="D410" s="42">
        <v>13</v>
      </c>
      <c r="E410" s="43">
        <v>32409</v>
      </c>
      <c r="F410" s="44">
        <v>20560897</v>
      </c>
      <c r="G410" s="1" t="str">
        <f>IFERROR(IF(ventas_b_mes684[[#This Row],[CUIT]]="","-",VLOOKUP(ventas_b_mes684[[#This Row],[CUIT]],Lista_CUIT[#All],2,0)),"CUIT NO CARGADO")</f>
        <v>CUIT NO CARGADO</v>
      </c>
      <c r="H410" s="64">
        <v>35867.769999999997</v>
      </c>
      <c r="I410" s="64">
        <f>ventas_b_mes684[[#This Row],[IMPORTE NETO]]*0.21</f>
        <v>7532.2316999999994</v>
      </c>
      <c r="J410" s="64"/>
      <c r="K410" s="64"/>
      <c r="L410" s="64">
        <f>SUM(ventas_b_mes684[[#This Row],[IMPORTE NETO]:[EXENTO]])</f>
        <v>43400.001699999993</v>
      </c>
      <c r="M410" s="59"/>
    </row>
    <row r="411" spans="2:13">
      <c r="B411" s="40" t="s">
        <v>2327</v>
      </c>
      <c r="C411" s="41">
        <v>6</v>
      </c>
      <c r="D411" s="42">
        <v>10</v>
      </c>
      <c r="E411" s="43">
        <v>54311</v>
      </c>
      <c r="F411" s="44">
        <v>94263928</v>
      </c>
      <c r="G411" s="1" t="str">
        <f>IFERROR(IF(ventas_b_mes684[[#This Row],[CUIT]]="","-",VLOOKUP(ventas_b_mes684[[#This Row],[CUIT]],Lista_CUIT[#All],2,0)),"CUIT NO CARGADO")</f>
        <v>CUIT NO CARGADO</v>
      </c>
      <c r="H411" s="64">
        <v>15582.64</v>
      </c>
      <c r="I411" s="64">
        <f>ventas_b_mes684[[#This Row],[IMPORTE NETO]]*0.21</f>
        <v>3272.3543999999997</v>
      </c>
      <c r="J411" s="64"/>
      <c r="K411" s="64"/>
      <c r="L411" s="64">
        <f>SUM(ventas_b_mes684[[#This Row],[IMPORTE NETO]:[EXENTO]])</f>
        <v>18854.9944</v>
      </c>
      <c r="M411" s="59"/>
    </row>
    <row r="412" spans="2:13">
      <c r="B412" s="40" t="s">
        <v>2327</v>
      </c>
      <c r="C412" s="41">
        <v>6</v>
      </c>
      <c r="D412" s="42">
        <v>13</v>
      </c>
      <c r="E412" s="43">
        <v>32396</v>
      </c>
      <c r="F412" s="44">
        <v>44598152</v>
      </c>
      <c r="G412" s="1" t="str">
        <f>IFERROR(IF(ventas_b_mes684[[#This Row],[CUIT]]="","-",VLOOKUP(ventas_b_mes684[[#This Row],[CUIT]],Lista_CUIT[#All],2,0)),"CUIT NO CARGADO")</f>
        <v>CUIT NO CARGADO</v>
      </c>
      <c r="H412" s="64">
        <v>3421.49</v>
      </c>
      <c r="I412" s="64">
        <f>ventas_b_mes684[[#This Row],[IMPORTE NETO]]*0.21</f>
        <v>718.51289999999995</v>
      </c>
      <c r="J412" s="64"/>
      <c r="K412" s="64"/>
      <c r="L412" s="64">
        <f>SUM(ventas_b_mes684[[#This Row],[IMPORTE NETO]:[EXENTO]])</f>
        <v>4140.0028999999995</v>
      </c>
      <c r="M412" s="59"/>
    </row>
    <row r="413" spans="2:13">
      <c r="B413" s="40" t="s">
        <v>2327</v>
      </c>
      <c r="C413" s="41">
        <v>6</v>
      </c>
      <c r="D413" s="42">
        <v>15</v>
      </c>
      <c r="E413" s="43">
        <v>13139</v>
      </c>
      <c r="F413" s="44">
        <v>184424711</v>
      </c>
      <c r="G413" s="1" t="str">
        <f>IFERROR(IF(ventas_b_mes684[[#This Row],[CUIT]]="","-",VLOOKUP(ventas_b_mes684[[#This Row],[CUIT]],Lista_CUIT[#All],2,0)),"CUIT NO CARGADO")</f>
        <v>CUIT NO CARGADO</v>
      </c>
      <c r="H413" s="64">
        <v>20661.16</v>
      </c>
      <c r="I413" s="64">
        <f>ventas_b_mes684[[#This Row],[IMPORTE NETO]]*0.21</f>
        <v>4338.8436000000002</v>
      </c>
      <c r="J413" s="64"/>
      <c r="K413" s="64"/>
      <c r="L413" s="64">
        <f>SUM(ventas_b_mes684[[#This Row],[IMPORTE NETO]:[EXENTO]])</f>
        <v>25000.0036</v>
      </c>
      <c r="M413" s="59"/>
    </row>
    <row r="414" spans="2:13">
      <c r="B414" s="40" t="s">
        <v>2327</v>
      </c>
      <c r="C414" s="41">
        <v>6</v>
      </c>
      <c r="D414" s="42">
        <v>13</v>
      </c>
      <c r="E414" s="43">
        <v>32410</v>
      </c>
      <c r="F414" s="44">
        <v>92761508</v>
      </c>
      <c r="G414" s="1" t="str">
        <f>IFERROR(IF(ventas_b_mes684[[#This Row],[CUIT]]="","-",VLOOKUP(ventas_b_mes684[[#This Row],[CUIT]],Lista_CUIT[#All],2,0)),"CUIT NO CARGADO")</f>
        <v>CUIT NO CARGADO</v>
      </c>
      <c r="H414" s="64">
        <v>23322.31</v>
      </c>
      <c r="I414" s="64">
        <f>ventas_b_mes684[[#This Row],[IMPORTE NETO]]*0.21</f>
        <v>4897.6850999999997</v>
      </c>
      <c r="J414" s="64"/>
      <c r="K414" s="64"/>
      <c r="L414" s="64">
        <f>SUM(ventas_b_mes684[[#This Row],[IMPORTE NETO]:[EXENTO]])</f>
        <v>28219.9951</v>
      </c>
      <c r="M414" s="59"/>
    </row>
    <row r="415" spans="2:13">
      <c r="B415" s="40" t="s">
        <v>2327</v>
      </c>
      <c r="C415" s="41">
        <v>6</v>
      </c>
      <c r="D415" s="42">
        <v>15</v>
      </c>
      <c r="E415" s="43">
        <v>13135</v>
      </c>
      <c r="F415" s="44">
        <v>35402739</v>
      </c>
      <c r="G415" s="1" t="str">
        <f>IFERROR(IF(ventas_b_mes684[[#This Row],[CUIT]]="","-",VLOOKUP(ventas_b_mes684[[#This Row],[CUIT]],Lista_CUIT[#All],2,0)),"CUIT NO CARGADO")</f>
        <v>CUIT NO CARGADO</v>
      </c>
      <c r="H415" s="64">
        <v>32975.21</v>
      </c>
      <c r="I415" s="64">
        <f>ventas_b_mes684[[#This Row],[IMPORTE NETO]]*0.21</f>
        <v>6924.7940999999992</v>
      </c>
      <c r="J415" s="64"/>
      <c r="K415" s="64"/>
      <c r="L415" s="64">
        <f>SUM(ventas_b_mes684[[#This Row],[IMPORTE NETO]:[EXENTO]])</f>
        <v>39900.004099999998</v>
      </c>
      <c r="M415" s="59"/>
    </row>
    <row r="416" spans="2:13">
      <c r="B416" s="40" t="s">
        <v>2327</v>
      </c>
      <c r="C416" s="41">
        <v>6</v>
      </c>
      <c r="D416" s="42">
        <v>12</v>
      </c>
      <c r="E416" s="43">
        <v>29540</v>
      </c>
      <c r="F416" s="44">
        <v>25802685</v>
      </c>
      <c r="G416" s="1" t="str">
        <f>IFERROR(IF(ventas_b_mes684[[#This Row],[CUIT]]="","-",VLOOKUP(ventas_b_mes684[[#This Row],[CUIT]],Lista_CUIT[#All],2,0)),"CUIT NO CARGADO")</f>
        <v>CUIT NO CARGADO</v>
      </c>
      <c r="H416" s="64">
        <v>53181.82</v>
      </c>
      <c r="I416" s="64">
        <f>ventas_b_mes684[[#This Row],[IMPORTE NETO]]*0.21</f>
        <v>11168.182199999999</v>
      </c>
      <c r="J416" s="64"/>
      <c r="K416" s="64"/>
      <c r="L416" s="64">
        <f>SUM(ventas_b_mes684[[#This Row],[IMPORTE NETO]:[EXENTO]])</f>
        <v>64350.002200000003</v>
      </c>
      <c r="M416" s="59"/>
    </row>
    <row r="417" spans="2:13">
      <c r="B417" s="40" t="s">
        <v>2327</v>
      </c>
      <c r="C417" s="41">
        <v>6</v>
      </c>
      <c r="D417" s="42">
        <v>15</v>
      </c>
      <c r="E417" s="43">
        <v>13133</v>
      </c>
      <c r="F417" s="44">
        <v>35402739</v>
      </c>
      <c r="G417" s="1" t="str">
        <f>IFERROR(IF(ventas_b_mes684[[#This Row],[CUIT]]="","-",VLOOKUP(ventas_b_mes684[[#This Row],[CUIT]],Lista_CUIT[#All],2,0)),"CUIT NO CARGADO")</f>
        <v>CUIT NO CARGADO</v>
      </c>
      <c r="H417" s="64">
        <v>20661.16</v>
      </c>
      <c r="I417" s="64">
        <f>ventas_b_mes684[[#This Row],[IMPORTE NETO]]*0.21</f>
        <v>4338.8436000000002</v>
      </c>
      <c r="J417" s="64"/>
      <c r="K417" s="64"/>
      <c r="L417" s="64">
        <f>SUM(ventas_b_mes684[[#This Row],[IMPORTE NETO]:[EXENTO]])</f>
        <v>25000.0036</v>
      </c>
      <c r="M417" s="59"/>
    </row>
    <row r="418" spans="2:13">
      <c r="B418" s="40" t="s">
        <v>2327</v>
      </c>
      <c r="C418" s="41">
        <v>6</v>
      </c>
      <c r="D418" s="42">
        <v>11</v>
      </c>
      <c r="E418" s="43">
        <v>37976</v>
      </c>
      <c r="F418" s="44">
        <v>18387271</v>
      </c>
      <c r="G418" s="1" t="str">
        <f>IFERROR(IF(ventas_b_mes684[[#This Row],[CUIT]]="","-",VLOOKUP(ventas_b_mes684[[#This Row],[CUIT]],Lista_CUIT[#All],2,0)),"CUIT NO CARGADO")</f>
        <v>CUIT NO CARGADO</v>
      </c>
      <c r="H418" s="64">
        <v>14876.03</v>
      </c>
      <c r="I418" s="64">
        <f>ventas_b_mes684[[#This Row],[IMPORTE NETO]]*0.21</f>
        <v>3123.9663</v>
      </c>
      <c r="J418" s="64"/>
      <c r="K418" s="64"/>
      <c r="L418" s="64">
        <f>SUM(ventas_b_mes684[[#This Row],[IMPORTE NETO]:[EXENTO]])</f>
        <v>17999.996299999999</v>
      </c>
      <c r="M418" s="59"/>
    </row>
    <row r="419" spans="2:13">
      <c r="B419" s="40" t="s">
        <v>2327</v>
      </c>
      <c r="C419" s="41">
        <v>6</v>
      </c>
      <c r="D419" s="42">
        <v>10</v>
      </c>
      <c r="E419" s="43">
        <v>54321</v>
      </c>
      <c r="F419" s="44">
        <v>5898214</v>
      </c>
      <c r="G419" s="1" t="str">
        <f>IFERROR(IF(ventas_b_mes684[[#This Row],[CUIT]]="","-",VLOOKUP(ventas_b_mes684[[#This Row],[CUIT]],Lista_CUIT[#All],2,0)),"CUIT NO CARGADO")</f>
        <v>CUIT NO CARGADO</v>
      </c>
      <c r="H419" s="64">
        <v>16818.18</v>
      </c>
      <c r="I419" s="64">
        <f>ventas_b_mes684[[#This Row],[IMPORTE NETO]]*0.21</f>
        <v>3531.8177999999998</v>
      </c>
      <c r="J419" s="64"/>
      <c r="K419" s="64"/>
      <c r="L419" s="64">
        <f>SUM(ventas_b_mes684[[#This Row],[IMPORTE NETO]:[EXENTO]])</f>
        <v>20349.997800000001</v>
      </c>
      <c r="M419" s="59"/>
    </row>
    <row r="420" spans="2:13">
      <c r="B420" s="40" t="s">
        <v>2327</v>
      </c>
      <c r="C420" s="41">
        <v>6</v>
      </c>
      <c r="D420" s="42">
        <v>13</v>
      </c>
      <c r="E420" s="43">
        <v>32400</v>
      </c>
      <c r="F420" s="44">
        <v>94276234</v>
      </c>
      <c r="G420" s="1" t="str">
        <f>IFERROR(IF(ventas_b_mes684[[#This Row],[CUIT]]="","-",VLOOKUP(ventas_b_mes684[[#This Row],[CUIT]],Lista_CUIT[#All],2,0)),"CUIT NO CARGADO")</f>
        <v>CUIT NO CARGADO</v>
      </c>
      <c r="H420" s="64">
        <v>23181.82</v>
      </c>
      <c r="I420" s="64">
        <f>ventas_b_mes684[[#This Row],[IMPORTE NETO]]*0.21</f>
        <v>4868.1822000000002</v>
      </c>
      <c r="J420" s="64"/>
      <c r="K420" s="64"/>
      <c r="L420" s="64">
        <f>SUM(ventas_b_mes684[[#This Row],[IMPORTE NETO]:[EXENTO]])</f>
        <v>28050.002199999999</v>
      </c>
      <c r="M420" s="59"/>
    </row>
    <row r="421" spans="2:13">
      <c r="B421" s="40" t="s">
        <v>2327</v>
      </c>
      <c r="C421" s="41">
        <v>6</v>
      </c>
      <c r="D421" s="42">
        <v>12</v>
      </c>
      <c r="E421" s="43">
        <v>29544</v>
      </c>
      <c r="F421" s="44">
        <v>92781276</v>
      </c>
      <c r="G421" s="1" t="str">
        <f>IFERROR(IF(ventas_b_mes684[[#This Row],[CUIT]]="","-",VLOOKUP(ventas_b_mes684[[#This Row],[CUIT]],Lista_CUIT[#All],2,0)),"CUIT NO CARGADO")</f>
        <v>CUIT NO CARGADO</v>
      </c>
      <c r="H421" s="64">
        <v>20661.16</v>
      </c>
      <c r="I421" s="64">
        <f>ventas_b_mes684[[#This Row],[IMPORTE NETO]]*0.21</f>
        <v>4338.8436000000002</v>
      </c>
      <c r="J421" s="64"/>
      <c r="K421" s="64"/>
      <c r="L421" s="64">
        <f>SUM(ventas_b_mes684[[#This Row],[IMPORTE NETO]:[EXENTO]])</f>
        <v>25000.0036</v>
      </c>
      <c r="M421" s="59"/>
    </row>
    <row r="422" spans="2:13">
      <c r="B422" s="40" t="s">
        <v>2327</v>
      </c>
      <c r="C422" s="41">
        <v>6</v>
      </c>
      <c r="D422" s="42">
        <v>11</v>
      </c>
      <c r="E422" s="43">
        <v>37995</v>
      </c>
      <c r="F422" s="44">
        <v>25317620</v>
      </c>
      <c r="G422" s="1" t="str">
        <f>IFERROR(IF(ventas_b_mes684[[#This Row],[CUIT]]="","-",VLOOKUP(ventas_b_mes684[[#This Row],[CUIT]],Lista_CUIT[#All],2,0)),"CUIT NO CARGADO")</f>
        <v>CUIT NO CARGADO</v>
      </c>
      <c r="H422" s="64">
        <v>9793.39</v>
      </c>
      <c r="I422" s="64">
        <f>ventas_b_mes684[[#This Row],[IMPORTE NETO]]*0.21</f>
        <v>2056.6118999999999</v>
      </c>
      <c r="J422" s="64"/>
      <c r="K422" s="64"/>
      <c r="L422" s="64">
        <f>SUM(ventas_b_mes684[[#This Row],[IMPORTE NETO]:[EXENTO]])</f>
        <v>11850.001899999999</v>
      </c>
      <c r="M422" s="59"/>
    </row>
    <row r="423" spans="2:13">
      <c r="B423" s="40" t="s">
        <v>2327</v>
      </c>
      <c r="C423" s="41">
        <v>6</v>
      </c>
      <c r="D423" s="42">
        <v>11</v>
      </c>
      <c r="E423" s="43">
        <v>37974</v>
      </c>
      <c r="F423" s="44">
        <v>18387271</v>
      </c>
      <c r="G423" s="1" t="str">
        <f>IFERROR(IF(ventas_b_mes684[[#This Row],[CUIT]]="","-",VLOOKUP(ventas_b_mes684[[#This Row],[CUIT]],Lista_CUIT[#All],2,0)),"CUIT NO CARGADO")</f>
        <v>CUIT NO CARGADO</v>
      </c>
      <c r="H423" s="64">
        <v>5578.51</v>
      </c>
      <c r="I423" s="64">
        <f>ventas_b_mes684[[#This Row],[IMPORTE NETO]]*0.21</f>
        <v>1171.4871000000001</v>
      </c>
      <c r="J423" s="64"/>
      <c r="K423" s="64"/>
      <c r="L423" s="64">
        <f>SUM(ventas_b_mes684[[#This Row],[IMPORTE NETO]:[EXENTO]])</f>
        <v>6749.9971000000005</v>
      </c>
      <c r="M423" s="59"/>
    </row>
    <row r="424" spans="2:13">
      <c r="B424" s="40" t="s">
        <v>2327</v>
      </c>
      <c r="C424" s="41">
        <v>6</v>
      </c>
      <c r="D424" s="42">
        <v>11</v>
      </c>
      <c r="E424" s="43">
        <v>37972</v>
      </c>
      <c r="F424" s="44">
        <v>18387271</v>
      </c>
      <c r="G424" s="1" t="str">
        <f>IFERROR(IF(ventas_b_mes684[[#This Row],[CUIT]]="","-",VLOOKUP(ventas_b_mes684[[#This Row],[CUIT]],Lista_CUIT[#All],2,0)),"CUIT NO CARGADO")</f>
        <v>CUIT NO CARGADO</v>
      </c>
      <c r="H424" s="64">
        <v>29545.45</v>
      </c>
      <c r="I424" s="64">
        <f>ventas_b_mes684[[#This Row],[IMPORTE NETO]]*0.21</f>
        <v>6204.5445</v>
      </c>
      <c r="J424" s="64"/>
      <c r="K424" s="64"/>
      <c r="L424" s="64">
        <f>SUM(ventas_b_mes684[[#This Row],[IMPORTE NETO]:[EXENTO]])</f>
        <v>35749.994500000001</v>
      </c>
      <c r="M424" s="59"/>
    </row>
    <row r="425" spans="2:13">
      <c r="B425" s="40" t="s">
        <v>2327</v>
      </c>
      <c r="C425" s="41">
        <v>6</v>
      </c>
      <c r="D425" s="42">
        <v>11</v>
      </c>
      <c r="E425" s="43">
        <v>37973</v>
      </c>
      <c r="F425" s="44">
        <v>25875176</v>
      </c>
      <c r="G425" s="1" t="str">
        <f>IFERROR(IF(ventas_b_mes684[[#This Row],[CUIT]]="","-",VLOOKUP(ventas_b_mes684[[#This Row],[CUIT]],Lista_CUIT[#All],2,0)),"CUIT NO CARGADO")</f>
        <v>CUIT NO CARGADO</v>
      </c>
      <c r="H425" s="64">
        <v>10123.969999999999</v>
      </c>
      <c r="I425" s="64">
        <f>ventas_b_mes684[[#This Row],[IMPORTE NETO]]*0.21</f>
        <v>2126.0337</v>
      </c>
      <c r="J425" s="64"/>
      <c r="K425" s="64"/>
      <c r="L425" s="64">
        <f>SUM(ventas_b_mes684[[#This Row],[IMPORTE NETO]:[EXENTO]])</f>
        <v>12250.003699999999</v>
      </c>
      <c r="M425" s="59"/>
    </row>
    <row r="426" spans="2:13">
      <c r="B426" s="40" t="s">
        <v>2327</v>
      </c>
      <c r="C426" s="41">
        <v>6</v>
      </c>
      <c r="D426" s="42">
        <v>11</v>
      </c>
      <c r="E426" s="43">
        <v>37991</v>
      </c>
      <c r="F426" s="44">
        <v>8741369</v>
      </c>
      <c r="G426" s="1" t="str">
        <f>IFERROR(IF(ventas_b_mes684[[#This Row],[CUIT]]="","-",VLOOKUP(ventas_b_mes684[[#This Row],[CUIT]],Lista_CUIT[#All],2,0)),"CUIT NO CARGADO")</f>
        <v>CUIT NO CARGADO</v>
      </c>
      <c r="H426" s="64">
        <v>19462.810000000001</v>
      </c>
      <c r="I426" s="64">
        <f>ventas_b_mes684[[#This Row],[IMPORTE NETO]]*0.21</f>
        <v>4087.1901000000003</v>
      </c>
      <c r="J426" s="64"/>
      <c r="K426" s="64"/>
      <c r="L426" s="64">
        <f>SUM(ventas_b_mes684[[#This Row],[IMPORTE NETO]:[EXENTO]])</f>
        <v>23550.000100000001</v>
      </c>
      <c r="M426" s="59"/>
    </row>
    <row r="427" spans="2:13">
      <c r="B427" s="40" t="s">
        <v>2327</v>
      </c>
      <c r="C427" s="41">
        <v>6</v>
      </c>
      <c r="D427" s="42">
        <v>10</v>
      </c>
      <c r="E427" s="43">
        <v>54327</v>
      </c>
      <c r="F427" s="44">
        <v>45478004</v>
      </c>
      <c r="G427" s="1" t="str">
        <f>IFERROR(IF(ventas_b_mes684[[#This Row],[CUIT]]="","-",VLOOKUP(ventas_b_mes684[[#This Row],[CUIT]],Lista_CUIT[#All],2,0)),"CUIT NO CARGADO")</f>
        <v>CUIT NO CARGADO</v>
      </c>
      <c r="H427" s="64">
        <v>8851.24</v>
      </c>
      <c r="I427" s="64">
        <f>ventas_b_mes684[[#This Row],[IMPORTE NETO]]*0.21</f>
        <v>1858.7603999999999</v>
      </c>
      <c r="J427" s="64"/>
      <c r="K427" s="64"/>
      <c r="L427" s="64">
        <f>SUM(ventas_b_mes684[[#This Row],[IMPORTE NETO]:[EXENTO]])</f>
        <v>10710.000399999999</v>
      </c>
      <c r="M427" s="59"/>
    </row>
    <row r="428" spans="2:13">
      <c r="B428" s="40" t="s">
        <v>2327</v>
      </c>
      <c r="C428" s="41">
        <v>6</v>
      </c>
      <c r="D428" s="42">
        <v>11</v>
      </c>
      <c r="E428" s="43">
        <v>37983</v>
      </c>
      <c r="F428" s="44">
        <v>18905338</v>
      </c>
      <c r="G428" s="1" t="str">
        <f>IFERROR(IF(ventas_b_mes684[[#This Row],[CUIT]]="","-",VLOOKUP(ventas_b_mes684[[#This Row],[CUIT]],Lista_CUIT[#All],2,0)),"CUIT NO CARGADO")</f>
        <v>CUIT NO CARGADO</v>
      </c>
      <c r="H428" s="64">
        <v>14049.59</v>
      </c>
      <c r="I428" s="64">
        <f>ventas_b_mes684[[#This Row],[IMPORTE NETO]]*0.21</f>
        <v>2950.4139</v>
      </c>
      <c r="J428" s="64"/>
      <c r="K428" s="64"/>
      <c r="L428" s="64">
        <f>SUM(ventas_b_mes684[[#This Row],[IMPORTE NETO]:[EXENTO]])</f>
        <v>17000.0039</v>
      </c>
      <c r="M428" s="59"/>
    </row>
    <row r="429" spans="2:13">
      <c r="B429" s="40" t="s">
        <v>2327</v>
      </c>
      <c r="C429" s="41">
        <v>6</v>
      </c>
      <c r="D429" s="42">
        <v>15</v>
      </c>
      <c r="E429" s="43">
        <v>13141</v>
      </c>
      <c r="F429" s="44">
        <v>17015904</v>
      </c>
      <c r="G429" s="1" t="str">
        <f>IFERROR(IF(ventas_b_mes684[[#This Row],[CUIT]]="","-",VLOOKUP(ventas_b_mes684[[#This Row],[CUIT]],Lista_CUIT[#All],2,0)),"CUIT NO CARGADO")</f>
        <v>CUIT NO CARGADO</v>
      </c>
      <c r="H429" s="64">
        <v>41404.959999999999</v>
      </c>
      <c r="I429" s="64">
        <f>ventas_b_mes684[[#This Row],[IMPORTE NETO]]*0.21</f>
        <v>8695.0415999999987</v>
      </c>
      <c r="J429" s="64"/>
      <c r="K429" s="64"/>
      <c r="L429" s="64">
        <f>SUM(ventas_b_mes684[[#This Row],[IMPORTE NETO]:[EXENTO]])</f>
        <v>50100.001599999996</v>
      </c>
      <c r="M429" s="59"/>
    </row>
    <row r="430" spans="2:13">
      <c r="B430" s="40" t="s">
        <v>2327</v>
      </c>
      <c r="C430" s="41">
        <v>6</v>
      </c>
      <c r="D430" s="42">
        <v>15</v>
      </c>
      <c r="E430" s="43">
        <v>13124</v>
      </c>
      <c r="F430" s="44">
        <v>34584657</v>
      </c>
      <c r="G430" s="1" t="str">
        <f>IFERROR(IF(ventas_b_mes684[[#This Row],[CUIT]]="","-",VLOOKUP(ventas_b_mes684[[#This Row],[CUIT]],Lista_CUIT[#All],2,0)),"CUIT NO CARGADO")</f>
        <v>CUIT NO CARGADO</v>
      </c>
      <c r="H430" s="64">
        <v>20661.16</v>
      </c>
      <c r="I430" s="64">
        <f>ventas_b_mes684[[#This Row],[IMPORTE NETO]]*0.21</f>
        <v>4338.8436000000002</v>
      </c>
      <c r="J430" s="64"/>
      <c r="K430" s="64"/>
      <c r="L430" s="64">
        <f>SUM(ventas_b_mes684[[#This Row],[IMPORTE NETO]:[EXENTO]])</f>
        <v>25000.0036</v>
      </c>
      <c r="M430" s="59"/>
    </row>
    <row r="431" spans="2:13">
      <c r="B431" s="40" t="s">
        <v>2327</v>
      </c>
      <c r="C431" s="41">
        <v>6</v>
      </c>
      <c r="D431" s="42">
        <v>11</v>
      </c>
      <c r="E431" s="43">
        <v>37988</v>
      </c>
      <c r="F431" s="44">
        <v>27138528311</v>
      </c>
      <c r="G431" s="1" t="str">
        <f>IFERROR(IF(ventas_b_mes684[[#This Row],[CUIT]]="","-",VLOOKUP(ventas_b_mes684[[#This Row],[CUIT]],Lista_CUIT[#All],2,0)),"CUIT NO CARGADO")</f>
        <v>ROBLES DOLORES DEL CARMEN</v>
      </c>
      <c r="H431" s="64">
        <v>57727.27</v>
      </c>
      <c r="I431" s="64">
        <f>ventas_b_mes684[[#This Row],[IMPORTE NETO]]*0.21</f>
        <v>12122.726699999999</v>
      </c>
      <c r="J431" s="64"/>
      <c r="K431" s="64"/>
      <c r="L431" s="64">
        <f>SUM(ventas_b_mes684[[#This Row],[IMPORTE NETO]:[EXENTO]])</f>
        <v>69849.996699999989</v>
      </c>
      <c r="M431" s="59"/>
    </row>
    <row r="432" spans="2:13">
      <c r="B432" s="40" t="s">
        <v>2327</v>
      </c>
      <c r="C432" s="41">
        <v>6</v>
      </c>
      <c r="D432" s="42">
        <v>11</v>
      </c>
      <c r="E432" s="43">
        <v>37975</v>
      </c>
      <c r="F432" s="44">
        <v>18387271</v>
      </c>
      <c r="G432" s="1" t="str">
        <f>IFERROR(IF(ventas_b_mes684[[#This Row],[CUIT]]="","-",VLOOKUP(ventas_b_mes684[[#This Row],[CUIT]],Lista_CUIT[#All],2,0)),"CUIT NO CARGADO")</f>
        <v>CUIT NO CARGADO</v>
      </c>
      <c r="H432" s="64">
        <v>0.83</v>
      </c>
      <c r="I432" s="64">
        <f>ventas_b_mes684[[#This Row],[IMPORTE NETO]]*0.21</f>
        <v>0.17429999999999998</v>
      </c>
      <c r="J432" s="64"/>
      <c r="K432" s="64"/>
      <c r="L432" s="64">
        <f>SUM(ventas_b_mes684[[#This Row],[IMPORTE NETO]:[EXENTO]])</f>
        <v>1.0043</v>
      </c>
      <c r="M432" s="59"/>
    </row>
    <row r="433" spans="2:13">
      <c r="B433" s="40" t="s">
        <v>2327</v>
      </c>
      <c r="C433" s="41">
        <v>6</v>
      </c>
      <c r="D433" s="42">
        <v>13</v>
      </c>
      <c r="E433" s="43">
        <v>32403</v>
      </c>
      <c r="F433" s="44">
        <v>12616548</v>
      </c>
      <c r="G433" s="1" t="str">
        <f>IFERROR(IF(ventas_b_mes684[[#This Row],[CUIT]]="","-",VLOOKUP(ventas_b_mes684[[#This Row],[CUIT]],Lista_CUIT[#All],2,0)),"CUIT NO CARGADO")</f>
        <v>CUIT NO CARGADO</v>
      </c>
      <c r="H433" s="64">
        <v>28925.62</v>
      </c>
      <c r="I433" s="64">
        <f>ventas_b_mes684[[#This Row],[IMPORTE NETO]]*0.21</f>
        <v>6074.3801999999996</v>
      </c>
      <c r="J433" s="64"/>
      <c r="K433" s="64"/>
      <c r="L433" s="64">
        <f>SUM(ventas_b_mes684[[#This Row],[IMPORTE NETO]:[EXENTO]])</f>
        <v>35000.000199999995</v>
      </c>
      <c r="M433" s="59"/>
    </row>
    <row r="434" spans="2:13">
      <c r="B434" s="40" t="s">
        <v>2327</v>
      </c>
      <c r="C434" s="41">
        <v>6</v>
      </c>
      <c r="D434" s="42">
        <v>11</v>
      </c>
      <c r="E434" s="43">
        <v>37978</v>
      </c>
      <c r="F434" s="44">
        <v>12668390</v>
      </c>
      <c r="G434" s="1" t="str">
        <f>IFERROR(IF(ventas_b_mes684[[#This Row],[CUIT]]="","-",VLOOKUP(ventas_b_mes684[[#This Row],[CUIT]],Lista_CUIT[#All],2,0)),"CUIT NO CARGADO")</f>
        <v>CUIT NO CARGADO</v>
      </c>
      <c r="H434" s="64">
        <v>18842.98</v>
      </c>
      <c r="I434" s="64">
        <f>ventas_b_mes684[[#This Row],[IMPORTE NETO]]*0.21</f>
        <v>3957.0257999999999</v>
      </c>
      <c r="J434" s="64"/>
      <c r="K434" s="64"/>
      <c r="L434" s="64">
        <f>SUM(ventas_b_mes684[[#This Row],[IMPORTE NETO]:[EXENTO]])</f>
        <v>22800.005799999999</v>
      </c>
      <c r="M434" s="59"/>
    </row>
    <row r="435" spans="2:13">
      <c r="B435" s="40" t="s">
        <v>2327</v>
      </c>
      <c r="C435" s="41">
        <v>6</v>
      </c>
      <c r="D435" s="42">
        <v>11</v>
      </c>
      <c r="E435" s="43">
        <v>37990</v>
      </c>
      <c r="F435" s="44">
        <v>36702125</v>
      </c>
      <c r="G435" s="1" t="str">
        <f>IFERROR(IF(ventas_b_mes684[[#This Row],[CUIT]]="","-",VLOOKUP(ventas_b_mes684[[#This Row],[CUIT]],Lista_CUIT[#All],2,0)),"CUIT NO CARGADO")</f>
        <v>CUIT NO CARGADO</v>
      </c>
      <c r="H435" s="64">
        <v>8380.17</v>
      </c>
      <c r="I435" s="64">
        <f>ventas_b_mes684[[#This Row],[IMPORTE NETO]]*0.21</f>
        <v>1759.8356999999999</v>
      </c>
      <c r="J435" s="64"/>
      <c r="K435" s="64"/>
      <c r="L435" s="64">
        <f>SUM(ventas_b_mes684[[#This Row],[IMPORTE NETO]:[EXENTO]])</f>
        <v>10140.0057</v>
      </c>
      <c r="M435" s="59"/>
    </row>
    <row r="436" spans="2:13">
      <c r="B436" s="40" t="s">
        <v>2327</v>
      </c>
      <c r="C436" s="41">
        <v>6</v>
      </c>
      <c r="D436" s="42">
        <v>12</v>
      </c>
      <c r="E436" s="43">
        <v>29543</v>
      </c>
      <c r="F436" s="44">
        <v>26626528</v>
      </c>
      <c r="G436" s="1" t="str">
        <f>IFERROR(IF(ventas_b_mes684[[#This Row],[CUIT]]="","-",VLOOKUP(ventas_b_mes684[[#This Row],[CUIT]],Lista_CUIT[#All],2,0)),"CUIT NO CARGADO")</f>
        <v>CUIT NO CARGADO</v>
      </c>
      <c r="H436" s="64">
        <v>18892.560000000001</v>
      </c>
      <c r="I436" s="64">
        <f>ventas_b_mes684[[#This Row],[IMPORTE NETO]]*0.21</f>
        <v>3967.4376000000002</v>
      </c>
      <c r="J436" s="64"/>
      <c r="K436" s="64"/>
      <c r="L436" s="64">
        <f>SUM(ventas_b_mes684[[#This Row],[IMPORTE NETO]:[EXENTO]])</f>
        <v>22859.997600000002</v>
      </c>
      <c r="M436" s="59"/>
    </row>
    <row r="437" spans="2:13">
      <c r="B437" s="40" t="s">
        <v>2327</v>
      </c>
      <c r="C437" s="41">
        <v>6</v>
      </c>
      <c r="D437" s="42">
        <v>12</v>
      </c>
      <c r="E437" s="43">
        <v>29541</v>
      </c>
      <c r="F437" s="44">
        <v>20001277</v>
      </c>
      <c r="G437" s="1" t="str">
        <f>IFERROR(IF(ventas_b_mes684[[#This Row],[CUIT]]="","-",VLOOKUP(ventas_b_mes684[[#This Row],[CUIT]],Lista_CUIT[#All],2,0)),"CUIT NO CARGADO")</f>
        <v>CUIT NO CARGADO</v>
      </c>
      <c r="H437" s="64">
        <v>19636.36</v>
      </c>
      <c r="I437" s="64">
        <f>ventas_b_mes684[[#This Row],[IMPORTE NETO]]*0.21</f>
        <v>4123.6355999999996</v>
      </c>
      <c r="J437" s="64"/>
      <c r="K437" s="64"/>
      <c r="L437" s="64">
        <f>SUM(ventas_b_mes684[[#This Row],[IMPORTE NETO]:[EXENTO]])</f>
        <v>23759.995600000002</v>
      </c>
      <c r="M437" s="59"/>
    </row>
    <row r="438" spans="2:13">
      <c r="B438" s="40" t="s">
        <v>2327</v>
      </c>
      <c r="C438" s="41">
        <v>6</v>
      </c>
      <c r="D438" s="42">
        <v>13</v>
      </c>
      <c r="E438" s="43">
        <v>32408</v>
      </c>
      <c r="F438" s="44">
        <v>111</v>
      </c>
      <c r="G438" s="1" t="str">
        <f>IFERROR(IF(ventas_b_mes684[[#This Row],[CUIT]]="","-",VLOOKUP(ventas_b_mes684[[#This Row],[CUIT]],Lista_CUIT[#All],2,0)),"CUIT NO CARGADO")</f>
        <v>LOPEZ,Sandra</v>
      </c>
      <c r="H438" s="64">
        <v>61528.93</v>
      </c>
      <c r="I438" s="64">
        <f>ventas_b_mes684[[#This Row],[IMPORTE NETO]]*0.21</f>
        <v>12921.0753</v>
      </c>
      <c r="J438" s="64"/>
      <c r="K438" s="64"/>
      <c r="L438" s="64">
        <f>SUM(ventas_b_mes684[[#This Row],[IMPORTE NETO]:[EXENTO]])</f>
        <v>74450.005300000004</v>
      </c>
      <c r="M438" s="59"/>
    </row>
    <row r="439" spans="2:13">
      <c r="B439" s="40" t="s">
        <v>2327</v>
      </c>
      <c r="C439" s="41">
        <v>6</v>
      </c>
      <c r="D439" s="42">
        <v>11</v>
      </c>
      <c r="E439" s="43">
        <v>37985</v>
      </c>
      <c r="F439" s="44">
        <v>14952566</v>
      </c>
      <c r="G439" s="1" t="str">
        <f>IFERROR(IF(ventas_b_mes684[[#This Row],[CUIT]]="","-",VLOOKUP(ventas_b_mes684[[#This Row],[CUIT]],Lista_CUIT[#All],2,0)),"CUIT NO CARGADO")</f>
        <v>CUIT NO CARGADO</v>
      </c>
      <c r="H439" s="64">
        <v>135685.95000000001</v>
      </c>
      <c r="I439" s="64">
        <f>ventas_b_mes684[[#This Row],[IMPORTE NETO]]*0.21</f>
        <v>28494.049500000001</v>
      </c>
      <c r="J439" s="64"/>
      <c r="K439" s="64"/>
      <c r="L439" s="64">
        <f>SUM(ventas_b_mes684[[#This Row],[IMPORTE NETO]:[EXENTO]])</f>
        <v>164179.99950000001</v>
      </c>
      <c r="M439" s="59"/>
    </row>
    <row r="440" spans="2:13">
      <c r="B440" s="40" t="s">
        <v>2327</v>
      </c>
      <c r="C440" s="41">
        <v>6</v>
      </c>
      <c r="D440" s="42">
        <v>15</v>
      </c>
      <c r="E440" s="43">
        <v>13136</v>
      </c>
      <c r="F440" s="44">
        <v>18396100</v>
      </c>
      <c r="G440" s="1" t="str">
        <f>IFERROR(IF(ventas_b_mes684[[#This Row],[CUIT]]="","-",VLOOKUP(ventas_b_mes684[[#This Row],[CUIT]],Lista_CUIT[#All],2,0)),"CUIT NO CARGADO")</f>
        <v>AGUIRRE, ARGENTINA BEATRIZ</v>
      </c>
      <c r="H440" s="64">
        <v>20661.16</v>
      </c>
      <c r="I440" s="64">
        <f>ventas_b_mes684[[#This Row],[IMPORTE NETO]]*0.21</f>
        <v>4338.8436000000002</v>
      </c>
      <c r="J440" s="64"/>
      <c r="K440" s="64"/>
      <c r="L440" s="64">
        <f>SUM(ventas_b_mes684[[#This Row],[IMPORTE NETO]:[EXENTO]])</f>
        <v>25000.0036</v>
      </c>
      <c r="M440" s="59"/>
    </row>
    <row r="441" spans="2:13">
      <c r="B441" s="40" t="s">
        <v>2327</v>
      </c>
      <c r="C441" s="41">
        <v>6</v>
      </c>
      <c r="D441" s="42">
        <v>10</v>
      </c>
      <c r="E441" s="43">
        <v>54318</v>
      </c>
      <c r="F441" s="44">
        <v>22653570</v>
      </c>
      <c r="G441" s="1" t="str">
        <f>IFERROR(IF(ventas_b_mes684[[#This Row],[CUIT]]="","-",VLOOKUP(ventas_b_mes684[[#This Row],[CUIT]],Lista_CUIT[#All],2,0)),"CUIT NO CARGADO")</f>
        <v>CUIT NO CARGADO</v>
      </c>
      <c r="H441" s="64">
        <v>8264.4599999999991</v>
      </c>
      <c r="I441" s="64">
        <f>ventas_b_mes684[[#This Row],[IMPORTE NETO]]*0.21</f>
        <v>1735.5365999999997</v>
      </c>
      <c r="J441" s="64"/>
      <c r="K441" s="64"/>
      <c r="L441" s="64">
        <f>SUM(ventas_b_mes684[[#This Row],[IMPORTE NETO]:[EXENTO]])</f>
        <v>9999.9965999999986</v>
      </c>
      <c r="M441" s="59"/>
    </row>
    <row r="442" spans="2:13">
      <c r="B442" s="40" t="s">
        <v>2327</v>
      </c>
      <c r="C442" s="41">
        <v>6</v>
      </c>
      <c r="D442" s="42">
        <v>10</v>
      </c>
      <c r="E442" s="43">
        <v>54317</v>
      </c>
      <c r="F442" s="44">
        <v>21977181</v>
      </c>
      <c r="G442" s="1" t="str">
        <f>IFERROR(IF(ventas_b_mes684[[#This Row],[CUIT]]="","-",VLOOKUP(ventas_b_mes684[[#This Row],[CUIT]],Lista_CUIT[#All],2,0)),"CUIT NO CARGADO")</f>
        <v>CUIT NO CARGADO</v>
      </c>
      <c r="H442" s="64">
        <v>1760.33</v>
      </c>
      <c r="I442" s="64">
        <f>ventas_b_mes684[[#This Row],[IMPORTE NETO]]*0.21</f>
        <v>369.66929999999996</v>
      </c>
      <c r="J442" s="64"/>
      <c r="K442" s="64"/>
      <c r="L442" s="64">
        <f>SUM(ventas_b_mes684[[#This Row],[IMPORTE NETO]:[EXENTO]])</f>
        <v>2129.9992999999999</v>
      </c>
      <c r="M442" s="59"/>
    </row>
    <row r="443" spans="2:13">
      <c r="B443" s="40" t="s">
        <v>2327</v>
      </c>
      <c r="C443" s="41">
        <v>6</v>
      </c>
      <c r="D443" s="42">
        <v>11</v>
      </c>
      <c r="E443" s="43">
        <v>37996</v>
      </c>
      <c r="F443" s="44">
        <v>32081486</v>
      </c>
      <c r="G443" s="1" t="str">
        <f>IFERROR(IF(ventas_b_mes684[[#This Row],[CUIT]]="","-",VLOOKUP(ventas_b_mes684[[#This Row],[CUIT]],Lista_CUIT[#All],2,0)),"CUIT NO CARGADO")</f>
        <v>CUIT NO CARGADO</v>
      </c>
      <c r="H443" s="64">
        <v>49103.31</v>
      </c>
      <c r="I443" s="64">
        <f>ventas_b_mes684[[#This Row],[IMPORTE NETO]]*0.21</f>
        <v>10311.695099999999</v>
      </c>
      <c r="J443" s="64"/>
      <c r="K443" s="64"/>
      <c r="L443" s="64">
        <f>SUM(ventas_b_mes684[[#This Row],[IMPORTE NETO]:[EXENTO]])</f>
        <v>59415.005099999995</v>
      </c>
      <c r="M443" s="59"/>
    </row>
    <row r="444" spans="2:13">
      <c r="B444" s="40" t="s">
        <v>2327</v>
      </c>
      <c r="C444" s="41">
        <v>6</v>
      </c>
      <c r="D444" s="42">
        <v>11</v>
      </c>
      <c r="E444" s="43">
        <v>37979</v>
      </c>
      <c r="F444" s="44">
        <v>32830335</v>
      </c>
      <c r="G444" s="1" t="str">
        <f>IFERROR(IF(ventas_b_mes684[[#This Row],[CUIT]]="","-",VLOOKUP(ventas_b_mes684[[#This Row],[CUIT]],Lista_CUIT[#All],2,0)),"CUIT NO CARGADO")</f>
        <v>CUIT NO CARGADO</v>
      </c>
      <c r="H444" s="64">
        <v>40173.550000000003</v>
      </c>
      <c r="I444" s="64">
        <f>ventas_b_mes684[[#This Row],[IMPORTE NETO]]*0.21</f>
        <v>8436.4454999999998</v>
      </c>
      <c r="J444" s="64"/>
      <c r="K444" s="64"/>
      <c r="L444" s="64">
        <f>SUM(ventas_b_mes684[[#This Row],[IMPORTE NETO]:[EXENTO]])</f>
        <v>48609.995500000005</v>
      </c>
      <c r="M444" s="59"/>
    </row>
    <row r="445" spans="2:13">
      <c r="B445" s="40" t="s">
        <v>2327</v>
      </c>
      <c r="C445" s="41">
        <v>6</v>
      </c>
      <c r="D445" s="42">
        <v>10</v>
      </c>
      <c r="E445" s="43">
        <v>54323</v>
      </c>
      <c r="F445" s="44">
        <v>17605114</v>
      </c>
      <c r="G445" s="1" t="str">
        <f>IFERROR(IF(ventas_b_mes684[[#This Row],[CUIT]]="","-",VLOOKUP(ventas_b_mes684[[#This Row],[CUIT]],Lista_CUIT[#All],2,0)),"CUIT NO CARGADO")</f>
        <v>CUIT NO CARGADO</v>
      </c>
      <c r="H445" s="64">
        <v>22520.66</v>
      </c>
      <c r="I445" s="64">
        <f>ventas_b_mes684[[#This Row],[IMPORTE NETO]]*0.21</f>
        <v>4729.3386</v>
      </c>
      <c r="J445" s="64"/>
      <c r="K445" s="64"/>
      <c r="L445" s="64">
        <f>SUM(ventas_b_mes684[[#This Row],[IMPORTE NETO]:[EXENTO]])</f>
        <v>27249.998599999999</v>
      </c>
      <c r="M445" s="59"/>
    </row>
    <row r="446" spans="2:13">
      <c r="B446" s="40" t="s">
        <v>2327</v>
      </c>
      <c r="C446" s="41">
        <v>6</v>
      </c>
      <c r="D446" s="42">
        <v>10</v>
      </c>
      <c r="E446" s="43">
        <v>54319</v>
      </c>
      <c r="F446" s="44">
        <v>18816840</v>
      </c>
      <c r="G446" s="1" t="str">
        <f>IFERROR(IF(ventas_b_mes684[[#This Row],[CUIT]]="","-",VLOOKUP(ventas_b_mes684[[#This Row],[CUIT]],Lista_CUIT[#All],2,0)),"CUIT NO CARGADO")</f>
        <v>CUIT NO CARGADO</v>
      </c>
      <c r="H446" s="64">
        <v>21487.599999999999</v>
      </c>
      <c r="I446" s="64">
        <f>ventas_b_mes684[[#This Row],[IMPORTE NETO]]*0.21</f>
        <v>4512.3959999999997</v>
      </c>
      <c r="J446" s="64"/>
      <c r="K446" s="64"/>
      <c r="L446" s="64">
        <f>SUM(ventas_b_mes684[[#This Row],[IMPORTE NETO]:[EXENTO]])</f>
        <v>25999.995999999999</v>
      </c>
      <c r="M446" s="59"/>
    </row>
    <row r="447" spans="2:13">
      <c r="B447" s="40" t="s">
        <v>2327</v>
      </c>
      <c r="C447" s="41">
        <v>6</v>
      </c>
      <c r="D447" s="42">
        <v>10</v>
      </c>
      <c r="E447" s="43">
        <v>54320</v>
      </c>
      <c r="F447" s="44">
        <v>24389955</v>
      </c>
      <c r="G447" s="1" t="str">
        <f>IFERROR(IF(ventas_b_mes684[[#This Row],[CUIT]]="","-",VLOOKUP(ventas_b_mes684[[#This Row],[CUIT]],Lista_CUIT[#All],2,0)),"CUIT NO CARGADO")</f>
        <v>CUIT NO CARGADO</v>
      </c>
      <c r="H447" s="64">
        <v>21611.57</v>
      </c>
      <c r="I447" s="64">
        <f>ventas_b_mes684[[#This Row],[IMPORTE NETO]]*0.21</f>
        <v>4538.4296999999997</v>
      </c>
      <c r="J447" s="64"/>
      <c r="K447" s="64"/>
      <c r="L447" s="64">
        <f>SUM(ventas_b_mes684[[#This Row],[IMPORTE NETO]:[EXENTO]])</f>
        <v>26149.9997</v>
      </c>
      <c r="M447" s="59"/>
    </row>
    <row r="448" spans="2:13">
      <c r="B448" s="40" t="s">
        <v>2327</v>
      </c>
      <c r="C448" s="41">
        <v>6</v>
      </c>
      <c r="D448" s="42">
        <v>15</v>
      </c>
      <c r="E448" s="43">
        <v>13140</v>
      </c>
      <c r="F448" s="44">
        <v>23815158</v>
      </c>
      <c r="G448" s="1" t="str">
        <f>IFERROR(IF(ventas_b_mes684[[#This Row],[CUIT]]="","-",VLOOKUP(ventas_b_mes684[[#This Row],[CUIT]],Lista_CUIT[#All],2,0)),"CUIT NO CARGADO")</f>
        <v>CUIT NO CARGADO</v>
      </c>
      <c r="H448" s="64">
        <v>17033.060000000001</v>
      </c>
      <c r="I448" s="64">
        <f>ventas_b_mes684[[#This Row],[IMPORTE NETO]]*0.21</f>
        <v>3576.9426000000003</v>
      </c>
      <c r="J448" s="64"/>
      <c r="K448" s="64"/>
      <c r="L448" s="64">
        <f>SUM(ventas_b_mes684[[#This Row],[IMPORTE NETO]:[EXENTO]])</f>
        <v>20610.0026</v>
      </c>
      <c r="M448" s="59"/>
    </row>
    <row r="449" spans="2:13">
      <c r="B449" s="40" t="s">
        <v>2327</v>
      </c>
      <c r="C449" s="41">
        <v>6</v>
      </c>
      <c r="D449" s="42">
        <v>11</v>
      </c>
      <c r="E449" s="43">
        <v>37989</v>
      </c>
      <c r="F449" s="44">
        <v>36702125</v>
      </c>
      <c r="G449" s="1" t="str">
        <f>IFERROR(IF(ventas_b_mes684[[#This Row],[CUIT]]="","-",VLOOKUP(ventas_b_mes684[[#This Row],[CUIT]],Lista_CUIT[#All],2,0)),"CUIT NO CARGADO")</f>
        <v>CUIT NO CARGADO</v>
      </c>
      <c r="H449" s="64">
        <v>49421.49</v>
      </c>
      <c r="I449" s="64">
        <f>ventas_b_mes684[[#This Row],[IMPORTE NETO]]*0.21</f>
        <v>10378.5129</v>
      </c>
      <c r="J449" s="64"/>
      <c r="K449" s="64"/>
      <c r="L449" s="64">
        <f>SUM(ventas_b_mes684[[#This Row],[IMPORTE NETO]:[EXENTO]])</f>
        <v>59800.002899999999</v>
      </c>
      <c r="M449" s="59"/>
    </row>
    <row r="450" spans="2:13">
      <c r="B450" s="40" t="s">
        <v>2327</v>
      </c>
      <c r="C450" s="41">
        <v>6</v>
      </c>
      <c r="D450" s="42">
        <v>15</v>
      </c>
      <c r="E450" s="43">
        <v>13129</v>
      </c>
      <c r="F450" s="44">
        <v>36636390</v>
      </c>
      <c r="G450" s="1" t="str">
        <f>IFERROR(IF(ventas_b_mes684[[#This Row],[CUIT]]="","-",VLOOKUP(ventas_b_mes684[[#This Row],[CUIT]],Lista_CUIT[#All],2,0)),"CUIT NO CARGADO")</f>
        <v>CUIT NO CARGADO</v>
      </c>
      <c r="H450" s="64">
        <v>20661.16</v>
      </c>
      <c r="I450" s="64">
        <f>ventas_b_mes684[[#This Row],[IMPORTE NETO]]*0.21</f>
        <v>4338.8436000000002</v>
      </c>
      <c r="J450" s="64"/>
      <c r="K450" s="64"/>
      <c r="L450" s="64">
        <f>SUM(ventas_b_mes684[[#This Row],[IMPORTE NETO]:[EXENTO]])</f>
        <v>25000.0036</v>
      </c>
      <c r="M450" s="59"/>
    </row>
    <row r="451" spans="2:13">
      <c r="B451" s="40" t="s">
        <v>2327</v>
      </c>
      <c r="C451" s="41">
        <v>6</v>
      </c>
      <c r="D451" s="42">
        <v>15</v>
      </c>
      <c r="E451" s="43">
        <v>13123</v>
      </c>
      <c r="F451" s="44">
        <v>95496585</v>
      </c>
      <c r="G451" s="1" t="str">
        <f>IFERROR(IF(ventas_b_mes684[[#This Row],[CUIT]]="","-",VLOOKUP(ventas_b_mes684[[#This Row],[CUIT]],Lista_CUIT[#All],2,0)),"CUIT NO CARGADO")</f>
        <v>CUIT NO CARGADO</v>
      </c>
      <c r="H451" s="64">
        <v>20661.16</v>
      </c>
      <c r="I451" s="64">
        <f>ventas_b_mes684[[#This Row],[IMPORTE NETO]]*0.21</f>
        <v>4338.8436000000002</v>
      </c>
      <c r="J451" s="64"/>
      <c r="K451" s="64"/>
      <c r="L451" s="64">
        <f>SUM(ventas_b_mes684[[#This Row],[IMPORTE NETO]:[EXENTO]])</f>
        <v>25000.0036</v>
      </c>
      <c r="M451" s="59"/>
    </row>
    <row r="452" spans="2:13">
      <c r="B452" s="40" t="s">
        <v>2327</v>
      </c>
      <c r="C452" s="41">
        <v>6</v>
      </c>
      <c r="D452" s="42">
        <v>15</v>
      </c>
      <c r="E452" s="43">
        <v>13128</v>
      </c>
      <c r="F452" s="44">
        <v>21649880</v>
      </c>
      <c r="G452" s="1" t="str">
        <f>IFERROR(IF(ventas_b_mes684[[#This Row],[CUIT]]="","-",VLOOKUP(ventas_b_mes684[[#This Row],[CUIT]],Lista_CUIT[#All],2,0)),"CUIT NO CARGADO")</f>
        <v>CUIT NO CARGADO</v>
      </c>
      <c r="H452" s="64">
        <v>9917.36</v>
      </c>
      <c r="I452" s="64">
        <f>ventas_b_mes684[[#This Row],[IMPORTE NETO]]*0.21</f>
        <v>2082.6455999999998</v>
      </c>
      <c r="J452" s="64"/>
      <c r="K452" s="64"/>
      <c r="L452" s="64">
        <f>SUM(ventas_b_mes684[[#This Row],[IMPORTE NETO]:[EXENTO]])</f>
        <v>12000.0056</v>
      </c>
      <c r="M452" s="59"/>
    </row>
    <row r="453" spans="2:13">
      <c r="B453" s="40" t="s">
        <v>2327</v>
      </c>
      <c r="C453" s="41">
        <v>6</v>
      </c>
      <c r="D453" s="42">
        <v>13</v>
      </c>
      <c r="E453" s="43">
        <v>32399</v>
      </c>
      <c r="F453" s="44">
        <v>24790047</v>
      </c>
      <c r="G453" s="1" t="str">
        <f>IFERROR(IF(ventas_b_mes684[[#This Row],[CUIT]]="","-",VLOOKUP(ventas_b_mes684[[#This Row],[CUIT]],Lista_CUIT[#All],2,0)),"CUIT NO CARGADO")</f>
        <v>CUIT NO CARGADO</v>
      </c>
      <c r="H453" s="64">
        <v>10239.67</v>
      </c>
      <c r="I453" s="64">
        <f>ventas_b_mes684[[#This Row],[IMPORTE NETO]]*0.21</f>
        <v>2150.3307</v>
      </c>
      <c r="J453" s="64"/>
      <c r="K453" s="64"/>
      <c r="L453" s="64">
        <f>SUM(ventas_b_mes684[[#This Row],[IMPORTE NETO]:[EXENTO]])</f>
        <v>12390.000700000001</v>
      </c>
      <c r="M453" s="59"/>
    </row>
    <row r="454" spans="2:13">
      <c r="B454" s="40" t="s">
        <v>2327</v>
      </c>
      <c r="C454" s="41">
        <v>6</v>
      </c>
      <c r="D454" s="42">
        <v>13</v>
      </c>
      <c r="E454" s="43">
        <v>32398</v>
      </c>
      <c r="F454" s="44">
        <v>11</v>
      </c>
      <c r="G454" s="1" t="str">
        <f>IFERROR(IF(ventas_b_mes684[[#This Row],[CUIT]]="","-",VLOOKUP(ventas_b_mes684[[#This Row],[CUIT]],Lista_CUIT[#All],2,0)),"CUIT NO CARGADO")</f>
        <v>CUIT NO CARGADO</v>
      </c>
      <c r="H454" s="64">
        <v>35454.550000000003</v>
      </c>
      <c r="I454" s="64">
        <f>ventas_b_mes684[[#This Row],[IMPORTE NETO]]*0.21</f>
        <v>7445.4555</v>
      </c>
      <c r="J454" s="64"/>
      <c r="K454" s="64"/>
      <c r="L454" s="64">
        <f>SUM(ventas_b_mes684[[#This Row],[IMPORTE NETO]:[EXENTO]])</f>
        <v>42900.005499999999</v>
      </c>
      <c r="M454" s="59"/>
    </row>
    <row r="455" spans="2:13">
      <c r="B455" s="40" t="s">
        <v>2327</v>
      </c>
      <c r="C455" s="41">
        <v>6</v>
      </c>
      <c r="D455" s="42">
        <v>11</v>
      </c>
      <c r="E455" s="43">
        <v>37987</v>
      </c>
      <c r="F455" s="44">
        <v>20185944</v>
      </c>
      <c r="G455" s="1" t="str">
        <f>IFERROR(IF(ventas_b_mes684[[#This Row],[CUIT]]="","-",VLOOKUP(ventas_b_mes684[[#This Row],[CUIT]],Lista_CUIT[#All],2,0)),"CUIT NO CARGADO")</f>
        <v>CUIT NO CARGADO</v>
      </c>
      <c r="H455" s="64">
        <v>32148.71</v>
      </c>
      <c r="I455" s="64">
        <f>ventas_b_mes684[[#This Row],[IMPORTE NETO]]*0.21</f>
        <v>6751.2290999999996</v>
      </c>
      <c r="J455" s="64"/>
      <c r="K455" s="64"/>
      <c r="L455" s="64">
        <f>SUM(ventas_b_mes684[[#This Row],[IMPORTE NETO]:[EXENTO]])</f>
        <v>38899.939099999996</v>
      </c>
      <c r="M455" s="59"/>
    </row>
    <row r="456" spans="2:13">
      <c r="B456" s="40" t="s">
        <v>2327</v>
      </c>
      <c r="C456" s="41">
        <v>6</v>
      </c>
      <c r="D456" s="42">
        <v>13</v>
      </c>
      <c r="E456" s="43">
        <v>32405</v>
      </c>
      <c r="F456" s="44">
        <v>21487835</v>
      </c>
      <c r="G456" s="1" t="str">
        <f>IFERROR(IF(ventas_b_mes684[[#This Row],[CUIT]]="","-",VLOOKUP(ventas_b_mes684[[#This Row],[CUIT]],Lista_CUIT[#All],2,0)),"CUIT NO CARGADO")</f>
        <v>CUIT NO CARGADO</v>
      </c>
      <c r="H456" s="64">
        <v>89793.43</v>
      </c>
      <c r="I456" s="64">
        <f>ventas_b_mes684[[#This Row],[IMPORTE NETO]]*0.21</f>
        <v>18856.620299999999</v>
      </c>
      <c r="J456" s="64"/>
      <c r="K456" s="64"/>
      <c r="L456" s="64">
        <f>SUM(ventas_b_mes684[[#This Row],[IMPORTE NETO]:[EXENTO]])</f>
        <v>108650.05029999999</v>
      </c>
      <c r="M456" s="59"/>
    </row>
    <row r="457" spans="2:13">
      <c r="B457" s="40" t="s">
        <v>2327</v>
      </c>
      <c r="C457" s="41">
        <v>6</v>
      </c>
      <c r="D457" s="42">
        <v>10</v>
      </c>
      <c r="E457" s="43">
        <v>54326</v>
      </c>
      <c r="F457" s="44">
        <v>34286200</v>
      </c>
      <c r="G457" s="1" t="str">
        <f>IFERROR(IF(ventas_b_mes684[[#This Row],[CUIT]]="","-",VLOOKUP(ventas_b_mes684[[#This Row],[CUIT]],Lista_CUIT[#All],2,0)),"CUIT NO CARGADO")</f>
        <v>CUIT NO CARGADO</v>
      </c>
      <c r="H457" s="64">
        <v>35516.53</v>
      </c>
      <c r="I457" s="64">
        <f>ventas_b_mes684[[#This Row],[IMPORTE NETO]]*0.21</f>
        <v>7458.4712999999992</v>
      </c>
      <c r="J457" s="64"/>
      <c r="K457" s="64"/>
      <c r="L457" s="64">
        <f>SUM(ventas_b_mes684[[#This Row],[IMPORTE NETO]:[EXENTO]])</f>
        <v>42975.001299999996</v>
      </c>
      <c r="M457" s="59"/>
    </row>
    <row r="458" spans="2:13">
      <c r="B458" s="40" t="s">
        <v>2327</v>
      </c>
      <c r="C458" s="41">
        <v>6</v>
      </c>
      <c r="D458" s="42">
        <v>11</v>
      </c>
      <c r="E458" s="43">
        <v>37982</v>
      </c>
      <c r="F458" s="44">
        <v>18905338</v>
      </c>
      <c r="G458" s="1" t="str">
        <f>IFERROR(IF(ventas_b_mes684[[#This Row],[CUIT]]="","-",VLOOKUP(ventas_b_mes684[[#This Row],[CUIT]],Lista_CUIT[#All],2,0)),"CUIT NO CARGADO")</f>
        <v>CUIT NO CARGADO</v>
      </c>
      <c r="H458" s="64">
        <v>66652.89</v>
      </c>
      <c r="I458" s="64">
        <f>ventas_b_mes684[[#This Row],[IMPORTE NETO]]*0.21</f>
        <v>13997.106899999999</v>
      </c>
      <c r="J458" s="64"/>
      <c r="K458" s="64"/>
      <c r="L458" s="64">
        <f>SUM(ventas_b_mes684[[#This Row],[IMPORTE NETO]:[EXENTO]])</f>
        <v>80649.996899999998</v>
      </c>
      <c r="M458" s="59"/>
    </row>
    <row r="459" spans="2:13">
      <c r="B459" s="40" t="s">
        <v>2327</v>
      </c>
      <c r="C459" s="41">
        <v>6</v>
      </c>
      <c r="D459" s="42">
        <v>10</v>
      </c>
      <c r="E459" s="43">
        <v>54325</v>
      </c>
      <c r="F459" s="44">
        <v>34286200</v>
      </c>
      <c r="G459" s="1" t="str">
        <f>IFERROR(IF(ventas_b_mes684[[#This Row],[CUIT]]="","-",VLOOKUP(ventas_b_mes684[[#This Row],[CUIT]],Lista_CUIT[#All],2,0)),"CUIT NO CARGADO")</f>
        <v>CUIT NO CARGADO</v>
      </c>
      <c r="H459" s="64">
        <v>62231.4</v>
      </c>
      <c r="I459" s="64">
        <f>ventas_b_mes684[[#This Row],[IMPORTE NETO]]*0.21</f>
        <v>13068.593999999999</v>
      </c>
      <c r="J459" s="64"/>
      <c r="K459" s="64"/>
      <c r="L459" s="64">
        <f>SUM(ventas_b_mes684[[#This Row],[IMPORTE NETO]:[EXENTO]])</f>
        <v>75299.994000000006</v>
      </c>
      <c r="M459" s="59"/>
    </row>
    <row r="460" spans="2:13">
      <c r="B460" s="40" t="s">
        <v>2327</v>
      </c>
      <c r="C460" s="41">
        <v>6</v>
      </c>
      <c r="D460" s="42">
        <v>12</v>
      </c>
      <c r="E460" s="43">
        <v>29545</v>
      </c>
      <c r="F460" s="44">
        <v>92781276</v>
      </c>
      <c r="G460" s="1" t="str">
        <f>IFERROR(IF(ventas_b_mes684[[#This Row],[CUIT]]="","-",VLOOKUP(ventas_b_mes684[[#This Row],[CUIT]],Lista_CUIT[#All],2,0)),"CUIT NO CARGADO")</f>
        <v>CUIT NO CARGADO</v>
      </c>
      <c r="H460" s="64">
        <v>31857.439999999999</v>
      </c>
      <c r="I460" s="64">
        <f>ventas_b_mes684[[#This Row],[IMPORTE NETO]]*0.21</f>
        <v>6690.0623999999998</v>
      </c>
      <c r="J460" s="64"/>
      <c r="K460" s="64"/>
      <c r="L460" s="64">
        <f>SUM(ventas_b_mes684[[#This Row],[IMPORTE NETO]:[EXENTO]])</f>
        <v>38547.502399999998</v>
      </c>
      <c r="M460" s="59"/>
    </row>
    <row r="461" spans="2:13">
      <c r="B461" s="40" t="s">
        <v>2327</v>
      </c>
      <c r="C461" s="41">
        <v>6</v>
      </c>
      <c r="D461" s="42">
        <v>10</v>
      </c>
      <c r="E461" s="43">
        <v>54322</v>
      </c>
      <c r="F461" s="44">
        <v>17605114</v>
      </c>
      <c r="G461" s="1" t="str">
        <f>IFERROR(IF(ventas_b_mes684[[#This Row],[CUIT]]="","-",VLOOKUP(ventas_b_mes684[[#This Row],[CUIT]],Lista_CUIT[#All],2,0)),"CUIT NO CARGADO")</f>
        <v>CUIT NO CARGADO</v>
      </c>
      <c r="H461" s="64">
        <v>157520.66</v>
      </c>
      <c r="I461" s="64">
        <f>ventas_b_mes684[[#This Row],[IMPORTE NETO]]*0.21</f>
        <v>33079.338600000003</v>
      </c>
      <c r="J461" s="64"/>
      <c r="K461" s="64"/>
      <c r="L461" s="64">
        <f>SUM(ventas_b_mes684[[#This Row],[IMPORTE NETO]:[EXENTO]])</f>
        <v>190599.99859999999</v>
      </c>
      <c r="M461" s="59"/>
    </row>
    <row r="462" spans="2:13">
      <c r="B462" s="40" t="s">
        <v>2327</v>
      </c>
      <c r="C462" s="41">
        <v>6</v>
      </c>
      <c r="D462" s="42">
        <v>11</v>
      </c>
      <c r="E462" s="43">
        <v>37971</v>
      </c>
      <c r="F462" s="44">
        <v>96314358</v>
      </c>
      <c r="G462" s="1" t="str">
        <f>IFERROR(IF(ventas_b_mes684[[#This Row],[CUIT]]="","-",VLOOKUP(ventas_b_mes684[[#This Row],[CUIT]],Lista_CUIT[#All],2,0)),"CUIT NO CARGADO")</f>
        <v>CUIT NO CARGADO</v>
      </c>
      <c r="H462" s="64">
        <v>859.5</v>
      </c>
      <c r="I462" s="64">
        <f>ventas_b_mes684[[#This Row],[IMPORTE NETO]]*0.21</f>
        <v>180.495</v>
      </c>
      <c r="J462" s="64"/>
      <c r="K462" s="64"/>
      <c r="L462" s="64">
        <f>SUM(ventas_b_mes684[[#This Row],[IMPORTE NETO]:[EXENTO]])</f>
        <v>1039.9949999999999</v>
      </c>
      <c r="M462" s="59"/>
    </row>
    <row r="463" spans="2:13">
      <c r="B463" s="40" t="s">
        <v>2327</v>
      </c>
      <c r="C463" s="41">
        <v>6</v>
      </c>
      <c r="D463" s="42">
        <v>10</v>
      </c>
      <c r="E463" s="43">
        <v>54316</v>
      </c>
      <c r="F463" s="44">
        <v>21977181</v>
      </c>
      <c r="G463" s="1" t="str">
        <f>IFERROR(IF(ventas_b_mes684[[#This Row],[CUIT]]="","-",VLOOKUP(ventas_b_mes684[[#This Row],[CUIT]],Lista_CUIT[#All],2,0)),"CUIT NO CARGADO")</f>
        <v>CUIT NO CARGADO</v>
      </c>
      <c r="H463" s="64">
        <v>16119.83</v>
      </c>
      <c r="I463" s="64">
        <f>ventas_b_mes684[[#This Row],[IMPORTE NETO]]*0.21</f>
        <v>3385.1642999999999</v>
      </c>
      <c r="J463" s="64"/>
      <c r="K463" s="64"/>
      <c r="L463" s="64">
        <f>SUM(ventas_b_mes684[[#This Row],[IMPORTE NETO]:[EXENTO]])</f>
        <v>19504.994299999998</v>
      </c>
      <c r="M463" s="59"/>
    </row>
    <row r="464" spans="2:13">
      <c r="B464" s="40" t="s">
        <v>2327</v>
      </c>
      <c r="C464" s="41">
        <v>6</v>
      </c>
      <c r="D464" s="42">
        <v>15</v>
      </c>
      <c r="E464" s="43">
        <v>13131</v>
      </c>
      <c r="F464" s="44">
        <v>25178917</v>
      </c>
      <c r="G464" s="1" t="str">
        <f>IFERROR(IF(ventas_b_mes684[[#This Row],[CUIT]]="","-",VLOOKUP(ventas_b_mes684[[#This Row],[CUIT]],Lista_CUIT[#All],2,0)),"CUIT NO CARGADO")</f>
        <v>CUIT NO CARGADO</v>
      </c>
      <c r="H464" s="64">
        <v>8264.4599999999991</v>
      </c>
      <c r="I464" s="64">
        <f>ventas_b_mes684[[#This Row],[IMPORTE NETO]]*0.21</f>
        <v>1735.5365999999997</v>
      </c>
      <c r="J464" s="64"/>
      <c r="K464" s="64"/>
      <c r="L464" s="64">
        <f>SUM(ventas_b_mes684[[#This Row],[IMPORTE NETO]:[EXENTO]])</f>
        <v>9999.9965999999986</v>
      </c>
      <c r="M464" s="59"/>
    </row>
    <row r="465" spans="2:13">
      <c r="B465" s="40" t="s">
        <v>2327</v>
      </c>
      <c r="C465" s="41">
        <v>6</v>
      </c>
      <c r="D465" s="42">
        <v>12</v>
      </c>
      <c r="E465" s="43">
        <v>29538</v>
      </c>
      <c r="F465" s="44">
        <v>26626528</v>
      </c>
      <c r="G465" s="1" t="str">
        <f>IFERROR(IF(ventas_b_mes684[[#This Row],[CUIT]]="","-",VLOOKUP(ventas_b_mes684[[#This Row],[CUIT]],Lista_CUIT[#All],2,0)),"CUIT NO CARGADO")</f>
        <v>CUIT NO CARGADO</v>
      </c>
      <c r="H465" s="64">
        <v>2735.54</v>
      </c>
      <c r="I465" s="64">
        <f>ventas_b_mes684[[#This Row],[IMPORTE NETO]]*0.21</f>
        <v>574.46339999999998</v>
      </c>
      <c r="J465" s="64"/>
      <c r="K465" s="64"/>
      <c r="L465" s="64">
        <f>SUM(ventas_b_mes684[[#This Row],[IMPORTE NETO]:[EXENTO]])</f>
        <v>3310.0034000000001</v>
      </c>
      <c r="M465" s="59"/>
    </row>
    <row r="466" spans="2:13">
      <c r="B466" s="40" t="s">
        <v>2327</v>
      </c>
      <c r="C466" s="41">
        <v>6</v>
      </c>
      <c r="D466" s="42">
        <v>15</v>
      </c>
      <c r="E466" s="43">
        <v>13130</v>
      </c>
      <c r="F466" s="44">
        <v>36636390</v>
      </c>
      <c r="G466" s="1" t="str">
        <f>IFERROR(IF(ventas_b_mes684[[#This Row],[CUIT]]="","-",VLOOKUP(ventas_b_mes684[[#This Row],[CUIT]],Lista_CUIT[#All],2,0)),"CUIT NO CARGADO")</f>
        <v>CUIT NO CARGADO</v>
      </c>
      <c r="H466" s="64">
        <v>17979.34</v>
      </c>
      <c r="I466" s="64">
        <f>ventas_b_mes684[[#This Row],[IMPORTE NETO]]*0.21</f>
        <v>3775.6614</v>
      </c>
      <c r="J466" s="64"/>
      <c r="K466" s="64"/>
      <c r="L466" s="64">
        <f>SUM(ventas_b_mes684[[#This Row],[IMPORTE NETO]:[EXENTO]])</f>
        <v>21755.001400000001</v>
      </c>
      <c r="M466" s="59"/>
    </row>
    <row r="467" spans="2:13">
      <c r="B467" s="40" t="s">
        <v>2327</v>
      </c>
      <c r="C467" s="41">
        <v>6</v>
      </c>
      <c r="D467" s="42">
        <v>10</v>
      </c>
      <c r="E467" s="43">
        <v>54315</v>
      </c>
      <c r="F467" s="44">
        <v>13237807</v>
      </c>
      <c r="G467" s="1" t="str">
        <f>IFERROR(IF(ventas_b_mes684[[#This Row],[CUIT]]="","-",VLOOKUP(ventas_b_mes684[[#This Row],[CUIT]],Lista_CUIT[#All],2,0)),"CUIT NO CARGADO")</f>
        <v>CUIT NO CARGADO</v>
      </c>
      <c r="H467" s="64">
        <v>23041.32</v>
      </c>
      <c r="I467" s="64">
        <f>ventas_b_mes684[[#This Row],[IMPORTE NETO]]*0.21</f>
        <v>4838.6772000000001</v>
      </c>
      <c r="J467" s="64"/>
      <c r="K467" s="64"/>
      <c r="L467" s="64">
        <f>SUM(ventas_b_mes684[[#This Row],[IMPORTE NETO]:[EXENTO]])</f>
        <v>27879.997199999998</v>
      </c>
      <c r="M467" s="59"/>
    </row>
    <row r="468" spans="2:13">
      <c r="B468" s="40" t="s">
        <v>2327</v>
      </c>
      <c r="C468" s="41">
        <v>6</v>
      </c>
      <c r="D468" s="42">
        <v>15</v>
      </c>
      <c r="E468" s="43">
        <v>13137</v>
      </c>
      <c r="F468" s="44">
        <v>29535593</v>
      </c>
      <c r="G468" s="1" t="str">
        <f>IFERROR(IF(ventas_b_mes684[[#This Row],[CUIT]]="","-",VLOOKUP(ventas_b_mes684[[#This Row],[CUIT]],Lista_CUIT[#All],2,0)),"CUIT NO CARGADO")</f>
        <v>CUIT NO CARGADO</v>
      </c>
      <c r="H468" s="64">
        <v>59231.4</v>
      </c>
      <c r="I468" s="64">
        <f>ventas_b_mes684[[#This Row],[IMPORTE NETO]]*0.21</f>
        <v>12438.593999999999</v>
      </c>
      <c r="J468" s="64"/>
      <c r="K468" s="64"/>
      <c r="L468" s="64">
        <f>SUM(ventas_b_mes684[[#This Row],[IMPORTE NETO]:[EXENTO]])</f>
        <v>71669.994000000006</v>
      </c>
      <c r="M468" s="59"/>
    </row>
    <row r="469" spans="2:13">
      <c r="B469" s="40" t="s">
        <v>2327</v>
      </c>
      <c r="C469" s="41">
        <v>6</v>
      </c>
      <c r="D469" s="42">
        <v>10</v>
      </c>
      <c r="E469" s="43">
        <v>54324</v>
      </c>
      <c r="F469" s="44">
        <v>14824069</v>
      </c>
      <c r="G469" s="1" t="str">
        <f>IFERROR(IF(ventas_b_mes684[[#This Row],[CUIT]]="","-",VLOOKUP(ventas_b_mes684[[#This Row],[CUIT]],Lista_CUIT[#All],2,0)),"CUIT NO CARGADO")</f>
        <v>CUIT NO CARGADO</v>
      </c>
      <c r="H469" s="64">
        <v>17913.22</v>
      </c>
      <c r="I469" s="64">
        <f>ventas_b_mes684[[#This Row],[IMPORTE NETO]]*0.21</f>
        <v>3761.7762000000002</v>
      </c>
      <c r="J469" s="64"/>
      <c r="K469" s="64"/>
      <c r="L469" s="64">
        <f>SUM(ventas_b_mes684[[#This Row],[IMPORTE NETO]:[EXENTO]])</f>
        <v>21674.996200000001</v>
      </c>
      <c r="M469" s="59"/>
    </row>
    <row r="470" spans="2:13">
      <c r="B470" s="40" t="s">
        <v>2327</v>
      </c>
      <c r="C470" s="41">
        <v>6</v>
      </c>
      <c r="D470" s="42">
        <v>15</v>
      </c>
      <c r="E470" s="43">
        <v>13127</v>
      </c>
      <c r="F470" s="44">
        <v>21649880</v>
      </c>
      <c r="G470" s="1" t="str">
        <f>IFERROR(IF(ventas_b_mes684[[#This Row],[CUIT]]="","-",VLOOKUP(ventas_b_mes684[[#This Row],[CUIT]],Lista_CUIT[#All],2,0)),"CUIT NO CARGADO")</f>
        <v>CUIT NO CARGADO</v>
      </c>
      <c r="H470" s="64">
        <v>20661.16</v>
      </c>
      <c r="I470" s="64">
        <f>ventas_b_mes684[[#This Row],[IMPORTE NETO]]*0.21</f>
        <v>4338.8436000000002</v>
      </c>
      <c r="J470" s="64"/>
      <c r="K470" s="64"/>
      <c r="L470" s="64">
        <f>SUM(ventas_b_mes684[[#This Row],[IMPORTE NETO]:[EXENTO]])</f>
        <v>25000.0036</v>
      </c>
      <c r="M470" s="59"/>
    </row>
    <row r="471" spans="2:13">
      <c r="B471" s="40" t="s">
        <v>2327</v>
      </c>
      <c r="C471" s="41">
        <v>6</v>
      </c>
      <c r="D471" s="42">
        <v>15</v>
      </c>
      <c r="E471" s="43">
        <v>13126</v>
      </c>
      <c r="F471" s="44">
        <v>33528637</v>
      </c>
      <c r="G471" s="1" t="str">
        <f>IFERROR(IF(ventas_b_mes684[[#This Row],[CUIT]]="","-",VLOOKUP(ventas_b_mes684[[#This Row],[CUIT]],Lista_CUIT[#All],2,0)),"CUIT NO CARGADO")</f>
        <v>CABANA,MARISOL</v>
      </c>
      <c r="H471" s="64">
        <v>63223.14</v>
      </c>
      <c r="I471" s="64">
        <f>ventas_b_mes684[[#This Row],[IMPORTE NETO]]*0.21</f>
        <v>13276.859399999999</v>
      </c>
      <c r="J471" s="64"/>
      <c r="K471" s="64"/>
      <c r="L471" s="64">
        <f>SUM(ventas_b_mes684[[#This Row],[IMPORTE NETO]:[EXENTO]])</f>
        <v>76499.999400000001</v>
      </c>
      <c r="M471" s="59"/>
    </row>
    <row r="472" spans="2:13">
      <c r="B472" s="40" t="s">
        <v>2327</v>
      </c>
      <c r="C472" s="41">
        <v>6</v>
      </c>
      <c r="D472" s="42">
        <v>11</v>
      </c>
      <c r="E472" s="43">
        <v>37986</v>
      </c>
      <c r="F472" s="44">
        <v>28840746</v>
      </c>
      <c r="G472" s="1" t="str">
        <f>IFERROR(IF(ventas_b_mes684[[#This Row],[CUIT]]="","-",VLOOKUP(ventas_b_mes684[[#This Row],[CUIT]],Lista_CUIT[#All],2,0)),"CUIT NO CARGADO")</f>
        <v>CUIT NO CARGADO</v>
      </c>
      <c r="H472" s="64">
        <v>35371.9</v>
      </c>
      <c r="I472" s="64">
        <f>ventas_b_mes684[[#This Row],[IMPORTE NETO]]*0.21</f>
        <v>7428.0990000000002</v>
      </c>
      <c r="J472" s="64"/>
      <c r="K472" s="64"/>
      <c r="L472" s="64">
        <f>SUM(ventas_b_mes684[[#This Row],[IMPORTE NETO]:[EXENTO]])</f>
        <v>42799.999000000003</v>
      </c>
      <c r="M472" s="59"/>
    </row>
    <row r="473" spans="2:13">
      <c r="B473" s="40" t="s">
        <v>2327</v>
      </c>
      <c r="C473" s="41">
        <v>6</v>
      </c>
      <c r="D473" s="42">
        <v>15</v>
      </c>
      <c r="E473" s="43">
        <v>13138</v>
      </c>
      <c r="F473" s="44">
        <v>36648311</v>
      </c>
      <c r="G473" s="1" t="str">
        <f>IFERROR(IF(ventas_b_mes684[[#This Row],[CUIT]]="","-",VLOOKUP(ventas_b_mes684[[#This Row],[CUIT]],Lista_CUIT[#All],2,0)),"CUIT NO CARGADO")</f>
        <v>CUIT NO CARGADO</v>
      </c>
      <c r="H473" s="64">
        <v>40776.86</v>
      </c>
      <c r="I473" s="64">
        <f>ventas_b_mes684[[#This Row],[IMPORTE NETO]]*0.21</f>
        <v>8563.1406000000006</v>
      </c>
      <c r="J473" s="64"/>
      <c r="K473" s="64"/>
      <c r="L473" s="64">
        <f>SUM(ventas_b_mes684[[#This Row],[IMPORTE NETO]:[EXENTO]])</f>
        <v>49340.000599999999</v>
      </c>
      <c r="M473" s="59"/>
    </row>
    <row r="474" spans="2:13">
      <c r="B474" s="40" t="s">
        <v>2327</v>
      </c>
      <c r="C474" s="41">
        <v>6</v>
      </c>
      <c r="D474" s="42">
        <v>11</v>
      </c>
      <c r="E474" s="43">
        <v>37994</v>
      </c>
      <c r="F474" s="44">
        <v>95854288</v>
      </c>
      <c r="G474" s="1" t="str">
        <f>IFERROR(IF(ventas_b_mes684[[#This Row],[CUIT]]="","-",VLOOKUP(ventas_b_mes684[[#This Row],[CUIT]],Lista_CUIT[#All],2,0)),"CUIT NO CARGADO")</f>
        <v>CUIT NO CARGADO</v>
      </c>
      <c r="H474" s="64">
        <v>24024.79</v>
      </c>
      <c r="I474" s="64">
        <f>ventas_b_mes684[[#This Row],[IMPORTE NETO]]*0.21</f>
        <v>5045.2058999999999</v>
      </c>
      <c r="J474" s="64"/>
      <c r="K474" s="64"/>
      <c r="L474" s="64">
        <f>SUM(ventas_b_mes684[[#This Row],[IMPORTE NETO]:[EXENTO]])</f>
        <v>29069.995900000002</v>
      </c>
      <c r="M474" s="59"/>
    </row>
    <row r="475" spans="2:13">
      <c r="B475" s="40" t="s">
        <v>2327</v>
      </c>
      <c r="C475" s="41">
        <v>6</v>
      </c>
      <c r="D475" s="42">
        <v>11</v>
      </c>
      <c r="E475" s="43">
        <v>37977</v>
      </c>
      <c r="F475" s="44">
        <v>18641131</v>
      </c>
      <c r="G475" s="1" t="str">
        <f>IFERROR(IF(ventas_b_mes684[[#This Row],[CUIT]]="","-",VLOOKUP(ventas_b_mes684[[#This Row],[CUIT]],Lista_CUIT[#All],2,0)),"CUIT NO CARGADO")</f>
        <v>CUIT NO CARGADO</v>
      </c>
      <c r="H475" s="64">
        <v>8107.44</v>
      </c>
      <c r="I475" s="64">
        <f>ventas_b_mes684[[#This Row],[IMPORTE NETO]]*0.21</f>
        <v>1702.5623999999998</v>
      </c>
      <c r="J475" s="64"/>
      <c r="K475" s="64"/>
      <c r="L475" s="64">
        <f>SUM(ventas_b_mes684[[#This Row],[IMPORTE NETO]:[EXENTO]])</f>
        <v>9810.0023999999994</v>
      </c>
      <c r="M475" s="59"/>
    </row>
    <row r="476" spans="2:13">
      <c r="B476" s="40" t="s">
        <v>2305</v>
      </c>
      <c r="C476" s="41">
        <v>6</v>
      </c>
      <c r="D476" s="42">
        <v>11</v>
      </c>
      <c r="E476" s="43">
        <v>38016</v>
      </c>
      <c r="F476" s="44">
        <v>47028983</v>
      </c>
      <c r="G476" s="1" t="str">
        <f>IFERROR(IF(ventas_b_mes684[[#This Row],[CUIT]]="","-",VLOOKUP(ventas_b_mes684[[#This Row],[CUIT]],Lista_CUIT[#All],2,0)),"CUIT NO CARGADO")</f>
        <v>CUIT NO CARGADO</v>
      </c>
      <c r="H476" s="64">
        <v>11471.07</v>
      </c>
      <c r="I476" s="64">
        <f>ventas_b_mes684[[#This Row],[IMPORTE NETO]]*0.21</f>
        <v>2408.9247</v>
      </c>
      <c r="J476" s="64"/>
      <c r="K476" s="64"/>
      <c r="L476" s="64">
        <f>SUM(ventas_b_mes684[[#This Row],[IMPORTE NETO]:[EXENTO]])</f>
        <v>13879.994699999999</v>
      </c>
      <c r="M476" s="59"/>
    </row>
    <row r="477" spans="2:13">
      <c r="B477" s="40" t="s">
        <v>2305</v>
      </c>
      <c r="C477" s="41">
        <v>6</v>
      </c>
      <c r="D477" s="42">
        <v>10</v>
      </c>
      <c r="E477" s="43">
        <v>54333</v>
      </c>
      <c r="F477" s="44">
        <v>25219616</v>
      </c>
      <c r="G477" s="1" t="str">
        <f>IFERROR(IF(ventas_b_mes684[[#This Row],[CUIT]]="","-",VLOOKUP(ventas_b_mes684[[#This Row],[CUIT]],Lista_CUIT[#All],2,0)),"CUIT NO CARGADO")</f>
        <v>CUIT NO CARGADO</v>
      </c>
      <c r="H477" s="64">
        <v>22561.98</v>
      </c>
      <c r="I477" s="64">
        <f>ventas_b_mes684[[#This Row],[IMPORTE NETO]]*0.21</f>
        <v>4738.0158000000001</v>
      </c>
      <c r="J477" s="64"/>
      <c r="K477" s="64"/>
      <c r="L477" s="64">
        <f>SUM(ventas_b_mes684[[#This Row],[IMPORTE NETO]:[EXENTO]])</f>
        <v>27299.995800000001</v>
      </c>
      <c r="M477" s="59"/>
    </row>
    <row r="478" spans="2:13">
      <c r="B478" s="40" t="s">
        <v>2305</v>
      </c>
      <c r="C478" s="41">
        <v>6</v>
      </c>
      <c r="D478" s="42">
        <v>13</v>
      </c>
      <c r="E478" s="43">
        <v>32428</v>
      </c>
      <c r="F478" s="44">
        <v>20209481</v>
      </c>
      <c r="G478" s="1" t="str">
        <f>IFERROR(IF(ventas_b_mes684[[#This Row],[CUIT]]="","-",VLOOKUP(ventas_b_mes684[[#This Row],[CUIT]],Lista_CUIT[#All],2,0)),"CUIT NO CARGADO")</f>
        <v>CUIT NO CARGADO</v>
      </c>
      <c r="H478" s="64">
        <v>11008.26</v>
      </c>
      <c r="I478" s="64">
        <f>ventas_b_mes684[[#This Row],[IMPORTE NETO]]*0.21</f>
        <v>2311.7345999999998</v>
      </c>
      <c r="J478" s="64"/>
      <c r="K478" s="64"/>
      <c r="L478" s="64">
        <f>SUM(ventas_b_mes684[[#This Row],[IMPORTE NETO]:[EXENTO]])</f>
        <v>13319.9946</v>
      </c>
      <c r="M478" s="59"/>
    </row>
    <row r="479" spans="2:13">
      <c r="B479" s="40" t="s">
        <v>2305</v>
      </c>
      <c r="C479" s="41">
        <v>6</v>
      </c>
      <c r="D479" s="42">
        <v>13</v>
      </c>
      <c r="E479" s="43">
        <v>32427</v>
      </c>
      <c r="F479" s="44">
        <v>95675527</v>
      </c>
      <c r="G479" s="1" t="str">
        <f>IFERROR(IF(ventas_b_mes684[[#This Row],[CUIT]]="","-",VLOOKUP(ventas_b_mes684[[#This Row],[CUIT]],Lista_CUIT[#All],2,0)),"CUIT NO CARGADO")</f>
        <v>CUIT NO CARGADO</v>
      </c>
      <c r="H479" s="64">
        <v>40247.93</v>
      </c>
      <c r="I479" s="64">
        <f>ventas_b_mes684[[#This Row],[IMPORTE NETO]]*0.21</f>
        <v>8452.0653000000002</v>
      </c>
      <c r="J479" s="64"/>
      <c r="K479" s="64"/>
      <c r="L479" s="64">
        <f>SUM(ventas_b_mes684[[#This Row],[IMPORTE NETO]:[EXENTO]])</f>
        <v>48699.995300000002</v>
      </c>
      <c r="M479" s="59"/>
    </row>
    <row r="480" spans="2:13">
      <c r="B480" s="40" t="s">
        <v>2305</v>
      </c>
      <c r="C480" s="41">
        <v>6</v>
      </c>
      <c r="D480" s="42">
        <v>12</v>
      </c>
      <c r="E480" s="43">
        <v>29565</v>
      </c>
      <c r="F480" s="44">
        <v>26557531</v>
      </c>
      <c r="G480" s="1" t="str">
        <f>IFERROR(IF(ventas_b_mes684[[#This Row],[CUIT]]="","-",VLOOKUP(ventas_b_mes684[[#This Row],[CUIT]],Lista_CUIT[#All],2,0)),"CUIT NO CARGADO")</f>
        <v>CUIT NO CARGADO</v>
      </c>
      <c r="H480" s="64">
        <v>39421.49</v>
      </c>
      <c r="I480" s="64">
        <f>ventas_b_mes684[[#This Row],[IMPORTE NETO]]*0.21</f>
        <v>8278.5128999999997</v>
      </c>
      <c r="J480" s="64"/>
      <c r="K480" s="64"/>
      <c r="L480" s="64">
        <f>SUM(ventas_b_mes684[[#This Row],[IMPORTE NETO]:[EXENTO]])</f>
        <v>47700.002899999999</v>
      </c>
      <c r="M480" s="59"/>
    </row>
    <row r="481" spans="2:13">
      <c r="B481" s="40" t="s">
        <v>2305</v>
      </c>
      <c r="C481" s="41">
        <v>6</v>
      </c>
      <c r="D481" s="42">
        <v>12</v>
      </c>
      <c r="E481" s="43">
        <v>29566</v>
      </c>
      <c r="F481" s="44">
        <v>22524572</v>
      </c>
      <c r="G481" s="1" t="str">
        <f>IFERROR(IF(ventas_b_mes684[[#This Row],[CUIT]]="","-",VLOOKUP(ventas_b_mes684[[#This Row],[CUIT]],Lista_CUIT[#All],2,0)),"CUIT NO CARGADO")</f>
        <v>CUIT NO CARGADO</v>
      </c>
      <c r="H481" s="64">
        <v>128223.14</v>
      </c>
      <c r="I481" s="64">
        <f>ventas_b_mes684[[#This Row],[IMPORTE NETO]]*0.21</f>
        <v>26926.859399999998</v>
      </c>
      <c r="J481" s="64"/>
      <c r="K481" s="64"/>
      <c r="L481" s="64">
        <f>SUM(ventas_b_mes684[[#This Row],[IMPORTE NETO]:[EXENTO]])</f>
        <v>155149.9994</v>
      </c>
      <c r="M481" s="59"/>
    </row>
    <row r="482" spans="2:13">
      <c r="B482" s="40" t="s">
        <v>2305</v>
      </c>
      <c r="C482" s="41">
        <v>6</v>
      </c>
      <c r="D482" s="42">
        <v>11</v>
      </c>
      <c r="E482" s="43">
        <v>38021</v>
      </c>
      <c r="F482" s="44">
        <v>94306033</v>
      </c>
      <c r="G482" s="1" t="str">
        <f>IFERROR(IF(ventas_b_mes684[[#This Row],[CUIT]]="","-",VLOOKUP(ventas_b_mes684[[#This Row],[CUIT]],Lista_CUIT[#All],2,0)),"CUIT NO CARGADO")</f>
        <v>CUIT NO CARGADO</v>
      </c>
      <c r="H482" s="64">
        <v>8464.8799999999992</v>
      </c>
      <c r="I482" s="64">
        <f>ventas_b_mes684[[#This Row],[IMPORTE NETO]]*0.21</f>
        <v>1777.6247999999998</v>
      </c>
      <c r="J482" s="64"/>
      <c r="K482" s="64"/>
      <c r="L482" s="64">
        <f>SUM(ventas_b_mes684[[#This Row],[IMPORTE NETO]:[EXENTO]])</f>
        <v>10242.504799999999</v>
      </c>
      <c r="M482" s="59"/>
    </row>
    <row r="483" spans="2:13">
      <c r="B483" s="40" t="s">
        <v>2305</v>
      </c>
      <c r="C483" s="41">
        <v>6</v>
      </c>
      <c r="D483" s="42">
        <v>10</v>
      </c>
      <c r="E483" s="43">
        <v>54365</v>
      </c>
      <c r="F483" s="44">
        <v>20278928</v>
      </c>
      <c r="G483" s="1" t="str">
        <f>IFERROR(IF(ventas_b_mes684[[#This Row],[CUIT]]="","-",VLOOKUP(ventas_b_mes684[[#This Row],[CUIT]],Lista_CUIT[#All],2,0)),"CUIT NO CARGADO")</f>
        <v>CUIT NO CARGADO</v>
      </c>
      <c r="H483" s="64">
        <v>20661.16</v>
      </c>
      <c r="I483" s="64">
        <f>ventas_b_mes684[[#This Row],[IMPORTE NETO]]*0.21</f>
        <v>4338.8436000000002</v>
      </c>
      <c r="J483" s="64"/>
      <c r="K483" s="64"/>
      <c r="L483" s="64">
        <f>SUM(ventas_b_mes684[[#This Row],[IMPORTE NETO]:[EXENTO]])</f>
        <v>25000.0036</v>
      </c>
      <c r="M483" s="59"/>
    </row>
    <row r="484" spans="2:13">
      <c r="B484" s="40" t="s">
        <v>2305</v>
      </c>
      <c r="C484" s="41">
        <v>6</v>
      </c>
      <c r="D484" s="42">
        <v>10</v>
      </c>
      <c r="E484" s="43">
        <v>54371</v>
      </c>
      <c r="F484" s="44">
        <v>21815624</v>
      </c>
      <c r="G484" s="1" t="str">
        <f>IFERROR(IF(ventas_b_mes684[[#This Row],[CUIT]]="","-",VLOOKUP(ventas_b_mes684[[#This Row],[CUIT]],Lista_CUIT[#All],2,0)),"CUIT NO CARGADO")</f>
        <v>CUIT NO CARGADO</v>
      </c>
      <c r="H484" s="64">
        <v>35479.33</v>
      </c>
      <c r="I484" s="64">
        <f>ventas_b_mes684[[#This Row],[IMPORTE NETO]]*0.21</f>
        <v>7450.6593000000003</v>
      </c>
      <c r="J484" s="64"/>
      <c r="K484" s="64"/>
      <c r="L484" s="64">
        <f>SUM(ventas_b_mes684[[#This Row],[IMPORTE NETO]:[EXENTO]])</f>
        <v>42929.989300000001</v>
      </c>
      <c r="M484" s="59"/>
    </row>
    <row r="485" spans="2:13">
      <c r="B485" s="40" t="s">
        <v>2305</v>
      </c>
      <c r="C485" s="41">
        <v>6</v>
      </c>
      <c r="D485" s="42">
        <v>11</v>
      </c>
      <c r="E485" s="43">
        <v>38017</v>
      </c>
      <c r="F485" s="44">
        <v>20249213</v>
      </c>
      <c r="G485" s="1" t="str">
        <f>IFERROR(IF(ventas_b_mes684[[#This Row],[CUIT]]="","-",VLOOKUP(ventas_b_mes684[[#This Row],[CUIT]],Lista_CUIT[#All],2,0)),"CUIT NO CARGADO")</f>
        <v>CUIT NO CARGADO</v>
      </c>
      <c r="H485" s="64">
        <v>20661.16</v>
      </c>
      <c r="I485" s="64">
        <f>ventas_b_mes684[[#This Row],[IMPORTE NETO]]*0.21</f>
        <v>4338.8436000000002</v>
      </c>
      <c r="J485" s="64"/>
      <c r="K485" s="64"/>
      <c r="L485" s="64">
        <f>SUM(ventas_b_mes684[[#This Row],[IMPORTE NETO]:[EXENTO]])</f>
        <v>25000.0036</v>
      </c>
      <c r="M485" s="59"/>
    </row>
    <row r="486" spans="2:13">
      <c r="B486" s="40" t="s">
        <v>2305</v>
      </c>
      <c r="C486" s="41">
        <v>6</v>
      </c>
      <c r="D486" s="42">
        <v>11</v>
      </c>
      <c r="E486" s="43">
        <v>38019</v>
      </c>
      <c r="F486" s="44">
        <v>14682695</v>
      </c>
      <c r="G486" s="1" t="str">
        <f>IFERROR(IF(ventas_b_mes684[[#This Row],[CUIT]]="","-",VLOOKUP(ventas_b_mes684[[#This Row],[CUIT]],Lista_CUIT[#All],2,0)),"CUIT NO CARGADO")</f>
        <v>CUIT NO CARGADO</v>
      </c>
      <c r="H486" s="64">
        <v>20661.16</v>
      </c>
      <c r="I486" s="64">
        <f>ventas_b_mes684[[#This Row],[IMPORTE NETO]]*0.21</f>
        <v>4338.8436000000002</v>
      </c>
      <c r="J486" s="64"/>
      <c r="K486" s="64"/>
      <c r="L486" s="64">
        <f>SUM(ventas_b_mes684[[#This Row],[IMPORTE NETO]:[EXENTO]])</f>
        <v>25000.0036</v>
      </c>
      <c r="M486" s="59"/>
    </row>
    <row r="487" spans="2:13">
      <c r="B487" s="40" t="s">
        <v>2305</v>
      </c>
      <c r="C487" s="41">
        <v>6</v>
      </c>
      <c r="D487" s="42">
        <v>11</v>
      </c>
      <c r="E487" s="43">
        <v>38018</v>
      </c>
      <c r="F487" s="44">
        <v>37885731</v>
      </c>
      <c r="G487" s="1" t="str">
        <f>IFERROR(IF(ventas_b_mes684[[#This Row],[CUIT]]="","-",VLOOKUP(ventas_b_mes684[[#This Row],[CUIT]],Lista_CUIT[#All],2,0)),"CUIT NO CARGADO")</f>
        <v>CUIT NO CARGADO</v>
      </c>
      <c r="H487" s="64">
        <v>5358.16</v>
      </c>
      <c r="I487" s="64">
        <f>ventas_b_mes684[[#This Row],[IMPORTE NETO]]*0.21</f>
        <v>1125.2135999999998</v>
      </c>
      <c r="J487" s="64"/>
      <c r="K487" s="64"/>
      <c r="L487" s="64">
        <f>SUM(ventas_b_mes684[[#This Row],[IMPORTE NETO]:[EXENTO]])</f>
        <v>6483.3735999999999</v>
      </c>
      <c r="M487" s="59"/>
    </row>
    <row r="488" spans="2:13">
      <c r="B488" s="40" t="s">
        <v>2305</v>
      </c>
      <c r="C488" s="41">
        <v>6</v>
      </c>
      <c r="D488" s="42">
        <v>13</v>
      </c>
      <c r="E488" s="43">
        <v>32415</v>
      </c>
      <c r="F488" s="44">
        <v>27253996469</v>
      </c>
      <c r="G488" s="1" t="str">
        <f>IFERROR(IF(ventas_b_mes684[[#This Row],[CUIT]]="","-",VLOOKUP(ventas_b_mes684[[#This Row],[CUIT]],Lista_CUIT[#All],2,0)),"CUIT NO CARGADO")</f>
        <v>CUIT NO CARGADO</v>
      </c>
      <c r="H488" s="64">
        <v>8264.4599999999991</v>
      </c>
      <c r="I488" s="64">
        <f>ventas_b_mes684[[#This Row],[IMPORTE NETO]]*0.21</f>
        <v>1735.5365999999997</v>
      </c>
      <c r="J488" s="64"/>
      <c r="K488" s="64"/>
      <c r="L488" s="64">
        <f>SUM(ventas_b_mes684[[#This Row],[IMPORTE NETO]:[EXENTO]])</f>
        <v>9999.9965999999986</v>
      </c>
      <c r="M488" s="59"/>
    </row>
    <row r="489" spans="2:13">
      <c r="B489" s="40" t="s">
        <v>2305</v>
      </c>
      <c r="C489" s="41">
        <v>6</v>
      </c>
      <c r="D489" s="42">
        <v>11</v>
      </c>
      <c r="E489" s="43">
        <v>37997</v>
      </c>
      <c r="F489" s="44">
        <v>10874569</v>
      </c>
      <c r="G489" s="1" t="str">
        <f>IFERROR(IF(ventas_b_mes684[[#This Row],[CUIT]]="","-",VLOOKUP(ventas_b_mes684[[#This Row],[CUIT]],Lista_CUIT[#All],2,0)),"CUIT NO CARGADO")</f>
        <v>CUIT NO CARGADO</v>
      </c>
      <c r="H489" s="64">
        <v>65082.64</v>
      </c>
      <c r="I489" s="64">
        <f>ventas_b_mes684[[#This Row],[IMPORTE NETO]]*0.21</f>
        <v>13667.3544</v>
      </c>
      <c r="J489" s="64"/>
      <c r="K489" s="64"/>
      <c r="L489" s="64">
        <f>SUM(ventas_b_mes684[[#This Row],[IMPORTE NETO]:[EXENTO]])</f>
        <v>78749.994399999996</v>
      </c>
      <c r="M489" s="59"/>
    </row>
    <row r="490" spans="2:13">
      <c r="B490" s="40" t="s">
        <v>2305</v>
      </c>
      <c r="C490" s="41">
        <v>6</v>
      </c>
      <c r="D490" s="42">
        <v>10</v>
      </c>
      <c r="E490" s="43">
        <v>54328</v>
      </c>
      <c r="F490" s="44">
        <v>25563243</v>
      </c>
      <c r="G490" s="1" t="str">
        <f>IFERROR(IF(ventas_b_mes684[[#This Row],[CUIT]]="","-",VLOOKUP(ventas_b_mes684[[#This Row],[CUIT]],Lista_CUIT[#All],2,0)),"CUIT NO CARGADO")</f>
        <v>CUIT NO CARGADO</v>
      </c>
      <c r="H490" s="64">
        <v>25654.959999999999</v>
      </c>
      <c r="I490" s="64">
        <f>ventas_b_mes684[[#This Row],[IMPORTE NETO]]*0.21</f>
        <v>5387.5415999999996</v>
      </c>
      <c r="J490" s="64"/>
      <c r="K490" s="64"/>
      <c r="L490" s="64">
        <f>SUM(ventas_b_mes684[[#This Row],[IMPORTE NETO]:[EXENTO]])</f>
        <v>31042.5016</v>
      </c>
      <c r="M490" s="59"/>
    </row>
    <row r="491" spans="2:13">
      <c r="B491" s="40" t="s">
        <v>2305</v>
      </c>
      <c r="C491" s="41">
        <v>6</v>
      </c>
      <c r="D491" s="42">
        <v>10</v>
      </c>
      <c r="E491" s="43">
        <v>54348</v>
      </c>
      <c r="F491" s="44">
        <v>17605114</v>
      </c>
      <c r="G491" s="1" t="str">
        <f>IFERROR(IF(ventas_b_mes684[[#This Row],[CUIT]]="","-",VLOOKUP(ventas_b_mes684[[#This Row],[CUIT]],Lista_CUIT[#All],2,0)),"CUIT NO CARGADO")</f>
        <v>CUIT NO CARGADO</v>
      </c>
      <c r="H491" s="64">
        <v>0.17</v>
      </c>
      <c r="I491" s="64">
        <f>ventas_b_mes684[[#This Row],[IMPORTE NETO]]*0.21</f>
        <v>3.5700000000000003E-2</v>
      </c>
      <c r="J491" s="64"/>
      <c r="K491" s="64"/>
      <c r="L491" s="64">
        <f>SUM(ventas_b_mes684[[#This Row],[IMPORTE NETO]:[EXENTO]])</f>
        <v>0.20570000000000002</v>
      </c>
      <c r="M491" s="59"/>
    </row>
    <row r="492" spans="2:13">
      <c r="B492" s="40" t="s">
        <v>2305</v>
      </c>
      <c r="C492" s="41">
        <v>6</v>
      </c>
      <c r="D492" s="42">
        <v>10</v>
      </c>
      <c r="E492" s="43">
        <v>54342</v>
      </c>
      <c r="F492" s="44">
        <v>27200979872</v>
      </c>
      <c r="G492" s="1" t="str">
        <f>IFERROR(IF(ventas_b_mes684[[#This Row],[CUIT]]="","-",VLOOKUP(ventas_b_mes684[[#This Row],[CUIT]],Lista_CUIT[#All],2,0)),"CUIT NO CARGADO")</f>
        <v>CUIT NO CARGADO</v>
      </c>
      <c r="H492" s="64">
        <v>20695.87</v>
      </c>
      <c r="I492" s="64">
        <f>ventas_b_mes684[[#This Row],[IMPORTE NETO]]*0.21</f>
        <v>4346.1326999999992</v>
      </c>
      <c r="J492" s="64"/>
      <c r="K492" s="64"/>
      <c r="L492" s="64">
        <f>SUM(ventas_b_mes684[[#This Row],[IMPORTE NETO]:[EXENTO]])</f>
        <v>25042.002699999997</v>
      </c>
      <c r="M492" s="59"/>
    </row>
    <row r="493" spans="2:13">
      <c r="B493" s="40" t="s">
        <v>2305</v>
      </c>
      <c r="C493" s="41">
        <v>6</v>
      </c>
      <c r="D493" s="42">
        <v>11</v>
      </c>
      <c r="E493" s="43">
        <v>38001</v>
      </c>
      <c r="F493" s="44">
        <v>17819722</v>
      </c>
      <c r="G493" s="1" t="str">
        <f>IFERROR(IF(ventas_b_mes684[[#This Row],[CUIT]]="","-",VLOOKUP(ventas_b_mes684[[#This Row],[CUIT]],Lista_CUIT[#All],2,0)),"CUIT NO CARGADO")</f>
        <v>CUIT NO CARGADO</v>
      </c>
      <c r="H493" s="64">
        <v>6404.96</v>
      </c>
      <c r="I493" s="64">
        <f>ventas_b_mes684[[#This Row],[IMPORTE NETO]]*0.21</f>
        <v>1345.0416</v>
      </c>
      <c r="J493" s="64"/>
      <c r="K493" s="64"/>
      <c r="L493" s="64">
        <f>SUM(ventas_b_mes684[[#This Row],[IMPORTE NETO]:[EXENTO]])</f>
        <v>7750.0015999999996</v>
      </c>
      <c r="M493" s="59"/>
    </row>
    <row r="494" spans="2:13">
      <c r="B494" s="40" t="s">
        <v>2305</v>
      </c>
      <c r="C494" s="41">
        <v>6</v>
      </c>
      <c r="D494" s="42">
        <v>12</v>
      </c>
      <c r="E494" s="43">
        <v>29580</v>
      </c>
      <c r="F494" s="44">
        <v>24102431</v>
      </c>
      <c r="G494" s="1" t="str">
        <f>IFERROR(IF(ventas_b_mes684[[#This Row],[CUIT]]="","-",VLOOKUP(ventas_b_mes684[[#This Row],[CUIT]],Lista_CUIT[#All],2,0)),"CUIT NO CARGADO")</f>
        <v>CUIT NO CARGADO</v>
      </c>
      <c r="H494" s="64">
        <v>12396.69</v>
      </c>
      <c r="I494" s="64">
        <f>ventas_b_mes684[[#This Row],[IMPORTE NETO]]*0.21</f>
        <v>2603.3049000000001</v>
      </c>
      <c r="J494" s="64"/>
      <c r="K494" s="64"/>
      <c r="L494" s="64">
        <f>SUM(ventas_b_mes684[[#This Row],[IMPORTE NETO]:[EXENTO]])</f>
        <v>14999.994900000002</v>
      </c>
      <c r="M494" s="59"/>
    </row>
    <row r="495" spans="2:13">
      <c r="B495" s="40" t="s">
        <v>2305</v>
      </c>
      <c r="C495" s="41">
        <v>6</v>
      </c>
      <c r="D495" s="42">
        <v>12</v>
      </c>
      <c r="E495" s="43">
        <v>29556</v>
      </c>
      <c r="F495" s="44">
        <v>14062361</v>
      </c>
      <c r="G495" s="1" t="str">
        <f>IFERROR(IF(ventas_b_mes684[[#This Row],[CUIT]]="","-",VLOOKUP(ventas_b_mes684[[#This Row],[CUIT]],Lista_CUIT[#All],2,0)),"CUIT NO CARGADO")</f>
        <v>CUIT NO CARGADO</v>
      </c>
      <c r="H495" s="64">
        <v>32314.05</v>
      </c>
      <c r="I495" s="64">
        <f>ventas_b_mes684[[#This Row],[IMPORTE NETO]]*0.21</f>
        <v>6785.9504999999999</v>
      </c>
      <c r="J495" s="64"/>
      <c r="K495" s="64"/>
      <c r="L495" s="64">
        <f>SUM(ventas_b_mes684[[#This Row],[IMPORTE NETO]:[EXENTO]])</f>
        <v>39100.000500000002</v>
      </c>
      <c r="M495" s="59"/>
    </row>
    <row r="496" spans="2:13">
      <c r="B496" s="40" t="s">
        <v>2305</v>
      </c>
      <c r="C496" s="41">
        <v>6</v>
      </c>
      <c r="D496" s="42">
        <v>10</v>
      </c>
      <c r="E496" s="43">
        <v>54354</v>
      </c>
      <c r="F496" s="44">
        <v>27230340213</v>
      </c>
      <c r="G496" s="1" t="str">
        <f>IFERROR(IF(ventas_b_mes684[[#This Row],[CUIT]]="","-",VLOOKUP(ventas_b_mes684[[#This Row],[CUIT]],Lista_CUIT[#All],2,0)),"CUIT NO CARGADO")</f>
        <v>CUIT NO CARGADO</v>
      </c>
      <c r="H496" s="64">
        <v>93987.19</v>
      </c>
      <c r="I496" s="64">
        <f>ventas_b_mes684[[#This Row],[IMPORTE NETO]]*0.21</f>
        <v>19737.3099</v>
      </c>
      <c r="J496" s="64"/>
      <c r="K496" s="64"/>
      <c r="L496" s="64">
        <f>SUM(ventas_b_mes684[[#This Row],[IMPORTE NETO]:[EXENTO]])</f>
        <v>113724.4999</v>
      </c>
      <c r="M496" s="59"/>
    </row>
    <row r="497" spans="2:13">
      <c r="B497" s="40" t="s">
        <v>2305</v>
      </c>
      <c r="C497" s="41">
        <v>6</v>
      </c>
      <c r="D497" s="42">
        <v>12</v>
      </c>
      <c r="E497" s="43">
        <v>29562</v>
      </c>
      <c r="F497" s="44">
        <v>0</v>
      </c>
      <c r="G497" s="1" t="str">
        <f>IFERROR(IF(ventas_b_mes684[[#This Row],[CUIT]]="","-",VLOOKUP(ventas_b_mes684[[#This Row],[CUIT]],Lista_CUIT[#All],2,0)),"CUIT NO CARGADO")</f>
        <v>CUIT NO CARGADO</v>
      </c>
      <c r="H497" s="64">
        <v>5578.51</v>
      </c>
      <c r="I497" s="64">
        <f>ventas_b_mes684[[#This Row],[IMPORTE NETO]]*0.21</f>
        <v>1171.4871000000001</v>
      </c>
      <c r="J497" s="64"/>
      <c r="K497" s="64"/>
      <c r="L497" s="64">
        <f>SUM(ventas_b_mes684[[#This Row],[IMPORTE NETO]:[EXENTO]])</f>
        <v>6749.9971000000005</v>
      </c>
      <c r="M497" s="59"/>
    </row>
    <row r="498" spans="2:13">
      <c r="B498" s="40" t="s">
        <v>2305</v>
      </c>
      <c r="C498" s="41">
        <v>6</v>
      </c>
      <c r="D498" s="42">
        <v>12</v>
      </c>
      <c r="E498" s="43">
        <v>29564</v>
      </c>
      <c r="F498" s="44">
        <v>27366442974</v>
      </c>
      <c r="G498" s="1" t="str">
        <f>IFERROR(IF(ventas_b_mes684[[#This Row],[CUIT]]="","-",VLOOKUP(ventas_b_mes684[[#This Row],[CUIT]],Lista_CUIT[#All],2,0)),"CUIT NO CARGADO")</f>
        <v>RODRIGUEZ YESSICA BELEN</v>
      </c>
      <c r="H498" s="64">
        <v>8181.82</v>
      </c>
      <c r="I498" s="64">
        <f>ventas_b_mes684[[#This Row],[IMPORTE NETO]]*0.21</f>
        <v>1718.1822</v>
      </c>
      <c r="J498" s="64"/>
      <c r="K498" s="64"/>
      <c r="L498" s="64">
        <f>SUM(ventas_b_mes684[[#This Row],[IMPORTE NETO]:[EXENTO]])</f>
        <v>9900.002199999999</v>
      </c>
      <c r="M498" s="59"/>
    </row>
    <row r="499" spans="2:13">
      <c r="B499" s="40" t="s">
        <v>2305</v>
      </c>
      <c r="C499" s="41">
        <v>6</v>
      </c>
      <c r="D499" s="42">
        <v>12</v>
      </c>
      <c r="E499" s="43">
        <v>29563</v>
      </c>
      <c r="F499" s="44">
        <v>20375243</v>
      </c>
      <c r="G499" s="1" t="str">
        <f>IFERROR(IF(ventas_b_mes684[[#This Row],[CUIT]]="","-",VLOOKUP(ventas_b_mes684[[#This Row],[CUIT]],Lista_CUIT[#All],2,0)),"CUIT NO CARGADO")</f>
        <v>CUIT NO CARGADO</v>
      </c>
      <c r="H499" s="64">
        <v>15785.12</v>
      </c>
      <c r="I499" s="64">
        <f>ventas_b_mes684[[#This Row],[IMPORTE NETO]]*0.21</f>
        <v>3314.8751999999999</v>
      </c>
      <c r="J499" s="64"/>
      <c r="K499" s="64"/>
      <c r="L499" s="64">
        <f>SUM(ventas_b_mes684[[#This Row],[IMPORTE NETO]:[EXENTO]])</f>
        <v>19099.995200000001</v>
      </c>
      <c r="M499" s="59"/>
    </row>
    <row r="500" spans="2:13">
      <c r="B500" s="40" t="s">
        <v>2305</v>
      </c>
      <c r="C500" s="41">
        <v>6</v>
      </c>
      <c r="D500" s="42">
        <v>12</v>
      </c>
      <c r="E500" s="43">
        <v>29561</v>
      </c>
      <c r="F500" s="44">
        <v>16850988</v>
      </c>
      <c r="G500" s="1" t="str">
        <f>IFERROR(IF(ventas_b_mes684[[#This Row],[CUIT]]="","-",VLOOKUP(ventas_b_mes684[[#This Row],[CUIT]],Lista_CUIT[#All],2,0)),"CUIT NO CARGADO")</f>
        <v>CUIT NO CARGADO</v>
      </c>
      <c r="H500" s="64">
        <v>44462.81</v>
      </c>
      <c r="I500" s="64">
        <f>ventas_b_mes684[[#This Row],[IMPORTE NETO]]*0.21</f>
        <v>9337.1900999999998</v>
      </c>
      <c r="J500" s="64"/>
      <c r="K500" s="64"/>
      <c r="L500" s="64">
        <f>SUM(ventas_b_mes684[[#This Row],[IMPORTE NETO]:[EXENTO]])</f>
        <v>53800.000099999997</v>
      </c>
      <c r="M500" s="59"/>
    </row>
    <row r="501" spans="2:13">
      <c r="B501" s="40" t="s">
        <v>2305</v>
      </c>
      <c r="C501" s="41">
        <v>6</v>
      </c>
      <c r="D501" s="42">
        <v>11</v>
      </c>
      <c r="E501" s="43">
        <v>38014</v>
      </c>
      <c r="F501" s="44">
        <v>26548987</v>
      </c>
      <c r="G501" s="1" t="str">
        <f>IFERROR(IF(ventas_b_mes684[[#This Row],[CUIT]]="","-",VLOOKUP(ventas_b_mes684[[#This Row],[CUIT]],Lista_CUIT[#All],2,0)),"CUIT NO CARGADO")</f>
        <v>CUIT NO CARGADO</v>
      </c>
      <c r="H501" s="64">
        <v>76816.12</v>
      </c>
      <c r="I501" s="64">
        <f>ventas_b_mes684[[#This Row],[IMPORTE NETO]]*0.21</f>
        <v>16131.385199999999</v>
      </c>
      <c r="J501" s="64"/>
      <c r="K501" s="64"/>
      <c r="L501" s="64">
        <f>SUM(ventas_b_mes684[[#This Row],[IMPORTE NETO]:[EXENTO]])</f>
        <v>92947.5052</v>
      </c>
      <c r="M501" s="59"/>
    </row>
    <row r="502" spans="2:13">
      <c r="B502" s="40" t="s">
        <v>2305</v>
      </c>
      <c r="C502" s="41">
        <v>6</v>
      </c>
      <c r="D502" s="42">
        <v>11</v>
      </c>
      <c r="E502" s="43">
        <v>38011</v>
      </c>
      <c r="F502" s="44">
        <v>94505751</v>
      </c>
      <c r="G502" s="1" t="str">
        <f>IFERROR(IF(ventas_b_mes684[[#This Row],[CUIT]]="","-",VLOOKUP(ventas_b_mes684[[#This Row],[CUIT]],Lista_CUIT[#All],2,0)),"CUIT NO CARGADO")</f>
        <v>CUIT NO CARGADO</v>
      </c>
      <c r="H502" s="64">
        <v>11471.07</v>
      </c>
      <c r="I502" s="64">
        <f>ventas_b_mes684[[#This Row],[IMPORTE NETO]]*0.21</f>
        <v>2408.9247</v>
      </c>
      <c r="J502" s="64"/>
      <c r="K502" s="64"/>
      <c r="L502" s="64">
        <f>SUM(ventas_b_mes684[[#This Row],[IMPORTE NETO]:[EXENTO]])</f>
        <v>13879.994699999999</v>
      </c>
      <c r="M502" s="59"/>
    </row>
    <row r="503" spans="2:13">
      <c r="B503" s="40" t="s">
        <v>2305</v>
      </c>
      <c r="C503" s="41">
        <v>6</v>
      </c>
      <c r="D503" s="42">
        <v>11</v>
      </c>
      <c r="E503" s="43">
        <v>38013</v>
      </c>
      <c r="F503" s="44">
        <v>25144360</v>
      </c>
      <c r="G503" s="1" t="str">
        <f>IFERROR(IF(ventas_b_mes684[[#This Row],[CUIT]]="","-",VLOOKUP(ventas_b_mes684[[#This Row],[CUIT]],Lista_CUIT[#All],2,0)),"CUIT NO CARGADO")</f>
        <v>CUIT NO CARGADO</v>
      </c>
      <c r="H503" s="64">
        <v>9504.1299999999992</v>
      </c>
      <c r="I503" s="64">
        <f>ventas_b_mes684[[#This Row],[IMPORTE NETO]]*0.21</f>
        <v>1995.8672999999997</v>
      </c>
      <c r="J503" s="64"/>
      <c r="K503" s="64"/>
      <c r="L503" s="64">
        <f>SUM(ventas_b_mes684[[#This Row],[IMPORTE NETO]:[EXENTO]])</f>
        <v>11499.997299999999</v>
      </c>
      <c r="M503" s="59"/>
    </row>
    <row r="504" spans="2:13">
      <c r="B504" s="40" t="s">
        <v>2305</v>
      </c>
      <c r="C504" s="41">
        <v>6</v>
      </c>
      <c r="D504" s="42">
        <v>11</v>
      </c>
      <c r="E504" s="43">
        <v>38007</v>
      </c>
      <c r="F504" s="44">
        <v>39334594</v>
      </c>
      <c r="G504" s="1" t="str">
        <f>IFERROR(IF(ventas_b_mes684[[#This Row],[CUIT]]="","-",VLOOKUP(ventas_b_mes684[[#This Row],[CUIT]],Lista_CUIT[#All],2,0)),"CUIT NO CARGADO")</f>
        <v>CUIT NO CARGADO</v>
      </c>
      <c r="H504" s="64">
        <v>5987.6</v>
      </c>
      <c r="I504" s="64">
        <f>ventas_b_mes684[[#This Row],[IMPORTE NETO]]*0.21</f>
        <v>1257.396</v>
      </c>
      <c r="J504" s="64"/>
      <c r="K504" s="64"/>
      <c r="L504" s="64">
        <f>SUM(ventas_b_mes684[[#This Row],[IMPORTE NETO]:[EXENTO]])</f>
        <v>7244.9960000000001</v>
      </c>
      <c r="M504" s="59"/>
    </row>
    <row r="505" spans="2:13">
      <c r="B505" s="40" t="s">
        <v>2305</v>
      </c>
      <c r="C505" s="41">
        <v>6</v>
      </c>
      <c r="D505" s="42">
        <v>11</v>
      </c>
      <c r="E505" s="43">
        <v>38012</v>
      </c>
      <c r="F505" s="44">
        <v>39626588</v>
      </c>
      <c r="G505" s="1" t="str">
        <f>IFERROR(IF(ventas_b_mes684[[#This Row],[CUIT]]="","-",VLOOKUP(ventas_b_mes684[[#This Row],[CUIT]],Lista_CUIT[#All],2,0)),"CUIT NO CARGADO")</f>
        <v>CUIT NO CARGADO</v>
      </c>
      <c r="H505" s="64">
        <v>826.45</v>
      </c>
      <c r="I505" s="64">
        <f>ventas_b_mes684[[#This Row],[IMPORTE NETO]]*0.21</f>
        <v>173.55449999999999</v>
      </c>
      <c r="J505" s="64"/>
      <c r="K505" s="64"/>
      <c r="L505" s="64">
        <f>SUM(ventas_b_mes684[[#This Row],[IMPORTE NETO]:[EXENTO]])</f>
        <v>1000.0045</v>
      </c>
      <c r="M505" s="59"/>
    </row>
    <row r="506" spans="2:13">
      <c r="B506" s="40" t="s">
        <v>2305</v>
      </c>
      <c r="C506" s="41">
        <v>6</v>
      </c>
      <c r="D506" s="42">
        <v>11</v>
      </c>
      <c r="E506" s="43">
        <v>38010</v>
      </c>
      <c r="F506" s="44">
        <v>20765234</v>
      </c>
      <c r="G506" s="1" t="str">
        <f>IFERROR(IF(ventas_b_mes684[[#This Row],[CUIT]]="","-",VLOOKUP(ventas_b_mes684[[#This Row],[CUIT]],Lista_CUIT[#All],2,0)),"CUIT NO CARGADO")</f>
        <v>CUIT NO CARGADO</v>
      </c>
      <c r="H506" s="64">
        <v>11471.07</v>
      </c>
      <c r="I506" s="64">
        <f>ventas_b_mes684[[#This Row],[IMPORTE NETO]]*0.21</f>
        <v>2408.9247</v>
      </c>
      <c r="J506" s="64"/>
      <c r="K506" s="64"/>
      <c r="L506" s="64">
        <f>SUM(ventas_b_mes684[[#This Row],[IMPORTE NETO]:[EXENTO]])</f>
        <v>13879.994699999999</v>
      </c>
      <c r="M506" s="59"/>
    </row>
    <row r="507" spans="2:13">
      <c r="B507" s="40" t="s">
        <v>2305</v>
      </c>
      <c r="C507" s="41">
        <v>6</v>
      </c>
      <c r="D507" s="42">
        <v>11</v>
      </c>
      <c r="E507" s="43">
        <v>38015</v>
      </c>
      <c r="F507" s="44">
        <v>35267881</v>
      </c>
      <c r="G507" s="1" t="str">
        <f>IFERROR(IF(ventas_b_mes684[[#This Row],[CUIT]]="","-",VLOOKUP(ventas_b_mes684[[#This Row],[CUIT]],Lista_CUIT[#All],2,0)),"CUIT NO CARGADO")</f>
        <v>CUIT NO CARGADO</v>
      </c>
      <c r="H507" s="64">
        <v>1966.94</v>
      </c>
      <c r="I507" s="64">
        <f>ventas_b_mes684[[#This Row],[IMPORTE NETO]]*0.21</f>
        <v>413.05739999999997</v>
      </c>
      <c r="J507" s="64"/>
      <c r="K507" s="64"/>
      <c r="L507" s="64">
        <f>SUM(ventas_b_mes684[[#This Row],[IMPORTE NETO]:[EXENTO]])</f>
        <v>2379.9974000000002</v>
      </c>
      <c r="M507" s="59"/>
    </row>
    <row r="508" spans="2:13">
      <c r="B508" s="40" t="s">
        <v>2305</v>
      </c>
      <c r="C508" s="41">
        <v>6</v>
      </c>
      <c r="D508" s="42">
        <v>11</v>
      </c>
      <c r="E508" s="43">
        <v>38006</v>
      </c>
      <c r="F508" s="44">
        <v>20984529</v>
      </c>
      <c r="G508" s="1" t="str">
        <f>IFERROR(IF(ventas_b_mes684[[#This Row],[CUIT]]="","-",VLOOKUP(ventas_b_mes684[[#This Row],[CUIT]],Lista_CUIT[#All],2,0)),"CUIT NO CARGADO")</f>
        <v>CUIT NO CARGADO</v>
      </c>
      <c r="H508" s="64">
        <v>21487.599999999999</v>
      </c>
      <c r="I508" s="64">
        <f>ventas_b_mes684[[#This Row],[IMPORTE NETO]]*0.21</f>
        <v>4512.3959999999997</v>
      </c>
      <c r="J508" s="64"/>
      <c r="K508" s="64"/>
      <c r="L508" s="64">
        <f>SUM(ventas_b_mes684[[#This Row],[IMPORTE NETO]:[EXENTO]])</f>
        <v>25999.995999999999</v>
      </c>
      <c r="M508" s="59"/>
    </row>
    <row r="509" spans="2:13">
      <c r="B509" s="40" t="s">
        <v>2305</v>
      </c>
      <c r="C509" s="41">
        <v>6</v>
      </c>
      <c r="D509" s="42">
        <v>11</v>
      </c>
      <c r="E509" s="43">
        <v>38008</v>
      </c>
      <c r="F509" s="44">
        <v>30545195</v>
      </c>
      <c r="G509" s="1" t="str">
        <f>IFERROR(IF(ventas_b_mes684[[#This Row],[CUIT]]="","-",VLOOKUP(ventas_b_mes684[[#This Row],[CUIT]],Lista_CUIT[#All],2,0)),"CUIT NO CARGADO")</f>
        <v>CUIT NO CARGADO</v>
      </c>
      <c r="H509" s="64">
        <v>11768.6</v>
      </c>
      <c r="I509" s="64">
        <f>ventas_b_mes684[[#This Row],[IMPORTE NETO]]*0.21</f>
        <v>2471.4059999999999</v>
      </c>
      <c r="J509" s="64"/>
      <c r="K509" s="64"/>
      <c r="L509" s="64">
        <f>SUM(ventas_b_mes684[[#This Row],[IMPORTE NETO]:[EXENTO]])</f>
        <v>14240.006000000001</v>
      </c>
      <c r="M509" s="59"/>
    </row>
    <row r="510" spans="2:13">
      <c r="B510" s="40" t="s">
        <v>2305</v>
      </c>
      <c r="C510" s="41">
        <v>6</v>
      </c>
      <c r="D510" s="42">
        <v>12</v>
      </c>
      <c r="E510" s="43">
        <v>29579</v>
      </c>
      <c r="F510" s="44">
        <v>24100156</v>
      </c>
      <c r="G510" s="1" t="str">
        <f>IFERROR(IF(ventas_b_mes684[[#This Row],[CUIT]]="","-",VLOOKUP(ventas_b_mes684[[#This Row],[CUIT]],Lista_CUIT[#All],2,0)),"CUIT NO CARGADO")</f>
        <v>CUIT NO CARGADO</v>
      </c>
      <c r="H510" s="64">
        <v>7661.16</v>
      </c>
      <c r="I510" s="64">
        <f>ventas_b_mes684[[#This Row],[IMPORTE NETO]]*0.21</f>
        <v>1608.8435999999999</v>
      </c>
      <c r="J510" s="64"/>
      <c r="K510" s="64"/>
      <c r="L510" s="64">
        <f>SUM(ventas_b_mes684[[#This Row],[IMPORTE NETO]:[EXENTO]])</f>
        <v>9270.0036</v>
      </c>
      <c r="M510" s="59"/>
    </row>
    <row r="511" spans="2:13">
      <c r="B511" s="40" t="s">
        <v>2305</v>
      </c>
      <c r="C511" s="41">
        <v>6</v>
      </c>
      <c r="D511" s="42">
        <v>10</v>
      </c>
      <c r="E511" s="43">
        <v>54349</v>
      </c>
      <c r="F511" s="44">
        <v>30712238190</v>
      </c>
      <c r="G511" s="1" t="str">
        <f>IFERROR(IF(ventas_b_mes684[[#This Row],[CUIT]]="","-",VLOOKUP(ventas_b_mes684[[#This Row],[CUIT]],Lista_CUIT[#All],2,0)),"CUIT NO CARGADO")</f>
        <v>CUIT NO CARGADO</v>
      </c>
      <c r="H511" s="64">
        <v>149028.92000000001</v>
      </c>
      <c r="I511" s="64">
        <f>ventas_b_mes684[[#This Row],[IMPORTE NETO]]*0.21</f>
        <v>31296.073200000003</v>
      </c>
      <c r="J511" s="64"/>
      <c r="K511" s="64"/>
      <c r="L511" s="64">
        <f>SUM(ventas_b_mes684[[#This Row],[IMPORTE NETO]:[EXENTO]])</f>
        <v>180324.99320000003</v>
      </c>
      <c r="M511" s="59"/>
    </row>
    <row r="512" spans="2:13">
      <c r="B512" s="40" t="s">
        <v>2305</v>
      </c>
      <c r="C512" s="41">
        <v>6</v>
      </c>
      <c r="D512" s="42">
        <v>12</v>
      </c>
      <c r="E512" s="43">
        <v>29583</v>
      </c>
      <c r="F512" s="44">
        <v>39981045</v>
      </c>
      <c r="G512" s="1" t="str">
        <f>IFERROR(IF(ventas_b_mes684[[#This Row],[CUIT]]="","-",VLOOKUP(ventas_b_mes684[[#This Row],[CUIT]],Lista_CUIT[#All],2,0)),"CUIT NO CARGADO")</f>
        <v>CUIT NO CARGADO</v>
      </c>
      <c r="H512" s="64">
        <v>20661.16</v>
      </c>
      <c r="I512" s="64">
        <f>ventas_b_mes684[[#This Row],[IMPORTE NETO]]*0.21</f>
        <v>4338.8436000000002</v>
      </c>
      <c r="J512" s="64"/>
      <c r="K512" s="64"/>
      <c r="L512" s="64">
        <f>SUM(ventas_b_mes684[[#This Row],[IMPORTE NETO]:[EXENTO]])</f>
        <v>25000.0036</v>
      </c>
      <c r="M512" s="59"/>
    </row>
    <row r="513" spans="2:13">
      <c r="B513" s="40" t="s">
        <v>2305</v>
      </c>
      <c r="C513" s="41">
        <v>6</v>
      </c>
      <c r="D513" s="42">
        <v>11</v>
      </c>
      <c r="E513" s="43">
        <v>38009</v>
      </c>
      <c r="F513" s="44">
        <v>29732092</v>
      </c>
      <c r="G513" s="1" t="str">
        <f>IFERROR(IF(ventas_b_mes684[[#This Row],[CUIT]]="","-",VLOOKUP(ventas_b_mes684[[#This Row],[CUIT]],Lista_CUIT[#All],2,0)),"CUIT NO CARGADO")</f>
        <v>CUIT NO CARGADO</v>
      </c>
      <c r="H513" s="64">
        <v>8033.06</v>
      </c>
      <c r="I513" s="64">
        <f>ventas_b_mes684[[#This Row],[IMPORTE NETO]]*0.21</f>
        <v>1686.9426000000001</v>
      </c>
      <c r="J513" s="64"/>
      <c r="K513" s="64"/>
      <c r="L513" s="64">
        <f>SUM(ventas_b_mes684[[#This Row],[IMPORTE NETO]:[EXENTO]])</f>
        <v>9720.0025999999998</v>
      </c>
      <c r="M513" s="59"/>
    </row>
    <row r="514" spans="2:13">
      <c r="B514" s="40" t="s">
        <v>2305</v>
      </c>
      <c r="C514" s="41">
        <v>6</v>
      </c>
      <c r="D514" s="42">
        <v>13</v>
      </c>
      <c r="E514" s="43">
        <v>32414</v>
      </c>
      <c r="F514" s="44">
        <v>27120028</v>
      </c>
      <c r="G514" s="1" t="str">
        <f>IFERROR(IF(ventas_b_mes684[[#This Row],[CUIT]]="","-",VLOOKUP(ventas_b_mes684[[#This Row],[CUIT]],Lista_CUIT[#All],2,0)),"CUIT NO CARGADO")</f>
        <v>CUIT NO CARGADO</v>
      </c>
      <c r="H514" s="64">
        <v>15041.32</v>
      </c>
      <c r="I514" s="64">
        <f>ventas_b_mes684[[#This Row],[IMPORTE NETO]]*0.21</f>
        <v>3158.6771999999996</v>
      </c>
      <c r="J514" s="64"/>
      <c r="K514" s="64"/>
      <c r="L514" s="64">
        <f>SUM(ventas_b_mes684[[#This Row],[IMPORTE NETO]:[EXENTO]])</f>
        <v>18199.997199999998</v>
      </c>
      <c r="M514" s="59"/>
    </row>
    <row r="515" spans="2:13">
      <c r="B515" s="40" t="s">
        <v>2305</v>
      </c>
      <c r="C515" s="41">
        <v>6</v>
      </c>
      <c r="D515" s="42">
        <v>10</v>
      </c>
      <c r="E515" s="43">
        <v>54341</v>
      </c>
      <c r="F515" s="44">
        <v>32736876</v>
      </c>
      <c r="G515" s="1" t="str">
        <f>IFERROR(IF(ventas_b_mes684[[#This Row],[CUIT]]="","-",VLOOKUP(ventas_b_mes684[[#This Row],[CUIT]],Lista_CUIT[#All],2,0)),"CUIT NO CARGADO")</f>
        <v>CUIT NO CARGADO</v>
      </c>
      <c r="H515" s="64">
        <v>1322.31</v>
      </c>
      <c r="I515" s="64">
        <f>ventas_b_mes684[[#This Row],[IMPORTE NETO]]*0.21</f>
        <v>277.68509999999998</v>
      </c>
      <c r="J515" s="64"/>
      <c r="K515" s="64"/>
      <c r="L515" s="64">
        <f>SUM(ventas_b_mes684[[#This Row],[IMPORTE NETO]:[EXENTO]])</f>
        <v>1599.9950999999999</v>
      </c>
      <c r="M515" s="59"/>
    </row>
    <row r="516" spans="2:13">
      <c r="B516" s="40" t="s">
        <v>2305</v>
      </c>
      <c r="C516" s="41">
        <v>6</v>
      </c>
      <c r="D516" s="42">
        <v>10</v>
      </c>
      <c r="E516" s="43">
        <v>54340</v>
      </c>
      <c r="F516" s="44">
        <v>32344661</v>
      </c>
      <c r="G516" s="1" t="str">
        <f>IFERROR(IF(ventas_b_mes684[[#This Row],[CUIT]]="","-",VLOOKUP(ventas_b_mes684[[#This Row],[CUIT]],Lista_CUIT[#All],2,0)),"CUIT NO CARGADO")</f>
        <v>CUIT NO CARGADO</v>
      </c>
      <c r="H516" s="64">
        <v>7636.36</v>
      </c>
      <c r="I516" s="64">
        <f>ventas_b_mes684[[#This Row],[IMPORTE NETO]]*0.21</f>
        <v>1603.6355999999998</v>
      </c>
      <c r="J516" s="64"/>
      <c r="K516" s="64"/>
      <c r="L516" s="64">
        <f>SUM(ventas_b_mes684[[#This Row],[IMPORTE NETO]:[EXENTO]])</f>
        <v>9239.9956000000002</v>
      </c>
      <c r="M516" s="59"/>
    </row>
    <row r="517" spans="2:13">
      <c r="B517" s="40" t="s">
        <v>2305</v>
      </c>
      <c r="C517" s="41">
        <v>6</v>
      </c>
      <c r="D517" s="42">
        <v>10</v>
      </c>
      <c r="E517" s="43">
        <v>54346</v>
      </c>
      <c r="F517" s="44">
        <v>26996097</v>
      </c>
      <c r="G517" s="1" t="str">
        <f>IFERROR(IF(ventas_b_mes684[[#This Row],[CUIT]]="","-",VLOOKUP(ventas_b_mes684[[#This Row],[CUIT]],Lista_CUIT[#All],2,0)),"CUIT NO CARGADO")</f>
        <v>DOBROSOLSKY PATRICIA ALEJANDRA</v>
      </c>
      <c r="H517" s="64">
        <v>12933.88</v>
      </c>
      <c r="I517" s="64">
        <f>ventas_b_mes684[[#This Row],[IMPORTE NETO]]*0.21</f>
        <v>2716.1147999999998</v>
      </c>
      <c r="J517" s="64"/>
      <c r="K517" s="64"/>
      <c r="L517" s="64">
        <f>SUM(ventas_b_mes684[[#This Row],[IMPORTE NETO]:[EXENTO]])</f>
        <v>15649.994799999999</v>
      </c>
      <c r="M517" s="59"/>
    </row>
    <row r="518" spans="2:13">
      <c r="B518" s="40" t="s">
        <v>2305</v>
      </c>
      <c r="C518" s="41">
        <v>6</v>
      </c>
      <c r="D518" s="42">
        <v>12</v>
      </c>
      <c r="E518" s="43">
        <v>29575</v>
      </c>
      <c r="F518" s="44">
        <v>20213391</v>
      </c>
      <c r="G518" s="1" t="str">
        <f>IFERROR(IF(ventas_b_mes684[[#This Row],[CUIT]]="","-",VLOOKUP(ventas_b_mes684[[#This Row],[CUIT]],Lista_CUIT[#All],2,0)),"CUIT NO CARGADO")</f>
        <v>CUIT NO CARGADO</v>
      </c>
      <c r="H518" s="64">
        <v>10743.8</v>
      </c>
      <c r="I518" s="64">
        <f>ventas_b_mes684[[#This Row],[IMPORTE NETO]]*0.21</f>
        <v>2256.1979999999999</v>
      </c>
      <c r="J518" s="64"/>
      <c r="K518" s="64"/>
      <c r="L518" s="64">
        <f>SUM(ventas_b_mes684[[#This Row],[IMPORTE NETO]:[EXENTO]])</f>
        <v>12999.998</v>
      </c>
      <c r="M518" s="59"/>
    </row>
    <row r="519" spans="2:13">
      <c r="B519" s="40" t="s">
        <v>2305</v>
      </c>
      <c r="C519" s="41">
        <v>6</v>
      </c>
      <c r="D519" s="42">
        <v>10</v>
      </c>
      <c r="E519" s="43">
        <v>54345</v>
      </c>
      <c r="F519" s="44">
        <v>27144671800</v>
      </c>
      <c r="G519" s="1" t="str">
        <f>IFERROR(IF(ventas_b_mes684[[#This Row],[CUIT]]="","-",VLOOKUP(ventas_b_mes684[[#This Row],[CUIT]],Lista_CUIT[#All],2,0)),"CUIT NO CARGADO")</f>
        <v>CUIT NO CARGADO</v>
      </c>
      <c r="H519" s="64">
        <v>116776.83</v>
      </c>
      <c r="I519" s="64">
        <f>ventas_b_mes684[[#This Row],[IMPORTE NETO]]*0.21</f>
        <v>24523.134299999998</v>
      </c>
      <c r="J519" s="64"/>
      <c r="K519" s="64"/>
      <c r="L519" s="64">
        <f>SUM(ventas_b_mes684[[#This Row],[IMPORTE NETO]:[EXENTO]])</f>
        <v>141299.96429999999</v>
      </c>
      <c r="M519" s="59"/>
    </row>
    <row r="520" spans="2:13">
      <c r="B520" s="40" t="s">
        <v>2305</v>
      </c>
      <c r="C520" s="41">
        <v>6</v>
      </c>
      <c r="D520" s="42">
        <v>13</v>
      </c>
      <c r="E520" s="43">
        <v>32424</v>
      </c>
      <c r="F520" s="44">
        <v>37036770</v>
      </c>
      <c r="G520" s="1" t="str">
        <f>IFERROR(IF(ventas_b_mes684[[#This Row],[CUIT]]="","-",VLOOKUP(ventas_b_mes684[[#This Row],[CUIT]],Lista_CUIT[#All],2,0)),"CUIT NO CARGADO")</f>
        <v>CUIT NO CARGADO</v>
      </c>
      <c r="H520" s="64">
        <v>42148.84</v>
      </c>
      <c r="I520" s="64">
        <f>ventas_b_mes684[[#This Row],[IMPORTE NETO]]*0.21</f>
        <v>8851.2563999999984</v>
      </c>
      <c r="J520" s="64"/>
      <c r="K520" s="64"/>
      <c r="L520" s="64">
        <f>SUM(ventas_b_mes684[[#This Row],[IMPORTE NETO]:[EXENTO]])</f>
        <v>51000.096399999995</v>
      </c>
      <c r="M520" s="59"/>
    </row>
    <row r="521" spans="2:13">
      <c r="B521" s="40" t="s">
        <v>2305</v>
      </c>
      <c r="C521" s="41">
        <v>6</v>
      </c>
      <c r="D521" s="42">
        <v>12</v>
      </c>
      <c r="E521" s="43">
        <v>29576</v>
      </c>
      <c r="F521" s="44">
        <v>23037138</v>
      </c>
      <c r="G521" s="1" t="str">
        <f>IFERROR(IF(ventas_b_mes684[[#This Row],[CUIT]]="","-",VLOOKUP(ventas_b_mes684[[#This Row],[CUIT]],Lista_CUIT[#All],2,0)),"CUIT NO CARGADO")</f>
        <v>CUIT NO CARGADO</v>
      </c>
      <c r="H521" s="64">
        <v>20661.16</v>
      </c>
      <c r="I521" s="64">
        <f>ventas_b_mes684[[#This Row],[IMPORTE NETO]]*0.21</f>
        <v>4338.8436000000002</v>
      </c>
      <c r="J521" s="64"/>
      <c r="K521" s="64"/>
      <c r="L521" s="64">
        <f>SUM(ventas_b_mes684[[#This Row],[IMPORTE NETO]:[EXENTO]])</f>
        <v>25000.0036</v>
      </c>
      <c r="M521" s="59"/>
    </row>
    <row r="522" spans="2:13">
      <c r="B522" s="40" t="s">
        <v>2305</v>
      </c>
      <c r="C522" s="41">
        <v>6</v>
      </c>
      <c r="D522" s="42">
        <v>15</v>
      </c>
      <c r="E522" s="43">
        <v>13150</v>
      </c>
      <c r="F522" s="44">
        <v>34240156</v>
      </c>
      <c r="G522" s="1" t="str">
        <f>IFERROR(IF(ventas_b_mes684[[#This Row],[CUIT]]="","-",VLOOKUP(ventas_b_mes684[[#This Row],[CUIT]],Lista_CUIT[#All],2,0)),"CUIT NO CARGADO")</f>
        <v>CUIT NO CARGADO</v>
      </c>
      <c r="H522" s="64">
        <v>20661.16</v>
      </c>
      <c r="I522" s="64">
        <f>ventas_b_mes684[[#This Row],[IMPORTE NETO]]*0.21</f>
        <v>4338.8436000000002</v>
      </c>
      <c r="J522" s="64"/>
      <c r="K522" s="64"/>
      <c r="L522" s="64">
        <f>SUM(ventas_b_mes684[[#This Row],[IMPORTE NETO]:[EXENTO]])</f>
        <v>25000.0036</v>
      </c>
      <c r="M522" s="59"/>
    </row>
    <row r="523" spans="2:13">
      <c r="B523" s="40" t="s">
        <v>2305</v>
      </c>
      <c r="C523" s="41">
        <v>6</v>
      </c>
      <c r="D523" s="42">
        <v>10</v>
      </c>
      <c r="E523" s="43">
        <v>54369</v>
      </c>
      <c r="F523" s="44">
        <v>41469946</v>
      </c>
      <c r="G523" s="1" t="str">
        <f>IFERROR(IF(ventas_b_mes684[[#This Row],[CUIT]]="","-",VLOOKUP(ventas_b_mes684[[#This Row],[CUIT]],Lista_CUIT[#All],2,0)),"CUIT NO CARGADO")</f>
        <v>CUIT NO CARGADO</v>
      </c>
      <c r="H523" s="64">
        <v>3884.3</v>
      </c>
      <c r="I523" s="64">
        <f>ventas_b_mes684[[#This Row],[IMPORTE NETO]]*0.21</f>
        <v>815.70299999999997</v>
      </c>
      <c r="J523" s="64"/>
      <c r="K523" s="64"/>
      <c r="L523" s="64">
        <f>SUM(ventas_b_mes684[[#This Row],[IMPORTE NETO]:[EXENTO]])</f>
        <v>4700.0030000000006</v>
      </c>
      <c r="M523" s="59"/>
    </row>
    <row r="524" spans="2:13">
      <c r="B524" s="40" t="s">
        <v>2305</v>
      </c>
      <c r="C524" s="41">
        <v>6</v>
      </c>
      <c r="D524" s="42">
        <v>10</v>
      </c>
      <c r="E524" s="43">
        <v>54356</v>
      </c>
      <c r="F524" s="44">
        <v>95953496</v>
      </c>
      <c r="G524" s="1" t="str">
        <f>IFERROR(IF(ventas_b_mes684[[#This Row],[CUIT]]="","-",VLOOKUP(ventas_b_mes684[[#This Row],[CUIT]],Lista_CUIT[#All],2,0)),"CUIT NO CARGADO")</f>
        <v>CUIT NO CARGADO</v>
      </c>
      <c r="H524" s="64">
        <v>168349.17</v>
      </c>
      <c r="I524" s="64">
        <f>ventas_b_mes684[[#This Row],[IMPORTE NETO]]*0.21</f>
        <v>35353.325700000001</v>
      </c>
      <c r="J524" s="64"/>
      <c r="K524" s="64"/>
      <c r="L524" s="64">
        <f>SUM(ventas_b_mes684[[#This Row],[IMPORTE NETO]:[EXENTO]])</f>
        <v>203702.49570000003</v>
      </c>
      <c r="M524" s="59"/>
    </row>
    <row r="525" spans="2:13">
      <c r="B525" s="40" t="s">
        <v>2305</v>
      </c>
      <c r="C525" s="41">
        <v>6</v>
      </c>
      <c r="D525" s="42">
        <v>10</v>
      </c>
      <c r="E525" s="43">
        <v>54335</v>
      </c>
      <c r="F525" s="44">
        <v>96104205</v>
      </c>
      <c r="G525" s="1" t="str">
        <f>IFERROR(IF(ventas_b_mes684[[#This Row],[CUIT]]="","-",VLOOKUP(ventas_b_mes684[[#This Row],[CUIT]],Lista_CUIT[#All],2,0)),"CUIT NO CARGADO")</f>
        <v>CUIT NO CARGADO</v>
      </c>
      <c r="H525" s="64">
        <v>65785.119999999995</v>
      </c>
      <c r="I525" s="64">
        <f>ventas_b_mes684[[#This Row],[IMPORTE NETO]]*0.21</f>
        <v>13814.875199999999</v>
      </c>
      <c r="J525" s="64"/>
      <c r="K525" s="64"/>
      <c r="L525" s="64">
        <f>SUM(ventas_b_mes684[[#This Row],[IMPORTE NETO]:[EXENTO]])</f>
        <v>79599.99519999999</v>
      </c>
      <c r="M525" s="59"/>
    </row>
    <row r="526" spans="2:13">
      <c r="B526" s="40" t="s">
        <v>2305</v>
      </c>
      <c r="C526" s="41">
        <v>6</v>
      </c>
      <c r="D526" s="42">
        <v>10</v>
      </c>
      <c r="E526" s="43">
        <v>54355</v>
      </c>
      <c r="F526" s="44">
        <v>95953496</v>
      </c>
      <c r="G526" s="1" t="str">
        <f>IFERROR(IF(ventas_b_mes684[[#This Row],[CUIT]]="","-",VLOOKUP(ventas_b_mes684[[#This Row],[CUIT]],Lista_CUIT[#All],2,0)),"CUIT NO CARGADO")</f>
        <v>CUIT NO CARGADO</v>
      </c>
      <c r="H526" s="64">
        <v>150119.82999999999</v>
      </c>
      <c r="I526" s="64">
        <f>ventas_b_mes684[[#This Row],[IMPORTE NETO]]*0.21</f>
        <v>31525.164299999997</v>
      </c>
      <c r="J526" s="64"/>
      <c r="K526" s="64"/>
      <c r="L526" s="64">
        <f>SUM(ventas_b_mes684[[#This Row],[IMPORTE NETO]:[EXENTO]])</f>
        <v>181644.99429999999</v>
      </c>
      <c r="M526" s="59"/>
    </row>
    <row r="527" spans="2:13">
      <c r="B527" s="40" t="s">
        <v>2305</v>
      </c>
      <c r="C527" s="41">
        <v>6</v>
      </c>
      <c r="D527" s="42">
        <v>11</v>
      </c>
      <c r="E527" s="43">
        <v>38002</v>
      </c>
      <c r="F527" s="44">
        <v>17819722</v>
      </c>
      <c r="G527" s="1" t="str">
        <f>IFERROR(IF(ventas_b_mes684[[#This Row],[CUIT]]="","-",VLOOKUP(ventas_b_mes684[[#This Row],[CUIT]],Lista_CUIT[#All],2,0)),"CUIT NO CARGADO")</f>
        <v>CUIT NO CARGADO</v>
      </c>
      <c r="H527" s="64">
        <v>8264.4599999999991</v>
      </c>
      <c r="I527" s="64">
        <f>ventas_b_mes684[[#This Row],[IMPORTE NETO]]*0.21</f>
        <v>1735.5365999999997</v>
      </c>
      <c r="J527" s="64"/>
      <c r="K527" s="64"/>
      <c r="L527" s="64">
        <f>SUM(ventas_b_mes684[[#This Row],[IMPORTE NETO]:[EXENTO]])</f>
        <v>9999.9965999999986</v>
      </c>
      <c r="M527" s="59"/>
    </row>
    <row r="528" spans="2:13">
      <c r="B528" s="40" t="s">
        <v>2305</v>
      </c>
      <c r="C528" s="41">
        <v>6</v>
      </c>
      <c r="D528" s="42">
        <v>11</v>
      </c>
      <c r="E528" s="43">
        <v>38000</v>
      </c>
      <c r="F528" s="44">
        <v>21938893</v>
      </c>
      <c r="G528" s="1" t="str">
        <f>IFERROR(IF(ventas_b_mes684[[#This Row],[CUIT]]="","-",VLOOKUP(ventas_b_mes684[[#This Row],[CUIT]],Lista_CUIT[#All],2,0)),"CUIT NO CARGADO")</f>
        <v>CUIT NO CARGADO</v>
      </c>
      <c r="H528" s="64">
        <v>64958.68</v>
      </c>
      <c r="I528" s="64">
        <f>ventas_b_mes684[[#This Row],[IMPORTE NETO]]*0.21</f>
        <v>13641.3228</v>
      </c>
      <c r="J528" s="64"/>
      <c r="K528" s="64"/>
      <c r="L528" s="64">
        <f>SUM(ventas_b_mes684[[#This Row],[IMPORTE NETO]:[EXENTO]])</f>
        <v>78600.002800000002</v>
      </c>
      <c r="M528" s="59"/>
    </row>
    <row r="529" spans="2:13">
      <c r="B529" s="40" t="s">
        <v>2305</v>
      </c>
      <c r="C529" s="41">
        <v>6</v>
      </c>
      <c r="D529" s="42">
        <v>10</v>
      </c>
      <c r="E529" s="43">
        <v>54358</v>
      </c>
      <c r="F529" s="44">
        <v>12145741</v>
      </c>
      <c r="G529" s="1" t="str">
        <f>IFERROR(IF(ventas_b_mes684[[#This Row],[CUIT]]="","-",VLOOKUP(ventas_b_mes684[[#This Row],[CUIT]],Lista_CUIT[#All],2,0)),"CUIT NO CARGADO")</f>
        <v>CUIT NO CARGADO</v>
      </c>
      <c r="H529" s="64">
        <v>29752.07</v>
      </c>
      <c r="I529" s="64">
        <f>ventas_b_mes684[[#This Row],[IMPORTE NETO]]*0.21</f>
        <v>6247.9346999999998</v>
      </c>
      <c r="J529" s="64"/>
      <c r="K529" s="64"/>
      <c r="L529" s="64">
        <f>SUM(ventas_b_mes684[[#This Row],[IMPORTE NETO]:[EXENTO]])</f>
        <v>36000.004699999998</v>
      </c>
      <c r="M529" s="59"/>
    </row>
    <row r="530" spans="2:13">
      <c r="B530" s="40" t="s">
        <v>2305</v>
      </c>
      <c r="C530" s="41">
        <v>6</v>
      </c>
      <c r="D530" s="42">
        <v>10</v>
      </c>
      <c r="E530" s="43">
        <v>54350</v>
      </c>
      <c r="F530" s="44">
        <v>30712238190</v>
      </c>
      <c r="G530" s="1" t="str">
        <f>IFERROR(IF(ventas_b_mes684[[#This Row],[CUIT]]="","-",VLOOKUP(ventas_b_mes684[[#This Row],[CUIT]],Lista_CUIT[#All],2,0)),"CUIT NO CARGADO")</f>
        <v>CUIT NO CARGADO</v>
      </c>
      <c r="H530" s="64">
        <v>92586.78</v>
      </c>
      <c r="I530" s="64">
        <f>ventas_b_mes684[[#This Row],[IMPORTE NETO]]*0.21</f>
        <v>19443.2238</v>
      </c>
      <c r="J530" s="64"/>
      <c r="K530" s="64"/>
      <c r="L530" s="64">
        <f>SUM(ventas_b_mes684[[#This Row],[IMPORTE NETO]:[EXENTO]])</f>
        <v>112030.00380000001</v>
      </c>
      <c r="M530" s="59"/>
    </row>
    <row r="531" spans="2:13">
      <c r="B531" s="40" t="s">
        <v>2305</v>
      </c>
      <c r="C531" s="41">
        <v>6</v>
      </c>
      <c r="D531" s="42">
        <v>13</v>
      </c>
      <c r="E531" s="43">
        <v>32425</v>
      </c>
      <c r="F531" s="44">
        <v>895466</v>
      </c>
      <c r="G531" s="1" t="str">
        <f>IFERROR(IF(ventas_b_mes684[[#This Row],[CUIT]]="","-",VLOOKUP(ventas_b_mes684[[#This Row],[CUIT]],Lista_CUIT[#All],2,0)),"CUIT NO CARGADO")</f>
        <v>CUIT NO CARGADO</v>
      </c>
      <c r="H531" s="64">
        <v>17413.22</v>
      </c>
      <c r="I531" s="64">
        <f>ventas_b_mes684[[#This Row],[IMPORTE NETO]]*0.21</f>
        <v>3656.7762000000002</v>
      </c>
      <c r="J531" s="64"/>
      <c r="K531" s="64"/>
      <c r="L531" s="64">
        <f>SUM(ventas_b_mes684[[#This Row],[IMPORTE NETO]:[EXENTO]])</f>
        <v>21069.996200000001</v>
      </c>
      <c r="M531" s="59"/>
    </row>
    <row r="532" spans="2:13">
      <c r="B532" s="40" t="s">
        <v>2305</v>
      </c>
      <c r="C532" s="41">
        <v>6</v>
      </c>
      <c r="D532" s="42">
        <v>10</v>
      </c>
      <c r="E532" s="43">
        <v>54331</v>
      </c>
      <c r="F532" s="44">
        <v>31895879</v>
      </c>
      <c r="G532" s="1" t="str">
        <f>IFERROR(IF(ventas_b_mes684[[#This Row],[CUIT]]="","-",VLOOKUP(ventas_b_mes684[[#This Row],[CUIT]],Lista_CUIT[#All],2,0)),"CUIT NO CARGADO")</f>
        <v>CUIT NO CARGADO</v>
      </c>
      <c r="H532" s="64">
        <v>20661.16</v>
      </c>
      <c r="I532" s="64">
        <f>ventas_b_mes684[[#This Row],[IMPORTE NETO]]*0.21</f>
        <v>4338.8436000000002</v>
      </c>
      <c r="J532" s="64"/>
      <c r="K532" s="64"/>
      <c r="L532" s="64">
        <f>SUM(ventas_b_mes684[[#This Row],[IMPORTE NETO]:[EXENTO]])</f>
        <v>25000.0036</v>
      </c>
      <c r="M532" s="59"/>
    </row>
    <row r="533" spans="2:13">
      <c r="B533" s="40" t="s">
        <v>2305</v>
      </c>
      <c r="C533" s="41">
        <v>6</v>
      </c>
      <c r="D533" s="42">
        <v>10</v>
      </c>
      <c r="E533" s="43">
        <v>54347</v>
      </c>
      <c r="F533" s="44">
        <v>40082114</v>
      </c>
      <c r="G533" s="1" t="str">
        <f>IFERROR(IF(ventas_b_mes684[[#This Row],[CUIT]]="","-",VLOOKUP(ventas_b_mes684[[#This Row],[CUIT]],Lista_CUIT[#All],2,0)),"CUIT NO CARGADO")</f>
        <v>CUIT NO CARGADO</v>
      </c>
      <c r="H533" s="64">
        <v>20661.16</v>
      </c>
      <c r="I533" s="64">
        <f>ventas_b_mes684[[#This Row],[IMPORTE NETO]]*0.21</f>
        <v>4338.8436000000002</v>
      </c>
      <c r="J533" s="64"/>
      <c r="K533" s="64"/>
      <c r="L533" s="64">
        <f>SUM(ventas_b_mes684[[#This Row],[IMPORTE NETO]:[EXENTO]])</f>
        <v>25000.0036</v>
      </c>
      <c r="M533" s="59"/>
    </row>
    <row r="534" spans="2:13">
      <c r="B534" s="40" t="s">
        <v>2305</v>
      </c>
      <c r="C534" s="41">
        <v>6</v>
      </c>
      <c r="D534" s="42">
        <v>13</v>
      </c>
      <c r="E534" s="43">
        <v>32426</v>
      </c>
      <c r="F534" s="44">
        <v>12785466</v>
      </c>
      <c r="G534" s="1" t="str">
        <f>IFERROR(IF(ventas_b_mes684[[#This Row],[CUIT]]="","-",VLOOKUP(ventas_b_mes684[[#This Row],[CUIT]],Lista_CUIT[#All],2,0)),"CUIT NO CARGADO")</f>
        <v>CUIT NO CARGADO</v>
      </c>
      <c r="H534" s="64">
        <v>27642.560000000001</v>
      </c>
      <c r="I534" s="64">
        <f>ventas_b_mes684[[#This Row],[IMPORTE NETO]]*0.21</f>
        <v>5804.9376000000002</v>
      </c>
      <c r="J534" s="64"/>
      <c r="K534" s="64"/>
      <c r="L534" s="64">
        <f>SUM(ventas_b_mes684[[#This Row],[IMPORTE NETO]:[EXENTO]])</f>
        <v>33447.497600000002</v>
      </c>
      <c r="M534" s="59"/>
    </row>
    <row r="535" spans="2:13">
      <c r="B535" s="40" t="s">
        <v>2305</v>
      </c>
      <c r="C535" s="41">
        <v>6</v>
      </c>
      <c r="D535" s="42">
        <v>12</v>
      </c>
      <c r="E535" s="43">
        <v>29581</v>
      </c>
      <c r="F535" s="44">
        <v>32228305</v>
      </c>
      <c r="G535" s="1" t="str">
        <f>IFERROR(IF(ventas_b_mes684[[#This Row],[CUIT]]="","-",VLOOKUP(ventas_b_mes684[[#This Row],[CUIT]],Lista_CUIT[#All],2,0)),"CUIT NO CARGADO")</f>
        <v>CUIT NO CARGADO</v>
      </c>
      <c r="H535" s="64">
        <v>4545.45</v>
      </c>
      <c r="I535" s="64">
        <f>ventas_b_mes684[[#This Row],[IMPORTE NETO]]*0.21</f>
        <v>954.54449999999997</v>
      </c>
      <c r="J535" s="64"/>
      <c r="K535" s="64"/>
      <c r="L535" s="64">
        <f>SUM(ventas_b_mes684[[#This Row],[IMPORTE NETO]:[EXENTO]])</f>
        <v>5499.9944999999998</v>
      </c>
      <c r="M535" s="59"/>
    </row>
    <row r="536" spans="2:13">
      <c r="B536" s="40" t="s">
        <v>2305</v>
      </c>
      <c r="C536" s="41">
        <v>6</v>
      </c>
      <c r="D536" s="42">
        <v>12</v>
      </c>
      <c r="E536" s="43">
        <v>29560</v>
      </c>
      <c r="F536" s="44">
        <v>22354045</v>
      </c>
      <c r="G536" s="1" t="str">
        <f>IFERROR(IF(ventas_b_mes684[[#This Row],[CUIT]]="","-",VLOOKUP(ventas_b_mes684[[#This Row],[CUIT]],Lista_CUIT[#All],2,0)),"CUIT NO CARGADO")</f>
        <v>CUIT NO CARGADO</v>
      </c>
      <c r="H536" s="64">
        <v>28925.62</v>
      </c>
      <c r="I536" s="64">
        <f>ventas_b_mes684[[#This Row],[IMPORTE NETO]]*0.21</f>
        <v>6074.3801999999996</v>
      </c>
      <c r="J536" s="64"/>
      <c r="K536" s="64"/>
      <c r="L536" s="64">
        <f>SUM(ventas_b_mes684[[#This Row],[IMPORTE NETO]:[EXENTO]])</f>
        <v>35000.000199999995</v>
      </c>
      <c r="M536" s="59"/>
    </row>
    <row r="537" spans="2:13">
      <c r="B537" s="40" t="s">
        <v>2305</v>
      </c>
      <c r="C537" s="41">
        <v>6</v>
      </c>
      <c r="D537" s="42">
        <v>13</v>
      </c>
      <c r="E537" s="43">
        <v>32429</v>
      </c>
      <c r="F537" s="44">
        <v>18106230</v>
      </c>
      <c r="G537" s="1" t="str">
        <f>IFERROR(IF(ventas_b_mes684[[#This Row],[CUIT]]="","-",VLOOKUP(ventas_b_mes684[[#This Row],[CUIT]],Lista_CUIT[#All],2,0)),"CUIT NO CARGADO")</f>
        <v>PEREYRO CLAUDIA ALEJANDRA</v>
      </c>
      <c r="H537" s="64">
        <v>7768.6</v>
      </c>
      <c r="I537" s="64">
        <f>ventas_b_mes684[[#This Row],[IMPORTE NETO]]*0.21</f>
        <v>1631.4059999999999</v>
      </c>
      <c r="J537" s="64"/>
      <c r="K537" s="64"/>
      <c r="L537" s="64">
        <f>SUM(ventas_b_mes684[[#This Row],[IMPORTE NETO]:[EXENTO]])</f>
        <v>9400.0060000000012</v>
      </c>
      <c r="M537" s="59"/>
    </row>
    <row r="538" spans="2:13">
      <c r="B538" s="40" t="s">
        <v>2305</v>
      </c>
      <c r="C538" s="41">
        <v>6</v>
      </c>
      <c r="D538" s="42">
        <v>13</v>
      </c>
      <c r="E538" s="43">
        <v>32417</v>
      </c>
      <c r="F538" s="44">
        <v>1111111</v>
      </c>
      <c r="G538" s="1" t="str">
        <f>IFERROR(IF(ventas_b_mes684[[#This Row],[CUIT]]="","-",VLOOKUP(ventas_b_mes684[[#This Row],[CUIT]],Lista_CUIT[#All],2,0)),"CUIT NO CARGADO")</f>
        <v>CUIT NO CARGADO</v>
      </c>
      <c r="H538" s="64">
        <v>34917.360000000001</v>
      </c>
      <c r="I538" s="64">
        <f>ventas_b_mes684[[#This Row],[IMPORTE NETO]]*0.21</f>
        <v>7332.6455999999998</v>
      </c>
      <c r="J538" s="64"/>
      <c r="K538" s="64"/>
      <c r="L538" s="64">
        <f>SUM(ventas_b_mes684[[#This Row],[IMPORTE NETO]:[EXENTO]])</f>
        <v>42250.005600000004</v>
      </c>
      <c r="M538" s="59"/>
    </row>
    <row r="539" spans="2:13">
      <c r="B539" s="40" t="s">
        <v>2305</v>
      </c>
      <c r="C539" s="41">
        <v>6</v>
      </c>
      <c r="D539" s="42">
        <v>10</v>
      </c>
      <c r="E539" s="43">
        <v>54344</v>
      </c>
      <c r="F539" s="44">
        <v>12345687</v>
      </c>
      <c r="G539" s="1" t="str">
        <f>IFERROR(IF(ventas_b_mes684[[#This Row],[CUIT]]="","-",VLOOKUP(ventas_b_mes684[[#This Row],[CUIT]],Lista_CUIT[#All],2,0)),"CUIT NO CARGADO")</f>
        <v>CUIT NO CARGADO</v>
      </c>
      <c r="H539" s="64">
        <v>46913.22</v>
      </c>
      <c r="I539" s="64">
        <f>ventas_b_mes684[[#This Row],[IMPORTE NETO]]*0.21</f>
        <v>9851.7762000000002</v>
      </c>
      <c r="J539" s="64"/>
      <c r="K539" s="64"/>
      <c r="L539" s="64">
        <f>SUM(ventas_b_mes684[[#This Row],[IMPORTE NETO]:[EXENTO]])</f>
        <v>56764.996200000001</v>
      </c>
      <c r="M539" s="59"/>
    </row>
    <row r="540" spans="2:13">
      <c r="B540" s="40" t="s">
        <v>2305</v>
      </c>
      <c r="C540" s="41">
        <v>6</v>
      </c>
      <c r="D540" s="42">
        <v>10</v>
      </c>
      <c r="E540" s="43">
        <v>54363</v>
      </c>
      <c r="F540" s="44">
        <v>27120474036</v>
      </c>
      <c r="G540" s="1" t="str">
        <f>IFERROR(IF(ventas_b_mes684[[#This Row],[CUIT]]="","-",VLOOKUP(ventas_b_mes684[[#This Row],[CUIT]],Lista_CUIT[#All],2,0)),"CUIT NO CARGADO")</f>
        <v>CUIT NO CARGADO</v>
      </c>
      <c r="H540" s="64">
        <v>37750</v>
      </c>
      <c r="I540" s="64">
        <f>ventas_b_mes684[[#This Row],[IMPORTE NETO]]*0.21</f>
        <v>7927.5</v>
      </c>
      <c r="J540" s="64"/>
      <c r="K540" s="64"/>
      <c r="L540" s="64">
        <f>SUM(ventas_b_mes684[[#This Row],[IMPORTE NETO]:[EXENTO]])</f>
        <v>45677.5</v>
      </c>
      <c r="M540" s="59"/>
    </row>
    <row r="541" spans="2:13">
      <c r="B541" s="40" t="s">
        <v>2305</v>
      </c>
      <c r="C541" s="41">
        <v>6</v>
      </c>
      <c r="D541" s="42">
        <v>10</v>
      </c>
      <c r="E541" s="43">
        <v>54362</v>
      </c>
      <c r="F541" s="44">
        <v>27120474036</v>
      </c>
      <c r="G541" s="1" t="str">
        <f>IFERROR(IF(ventas_b_mes684[[#This Row],[CUIT]]="","-",VLOOKUP(ventas_b_mes684[[#This Row],[CUIT]],Lista_CUIT[#All],2,0)),"CUIT NO CARGADO")</f>
        <v>CUIT NO CARGADO</v>
      </c>
      <c r="H541" s="64">
        <v>84039.67</v>
      </c>
      <c r="I541" s="64">
        <f>ventas_b_mes684[[#This Row],[IMPORTE NETO]]*0.21</f>
        <v>17648.330699999999</v>
      </c>
      <c r="J541" s="64"/>
      <c r="K541" s="64"/>
      <c r="L541" s="64">
        <f>SUM(ventas_b_mes684[[#This Row],[IMPORTE NETO]:[EXENTO]])</f>
        <v>101688.0007</v>
      </c>
      <c r="M541" s="59"/>
    </row>
    <row r="542" spans="2:13">
      <c r="B542" s="40" t="s">
        <v>2305</v>
      </c>
      <c r="C542" s="41">
        <v>6</v>
      </c>
      <c r="D542" s="42">
        <v>10</v>
      </c>
      <c r="E542" s="43">
        <v>54361</v>
      </c>
      <c r="F542" s="44">
        <v>27120474036</v>
      </c>
      <c r="G542" s="1" t="str">
        <f>IFERROR(IF(ventas_b_mes684[[#This Row],[CUIT]]="","-",VLOOKUP(ventas_b_mes684[[#This Row],[CUIT]],Lista_CUIT[#All],2,0)),"CUIT NO CARGADO")</f>
        <v>CUIT NO CARGADO</v>
      </c>
      <c r="H542" s="64">
        <v>229326.84</v>
      </c>
      <c r="I542" s="64">
        <f>ventas_b_mes684[[#This Row],[IMPORTE NETO]]*0.21</f>
        <v>48158.636399999996</v>
      </c>
      <c r="J542" s="64"/>
      <c r="K542" s="64"/>
      <c r="L542" s="64">
        <f>SUM(ventas_b_mes684[[#This Row],[IMPORTE NETO]:[EXENTO]])</f>
        <v>277485.47639999999</v>
      </c>
      <c r="M542" s="59"/>
    </row>
    <row r="543" spans="2:13">
      <c r="B543" s="40" t="s">
        <v>2305</v>
      </c>
      <c r="C543" s="41">
        <v>6</v>
      </c>
      <c r="D543" s="42">
        <v>10</v>
      </c>
      <c r="E543" s="43">
        <v>54352</v>
      </c>
      <c r="F543" s="44">
        <v>25371629</v>
      </c>
      <c r="G543" s="1" t="str">
        <f>IFERROR(IF(ventas_b_mes684[[#This Row],[CUIT]]="","-",VLOOKUP(ventas_b_mes684[[#This Row],[CUIT]],Lista_CUIT[#All],2,0)),"CUIT NO CARGADO")</f>
        <v>CUIT NO CARGADO</v>
      </c>
      <c r="H543" s="64">
        <v>69024.789999999994</v>
      </c>
      <c r="I543" s="64">
        <f>ventas_b_mes684[[#This Row],[IMPORTE NETO]]*0.21</f>
        <v>14495.205899999999</v>
      </c>
      <c r="J543" s="64"/>
      <c r="K543" s="64"/>
      <c r="L543" s="64">
        <f>SUM(ventas_b_mes684[[#This Row],[IMPORTE NETO]:[EXENTO]])</f>
        <v>83519.995899999994</v>
      </c>
      <c r="M543" s="59"/>
    </row>
    <row r="544" spans="2:13">
      <c r="B544" s="40" t="s">
        <v>2305</v>
      </c>
      <c r="C544" s="41">
        <v>6</v>
      </c>
      <c r="D544" s="42">
        <v>10</v>
      </c>
      <c r="E544" s="43">
        <v>54375</v>
      </c>
      <c r="F544" s="44">
        <v>34286200</v>
      </c>
      <c r="G544" s="1" t="str">
        <f>IFERROR(IF(ventas_b_mes684[[#This Row],[CUIT]]="","-",VLOOKUP(ventas_b_mes684[[#This Row],[CUIT]],Lista_CUIT[#All],2,0)),"CUIT NO CARGADO")</f>
        <v>CUIT NO CARGADO</v>
      </c>
      <c r="H544" s="64">
        <v>20661.16</v>
      </c>
      <c r="I544" s="64">
        <f>ventas_b_mes684[[#This Row],[IMPORTE NETO]]*0.21</f>
        <v>4338.8436000000002</v>
      </c>
      <c r="J544" s="64"/>
      <c r="K544" s="64"/>
      <c r="L544" s="64">
        <f>SUM(ventas_b_mes684[[#This Row],[IMPORTE NETO]:[EXENTO]])</f>
        <v>25000.0036</v>
      </c>
      <c r="M544" s="59"/>
    </row>
    <row r="545" spans="2:13">
      <c r="B545" s="40" t="s">
        <v>2305</v>
      </c>
      <c r="C545" s="41">
        <v>6</v>
      </c>
      <c r="D545" s="42">
        <v>10</v>
      </c>
      <c r="E545" s="43">
        <v>54376</v>
      </c>
      <c r="F545" s="44">
        <v>34286200</v>
      </c>
      <c r="G545" s="1" t="str">
        <f>IFERROR(IF(ventas_b_mes684[[#This Row],[CUIT]]="","-",VLOOKUP(ventas_b_mes684[[#This Row],[CUIT]],Lista_CUIT[#All],2,0)),"CUIT NO CARGADO")</f>
        <v>CUIT NO CARGADO</v>
      </c>
      <c r="H545" s="64">
        <v>20661.16</v>
      </c>
      <c r="I545" s="64">
        <f>ventas_b_mes684[[#This Row],[IMPORTE NETO]]*0.21</f>
        <v>4338.8436000000002</v>
      </c>
      <c r="J545" s="64"/>
      <c r="K545" s="64"/>
      <c r="L545" s="64">
        <f>SUM(ventas_b_mes684[[#This Row],[IMPORTE NETO]:[EXENTO]])</f>
        <v>25000.0036</v>
      </c>
      <c r="M545" s="59"/>
    </row>
    <row r="546" spans="2:13">
      <c r="B546" s="40" t="s">
        <v>2305</v>
      </c>
      <c r="C546" s="41">
        <v>6</v>
      </c>
      <c r="D546" s="42">
        <v>10</v>
      </c>
      <c r="E546" s="43">
        <v>54367</v>
      </c>
      <c r="F546" s="44">
        <v>30755807</v>
      </c>
      <c r="G546" s="1" t="str">
        <f>IFERROR(IF(ventas_b_mes684[[#This Row],[CUIT]]="","-",VLOOKUP(ventas_b_mes684[[#This Row],[CUIT]],Lista_CUIT[#All],2,0)),"CUIT NO CARGADO")</f>
        <v>CUIT NO CARGADO</v>
      </c>
      <c r="H546" s="64">
        <v>20661.16</v>
      </c>
      <c r="I546" s="64">
        <f>ventas_b_mes684[[#This Row],[IMPORTE NETO]]*0.21</f>
        <v>4338.8436000000002</v>
      </c>
      <c r="J546" s="64"/>
      <c r="K546" s="64"/>
      <c r="L546" s="64">
        <f>SUM(ventas_b_mes684[[#This Row],[IMPORTE NETO]:[EXENTO]])</f>
        <v>25000.0036</v>
      </c>
      <c r="M546" s="59"/>
    </row>
    <row r="547" spans="2:13">
      <c r="B547" s="40" t="s">
        <v>2305</v>
      </c>
      <c r="C547" s="41">
        <v>6</v>
      </c>
      <c r="D547" s="42">
        <v>10</v>
      </c>
      <c r="E547" s="43">
        <v>54366</v>
      </c>
      <c r="F547" s="44">
        <v>25371629</v>
      </c>
      <c r="G547" s="1" t="str">
        <f>IFERROR(IF(ventas_b_mes684[[#This Row],[CUIT]]="","-",VLOOKUP(ventas_b_mes684[[#This Row],[CUIT]],Lista_CUIT[#All],2,0)),"CUIT NO CARGADO")</f>
        <v>CUIT NO CARGADO</v>
      </c>
      <c r="H547" s="64">
        <v>20661.16</v>
      </c>
      <c r="I547" s="64">
        <f>ventas_b_mes684[[#This Row],[IMPORTE NETO]]*0.21</f>
        <v>4338.8436000000002</v>
      </c>
      <c r="J547" s="64"/>
      <c r="K547" s="64"/>
      <c r="L547" s="64">
        <f>SUM(ventas_b_mes684[[#This Row],[IMPORTE NETO]:[EXENTO]])</f>
        <v>25000.0036</v>
      </c>
      <c r="M547" s="59"/>
    </row>
    <row r="548" spans="2:13">
      <c r="B548" s="40" t="s">
        <v>2305</v>
      </c>
      <c r="C548" s="41">
        <v>6</v>
      </c>
      <c r="D548" s="42">
        <v>15</v>
      </c>
      <c r="E548" s="43">
        <v>13142</v>
      </c>
      <c r="F548" s="44">
        <v>30638969</v>
      </c>
      <c r="G548" s="1" t="str">
        <f>IFERROR(IF(ventas_b_mes684[[#This Row],[CUIT]]="","-",VLOOKUP(ventas_b_mes684[[#This Row],[CUIT]],Lista_CUIT[#All],2,0)),"CUIT NO CARGADO")</f>
        <v>GRADE, CARLA</v>
      </c>
      <c r="H548" s="64">
        <v>2892.56</v>
      </c>
      <c r="I548" s="64">
        <f>ventas_b_mes684[[#This Row],[IMPORTE NETO]]*0.21</f>
        <v>607.43759999999997</v>
      </c>
      <c r="J548" s="64"/>
      <c r="K548" s="64"/>
      <c r="L548" s="64">
        <f>SUM(ventas_b_mes684[[#This Row],[IMPORTE NETO]:[EXENTO]])</f>
        <v>3499.9975999999997</v>
      </c>
      <c r="M548" s="59"/>
    </row>
    <row r="549" spans="2:13">
      <c r="B549" s="40" t="s">
        <v>2305</v>
      </c>
      <c r="C549" s="41">
        <v>6</v>
      </c>
      <c r="D549" s="42">
        <v>15</v>
      </c>
      <c r="E549" s="43">
        <v>13145</v>
      </c>
      <c r="F549" s="44">
        <v>35942192</v>
      </c>
      <c r="G549" s="1" t="str">
        <f>IFERROR(IF(ventas_b_mes684[[#This Row],[CUIT]]="","-",VLOOKUP(ventas_b_mes684[[#This Row],[CUIT]],Lista_CUIT[#All],2,0)),"CUIT NO CARGADO")</f>
        <v>RODRIGUEZ, SOLEDAD</v>
      </c>
      <c r="H549" s="64">
        <v>6611.57</v>
      </c>
      <c r="I549" s="64">
        <f>ventas_b_mes684[[#This Row],[IMPORTE NETO]]*0.21</f>
        <v>1388.4296999999999</v>
      </c>
      <c r="J549" s="64"/>
      <c r="K549" s="64"/>
      <c r="L549" s="64">
        <f>SUM(ventas_b_mes684[[#This Row],[IMPORTE NETO]:[EXENTO]])</f>
        <v>7999.9996999999994</v>
      </c>
      <c r="M549" s="59"/>
    </row>
    <row r="550" spans="2:13">
      <c r="B550" s="40" t="s">
        <v>2305</v>
      </c>
      <c r="C550" s="41">
        <v>6</v>
      </c>
      <c r="D550" s="42">
        <v>10</v>
      </c>
      <c r="E550" s="43">
        <v>54364</v>
      </c>
      <c r="F550" s="44">
        <v>23207936324</v>
      </c>
      <c r="G550" s="1" t="str">
        <f>IFERROR(IF(ventas_b_mes684[[#This Row],[CUIT]]="","-",VLOOKUP(ventas_b_mes684[[#This Row],[CUIT]],Lista_CUIT[#All],2,0)),"CUIT NO CARGADO")</f>
        <v>COPELLO VIVIANA MARIA GABRIELA</v>
      </c>
      <c r="H550" s="64">
        <v>8840.5</v>
      </c>
      <c r="I550" s="64">
        <f>ventas_b_mes684[[#This Row],[IMPORTE NETO]]*0.21</f>
        <v>1856.5049999999999</v>
      </c>
      <c r="J550" s="64"/>
      <c r="K550" s="64"/>
      <c r="L550" s="64">
        <f>SUM(ventas_b_mes684[[#This Row],[IMPORTE NETO]:[EXENTO]])</f>
        <v>10697.004999999999</v>
      </c>
      <c r="M550" s="59"/>
    </row>
    <row r="551" spans="2:13">
      <c r="B551" s="40" t="s">
        <v>2305</v>
      </c>
      <c r="C551" s="41">
        <v>6</v>
      </c>
      <c r="D551" s="42">
        <v>10</v>
      </c>
      <c r="E551" s="43">
        <v>54379</v>
      </c>
      <c r="F551" s="44">
        <v>94006189</v>
      </c>
      <c r="G551" s="1" t="str">
        <f>IFERROR(IF(ventas_b_mes684[[#This Row],[CUIT]]="","-",VLOOKUP(ventas_b_mes684[[#This Row],[CUIT]],Lista_CUIT[#All],2,0)),"CUIT NO CARGADO")</f>
        <v>CUIT NO CARGADO</v>
      </c>
      <c r="H551" s="64">
        <v>68148.820000000007</v>
      </c>
      <c r="I551" s="64">
        <f>ventas_b_mes684[[#This Row],[IMPORTE NETO]]*0.21</f>
        <v>14311.252200000001</v>
      </c>
      <c r="J551" s="64"/>
      <c r="K551" s="64"/>
      <c r="L551" s="64">
        <f>SUM(ventas_b_mes684[[#This Row],[IMPORTE NETO]:[EXENTO]])</f>
        <v>82460.07220000001</v>
      </c>
      <c r="M551" s="59"/>
    </row>
    <row r="552" spans="2:13">
      <c r="B552" s="40" t="s">
        <v>2305</v>
      </c>
      <c r="C552" s="41">
        <v>6</v>
      </c>
      <c r="D552" s="42">
        <v>10</v>
      </c>
      <c r="E552" s="43">
        <v>54329</v>
      </c>
      <c r="F552" s="44">
        <v>18590873</v>
      </c>
      <c r="G552" s="1" t="str">
        <f>IFERROR(IF(ventas_b_mes684[[#This Row],[CUIT]]="","-",VLOOKUP(ventas_b_mes684[[#This Row],[CUIT]],Lista_CUIT[#All],2,0)),"CUIT NO CARGADO")</f>
        <v>CUIT NO CARGADO</v>
      </c>
      <c r="H552" s="64">
        <v>90495.87</v>
      </c>
      <c r="I552" s="64">
        <f>ventas_b_mes684[[#This Row],[IMPORTE NETO]]*0.21</f>
        <v>19004.132699999998</v>
      </c>
      <c r="J552" s="64"/>
      <c r="K552" s="64"/>
      <c r="L552" s="64">
        <f>SUM(ventas_b_mes684[[#This Row],[IMPORTE NETO]:[EXENTO]])</f>
        <v>109500.0027</v>
      </c>
      <c r="M552" s="59"/>
    </row>
    <row r="553" spans="2:13">
      <c r="B553" s="40" t="s">
        <v>2305</v>
      </c>
      <c r="C553" s="41">
        <v>6</v>
      </c>
      <c r="D553" s="42">
        <v>10</v>
      </c>
      <c r="E553" s="43">
        <v>54339</v>
      </c>
      <c r="F553" s="44">
        <v>27334264500</v>
      </c>
      <c r="G553" s="1" t="str">
        <f>IFERROR(IF(ventas_b_mes684[[#This Row],[CUIT]]="","-",VLOOKUP(ventas_b_mes684[[#This Row],[CUIT]],Lista_CUIT[#All],2,0)),"CUIT NO CARGADO")</f>
        <v>CUIT NO CARGADO</v>
      </c>
      <c r="H553" s="64">
        <v>171330.55</v>
      </c>
      <c r="I553" s="64">
        <f>ventas_b_mes684[[#This Row],[IMPORTE NETO]]*0.21</f>
        <v>35979.415499999996</v>
      </c>
      <c r="J553" s="64"/>
      <c r="K553" s="64"/>
      <c r="L553" s="64">
        <f>SUM(ventas_b_mes684[[#This Row],[IMPORTE NETO]:[EXENTO]])</f>
        <v>207309.96549999999</v>
      </c>
      <c r="M553" s="59"/>
    </row>
    <row r="554" spans="2:13">
      <c r="B554" s="40" t="s">
        <v>2305</v>
      </c>
      <c r="C554" s="41">
        <v>6</v>
      </c>
      <c r="D554" s="42">
        <v>10</v>
      </c>
      <c r="E554" s="43">
        <v>54338</v>
      </c>
      <c r="F554" s="44">
        <v>32736876</v>
      </c>
      <c r="G554" s="1" t="str">
        <f>IFERROR(IF(ventas_b_mes684[[#This Row],[CUIT]]="","-",VLOOKUP(ventas_b_mes684[[#This Row],[CUIT]],Lista_CUIT[#All],2,0)),"CUIT NO CARGADO")</f>
        <v>CUIT NO CARGADO</v>
      </c>
      <c r="H554" s="64">
        <v>15644.63</v>
      </c>
      <c r="I554" s="64">
        <f>ventas_b_mes684[[#This Row],[IMPORTE NETO]]*0.21</f>
        <v>3285.3722999999995</v>
      </c>
      <c r="J554" s="64"/>
      <c r="K554" s="64"/>
      <c r="L554" s="64">
        <f>SUM(ventas_b_mes684[[#This Row],[IMPORTE NETO]:[EXENTO]])</f>
        <v>18930.0023</v>
      </c>
      <c r="M554" s="59"/>
    </row>
    <row r="555" spans="2:13">
      <c r="B555" s="40" t="s">
        <v>2305</v>
      </c>
      <c r="C555" s="41">
        <v>6</v>
      </c>
      <c r="D555" s="42">
        <v>12</v>
      </c>
      <c r="E555" s="43">
        <v>29578</v>
      </c>
      <c r="F555" s="44">
        <v>24100156</v>
      </c>
      <c r="G555" s="1" t="str">
        <f>IFERROR(IF(ventas_b_mes684[[#This Row],[CUIT]]="","-",VLOOKUP(ventas_b_mes684[[#This Row],[CUIT]],Lista_CUIT[#All],2,0)),"CUIT NO CARGADO")</f>
        <v>CUIT NO CARGADO</v>
      </c>
      <c r="H555" s="64">
        <v>20661.16</v>
      </c>
      <c r="I555" s="64">
        <f>ventas_b_mes684[[#This Row],[IMPORTE NETO]]*0.21</f>
        <v>4338.8436000000002</v>
      </c>
      <c r="J555" s="64"/>
      <c r="K555" s="64"/>
      <c r="L555" s="64">
        <f>SUM(ventas_b_mes684[[#This Row],[IMPORTE NETO]:[EXENTO]])</f>
        <v>25000.0036</v>
      </c>
      <c r="M555" s="59"/>
    </row>
    <row r="556" spans="2:13">
      <c r="B556" s="40" t="s">
        <v>2305</v>
      </c>
      <c r="C556" s="41">
        <v>6</v>
      </c>
      <c r="D556" s="42">
        <v>13</v>
      </c>
      <c r="E556" s="43">
        <v>32420</v>
      </c>
      <c r="F556" s="44">
        <v>27949537</v>
      </c>
      <c r="G556" s="1" t="str">
        <f>IFERROR(IF(ventas_b_mes684[[#This Row],[CUIT]]="","-",VLOOKUP(ventas_b_mes684[[#This Row],[CUIT]],Lista_CUIT[#All],2,0)),"CUIT NO CARGADO")</f>
        <v>CUIT NO CARGADO</v>
      </c>
      <c r="H556" s="64">
        <v>23719.01</v>
      </c>
      <c r="I556" s="64">
        <f>ventas_b_mes684[[#This Row],[IMPORTE NETO]]*0.21</f>
        <v>4980.9920999999995</v>
      </c>
      <c r="J556" s="64"/>
      <c r="K556" s="64"/>
      <c r="L556" s="64">
        <f>SUM(ventas_b_mes684[[#This Row],[IMPORTE NETO]:[EXENTO]])</f>
        <v>28700.002099999998</v>
      </c>
      <c r="M556" s="59"/>
    </row>
    <row r="557" spans="2:13">
      <c r="B557" s="40" t="s">
        <v>2305</v>
      </c>
      <c r="C557" s="41">
        <v>6</v>
      </c>
      <c r="D557" s="42">
        <v>13</v>
      </c>
      <c r="E557" s="43">
        <v>32421</v>
      </c>
      <c r="F557" s="44">
        <v>25564674</v>
      </c>
      <c r="G557" s="1" t="str">
        <f>IFERROR(IF(ventas_b_mes684[[#This Row],[CUIT]]="","-",VLOOKUP(ventas_b_mes684[[#This Row],[CUIT]],Lista_CUIT[#All],2,0)),"CUIT NO CARGADO")</f>
        <v>CUIT NO CARGADO</v>
      </c>
      <c r="H557" s="64">
        <v>23305.79</v>
      </c>
      <c r="I557" s="64">
        <f>ventas_b_mes684[[#This Row],[IMPORTE NETO]]*0.21</f>
        <v>4894.2159000000001</v>
      </c>
      <c r="J557" s="64"/>
      <c r="K557" s="64"/>
      <c r="L557" s="64">
        <f>SUM(ventas_b_mes684[[#This Row],[IMPORTE NETO]:[EXENTO]])</f>
        <v>28200.0059</v>
      </c>
      <c r="M557" s="59"/>
    </row>
    <row r="558" spans="2:13">
      <c r="B558" s="40" t="s">
        <v>2305</v>
      </c>
      <c r="C558" s="41">
        <v>6</v>
      </c>
      <c r="D558" s="42">
        <v>13</v>
      </c>
      <c r="E558" s="43">
        <v>32416</v>
      </c>
      <c r="F558" s="44">
        <v>20560897</v>
      </c>
      <c r="G558" s="1" t="str">
        <f>IFERROR(IF(ventas_b_mes684[[#This Row],[CUIT]]="","-",VLOOKUP(ventas_b_mes684[[#This Row],[CUIT]],Lista_CUIT[#All],2,0)),"CUIT NO CARGADO")</f>
        <v>CUIT NO CARGADO</v>
      </c>
      <c r="H558" s="64">
        <v>11404.96</v>
      </c>
      <c r="I558" s="64">
        <f>ventas_b_mes684[[#This Row],[IMPORTE NETO]]*0.21</f>
        <v>2395.0415999999996</v>
      </c>
      <c r="J558" s="64"/>
      <c r="K558" s="64"/>
      <c r="L558" s="64">
        <f>SUM(ventas_b_mes684[[#This Row],[IMPORTE NETO]:[EXENTO]])</f>
        <v>13800.0016</v>
      </c>
      <c r="M558" s="59"/>
    </row>
    <row r="559" spans="2:13">
      <c r="B559" s="40" t="s">
        <v>2305</v>
      </c>
      <c r="C559" s="41">
        <v>6</v>
      </c>
      <c r="D559" s="42">
        <v>10</v>
      </c>
      <c r="E559" s="43">
        <v>54360</v>
      </c>
      <c r="F559" s="44">
        <v>27120474036</v>
      </c>
      <c r="G559" s="1" t="str">
        <f>IFERROR(IF(ventas_b_mes684[[#This Row],[CUIT]]="","-",VLOOKUP(ventas_b_mes684[[#This Row],[CUIT]],Lista_CUIT[#All],2,0)),"CUIT NO CARGADO")</f>
        <v>CUIT NO CARGADO</v>
      </c>
      <c r="H559" s="64">
        <v>298951.65000000002</v>
      </c>
      <c r="I559" s="64">
        <f>ventas_b_mes684[[#This Row],[IMPORTE NETO]]*0.21</f>
        <v>62779.8465</v>
      </c>
      <c r="J559" s="64"/>
      <c r="K559" s="64"/>
      <c r="L559" s="64">
        <f>SUM(ventas_b_mes684[[#This Row],[IMPORTE NETO]:[EXENTO]])</f>
        <v>361731.49650000001</v>
      </c>
      <c r="M559" s="59"/>
    </row>
    <row r="560" spans="2:13">
      <c r="B560" s="40" t="s">
        <v>2305</v>
      </c>
      <c r="C560" s="41">
        <v>6</v>
      </c>
      <c r="D560" s="42">
        <v>12</v>
      </c>
      <c r="E560" s="43">
        <v>29558</v>
      </c>
      <c r="F560" s="44">
        <v>17815696</v>
      </c>
      <c r="G560" s="1" t="str">
        <f>IFERROR(IF(ventas_b_mes684[[#This Row],[CUIT]]="","-",VLOOKUP(ventas_b_mes684[[#This Row],[CUIT]],Lista_CUIT[#All],2,0)),"CUIT NO CARGADO")</f>
        <v>CUIT NO CARGADO</v>
      </c>
      <c r="H560" s="64">
        <v>32148.76</v>
      </c>
      <c r="I560" s="64">
        <f>ventas_b_mes684[[#This Row],[IMPORTE NETO]]*0.21</f>
        <v>6751.239599999999</v>
      </c>
      <c r="J560" s="64"/>
      <c r="K560" s="64"/>
      <c r="L560" s="64">
        <f>SUM(ventas_b_mes684[[#This Row],[IMPORTE NETO]:[EXENTO]])</f>
        <v>38899.999599999996</v>
      </c>
      <c r="M560" s="59"/>
    </row>
    <row r="561" spans="2:13">
      <c r="B561" s="40" t="s">
        <v>2305</v>
      </c>
      <c r="C561" s="41">
        <v>6</v>
      </c>
      <c r="D561" s="42">
        <v>11</v>
      </c>
      <c r="E561" s="43">
        <v>37999</v>
      </c>
      <c r="F561" s="44">
        <v>36401278</v>
      </c>
      <c r="G561" s="1" t="str">
        <f>IFERROR(IF(ventas_b_mes684[[#This Row],[CUIT]]="","-",VLOOKUP(ventas_b_mes684[[#This Row],[CUIT]],Lista_CUIT[#All],2,0)),"CUIT NO CARGADO")</f>
        <v>CUIT NO CARGADO</v>
      </c>
      <c r="H561" s="64">
        <v>17922.310000000001</v>
      </c>
      <c r="I561" s="64">
        <f>ventas_b_mes684[[#This Row],[IMPORTE NETO]]*0.21</f>
        <v>3763.6851000000001</v>
      </c>
      <c r="J561" s="64"/>
      <c r="K561" s="64"/>
      <c r="L561" s="64">
        <f>SUM(ventas_b_mes684[[#This Row],[IMPORTE NETO]:[EXENTO]])</f>
        <v>21685.9951</v>
      </c>
      <c r="M561" s="59"/>
    </row>
    <row r="562" spans="2:13">
      <c r="B562" s="40" t="s">
        <v>2305</v>
      </c>
      <c r="C562" s="41">
        <v>6</v>
      </c>
      <c r="D562" s="42">
        <v>12</v>
      </c>
      <c r="E562" s="43">
        <v>29557</v>
      </c>
      <c r="F562" s="44">
        <v>34497200</v>
      </c>
      <c r="G562" s="1" t="str">
        <f>IFERROR(IF(ventas_b_mes684[[#This Row],[CUIT]]="","-",VLOOKUP(ventas_b_mes684[[#This Row],[CUIT]],Lista_CUIT[#All],2,0)),"CUIT NO CARGADO")</f>
        <v>CUIT NO CARGADO</v>
      </c>
      <c r="H562" s="64">
        <v>3677.69</v>
      </c>
      <c r="I562" s="64">
        <f>ventas_b_mes684[[#This Row],[IMPORTE NETO]]*0.21</f>
        <v>772.31489999999997</v>
      </c>
      <c r="J562" s="64"/>
      <c r="K562" s="64"/>
      <c r="L562" s="64">
        <f>SUM(ventas_b_mes684[[#This Row],[IMPORTE NETO]:[EXENTO]])</f>
        <v>4450.0048999999999</v>
      </c>
      <c r="M562" s="59"/>
    </row>
    <row r="563" spans="2:13">
      <c r="B563" s="40" t="s">
        <v>2305</v>
      </c>
      <c r="C563" s="41">
        <v>6</v>
      </c>
      <c r="D563" s="42">
        <v>12</v>
      </c>
      <c r="E563" s="43">
        <v>29559</v>
      </c>
      <c r="F563" s="44">
        <v>23023441</v>
      </c>
      <c r="G563" s="1" t="str">
        <f>IFERROR(IF(ventas_b_mes684[[#This Row],[CUIT]]="","-",VLOOKUP(ventas_b_mes684[[#This Row],[CUIT]],Lista_CUIT[#All],2,0)),"CUIT NO CARGADO")</f>
        <v>CUIT NO CARGADO</v>
      </c>
      <c r="H563" s="64">
        <v>35144.629999999997</v>
      </c>
      <c r="I563" s="64">
        <f>ventas_b_mes684[[#This Row],[IMPORTE NETO]]*0.21</f>
        <v>7380.3722999999991</v>
      </c>
      <c r="J563" s="64"/>
      <c r="K563" s="64"/>
      <c r="L563" s="64">
        <f>SUM(ventas_b_mes684[[#This Row],[IMPORTE NETO]:[EXENTO]])</f>
        <v>42525.002299999993</v>
      </c>
      <c r="M563" s="59"/>
    </row>
    <row r="564" spans="2:13">
      <c r="B564" s="40" t="s">
        <v>2305</v>
      </c>
      <c r="C564" s="41">
        <v>6</v>
      </c>
      <c r="D564" s="42">
        <v>12</v>
      </c>
      <c r="E564" s="43">
        <v>29572</v>
      </c>
      <c r="F564" s="44">
        <v>18191523</v>
      </c>
      <c r="G564" s="1" t="str">
        <f>IFERROR(IF(ventas_b_mes684[[#This Row],[CUIT]]="","-",VLOOKUP(ventas_b_mes684[[#This Row],[CUIT]],Lista_CUIT[#All],2,0)),"CUIT NO CARGADO")</f>
        <v>CUIT NO CARGADO</v>
      </c>
      <c r="H564" s="64">
        <v>89677.69</v>
      </c>
      <c r="I564" s="64">
        <f>ventas_b_mes684[[#This Row],[IMPORTE NETO]]*0.21</f>
        <v>18832.314900000001</v>
      </c>
      <c r="J564" s="64"/>
      <c r="K564" s="64"/>
      <c r="L564" s="64">
        <f>SUM(ventas_b_mes684[[#This Row],[IMPORTE NETO]:[EXENTO]])</f>
        <v>108510.0049</v>
      </c>
      <c r="M564" s="59"/>
    </row>
    <row r="565" spans="2:13">
      <c r="B565" s="40" t="s">
        <v>2305</v>
      </c>
      <c r="C565" s="41">
        <v>6</v>
      </c>
      <c r="D565" s="42">
        <v>15</v>
      </c>
      <c r="E565" s="43">
        <v>13146</v>
      </c>
      <c r="F565" s="44">
        <v>38701092</v>
      </c>
      <c r="G565" s="1" t="str">
        <f>IFERROR(IF(ventas_b_mes684[[#This Row],[CUIT]]="","-",VLOOKUP(ventas_b_mes684[[#This Row],[CUIT]],Lista_CUIT[#All],2,0)),"CUIT NO CARGADO")</f>
        <v>CUIT NO CARGADO</v>
      </c>
      <c r="H565" s="64">
        <v>727.27</v>
      </c>
      <c r="I565" s="64">
        <f>ventas_b_mes684[[#This Row],[IMPORTE NETO]]*0.21</f>
        <v>152.72669999999999</v>
      </c>
      <c r="J565" s="64"/>
      <c r="K565" s="64"/>
      <c r="L565" s="64">
        <f>SUM(ventas_b_mes684[[#This Row],[IMPORTE NETO]:[EXENTO]])</f>
        <v>879.99669999999992</v>
      </c>
      <c r="M565" s="59"/>
    </row>
    <row r="566" spans="2:13">
      <c r="B566" s="40" t="s">
        <v>2305</v>
      </c>
      <c r="C566" s="41">
        <v>6</v>
      </c>
      <c r="D566" s="42">
        <v>11</v>
      </c>
      <c r="E566" s="43">
        <v>38023</v>
      </c>
      <c r="F566" s="44">
        <v>20431747</v>
      </c>
      <c r="G566" s="1" t="str">
        <f>IFERROR(IF(ventas_b_mes684[[#This Row],[CUIT]]="","-",VLOOKUP(ventas_b_mes684[[#This Row],[CUIT]],Lista_CUIT[#All],2,0)),"CUIT NO CARGADO")</f>
        <v>CUIT NO CARGADO</v>
      </c>
      <c r="H566" s="64">
        <v>58095.040000000001</v>
      </c>
      <c r="I566" s="64">
        <f>ventas_b_mes684[[#This Row],[IMPORTE NETO]]*0.21</f>
        <v>12199.9584</v>
      </c>
      <c r="J566" s="64"/>
      <c r="K566" s="64"/>
      <c r="L566" s="64">
        <f>SUM(ventas_b_mes684[[#This Row],[IMPORTE NETO]:[EXENTO]])</f>
        <v>70294.998399999997</v>
      </c>
      <c r="M566" s="59"/>
    </row>
    <row r="567" spans="2:13">
      <c r="B567" s="40" t="s">
        <v>2305</v>
      </c>
      <c r="C567" s="41">
        <v>6</v>
      </c>
      <c r="D567" s="42">
        <v>10</v>
      </c>
      <c r="E567" s="43">
        <v>54368</v>
      </c>
      <c r="F567" s="44">
        <v>41469946</v>
      </c>
      <c r="G567" s="1" t="str">
        <f>IFERROR(IF(ventas_b_mes684[[#This Row],[CUIT]]="","-",VLOOKUP(ventas_b_mes684[[#This Row],[CUIT]],Lista_CUIT[#All],2,0)),"CUIT NO CARGADO")</f>
        <v>CUIT NO CARGADO</v>
      </c>
      <c r="H567" s="64">
        <v>2512.4</v>
      </c>
      <c r="I567" s="64">
        <f>ventas_b_mes684[[#This Row],[IMPORTE NETO]]*0.21</f>
        <v>527.60400000000004</v>
      </c>
      <c r="J567" s="64"/>
      <c r="K567" s="64"/>
      <c r="L567" s="64">
        <f>SUM(ventas_b_mes684[[#This Row],[IMPORTE NETO]:[EXENTO]])</f>
        <v>3040.0039999999999</v>
      </c>
      <c r="M567" s="59"/>
    </row>
    <row r="568" spans="2:13">
      <c r="B568" s="40" t="s">
        <v>2305</v>
      </c>
      <c r="C568" s="41">
        <v>6</v>
      </c>
      <c r="D568" s="42">
        <v>10</v>
      </c>
      <c r="E568" s="43">
        <v>54337</v>
      </c>
      <c r="F568" s="44">
        <v>32736876</v>
      </c>
      <c r="G568" s="1" t="str">
        <f>IFERROR(IF(ventas_b_mes684[[#This Row],[CUIT]]="","-",VLOOKUP(ventas_b_mes684[[#This Row],[CUIT]],Lista_CUIT[#All],2,0)),"CUIT NO CARGADO")</f>
        <v>CUIT NO CARGADO</v>
      </c>
      <c r="H568" s="64">
        <v>20123.990000000002</v>
      </c>
      <c r="I568" s="64">
        <f>ventas_b_mes684[[#This Row],[IMPORTE NETO]]*0.21</f>
        <v>4226.0379000000003</v>
      </c>
      <c r="J568" s="64"/>
      <c r="K568" s="64"/>
      <c r="L568" s="64">
        <f>SUM(ventas_b_mes684[[#This Row],[IMPORTE NETO]:[EXENTO]])</f>
        <v>24350.027900000001</v>
      </c>
      <c r="M568" s="59"/>
    </row>
    <row r="569" spans="2:13">
      <c r="B569" s="40" t="s">
        <v>2305</v>
      </c>
      <c r="C569" s="41">
        <v>6</v>
      </c>
      <c r="D569" s="42">
        <v>12</v>
      </c>
      <c r="E569" s="43">
        <v>29552</v>
      </c>
      <c r="F569" s="44">
        <v>20842045</v>
      </c>
      <c r="G569" s="1" t="str">
        <f>IFERROR(IF(ventas_b_mes684[[#This Row],[CUIT]]="","-",VLOOKUP(ventas_b_mes684[[#This Row],[CUIT]],Lista_CUIT[#All],2,0)),"CUIT NO CARGADO")</f>
        <v>CUIT NO CARGADO</v>
      </c>
      <c r="H569" s="64">
        <v>25747.93</v>
      </c>
      <c r="I569" s="64">
        <f>ventas_b_mes684[[#This Row],[IMPORTE NETO]]*0.21</f>
        <v>5407.0653000000002</v>
      </c>
      <c r="J569" s="64"/>
      <c r="K569" s="64"/>
      <c r="L569" s="64">
        <f>SUM(ventas_b_mes684[[#This Row],[IMPORTE NETO]:[EXENTO]])</f>
        <v>31154.995300000002</v>
      </c>
      <c r="M569" s="59"/>
    </row>
    <row r="570" spans="2:13">
      <c r="B570" s="40" t="s">
        <v>2305</v>
      </c>
      <c r="C570" s="41">
        <v>6</v>
      </c>
      <c r="D570" s="42">
        <v>12</v>
      </c>
      <c r="E570" s="43">
        <v>29554</v>
      </c>
      <c r="F570" s="44">
        <v>30850462</v>
      </c>
      <c r="G570" s="1" t="str">
        <f>IFERROR(IF(ventas_b_mes684[[#This Row],[CUIT]]="","-",VLOOKUP(ventas_b_mes684[[#This Row],[CUIT]],Lista_CUIT[#All],2,0)),"CUIT NO CARGADO")</f>
        <v>CUIT NO CARGADO</v>
      </c>
      <c r="H570" s="64">
        <v>18619.830000000002</v>
      </c>
      <c r="I570" s="64">
        <f>ventas_b_mes684[[#This Row],[IMPORTE NETO]]*0.21</f>
        <v>3910.1643000000004</v>
      </c>
      <c r="J570" s="64"/>
      <c r="K570" s="64"/>
      <c r="L570" s="64">
        <f>SUM(ventas_b_mes684[[#This Row],[IMPORTE NETO]:[EXENTO]])</f>
        <v>22529.994300000002</v>
      </c>
      <c r="M570" s="59"/>
    </row>
    <row r="571" spans="2:13">
      <c r="B571" s="40" t="s">
        <v>2305</v>
      </c>
      <c r="C571" s="41">
        <v>6</v>
      </c>
      <c r="D571" s="42">
        <v>12</v>
      </c>
      <c r="E571" s="43">
        <v>29574</v>
      </c>
      <c r="F571" s="44">
        <v>32875123</v>
      </c>
      <c r="G571" s="1" t="str">
        <f>IFERROR(IF(ventas_b_mes684[[#This Row],[CUIT]]="","-",VLOOKUP(ventas_b_mes684[[#This Row],[CUIT]],Lista_CUIT[#All],2,0)),"CUIT NO CARGADO")</f>
        <v>CUIT NO CARGADO</v>
      </c>
      <c r="H571" s="64">
        <v>26322.31</v>
      </c>
      <c r="I571" s="64">
        <f>ventas_b_mes684[[#This Row],[IMPORTE NETO]]*0.21</f>
        <v>5527.6850999999997</v>
      </c>
      <c r="J571" s="64"/>
      <c r="K571" s="64"/>
      <c r="L571" s="64">
        <f>SUM(ventas_b_mes684[[#This Row],[IMPORTE NETO]:[EXENTO]])</f>
        <v>31849.9951</v>
      </c>
      <c r="M571" s="59"/>
    </row>
    <row r="572" spans="2:13">
      <c r="B572" s="40" t="s">
        <v>2305</v>
      </c>
      <c r="C572" s="41">
        <v>6</v>
      </c>
      <c r="D572" s="42">
        <v>12</v>
      </c>
      <c r="E572" s="43">
        <v>29573</v>
      </c>
      <c r="F572" s="44">
        <v>30460295</v>
      </c>
      <c r="G572" s="1" t="str">
        <f>IFERROR(IF(ventas_b_mes684[[#This Row],[CUIT]]="","-",VLOOKUP(ventas_b_mes684[[#This Row],[CUIT]],Lista_CUIT[#All],2,0)),"CUIT NO CARGADO")</f>
        <v>CUIT NO CARGADO</v>
      </c>
      <c r="H572" s="64">
        <v>5578.51</v>
      </c>
      <c r="I572" s="64">
        <f>ventas_b_mes684[[#This Row],[IMPORTE NETO]]*0.21</f>
        <v>1171.4871000000001</v>
      </c>
      <c r="J572" s="64"/>
      <c r="K572" s="64"/>
      <c r="L572" s="64">
        <f>SUM(ventas_b_mes684[[#This Row],[IMPORTE NETO]:[EXENTO]])</f>
        <v>6749.9971000000005</v>
      </c>
      <c r="M572" s="59"/>
    </row>
    <row r="573" spans="2:13">
      <c r="B573" s="40" t="s">
        <v>2305</v>
      </c>
      <c r="C573" s="41">
        <v>6</v>
      </c>
      <c r="D573" s="42">
        <v>11</v>
      </c>
      <c r="E573" s="43">
        <v>38003</v>
      </c>
      <c r="F573" s="44">
        <v>22517509</v>
      </c>
      <c r="G573" s="1" t="str">
        <f>IFERROR(IF(ventas_b_mes684[[#This Row],[CUIT]]="","-",VLOOKUP(ventas_b_mes684[[#This Row],[CUIT]],Lista_CUIT[#All],2,0)),"CUIT NO CARGADO")</f>
        <v>CUIT NO CARGADO</v>
      </c>
      <c r="H573" s="64">
        <v>8264.4599999999991</v>
      </c>
      <c r="I573" s="64">
        <f>ventas_b_mes684[[#This Row],[IMPORTE NETO]]*0.21</f>
        <v>1735.5365999999997</v>
      </c>
      <c r="J573" s="64"/>
      <c r="K573" s="64"/>
      <c r="L573" s="64">
        <f>SUM(ventas_b_mes684[[#This Row],[IMPORTE NETO]:[EXENTO]])</f>
        <v>9999.9965999999986</v>
      </c>
      <c r="M573" s="59"/>
    </row>
    <row r="574" spans="2:13">
      <c r="B574" s="40" t="s">
        <v>2305</v>
      </c>
      <c r="C574" s="41">
        <v>6</v>
      </c>
      <c r="D574" s="42">
        <v>10</v>
      </c>
      <c r="E574" s="43">
        <v>54377</v>
      </c>
      <c r="F574" s="44">
        <v>94272674</v>
      </c>
      <c r="G574" s="1" t="str">
        <f>IFERROR(IF(ventas_b_mes684[[#This Row],[CUIT]]="","-",VLOOKUP(ventas_b_mes684[[#This Row],[CUIT]],Lista_CUIT[#All],2,0)),"CUIT NO CARGADO")</f>
        <v>CUIT NO CARGADO</v>
      </c>
      <c r="H574" s="64">
        <v>26553.72</v>
      </c>
      <c r="I574" s="64">
        <f>ventas_b_mes684[[#This Row],[IMPORTE NETO]]*0.21</f>
        <v>5576.2812000000004</v>
      </c>
      <c r="J574" s="64"/>
      <c r="K574" s="64"/>
      <c r="L574" s="64">
        <f>SUM(ventas_b_mes684[[#This Row],[IMPORTE NETO]:[EXENTO]])</f>
        <v>32130.001200000002</v>
      </c>
      <c r="M574" s="59"/>
    </row>
    <row r="575" spans="2:13">
      <c r="B575" s="40" t="s">
        <v>2305</v>
      </c>
      <c r="C575" s="41">
        <v>6</v>
      </c>
      <c r="D575" s="42">
        <v>11</v>
      </c>
      <c r="E575" s="43">
        <v>38026</v>
      </c>
      <c r="F575" s="44">
        <v>17036111</v>
      </c>
      <c r="G575" s="1" t="str">
        <f>IFERROR(IF(ventas_b_mes684[[#This Row],[CUIT]]="","-",VLOOKUP(ventas_b_mes684[[#This Row],[CUIT]],Lista_CUIT[#All],2,0)),"CUIT NO CARGADO")</f>
        <v>CUIT NO CARGADO</v>
      </c>
      <c r="H575" s="64">
        <v>42892.56</v>
      </c>
      <c r="I575" s="64">
        <f>ventas_b_mes684[[#This Row],[IMPORTE NETO]]*0.21</f>
        <v>9007.4375999999993</v>
      </c>
      <c r="J575" s="64"/>
      <c r="K575" s="64"/>
      <c r="L575" s="64">
        <f>SUM(ventas_b_mes684[[#This Row],[IMPORTE NETO]:[EXENTO]])</f>
        <v>51899.997599999995</v>
      </c>
      <c r="M575" s="59"/>
    </row>
    <row r="576" spans="2:13">
      <c r="B576" s="40" t="s">
        <v>2305</v>
      </c>
      <c r="C576" s="41">
        <v>6</v>
      </c>
      <c r="D576" s="42">
        <v>10</v>
      </c>
      <c r="E576" s="43">
        <v>54374</v>
      </c>
      <c r="F576" s="44">
        <v>21647029</v>
      </c>
      <c r="G576" s="1" t="str">
        <f>IFERROR(IF(ventas_b_mes684[[#This Row],[CUIT]]="","-",VLOOKUP(ventas_b_mes684[[#This Row],[CUIT]],Lista_CUIT[#All],2,0)),"CUIT NO CARGADO")</f>
        <v>CUIT NO CARGADO</v>
      </c>
      <c r="H576" s="64">
        <v>56752.07</v>
      </c>
      <c r="I576" s="64">
        <f>ventas_b_mes684[[#This Row],[IMPORTE NETO]]*0.21</f>
        <v>11917.9347</v>
      </c>
      <c r="J576" s="64"/>
      <c r="K576" s="64"/>
      <c r="L576" s="64">
        <f>SUM(ventas_b_mes684[[#This Row],[IMPORTE NETO]:[EXENTO]])</f>
        <v>68670.004700000005</v>
      </c>
      <c r="M576" s="59"/>
    </row>
    <row r="577" spans="2:13">
      <c r="B577" s="40" t="s">
        <v>2305</v>
      </c>
      <c r="C577" s="41">
        <v>6</v>
      </c>
      <c r="D577" s="42">
        <v>10</v>
      </c>
      <c r="E577" s="43">
        <v>54334</v>
      </c>
      <c r="F577" s="44">
        <v>28989654</v>
      </c>
      <c r="G577" s="1" t="str">
        <f>IFERROR(IF(ventas_b_mes684[[#This Row],[CUIT]]="","-",VLOOKUP(ventas_b_mes684[[#This Row],[CUIT]],Lista_CUIT[#All],2,0)),"CUIT NO CARGADO")</f>
        <v>CUIT NO CARGADO</v>
      </c>
      <c r="H577" s="64">
        <v>71487.600000000006</v>
      </c>
      <c r="I577" s="64">
        <f>ventas_b_mes684[[#This Row],[IMPORTE NETO]]*0.21</f>
        <v>15012.396000000001</v>
      </c>
      <c r="J577" s="64"/>
      <c r="K577" s="64"/>
      <c r="L577" s="64">
        <f>SUM(ventas_b_mes684[[#This Row],[IMPORTE NETO]:[EXENTO]])</f>
        <v>86499.996000000014</v>
      </c>
      <c r="M577" s="59"/>
    </row>
    <row r="578" spans="2:13">
      <c r="B578" s="40" t="s">
        <v>2305</v>
      </c>
      <c r="C578" s="41">
        <v>6</v>
      </c>
      <c r="D578" s="42">
        <v>11</v>
      </c>
      <c r="E578" s="43">
        <v>37998</v>
      </c>
      <c r="F578" s="44">
        <v>16253145</v>
      </c>
      <c r="G578" s="1" t="str">
        <f>IFERROR(IF(ventas_b_mes684[[#This Row],[CUIT]]="","-",VLOOKUP(ventas_b_mes684[[#This Row],[CUIT]],Lista_CUIT[#All],2,0)),"CUIT NO CARGADO")</f>
        <v>CUIT NO CARGADO</v>
      </c>
      <c r="H578" s="64">
        <v>99134.3</v>
      </c>
      <c r="I578" s="64">
        <f>ventas_b_mes684[[#This Row],[IMPORTE NETO]]*0.21</f>
        <v>20818.203000000001</v>
      </c>
      <c r="J578" s="64"/>
      <c r="K578" s="64"/>
      <c r="L578" s="64">
        <f>SUM(ventas_b_mes684[[#This Row],[IMPORTE NETO]:[EXENTO]])</f>
        <v>119952.503</v>
      </c>
      <c r="M578" s="59"/>
    </row>
    <row r="579" spans="2:13">
      <c r="B579" s="40" t="s">
        <v>2305</v>
      </c>
      <c r="C579" s="41">
        <v>6</v>
      </c>
      <c r="D579" s="42">
        <v>12</v>
      </c>
      <c r="E579" s="43">
        <v>29553</v>
      </c>
      <c r="F579" s="44">
        <v>22403378</v>
      </c>
      <c r="G579" s="1" t="str">
        <f>IFERROR(IF(ventas_b_mes684[[#This Row],[CUIT]]="","-",VLOOKUP(ventas_b_mes684[[#This Row],[CUIT]],Lista_CUIT[#All],2,0)),"CUIT NO CARGADO")</f>
        <v>CUIT NO CARGADO</v>
      </c>
      <c r="H579" s="64">
        <v>20661.16</v>
      </c>
      <c r="I579" s="64">
        <f>ventas_b_mes684[[#This Row],[IMPORTE NETO]]*0.21</f>
        <v>4338.8436000000002</v>
      </c>
      <c r="J579" s="64"/>
      <c r="K579" s="64"/>
      <c r="L579" s="64">
        <f>SUM(ventas_b_mes684[[#This Row],[IMPORTE NETO]:[EXENTO]])</f>
        <v>25000.0036</v>
      </c>
      <c r="M579" s="59"/>
    </row>
    <row r="580" spans="2:13">
      <c r="B580" s="40" t="s">
        <v>2305</v>
      </c>
      <c r="C580" s="41">
        <v>6</v>
      </c>
      <c r="D580" s="42">
        <v>13</v>
      </c>
      <c r="E580" s="43">
        <v>32423</v>
      </c>
      <c r="F580" s="44">
        <v>43087820</v>
      </c>
      <c r="G580" s="1" t="str">
        <f>IFERROR(IF(ventas_b_mes684[[#This Row],[CUIT]]="","-",VLOOKUP(ventas_b_mes684[[#This Row],[CUIT]],Lista_CUIT[#All],2,0)),"CUIT NO CARGADO")</f>
        <v>CUIT NO CARGADO</v>
      </c>
      <c r="H580" s="64">
        <v>5950.41</v>
      </c>
      <c r="I580" s="64">
        <f>ventas_b_mes684[[#This Row],[IMPORTE NETO]]*0.21</f>
        <v>1249.5861</v>
      </c>
      <c r="J580" s="64"/>
      <c r="K580" s="64"/>
      <c r="L580" s="64">
        <f>SUM(ventas_b_mes684[[#This Row],[IMPORTE NETO]:[EXENTO]])</f>
        <v>7199.9961000000003</v>
      </c>
      <c r="M580" s="59"/>
    </row>
    <row r="581" spans="2:13">
      <c r="B581" s="40" t="s">
        <v>2305</v>
      </c>
      <c r="C581" s="41">
        <v>6</v>
      </c>
      <c r="D581" s="42">
        <v>10</v>
      </c>
      <c r="E581" s="43">
        <v>54353</v>
      </c>
      <c r="F581" s="44">
        <v>18654217</v>
      </c>
      <c r="G581" s="1" t="str">
        <f>IFERROR(IF(ventas_b_mes684[[#This Row],[CUIT]]="","-",VLOOKUP(ventas_b_mes684[[#This Row],[CUIT]],Lista_CUIT[#All],2,0)),"CUIT NO CARGADO")</f>
        <v>CUIT NO CARGADO</v>
      </c>
      <c r="H581" s="64">
        <v>2396.69</v>
      </c>
      <c r="I581" s="64">
        <f>ventas_b_mes684[[#This Row],[IMPORTE NETO]]*0.21</f>
        <v>503.30489999999998</v>
      </c>
      <c r="J581" s="64"/>
      <c r="K581" s="64"/>
      <c r="L581" s="64">
        <f>SUM(ventas_b_mes684[[#This Row],[IMPORTE NETO]:[EXENTO]])</f>
        <v>2899.9949000000001</v>
      </c>
      <c r="M581" s="59"/>
    </row>
    <row r="582" spans="2:13">
      <c r="B582" s="40" t="s">
        <v>2305</v>
      </c>
      <c r="C582" s="41">
        <v>6</v>
      </c>
      <c r="D582" s="42">
        <v>12</v>
      </c>
      <c r="E582" s="43">
        <v>29571</v>
      </c>
      <c r="F582" s="44">
        <v>27409641</v>
      </c>
      <c r="G582" s="1" t="str">
        <f>IFERROR(IF(ventas_b_mes684[[#This Row],[CUIT]]="","-",VLOOKUP(ventas_b_mes684[[#This Row],[CUIT]],Lista_CUIT[#All],2,0)),"CUIT NO CARGADO")</f>
        <v>CUIT NO CARGADO</v>
      </c>
      <c r="H582" s="64">
        <v>8264.4599999999991</v>
      </c>
      <c r="I582" s="64">
        <f>ventas_b_mes684[[#This Row],[IMPORTE NETO]]*0.21</f>
        <v>1735.5365999999997</v>
      </c>
      <c r="J582" s="64"/>
      <c r="K582" s="64"/>
      <c r="L582" s="64">
        <f>SUM(ventas_b_mes684[[#This Row],[IMPORTE NETO]:[EXENTO]])</f>
        <v>9999.9965999999986</v>
      </c>
      <c r="M582" s="59"/>
    </row>
    <row r="583" spans="2:13">
      <c r="B583" s="40" t="s">
        <v>2305</v>
      </c>
      <c r="C583" s="41">
        <v>6</v>
      </c>
      <c r="D583" s="42">
        <v>12</v>
      </c>
      <c r="E583" s="43">
        <v>29570</v>
      </c>
      <c r="F583" s="44">
        <v>27409641</v>
      </c>
      <c r="G583" s="1" t="str">
        <f>IFERROR(IF(ventas_b_mes684[[#This Row],[CUIT]]="","-",VLOOKUP(ventas_b_mes684[[#This Row],[CUIT]],Lista_CUIT[#All],2,0)),"CUIT NO CARGADO")</f>
        <v>CUIT NO CARGADO</v>
      </c>
      <c r="H583" s="64">
        <v>32351.24</v>
      </c>
      <c r="I583" s="64">
        <f>ventas_b_mes684[[#This Row],[IMPORTE NETO]]*0.21</f>
        <v>6793.7604000000001</v>
      </c>
      <c r="J583" s="64"/>
      <c r="K583" s="64"/>
      <c r="L583" s="64">
        <f>SUM(ventas_b_mes684[[#This Row],[IMPORTE NETO]:[EXENTO]])</f>
        <v>39145.000400000004</v>
      </c>
      <c r="M583" s="59"/>
    </row>
    <row r="584" spans="2:13">
      <c r="B584" s="40" t="s">
        <v>2305</v>
      </c>
      <c r="C584" s="41">
        <v>6</v>
      </c>
      <c r="D584" s="42">
        <v>11</v>
      </c>
      <c r="E584" s="43">
        <v>38004</v>
      </c>
      <c r="F584" s="44">
        <v>25875176</v>
      </c>
      <c r="G584" s="1" t="str">
        <f>IFERROR(IF(ventas_b_mes684[[#This Row],[CUIT]]="","-",VLOOKUP(ventas_b_mes684[[#This Row],[CUIT]],Lista_CUIT[#All],2,0)),"CUIT NO CARGADO")</f>
        <v>CUIT NO CARGADO</v>
      </c>
      <c r="H584" s="64">
        <v>83068.25</v>
      </c>
      <c r="I584" s="64">
        <f>ventas_b_mes684[[#This Row],[IMPORTE NETO]]*0.21</f>
        <v>17444.3325</v>
      </c>
      <c r="J584" s="64"/>
      <c r="K584" s="64"/>
      <c r="L584" s="64">
        <f>SUM(ventas_b_mes684[[#This Row],[IMPORTE NETO]:[EXENTO]])</f>
        <v>100512.5825</v>
      </c>
      <c r="M584" s="59"/>
    </row>
    <row r="585" spans="2:13">
      <c r="B585" s="40" t="s">
        <v>2305</v>
      </c>
      <c r="C585" s="41">
        <v>6</v>
      </c>
      <c r="D585" s="42">
        <v>11</v>
      </c>
      <c r="E585" s="43">
        <v>38020</v>
      </c>
      <c r="F585" s="44">
        <v>94306033</v>
      </c>
      <c r="G585" s="1" t="str">
        <f>IFERROR(IF(ventas_b_mes684[[#This Row],[CUIT]]="","-",VLOOKUP(ventas_b_mes684[[#This Row],[CUIT]],Lista_CUIT[#All],2,0)),"CUIT NO CARGADO")</f>
        <v>CUIT NO CARGADO</v>
      </c>
      <c r="H585" s="64">
        <v>7483.47</v>
      </c>
      <c r="I585" s="64">
        <f>ventas_b_mes684[[#This Row],[IMPORTE NETO]]*0.21</f>
        <v>1571.5287000000001</v>
      </c>
      <c r="J585" s="64"/>
      <c r="K585" s="64"/>
      <c r="L585" s="64">
        <f>SUM(ventas_b_mes684[[#This Row],[IMPORTE NETO]:[EXENTO]])</f>
        <v>9054.9987000000001</v>
      </c>
      <c r="M585" s="59"/>
    </row>
    <row r="586" spans="2:13">
      <c r="B586" s="40" t="s">
        <v>2305</v>
      </c>
      <c r="C586" s="41">
        <v>6</v>
      </c>
      <c r="D586" s="42">
        <v>12</v>
      </c>
      <c r="E586" s="43">
        <v>29551</v>
      </c>
      <c r="F586" s="44">
        <v>28696273</v>
      </c>
      <c r="G586" s="1" t="str">
        <f>IFERROR(IF(ventas_b_mes684[[#This Row],[CUIT]]="","-",VLOOKUP(ventas_b_mes684[[#This Row],[CUIT]],Lista_CUIT[#All],2,0)),"CUIT NO CARGADO")</f>
        <v>CUIT NO CARGADO</v>
      </c>
      <c r="H586" s="64">
        <v>55702.48</v>
      </c>
      <c r="I586" s="64">
        <f>ventas_b_mes684[[#This Row],[IMPORTE NETO]]*0.21</f>
        <v>11697.5208</v>
      </c>
      <c r="J586" s="64"/>
      <c r="K586" s="64"/>
      <c r="L586" s="64">
        <f>SUM(ventas_b_mes684[[#This Row],[IMPORTE NETO]:[EXENTO]])</f>
        <v>67400.000800000009</v>
      </c>
      <c r="M586" s="59"/>
    </row>
    <row r="587" spans="2:13">
      <c r="B587" s="40" t="s">
        <v>2305</v>
      </c>
      <c r="C587" s="41">
        <v>6</v>
      </c>
      <c r="D587" s="42">
        <v>12</v>
      </c>
      <c r="E587" s="43">
        <v>29550</v>
      </c>
      <c r="F587" s="44">
        <v>28029555</v>
      </c>
      <c r="G587" s="1" t="str">
        <f>IFERROR(IF(ventas_b_mes684[[#This Row],[CUIT]]="","-",VLOOKUP(ventas_b_mes684[[#This Row],[CUIT]],Lista_CUIT[#All],2,0)),"CUIT NO CARGADO")</f>
        <v>CUIT NO CARGADO</v>
      </c>
      <c r="H587" s="64">
        <v>78677.69</v>
      </c>
      <c r="I587" s="64">
        <f>ventas_b_mes684[[#This Row],[IMPORTE NETO]]*0.21</f>
        <v>16522.314900000001</v>
      </c>
      <c r="J587" s="64"/>
      <c r="K587" s="64"/>
      <c r="L587" s="64">
        <f>SUM(ventas_b_mes684[[#This Row],[IMPORTE NETO]:[EXENTO]])</f>
        <v>95200.0049</v>
      </c>
      <c r="M587" s="59"/>
    </row>
    <row r="588" spans="2:13">
      <c r="B588" s="40" t="s">
        <v>2305</v>
      </c>
      <c r="C588" s="41">
        <v>6</v>
      </c>
      <c r="D588" s="42">
        <v>10</v>
      </c>
      <c r="E588" s="43">
        <v>54332</v>
      </c>
      <c r="F588" s="44">
        <v>27321588536</v>
      </c>
      <c r="G588" s="1" t="str">
        <f>IFERROR(IF(ventas_b_mes684[[#This Row],[CUIT]]="","-",VLOOKUP(ventas_b_mes684[[#This Row],[CUIT]],Lista_CUIT[#All],2,0)),"CUIT NO CARGADO")</f>
        <v>CUIT NO CARGADO</v>
      </c>
      <c r="H588" s="64">
        <v>83859.09</v>
      </c>
      <c r="I588" s="64">
        <f>ventas_b_mes684[[#This Row],[IMPORTE NETO]]*0.21</f>
        <v>17610.408899999999</v>
      </c>
      <c r="J588" s="64"/>
      <c r="K588" s="64"/>
      <c r="L588" s="64">
        <f>SUM(ventas_b_mes684[[#This Row],[IMPORTE NETO]:[EXENTO]])</f>
        <v>101469.49889999999</v>
      </c>
      <c r="M588" s="59"/>
    </row>
    <row r="589" spans="2:13">
      <c r="B589" s="40" t="s">
        <v>2305</v>
      </c>
      <c r="C589" s="41">
        <v>6</v>
      </c>
      <c r="D589" s="42">
        <v>12</v>
      </c>
      <c r="E589" s="43">
        <v>29549</v>
      </c>
      <c r="F589" s="44">
        <v>27242275158</v>
      </c>
      <c r="G589" s="1" t="str">
        <f>IFERROR(IF(ventas_b_mes684[[#This Row],[CUIT]]="","-",VLOOKUP(ventas_b_mes684[[#This Row],[CUIT]],Lista_CUIT[#All],2,0)),"CUIT NO CARGADO")</f>
        <v>GONZALEZ BIANCHI MARIA GABRIELA</v>
      </c>
      <c r="H589" s="64">
        <v>7272.73</v>
      </c>
      <c r="I589" s="64">
        <f>ventas_b_mes684[[#This Row],[IMPORTE NETO]]*0.21</f>
        <v>1527.2732999999998</v>
      </c>
      <c r="J589" s="64"/>
      <c r="K589" s="64"/>
      <c r="L589" s="64">
        <f>SUM(ventas_b_mes684[[#This Row],[IMPORTE NETO]:[EXENTO]])</f>
        <v>8800.0033000000003</v>
      </c>
      <c r="M589" s="59"/>
    </row>
    <row r="590" spans="2:13">
      <c r="B590" s="40" t="s">
        <v>2305</v>
      </c>
      <c r="C590" s="41">
        <v>6</v>
      </c>
      <c r="D590" s="42">
        <v>12</v>
      </c>
      <c r="E590" s="43">
        <v>29547</v>
      </c>
      <c r="F590" s="44">
        <v>27242275158</v>
      </c>
      <c r="G590" s="1" t="str">
        <f>IFERROR(IF(ventas_b_mes684[[#This Row],[CUIT]]="","-",VLOOKUP(ventas_b_mes684[[#This Row],[CUIT]],Lista_CUIT[#All],2,0)),"CUIT NO CARGADO")</f>
        <v>GONZALEZ BIANCHI MARIA GABRIELA</v>
      </c>
      <c r="H590" s="64">
        <v>9834.7099999999991</v>
      </c>
      <c r="I590" s="64">
        <f>ventas_b_mes684[[#This Row],[IMPORTE NETO]]*0.21</f>
        <v>2065.2891</v>
      </c>
      <c r="J590" s="64"/>
      <c r="K590" s="64"/>
      <c r="L590" s="64">
        <f>SUM(ventas_b_mes684[[#This Row],[IMPORTE NETO]:[EXENTO]])</f>
        <v>11899.999099999999</v>
      </c>
      <c r="M590" s="59"/>
    </row>
    <row r="591" spans="2:13">
      <c r="B591" s="40" t="s">
        <v>2305</v>
      </c>
      <c r="C591" s="41">
        <v>6</v>
      </c>
      <c r="D591" s="42">
        <v>12</v>
      </c>
      <c r="E591" s="43">
        <v>29548</v>
      </c>
      <c r="F591" s="44">
        <v>27242275158</v>
      </c>
      <c r="G591" s="1" t="str">
        <f>IFERROR(IF(ventas_b_mes684[[#This Row],[CUIT]]="","-",VLOOKUP(ventas_b_mes684[[#This Row],[CUIT]],Lista_CUIT[#All],2,0)),"CUIT NO CARGADO")</f>
        <v>GONZALEZ BIANCHI MARIA GABRIELA</v>
      </c>
      <c r="H591" s="64">
        <v>53305.79</v>
      </c>
      <c r="I591" s="64">
        <f>ventas_b_mes684[[#This Row],[IMPORTE NETO]]*0.21</f>
        <v>11194.215899999999</v>
      </c>
      <c r="J591" s="64"/>
      <c r="K591" s="64"/>
      <c r="L591" s="64">
        <f>SUM(ventas_b_mes684[[#This Row],[IMPORTE NETO]:[EXENTO]])</f>
        <v>64500.005900000004</v>
      </c>
      <c r="M591" s="59"/>
    </row>
    <row r="592" spans="2:13">
      <c r="B592" s="40" t="s">
        <v>2305</v>
      </c>
      <c r="C592" s="41">
        <v>6</v>
      </c>
      <c r="D592" s="42">
        <v>10</v>
      </c>
      <c r="E592" s="43">
        <v>54330</v>
      </c>
      <c r="F592" s="44">
        <v>31895879</v>
      </c>
      <c r="G592" s="1" t="str">
        <f>IFERROR(IF(ventas_b_mes684[[#This Row],[CUIT]]="","-",VLOOKUP(ventas_b_mes684[[#This Row],[CUIT]],Lista_CUIT[#All],2,0)),"CUIT NO CARGADO")</f>
        <v>CUIT NO CARGADO</v>
      </c>
      <c r="H592" s="64">
        <v>20661.16</v>
      </c>
      <c r="I592" s="64">
        <f>ventas_b_mes684[[#This Row],[IMPORTE NETO]]*0.21</f>
        <v>4338.8436000000002</v>
      </c>
      <c r="J592" s="64"/>
      <c r="K592" s="64"/>
      <c r="L592" s="64">
        <f>SUM(ventas_b_mes684[[#This Row],[IMPORTE NETO]:[EXENTO]])</f>
        <v>25000.0036</v>
      </c>
      <c r="M592" s="59"/>
    </row>
    <row r="593" spans="2:13">
      <c r="B593" s="40" t="s">
        <v>2305</v>
      </c>
      <c r="C593" s="41">
        <v>6</v>
      </c>
      <c r="D593" s="42">
        <v>13</v>
      </c>
      <c r="E593" s="43">
        <v>32418</v>
      </c>
      <c r="F593" s="44">
        <v>94314382</v>
      </c>
      <c r="G593" s="1" t="str">
        <f>IFERROR(IF(ventas_b_mes684[[#This Row],[CUIT]]="","-",VLOOKUP(ventas_b_mes684[[#This Row],[CUIT]],Lista_CUIT[#All],2,0)),"CUIT NO CARGADO")</f>
        <v>CUIT NO CARGADO</v>
      </c>
      <c r="H593" s="64">
        <v>29752.07</v>
      </c>
      <c r="I593" s="64">
        <f>ventas_b_mes684[[#This Row],[IMPORTE NETO]]*0.21</f>
        <v>6247.9346999999998</v>
      </c>
      <c r="J593" s="64"/>
      <c r="K593" s="64"/>
      <c r="L593" s="64">
        <f>SUM(ventas_b_mes684[[#This Row],[IMPORTE NETO]:[EXENTO]])</f>
        <v>36000.004699999998</v>
      </c>
      <c r="M593" s="59"/>
    </row>
    <row r="594" spans="2:13">
      <c r="B594" s="40" t="s">
        <v>2305</v>
      </c>
      <c r="C594" s="41">
        <v>6</v>
      </c>
      <c r="D594" s="42">
        <v>10</v>
      </c>
      <c r="E594" s="43">
        <v>54343</v>
      </c>
      <c r="F594" s="44">
        <v>27324937078</v>
      </c>
      <c r="G594" s="1" t="str">
        <f>IFERROR(IF(ventas_b_mes684[[#This Row],[CUIT]]="","-",VLOOKUP(ventas_b_mes684[[#This Row],[CUIT]],Lista_CUIT[#All],2,0)),"CUIT NO CARGADO")</f>
        <v>CUIT NO CARGADO</v>
      </c>
      <c r="H594" s="64">
        <v>20703.71</v>
      </c>
      <c r="I594" s="64">
        <f>ventas_b_mes684[[#This Row],[IMPORTE NETO]]*0.21</f>
        <v>4347.7790999999997</v>
      </c>
      <c r="J594" s="64"/>
      <c r="K594" s="64"/>
      <c r="L594" s="64">
        <f>SUM(ventas_b_mes684[[#This Row],[IMPORTE NETO]:[EXENTO]])</f>
        <v>25051.489099999999</v>
      </c>
      <c r="M594" s="59"/>
    </row>
    <row r="595" spans="2:13">
      <c r="B595" s="40" t="s">
        <v>2305</v>
      </c>
      <c r="C595" s="41">
        <v>6</v>
      </c>
      <c r="D595" s="42">
        <v>15</v>
      </c>
      <c r="E595" s="43">
        <v>13144</v>
      </c>
      <c r="F595" s="44">
        <v>19015786</v>
      </c>
      <c r="G595" s="1" t="str">
        <f>IFERROR(IF(ventas_b_mes684[[#This Row],[CUIT]]="","-",VLOOKUP(ventas_b_mes684[[#This Row],[CUIT]],Lista_CUIT[#All],2,0)),"CUIT NO CARGADO")</f>
        <v>PILE, LUCERO MARIELA</v>
      </c>
      <c r="H595" s="64">
        <v>97479.34</v>
      </c>
      <c r="I595" s="64">
        <f>ventas_b_mes684[[#This Row],[IMPORTE NETO]]*0.21</f>
        <v>20470.661399999997</v>
      </c>
      <c r="J595" s="64"/>
      <c r="K595" s="64"/>
      <c r="L595" s="64">
        <f>SUM(ventas_b_mes684[[#This Row],[IMPORTE NETO]:[EXENTO]])</f>
        <v>117950.00139999999</v>
      </c>
      <c r="M595" s="59"/>
    </row>
    <row r="596" spans="2:13">
      <c r="B596" s="40" t="s">
        <v>2305</v>
      </c>
      <c r="C596" s="41">
        <v>6</v>
      </c>
      <c r="D596" s="42">
        <v>15</v>
      </c>
      <c r="E596" s="43">
        <v>13147</v>
      </c>
      <c r="F596" s="44">
        <v>36313272</v>
      </c>
      <c r="G596" s="1" t="str">
        <f>IFERROR(IF(ventas_b_mes684[[#This Row],[CUIT]]="","-",VLOOKUP(ventas_b_mes684[[#This Row],[CUIT]],Lista_CUIT[#All],2,0)),"CUIT NO CARGADO")</f>
        <v>CUIT NO CARGADO</v>
      </c>
      <c r="H596" s="64">
        <v>20661.16</v>
      </c>
      <c r="I596" s="64">
        <f>ventas_b_mes684[[#This Row],[IMPORTE NETO]]*0.21</f>
        <v>4338.8436000000002</v>
      </c>
      <c r="J596" s="64"/>
      <c r="K596" s="64"/>
      <c r="L596" s="64">
        <f>SUM(ventas_b_mes684[[#This Row],[IMPORTE NETO]:[EXENTO]])</f>
        <v>25000.0036</v>
      </c>
      <c r="M596" s="59"/>
    </row>
    <row r="597" spans="2:13">
      <c r="B597" s="40" t="s">
        <v>2305</v>
      </c>
      <c r="C597" s="41">
        <v>6</v>
      </c>
      <c r="D597" s="42">
        <v>11</v>
      </c>
      <c r="E597" s="43">
        <v>38022</v>
      </c>
      <c r="F597" s="44">
        <v>35991389</v>
      </c>
      <c r="G597" s="1" t="str">
        <f>IFERROR(IF(ventas_b_mes684[[#This Row],[CUIT]]="","-",VLOOKUP(ventas_b_mes684[[#This Row],[CUIT]],Lista_CUIT[#All],2,0)),"CUIT NO CARGADO")</f>
        <v>CUIT NO CARGADO</v>
      </c>
      <c r="H597" s="64">
        <v>18791.310000000001</v>
      </c>
      <c r="I597" s="64">
        <f>ventas_b_mes684[[#This Row],[IMPORTE NETO]]*0.21</f>
        <v>3946.1750999999999</v>
      </c>
      <c r="J597" s="64"/>
      <c r="K597" s="64"/>
      <c r="L597" s="64">
        <f>SUM(ventas_b_mes684[[#This Row],[IMPORTE NETO]:[EXENTO]])</f>
        <v>22737.485100000002</v>
      </c>
      <c r="M597" s="59"/>
    </row>
    <row r="598" spans="2:13">
      <c r="B598" s="40" t="s">
        <v>2305</v>
      </c>
      <c r="C598" s="41">
        <v>6</v>
      </c>
      <c r="D598" s="42">
        <v>11</v>
      </c>
      <c r="E598" s="43">
        <v>38024</v>
      </c>
      <c r="F598" s="44">
        <v>36528025</v>
      </c>
      <c r="G598" s="1" t="str">
        <f>IFERROR(IF(ventas_b_mes684[[#This Row],[CUIT]]="","-",VLOOKUP(ventas_b_mes684[[#This Row],[CUIT]],Lista_CUIT[#All],2,0)),"CUIT NO CARGADO")</f>
        <v>CUIT NO CARGADO</v>
      </c>
      <c r="H598" s="64">
        <v>20661.16</v>
      </c>
      <c r="I598" s="64">
        <f>ventas_b_mes684[[#This Row],[IMPORTE NETO]]*0.21</f>
        <v>4338.8436000000002</v>
      </c>
      <c r="J598" s="64"/>
      <c r="K598" s="64"/>
      <c r="L598" s="64">
        <f>SUM(ventas_b_mes684[[#This Row],[IMPORTE NETO]:[EXENTO]])</f>
        <v>25000.0036</v>
      </c>
      <c r="M598" s="59"/>
    </row>
    <row r="599" spans="2:13">
      <c r="B599" s="40" t="s">
        <v>2305</v>
      </c>
      <c r="C599" s="41">
        <v>6</v>
      </c>
      <c r="D599" s="42">
        <v>10</v>
      </c>
      <c r="E599" s="43">
        <v>54378</v>
      </c>
      <c r="F599" s="44">
        <v>40006325</v>
      </c>
      <c r="G599" s="1" t="str">
        <f>IFERROR(IF(ventas_b_mes684[[#This Row],[CUIT]]="","-",VLOOKUP(ventas_b_mes684[[#This Row],[CUIT]],Lista_CUIT[#All],2,0)),"CUIT NO CARGADO")</f>
        <v>CUIT NO CARGADO</v>
      </c>
      <c r="H599" s="64">
        <v>22239.67</v>
      </c>
      <c r="I599" s="64">
        <f>ventas_b_mes684[[#This Row],[IMPORTE NETO]]*0.21</f>
        <v>4670.3306999999995</v>
      </c>
      <c r="J599" s="64"/>
      <c r="K599" s="64"/>
      <c r="L599" s="64">
        <f>SUM(ventas_b_mes684[[#This Row],[IMPORTE NETO]:[EXENTO]])</f>
        <v>26910.000699999997</v>
      </c>
      <c r="M599" s="59"/>
    </row>
    <row r="600" spans="2:13">
      <c r="B600" s="40" t="s">
        <v>2305</v>
      </c>
      <c r="C600" s="41">
        <v>6</v>
      </c>
      <c r="D600" s="42">
        <v>10</v>
      </c>
      <c r="E600" s="43">
        <v>54370</v>
      </c>
      <c r="F600" s="44">
        <v>31895879</v>
      </c>
      <c r="G600" s="1" t="str">
        <f>IFERROR(IF(ventas_b_mes684[[#This Row],[CUIT]]="","-",VLOOKUP(ventas_b_mes684[[#This Row],[CUIT]],Lista_CUIT[#All],2,0)),"CUIT NO CARGADO")</f>
        <v>CUIT NO CARGADO</v>
      </c>
      <c r="H600" s="64">
        <v>18260.330000000002</v>
      </c>
      <c r="I600" s="64">
        <f>ventas_b_mes684[[#This Row],[IMPORTE NETO]]*0.21</f>
        <v>3834.6693</v>
      </c>
      <c r="J600" s="64"/>
      <c r="K600" s="64"/>
      <c r="L600" s="64">
        <f>SUM(ventas_b_mes684[[#This Row],[IMPORTE NETO]:[EXENTO]])</f>
        <v>22094.999300000003</v>
      </c>
      <c r="M600" s="59"/>
    </row>
    <row r="601" spans="2:13">
      <c r="B601" s="40" t="s">
        <v>2305</v>
      </c>
      <c r="C601" s="41">
        <v>6</v>
      </c>
      <c r="D601" s="42">
        <v>10</v>
      </c>
      <c r="E601" s="43">
        <v>54336</v>
      </c>
      <c r="F601" s="44">
        <v>32344661</v>
      </c>
      <c r="G601" s="1" t="str">
        <f>IFERROR(IF(ventas_b_mes684[[#This Row],[CUIT]]="","-",VLOOKUP(ventas_b_mes684[[#This Row],[CUIT]],Lista_CUIT[#All],2,0)),"CUIT NO CARGADO")</f>
        <v>CUIT NO CARGADO</v>
      </c>
      <c r="H601" s="64">
        <v>59801.65</v>
      </c>
      <c r="I601" s="64">
        <f>ventas_b_mes684[[#This Row],[IMPORTE NETO]]*0.21</f>
        <v>12558.3465</v>
      </c>
      <c r="J601" s="64"/>
      <c r="K601" s="64"/>
      <c r="L601" s="64">
        <f>SUM(ventas_b_mes684[[#This Row],[IMPORTE NETO]:[EXENTO]])</f>
        <v>72359.996500000008</v>
      </c>
      <c r="M601" s="59"/>
    </row>
    <row r="602" spans="2:13">
      <c r="B602" s="40" t="s">
        <v>2305</v>
      </c>
      <c r="C602" s="41">
        <v>6</v>
      </c>
      <c r="D602" s="42">
        <v>13</v>
      </c>
      <c r="E602" s="43">
        <v>32419</v>
      </c>
      <c r="F602" s="44">
        <v>20560897</v>
      </c>
      <c r="G602" s="1" t="str">
        <f>IFERROR(IF(ventas_b_mes684[[#This Row],[CUIT]]="","-",VLOOKUP(ventas_b_mes684[[#This Row],[CUIT]],Lista_CUIT[#All],2,0)),"CUIT NO CARGADO")</f>
        <v>CUIT NO CARGADO</v>
      </c>
      <c r="H602" s="64">
        <v>37438.019999999997</v>
      </c>
      <c r="I602" s="64">
        <f>ventas_b_mes684[[#This Row],[IMPORTE NETO]]*0.21</f>
        <v>7861.984199999999</v>
      </c>
      <c r="J602" s="64"/>
      <c r="K602" s="64"/>
      <c r="L602" s="64">
        <f>SUM(ventas_b_mes684[[#This Row],[IMPORTE NETO]:[EXENTO]])</f>
        <v>45300.004199999996</v>
      </c>
      <c r="M602" s="59"/>
    </row>
    <row r="603" spans="2:13">
      <c r="B603" s="40" t="s">
        <v>2305</v>
      </c>
      <c r="C603" s="41">
        <v>6</v>
      </c>
      <c r="D603" s="42">
        <v>10</v>
      </c>
      <c r="E603" s="43">
        <v>54359</v>
      </c>
      <c r="F603" s="44">
        <v>24729552</v>
      </c>
      <c r="G603" s="1" t="str">
        <f>IFERROR(IF(ventas_b_mes684[[#This Row],[CUIT]]="","-",VLOOKUP(ventas_b_mes684[[#This Row],[CUIT]],Lista_CUIT[#All],2,0)),"CUIT NO CARGADO")</f>
        <v>CUIT NO CARGADO</v>
      </c>
      <c r="H603" s="64">
        <v>14876.03</v>
      </c>
      <c r="I603" s="64">
        <f>ventas_b_mes684[[#This Row],[IMPORTE NETO]]*0.21</f>
        <v>3123.9663</v>
      </c>
      <c r="J603" s="64"/>
      <c r="K603" s="64"/>
      <c r="L603" s="64">
        <f>SUM(ventas_b_mes684[[#This Row],[IMPORTE NETO]:[EXENTO]])</f>
        <v>17999.996299999999</v>
      </c>
      <c r="M603" s="59"/>
    </row>
    <row r="604" spans="2:13">
      <c r="B604" s="40" t="s">
        <v>2305</v>
      </c>
      <c r="C604" s="41">
        <v>6</v>
      </c>
      <c r="D604" s="42">
        <v>12</v>
      </c>
      <c r="E604" s="43">
        <v>29582</v>
      </c>
      <c r="F604" s="44">
        <v>24102431</v>
      </c>
      <c r="G604" s="1" t="str">
        <f>IFERROR(IF(ventas_b_mes684[[#This Row],[CUIT]]="","-",VLOOKUP(ventas_b_mes684[[#This Row],[CUIT]],Lista_CUIT[#All],2,0)),"CUIT NO CARGADO")</f>
        <v>CUIT NO CARGADO</v>
      </c>
      <c r="H604" s="64">
        <v>8264.4599999999991</v>
      </c>
      <c r="I604" s="64">
        <f>ventas_b_mes684[[#This Row],[IMPORTE NETO]]*0.21</f>
        <v>1735.5365999999997</v>
      </c>
      <c r="J604" s="64"/>
      <c r="K604" s="64"/>
      <c r="L604" s="64">
        <f>SUM(ventas_b_mes684[[#This Row],[IMPORTE NETO]:[EXENTO]])</f>
        <v>9999.9965999999986</v>
      </c>
      <c r="M604" s="59"/>
    </row>
    <row r="605" spans="2:13">
      <c r="B605" s="40" t="s">
        <v>2305</v>
      </c>
      <c r="C605" s="41">
        <v>6</v>
      </c>
      <c r="D605" s="42">
        <v>15</v>
      </c>
      <c r="E605" s="43">
        <v>13152</v>
      </c>
      <c r="F605" s="44">
        <v>29501688</v>
      </c>
      <c r="G605" s="1" t="str">
        <f>IFERROR(IF(ventas_b_mes684[[#This Row],[CUIT]]="","-",VLOOKUP(ventas_b_mes684[[#This Row],[CUIT]],Lista_CUIT[#All],2,0)),"CUIT NO CARGADO")</f>
        <v>CUIT NO CARGADO</v>
      </c>
      <c r="H605" s="64">
        <v>102685.98</v>
      </c>
      <c r="I605" s="64">
        <f>ventas_b_mes684[[#This Row],[IMPORTE NETO]]*0.21</f>
        <v>21564.055799999998</v>
      </c>
      <c r="J605" s="64"/>
      <c r="K605" s="64"/>
      <c r="L605" s="64">
        <f>SUM(ventas_b_mes684[[#This Row],[IMPORTE NETO]:[EXENTO]])</f>
        <v>124250.0358</v>
      </c>
      <c r="M605" s="59"/>
    </row>
    <row r="606" spans="2:13">
      <c r="B606" s="40" t="s">
        <v>2305</v>
      </c>
      <c r="C606" s="41">
        <v>6</v>
      </c>
      <c r="D606" s="42">
        <v>10</v>
      </c>
      <c r="E606" s="43">
        <v>54372</v>
      </c>
      <c r="F606" s="44">
        <v>21815624</v>
      </c>
      <c r="G606" s="1" t="str">
        <f>IFERROR(IF(ventas_b_mes684[[#This Row],[CUIT]]="","-",VLOOKUP(ventas_b_mes684[[#This Row],[CUIT]],Lista_CUIT[#All],2,0)),"CUIT NO CARGADO")</f>
        <v>CUIT NO CARGADO</v>
      </c>
      <c r="H606" s="64">
        <v>20661.16</v>
      </c>
      <c r="I606" s="64">
        <f>ventas_b_mes684[[#This Row],[IMPORTE NETO]]*0.21</f>
        <v>4338.8436000000002</v>
      </c>
      <c r="J606" s="64"/>
      <c r="K606" s="64"/>
      <c r="L606" s="64">
        <f>SUM(ventas_b_mes684[[#This Row],[IMPORTE NETO]:[EXENTO]])</f>
        <v>25000.0036</v>
      </c>
      <c r="M606" s="59"/>
    </row>
    <row r="607" spans="2:13">
      <c r="B607" s="40" t="s">
        <v>2305</v>
      </c>
      <c r="C607" s="41">
        <v>6</v>
      </c>
      <c r="D607" s="42">
        <v>11</v>
      </c>
      <c r="E607" s="43">
        <v>38025</v>
      </c>
      <c r="F607" s="44">
        <v>14658986</v>
      </c>
      <c r="G607" s="1" t="str">
        <f>IFERROR(IF(ventas_b_mes684[[#This Row],[CUIT]]="","-",VLOOKUP(ventas_b_mes684[[#This Row],[CUIT]],Lista_CUIT[#All],2,0)),"CUIT NO CARGADO")</f>
        <v>CUIT NO CARGADO</v>
      </c>
      <c r="H607" s="64">
        <v>6776.86</v>
      </c>
      <c r="I607" s="64">
        <f>ventas_b_mes684[[#This Row],[IMPORTE NETO]]*0.21</f>
        <v>1423.1405999999999</v>
      </c>
      <c r="J607" s="64"/>
      <c r="K607" s="64"/>
      <c r="L607" s="64">
        <f>SUM(ventas_b_mes684[[#This Row],[IMPORTE NETO]:[EXENTO]])</f>
        <v>8200.0005999999994</v>
      </c>
      <c r="M607" s="59"/>
    </row>
    <row r="608" spans="2:13">
      <c r="B608" s="40" t="s">
        <v>2305</v>
      </c>
      <c r="C608" s="41">
        <v>6</v>
      </c>
      <c r="D608" s="42">
        <v>10</v>
      </c>
      <c r="E608" s="43">
        <v>54373</v>
      </c>
      <c r="F608" s="44">
        <v>21647029</v>
      </c>
      <c r="G608" s="1" t="str">
        <f>IFERROR(IF(ventas_b_mes684[[#This Row],[CUIT]]="","-",VLOOKUP(ventas_b_mes684[[#This Row],[CUIT]],Lista_CUIT[#All],2,0)),"CUIT NO CARGADO")</f>
        <v>CUIT NO CARGADO</v>
      </c>
      <c r="H608" s="64">
        <v>20661.16</v>
      </c>
      <c r="I608" s="64">
        <f>ventas_b_mes684[[#This Row],[IMPORTE NETO]]*0.21</f>
        <v>4338.8436000000002</v>
      </c>
      <c r="J608" s="64"/>
      <c r="K608" s="64"/>
      <c r="L608" s="64">
        <f>SUM(ventas_b_mes684[[#This Row],[IMPORTE NETO]:[EXENTO]])</f>
        <v>25000.0036</v>
      </c>
      <c r="M608" s="59"/>
    </row>
    <row r="609" spans="2:13">
      <c r="B609" s="40" t="s">
        <v>2305</v>
      </c>
      <c r="C609" s="41">
        <v>6</v>
      </c>
      <c r="D609" s="42">
        <v>15</v>
      </c>
      <c r="E609" s="43">
        <v>13151</v>
      </c>
      <c r="F609" s="44">
        <v>29501688</v>
      </c>
      <c r="G609" s="1" t="str">
        <f>IFERROR(IF(ventas_b_mes684[[#This Row],[CUIT]]="","-",VLOOKUP(ventas_b_mes684[[#This Row],[CUIT]],Lista_CUIT[#All],2,0)),"CUIT NO CARGADO")</f>
        <v>CUIT NO CARGADO</v>
      </c>
      <c r="H609" s="64">
        <v>20661.16</v>
      </c>
      <c r="I609" s="64">
        <f>ventas_b_mes684[[#This Row],[IMPORTE NETO]]*0.21</f>
        <v>4338.8436000000002</v>
      </c>
      <c r="J609" s="64"/>
      <c r="K609" s="64"/>
      <c r="L609" s="64">
        <f>SUM(ventas_b_mes684[[#This Row],[IMPORTE NETO]:[EXENTO]])</f>
        <v>25000.0036</v>
      </c>
      <c r="M609" s="59"/>
    </row>
    <row r="610" spans="2:13">
      <c r="B610" s="40" t="s">
        <v>2305</v>
      </c>
      <c r="C610" s="41">
        <v>6</v>
      </c>
      <c r="D610" s="42">
        <v>15</v>
      </c>
      <c r="E610" s="43">
        <v>13143</v>
      </c>
      <c r="F610" s="44">
        <v>46425670</v>
      </c>
      <c r="G610" s="1" t="str">
        <f>IFERROR(IF(ventas_b_mes684[[#This Row],[CUIT]]="","-",VLOOKUP(ventas_b_mes684[[#This Row],[CUIT]],Lista_CUIT[#All],2,0)),"CUIT NO CARGADO")</f>
        <v>CUIT NO CARGADO</v>
      </c>
      <c r="H610" s="64">
        <v>20661.16</v>
      </c>
      <c r="I610" s="64">
        <f>ventas_b_mes684[[#This Row],[IMPORTE NETO]]*0.21</f>
        <v>4338.8436000000002</v>
      </c>
      <c r="J610" s="64"/>
      <c r="K610" s="64"/>
      <c r="L610" s="64">
        <f>SUM(ventas_b_mes684[[#This Row],[IMPORTE NETO]:[EXENTO]])</f>
        <v>25000.0036</v>
      </c>
      <c r="M610" s="59"/>
    </row>
    <row r="611" spans="2:13">
      <c r="B611" s="40" t="s">
        <v>2305</v>
      </c>
      <c r="C611" s="41">
        <v>6</v>
      </c>
      <c r="D611" s="42">
        <v>12</v>
      </c>
      <c r="E611" s="43">
        <v>29546</v>
      </c>
      <c r="F611" s="44">
        <v>25315053</v>
      </c>
      <c r="G611" s="1" t="str">
        <f>IFERROR(IF(ventas_b_mes684[[#This Row],[CUIT]]="","-",VLOOKUP(ventas_b_mes684[[#This Row],[CUIT]],Lista_CUIT[#All],2,0)),"CUIT NO CARGADO")</f>
        <v>CUIT NO CARGADO</v>
      </c>
      <c r="H611" s="64">
        <v>28966.94</v>
      </c>
      <c r="I611" s="64">
        <f>ventas_b_mes684[[#This Row],[IMPORTE NETO]]*0.21</f>
        <v>6083.0573999999997</v>
      </c>
      <c r="J611" s="64"/>
      <c r="K611" s="64"/>
      <c r="L611" s="64">
        <f>SUM(ventas_b_mes684[[#This Row],[IMPORTE NETO]:[EXENTO]])</f>
        <v>35049.9974</v>
      </c>
      <c r="M611" s="59"/>
    </row>
    <row r="612" spans="2:13">
      <c r="B612" s="40" t="s">
        <v>2305</v>
      </c>
      <c r="C612" s="41">
        <v>6</v>
      </c>
      <c r="D612" s="42">
        <v>12</v>
      </c>
      <c r="E612" s="43">
        <v>29569</v>
      </c>
      <c r="F612" s="44">
        <v>16854123</v>
      </c>
      <c r="G612" s="1" t="str">
        <f>IFERROR(IF(ventas_b_mes684[[#This Row],[CUIT]]="","-",VLOOKUP(ventas_b_mes684[[#This Row],[CUIT]],Lista_CUIT[#All],2,0)),"CUIT NO CARGADO")</f>
        <v>CUIT NO CARGADO</v>
      </c>
      <c r="H612" s="64">
        <v>9049.59</v>
      </c>
      <c r="I612" s="64">
        <f>ventas_b_mes684[[#This Row],[IMPORTE NETO]]*0.21</f>
        <v>1900.4139</v>
      </c>
      <c r="J612" s="64"/>
      <c r="K612" s="64"/>
      <c r="L612" s="64">
        <f>SUM(ventas_b_mes684[[#This Row],[IMPORTE NETO]:[EXENTO]])</f>
        <v>10950.0039</v>
      </c>
      <c r="M612" s="59"/>
    </row>
    <row r="613" spans="2:13">
      <c r="B613" s="40" t="s">
        <v>2305</v>
      </c>
      <c r="C613" s="41">
        <v>6</v>
      </c>
      <c r="D613" s="42">
        <v>12</v>
      </c>
      <c r="E613" s="43">
        <v>29568</v>
      </c>
      <c r="F613" s="44">
        <v>28944819</v>
      </c>
      <c r="G613" s="1" t="str">
        <f>IFERROR(IF(ventas_b_mes684[[#This Row],[CUIT]]="","-",VLOOKUP(ventas_b_mes684[[#This Row],[CUIT]],Lista_CUIT[#All],2,0)),"CUIT NO CARGADO")</f>
        <v>CUIT NO CARGADO</v>
      </c>
      <c r="H613" s="64">
        <v>14752.07</v>
      </c>
      <c r="I613" s="64">
        <f>ventas_b_mes684[[#This Row],[IMPORTE NETO]]*0.21</f>
        <v>3097.9346999999998</v>
      </c>
      <c r="J613" s="64"/>
      <c r="K613" s="64"/>
      <c r="L613" s="64">
        <f>SUM(ventas_b_mes684[[#This Row],[IMPORTE NETO]:[EXENTO]])</f>
        <v>17850.004699999998</v>
      </c>
      <c r="M613" s="59"/>
    </row>
    <row r="614" spans="2:13">
      <c r="B614" s="40" t="s">
        <v>2305</v>
      </c>
      <c r="C614" s="41">
        <v>6</v>
      </c>
      <c r="D614" s="42">
        <v>12</v>
      </c>
      <c r="E614" s="43">
        <v>29567</v>
      </c>
      <c r="F614" s="44">
        <v>28944819</v>
      </c>
      <c r="G614" s="1" t="str">
        <f>IFERROR(IF(ventas_b_mes684[[#This Row],[CUIT]]="","-",VLOOKUP(ventas_b_mes684[[#This Row],[CUIT]],Lista_CUIT[#All],2,0)),"CUIT NO CARGADO")</f>
        <v>CUIT NO CARGADO</v>
      </c>
      <c r="H614" s="64">
        <v>23115.7</v>
      </c>
      <c r="I614" s="64">
        <f>ventas_b_mes684[[#This Row],[IMPORTE NETO]]*0.21</f>
        <v>4854.2969999999996</v>
      </c>
      <c r="J614" s="64"/>
      <c r="K614" s="64"/>
      <c r="L614" s="64">
        <f>SUM(ventas_b_mes684[[#This Row],[IMPORTE NETO]:[EXENTO]])</f>
        <v>27969.996999999999</v>
      </c>
      <c r="M614" s="59"/>
    </row>
    <row r="615" spans="2:13">
      <c r="B615" s="40" t="s">
        <v>2305</v>
      </c>
      <c r="C615" s="41">
        <v>6</v>
      </c>
      <c r="D615" s="42">
        <v>10</v>
      </c>
      <c r="E615" s="43">
        <v>54351</v>
      </c>
      <c r="F615" s="44">
        <v>20278928</v>
      </c>
      <c r="G615" s="1" t="str">
        <f>IFERROR(IF(ventas_b_mes684[[#This Row],[CUIT]]="","-",VLOOKUP(ventas_b_mes684[[#This Row],[CUIT]],Lista_CUIT[#All],2,0)),"CUIT NO CARGADO")</f>
        <v>CUIT NO CARGADO</v>
      </c>
      <c r="H615" s="64">
        <v>20661.16</v>
      </c>
      <c r="I615" s="64">
        <f>ventas_b_mes684[[#This Row],[IMPORTE NETO]]*0.21</f>
        <v>4338.8436000000002</v>
      </c>
      <c r="J615" s="64"/>
      <c r="K615" s="64"/>
      <c r="L615" s="64">
        <f>SUM(ventas_b_mes684[[#This Row],[IMPORTE NETO]:[EXENTO]])</f>
        <v>25000.0036</v>
      </c>
      <c r="M615" s="59"/>
    </row>
    <row r="616" spans="2:13">
      <c r="B616" s="40" t="s">
        <v>2305</v>
      </c>
      <c r="C616" s="41">
        <v>6</v>
      </c>
      <c r="D616" s="42">
        <v>12</v>
      </c>
      <c r="E616" s="43">
        <v>29577</v>
      </c>
      <c r="F616" s="44">
        <v>34741877</v>
      </c>
      <c r="G616" s="1" t="str">
        <f>IFERROR(IF(ventas_b_mes684[[#This Row],[CUIT]]="","-",VLOOKUP(ventas_b_mes684[[#This Row],[CUIT]],Lista_CUIT[#All],2,0)),"CUIT NO CARGADO")</f>
        <v>CUIT NO CARGADO</v>
      </c>
      <c r="H616" s="64">
        <v>20661.16</v>
      </c>
      <c r="I616" s="64">
        <f>ventas_b_mes684[[#This Row],[IMPORTE NETO]]*0.21</f>
        <v>4338.8436000000002</v>
      </c>
      <c r="J616" s="64"/>
      <c r="K616" s="64"/>
      <c r="L616" s="64">
        <f>SUM(ventas_b_mes684[[#This Row],[IMPORTE NETO]:[EXENTO]])</f>
        <v>25000.0036</v>
      </c>
      <c r="M616" s="59"/>
    </row>
    <row r="617" spans="2:13">
      <c r="B617" s="40" t="s">
        <v>2305</v>
      </c>
      <c r="C617" s="41">
        <v>6</v>
      </c>
      <c r="D617" s="42">
        <v>10</v>
      </c>
      <c r="E617" s="43">
        <v>54357</v>
      </c>
      <c r="F617" s="44">
        <v>24317959229</v>
      </c>
      <c r="G617" s="1" t="str">
        <f>IFERROR(IF(ventas_b_mes684[[#This Row],[CUIT]]="","-",VLOOKUP(ventas_b_mes684[[#This Row],[CUIT]],Lista_CUIT[#All],2,0)),"CUIT NO CARGADO")</f>
        <v>CUIT NO CARGADO</v>
      </c>
      <c r="H617" s="64">
        <v>205702.48</v>
      </c>
      <c r="I617" s="64">
        <f>ventas_b_mes684[[#This Row],[IMPORTE NETO]]*0.21</f>
        <v>43197.520799999998</v>
      </c>
      <c r="J617" s="64"/>
      <c r="K617" s="64"/>
      <c r="L617" s="64">
        <f>SUM(ventas_b_mes684[[#This Row],[IMPORTE NETO]:[EXENTO]])</f>
        <v>248900.00080000001</v>
      </c>
      <c r="M617" s="59"/>
    </row>
    <row r="618" spans="2:13">
      <c r="B618" s="40" t="s">
        <v>2305</v>
      </c>
      <c r="C618" s="41">
        <v>6</v>
      </c>
      <c r="D618" s="42">
        <v>15</v>
      </c>
      <c r="E618" s="43">
        <v>13149</v>
      </c>
      <c r="F618" s="44">
        <v>27691845</v>
      </c>
      <c r="G618" s="1" t="str">
        <f>IFERROR(IF(ventas_b_mes684[[#This Row],[CUIT]]="","-",VLOOKUP(ventas_b_mes684[[#This Row],[CUIT]],Lista_CUIT[#All],2,0)),"CUIT NO CARGADO")</f>
        <v>CUIT NO CARGADO</v>
      </c>
      <c r="H618" s="64">
        <v>8264.4599999999991</v>
      </c>
      <c r="I618" s="64">
        <f>ventas_b_mes684[[#This Row],[IMPORTE NETO]]*0.21</f>
        <v>1735.5365999999997</v>
      </c>
      <c r="J618" s="64"/>
      <c r="K618" s="64"/>
      <c r="L618" s="64">
        <f>SUM(ventas_b_mes684[[#This Row],[IMPORTE NETO]:[EXENTO]])</f>
        <v>9999.9965999999986</v>
      </c>
      <c r="M618" s="59"/>
    </row>
    <row r="619" spans="2:13">
      <c r="B619" s="40" t="s">
        <v>2305</v>
      </c>
      <c r="C619" s="41">
        <v>6</v>
      </c>
      <c r="D619" s="42">
        <v>13</v>
      </c>
      <c r="E619" s="43">
        <v>32422</v>
      </c>
      <c r="F619" s="44">
        <v>20560897</v>
      </c>
      <c r="G619" s="1" t="str">
        <f>IFERROR(IF(ventas_b_mes684[[#This Row],[CUIT]]="","-",VLOOKUP(ventas_b_mes684[[#This Row],[CUIT]],Lista_CUIT[#All],2,0)),"CUIT NO CARGADO")</f>
        <v>CUIT NO CARGADO</v>
      </c>
      <c r="H619" s="64">
        <v>26198.3</v>
      </c>
      <c r="I619" s="64">
        <f>ventas_b_mes684[[#This Row],[IMPORTE NETO]]*0.21</f>
        <v>5501.643</v>
      </c>
      <c r="J619" s="64"/>
      <c r="K619" s="64"/>
      <c r="L619" s="64">
        <f>SUM(ventas_b_mes684[[#This Row],[IMPORTE NETO]:[EXENTO]])</f>
        <v>31699.942999999999</v>
      </c>
      <c r="M619" s="59"/>
    </row>
    <row r="620" spans="2:13">
      <c r="B620" s="40" t="s">
        <v>2305</v>
      </c>
      <c r="C620" s="41">
        <v>6</v>
      </c>
      <c r="D620" s="42">
        <v>12</v>
      </c>
      <c r="E620" s="43">
        <v>29555</v>
      </c>
      <c r="F620" s="44">
        <v>28659434</v>
      </c>
      <c r="G620" s="1" t="str">
        <f>IFERROR(IF(ventas_b_mes684[[#This Row],[CUIT]]="","-",VLOOKUP(ventas_b_mes684[[#This Row],[CUIT]],Lista_CUIT[#All],2,0)),"CUIT NO CARGADO")</f>
        <v>CUIT NO CARGADO</v>
      </c>
      <c r="H620" s="64">
        <v>48074.38</v>
      </c>
      <c r="I620" s="64">
        <f>ventas_b_mes684[[#This Row],[IMPORTE NETO]]*0.21</f>
        <v>10095.619799999999</v>
      </c>
      <c r="J620" s="64"/>
      <c r="K620" s="64"/>
      <c r="L620" s="64">
        <f>SUM(ventas_b_mes684[[#This Row],[IMPORTE NETO]:[EXENTO]])</f>
        <v>58169.999799999998</v>
      </c>
      <c r="M620" s="59"/>
    </row>
    <row r="621" spans="2:13">
      <c r="B621" s="40" t="s">
        <v>2305</v>
      </c>
      <c r="C621" s="41">
        <v>6</v>
      </c>
      <c r="D621" s="42">
        <v>11</v>
      </c>
      <c r="E621" s="43">
        <v>38005</v>
      </c>
      <c r="F621" s="44">
        <v>28147987</v>
      </c>
      <c r="G621" s="1" t="str">
        <f>IFERROR(IF(ventas_b_mes684[[#This Row],[CUIT]]="","-",VLOOKUP(ventas_b_mes684[[#This Row],[CUIT]],Lista_CUIT[#All],2,0)),"CUIT NO CARGADO")</f>
        <v>CUIT NO CARGADO</v>
      </c>
      <c r="H621" s="64">
        <v>56157.02</v>
      </c>
      <c r="I621" s="64">
        <f>ventas_b_mes684[[#This Row],[IMPORTE NETO]]*0.21</f>
        <v>11792.974199999999</v>
      </c>
      <c r="J621" s="64"/>
      <c r="K621" s="64"/>
      <c r="L621" s="64">
        <f>SUM(ventas_b_mes684[[#This Row],[IMPORTE NETO]:[EXENTO]])</f>
        <v>67949.994200000001</v>
      </c>
      <c r="M621" s="59"/>
    </row>
    <row r="622" spans="2:13">
      <c r="B622" s="40" t="s">
        <v>2305</v>
      </c>
      <c r="C622" s="41">
        <v>6</v>
      </c>
      <c r="D622" s="42">
        <v>15</v>
      </c>
      <c r="E622" s="43">
        <v>13148</v>
      </c>
      <c r="F622" s="44">
        <v>43778136</v>
      </c>
      <c r="G622" s="1" t="str">
        <f>IFERROR(IF(ventas_b_mes684[[#This Row],[CUIT]]="","-",VLOOKUP(ventas_b_mes684[[#This Row],[CUIT]],Lista_CUIT[#All],2,0)),"CUIT NO CARGADO")</f>
        <v>CUIT NO CARGADO</v>
      </c>
      <c r="H622" s="64">
        <v>13223.14</v>
      </c>
      <c r="I622" s="64">
        <f>ventas_b_mes684[[#This Row],[IMPORTE NETO]]*0.21</f>
        <v>2776.8593999999998</v>
      </c>
      <c r="J622" s="64"/>
      <c r="K622" s="64"/>
      <c r="L622" s="64">
        <f>SUM(ventas_b_mes684[[#This Row],[IMPORTE NETO]:[EXENTO]])</f>
        <v>15999.999399999999</v>
      </c>
      <c r="M622" s="59"/>
    </row>
    <row r="623" spans="2:13">
      <c r="B623" s="40" t="s">
        <v>2306</v>
      </c>
      <c r="C623" s="41">
        <v>6</v>
      </c>
      <c r="D623" s="42">
        <v>10</v>
      </c>
      <c r="E623" s="43">
        <v>54383</v>
      </c>
      <c r="F623" s="44">
        <v>26897542</v>
      </c>
      <c r="G623" s="1" t="str">
        <f>IFERROR(IF(ventas_b_mes684[[#This Row],[CUIT]]="","-",VLOOKUP(ventas_b_mes684[[#This Row],[CUIT]],Lista_CUIT[#All],2,0)),"CUIT NO CARGADO")</f>
        <v>CUIT NO CARGADO</v>
      </c>
      <c r="H623" s="64">
        <v>66611.649999999994</v>
      </c>
      <c r="I623" s="64">
        <f>ventas_b_mes684[[#This Row],[IMPORTE NETO]]*0.21</f>
        <v>13988.446499999998</v>
      </c>
      <c r="J623" s="64"/>
      <c r="K623" s="64"/>
      <c r="L623" s="64">
        <f>SUM(ventas_b_mes684[[#This Row],[IMPORTE NETO]:[EXENTO]])</f>
        <v>80600.096499999985</v>
      </c>
      <c r="M623" s="59"/>
    </row>
    <row r="624" spans="2:13">
      <c r="B624" s="40" t="s">
        <v>2306</v>
      </c>
      <c r="C624" s="41">
        <v>6</v>
      </c>
      <c r="D624" s="42">
        <v>10</v>
      </c>
      <c r="E624" s="43">
        <v>54381</v>
      </c>
      <c r="F624" s="44">
        <v>25219616</v>
      </c>
      <c r="G624" s="1" t="str">
        <f>IFERROR(IF(ventas_b_mes684[[#This Row],[CUIT]]="","-",VLOOKUP(ventas_b_mes684[[#This Row],[CUIT]],Lista_CUIT[#All],2,0)),"CUIT NO CARGADO")</f>
        <v>CUIT NO CARGADO</v>
      </c>
      <c r="H624" s="64">
        <v>53471.07</v>
      </c>
      <c r="I624" s="64">
        <f>ventas_b_mes684[[#This Row],[IMPORTE NETO]]*0.21</f>
        <v>11228.9247</v>
      </c>
      <c r="J624" s="64"/>
      <c r="K624" s="64"/>
      <c r="L624" s="64">
        <f>SUM(ventas_b_mes684[[#This Row],[IMPORTE NETO]:[EXENTO]])</f>
        <v>64699.994699999996</v>
      </c>
      <c r="M624" s="59"/>
    </row>
    <row r="625" spans="2:13">
      <c r="B625" s="40" t="s">
        <v>2306</v>
      </c>
      <c r="C625" s="41">
        <v>6</v>
      </c>
      <c r="D625" s="42">
        <v>11</v>
      </c>
      <c r="E625" s="43">
        <v>38027</v>
      </c>
      <c r="F625" s="44">
        <v>13072716</v>
      </c>
      <c r="G625" s="1" t="str">
        <f>IFERROR(IF(ventas_b_mes684[[#This Row],[CUIT]]="","-",VLOOKUP(ventas_b_mes684[[#This Row],[CUIT]],Lista_CUIT[#All],2,0)),"CUIT NO CARGADO")</f>
        <v>CUIT NO CARGADO</v>
      </c>
      <c r="H625" s="64">
        <v>8264.4599999999991</v>
      </c>
      <c r="I625" s="64">
        <f>ventas_b_mes684[[#This Row],[IMPORTE NETO]]*0.21</f>
        <v>1735.5365999999997</v>
      </c>
      <c r="J625" s="64"/>
      <c r="K625" s="64"/>
      <c r="L625" s="64">
        <f>SUM(ventas_b_mes684[[#This Row],[IMPORTE NETO]:[EXENTO]])</f>
        <v>9999.9965999999986</v>
      </c>
      <c r="M625" s="59"/>
    </row>
    <row r="626" spans="2:13">
      <c r="B626" s="40" t="s">
        <v>2306</v>
      </c>
      <c r="C626" s="41">
        <v>6</v>
      </c>
      <c r="D626" s="42">
        <v>11</v>
      </c>
      <c r="E626" s="43">
        <v>38037</v>
      </c>
      <c r="F626" s="44">
        <v>92309677</v>
      </c>
      <c r="G626" s="1" t="str">
        <f>IFERROR(IF(ventas_b_mes684[[#This Row],[CUIT]]="","-",VLOOKUP(ventas_b_mes684[[#This Row],[CUIT]],Lista_CUIT[#All],2,0)),"CUIT NO CARGADO")</f>
        <v>CUIT NO CARGADO</v>
      </c>
      <c r="H626" s="64">
        <v>8925.6200000000008</v>
      </c>
      <c r="I626" s="64">
        <f>ventas_b_mes684[[#This Row],[IMPORTE NETO]]*0.21</f>
        <v>1874.3802000000001</v>
      </c>
      <c r="J626" s="64"/>
      <c r="K626" s="64"/>
      <c r="L626" s="64">
        <f>SUM(ventas_b_mes684[[#This Row],[IMPORTE NETO]:[EXENTO]])</f>
        <v>10800.0002</v>
      </c>
      <c r="M626" s="59"/>
    </row>
    <row r="627" spans="2:13">
      <c r="B627" s="40" t="s">
        <v>2306</v>
      </c>
      <c r="C627" s="41">
        <v>6</v>
      </c>
      <c r="D627" s="42">
        <v>11</v>
      </c>
      <c r="E627" s="43">
        <v>38048</v>
      </c>
      <c r="F627" s="44">
        <v>96002461</v>
      </c>
      <c r="G627" s="1" t="str">
        <f>IFERROR(IF(ventas_b_mes684[[#This Row],[CUIT]]="","-",VLOOKUP(ventas_b_mes684[[#This Row],[CUIT]],Lista_CUIT[#All],2,0)),"CUIT NO CARGADO")</f>
        <v>CUIT NO CARGADO</v>
      </c>
      <c r="H627" s="64">
        <v>14057.85</v>
      </c>
      <c r="I627" s="64">
        <f>ventas_b_mes684[[#This Row],[IMPORTE NETO]]*0.21</f>
        <v>2952.1484999999998</v>
      </c>
      <c r="J627" s="64"/>
      <c r="K627" s="64"/>
      <c r="L627" s="64">
        <f>SUM(ventas_b_mes684[[#This Row],[IMPORTE NETO]:[EXENTO]])</f>
        <v>17009.998500000002</v>
      </c>
      <c r="M627" s="59"/>
    </row>
    <row r="628" spans="2:13">
      <c r="B628" s="40" t="s">
        <v>2306</v>
      </c>
      <c r="C628" s="41">
        <v>6</v>
      </c>
      <c r="D628" s="42">
        <v>11</v>
      </c>
      <c r="E628" s="43">
        <v>38047</v>
      </c>
      <c r="F628" s="44">
        <v>17746974</v>
      </c>
      <c r="G628" s="1" t="str">
        <f>IFERROR(IF(ventas_b_mes684[[#This Row],[CUIT]]="","-",VLOOKUP(ventas_b_mes684[[#This Row],[CUIT]],Lista_CUIT[#All],2,0)),"CUIT NO CARGADO")</f>
        <v>CUIT NO CARGADO</v>
      </c>
      <c r="H628" s="64">
        <v>10561.98</v>
      </c>
      <c r="I628" s="64">
        <f>ventas_b_mes684[[#This Row],[IMPORTE NETO]]*0.21</f>
        <v>2218.0157999999997</v>
      </c>
      <c r="J628" s="64"/>
      <c r="K628" s="64"/>
      <c r="L628" s="64">
        <f>SUM(ventas_b_mes684[[#This Row],[IMPORTE NETO]:[EXENTO]])</f>
        <v>12779.995799999999</v>
      </c>
      <c r="M628" s="59"/>
    </row>
    <row r="629" spans="2:13">
      <c r="B629" s="40" t="s">
        <v>2306</v>
      </c>
      <c r="C629" s="41">
        <v>6</v>
      </c>
      <c r="D629" s="42">
        <v>10</v>
      </c>
      <c r="E629" s="43">
        <v>54387</v>
      </c>
      <c r="F629" s="44">
        <v>21411580</v>
      </c>
      <c r="G629" s="1" t="str">
        <f>IFERROR(IF(ventas_b_mes684[[#This Row],[CUIT]]="","-",VLOOKUP(ventas_b_mes684[[#This Row],[CUIT]],Lista_CUIT[#All],2,0)),"CUIT NO CARGADO")</f>
        <v>CUIT NO CARGADO</v>
      </c>
      <c r="H629" s="64">
        <v>329520.65999999997</v>
      </c>
      <c r="I629" s="64">
        <f>ventas_b_mes684[[#This Row],[IMPORTE NETO]]*0.21</f>
        <v>69199.338599999988</v>
      </c>
      <c r="J629" s="64"/>
      <c r="K629" s="64"/>
      <c r="L629" s="64">
        <f>SUM(ventas_b_mes684[[#This Row],[IMPORTE NETO]:[EXENTO]])</f>
        <v>398719.99859999993</v>
      </c>
      <c r="M629" s="59"/>
    </row>
    <row r="630" spans="2:13">
      <c r="B630" s="40" t="s">
        <v>2306</v>
      </c>
      <c r="C630" s="41">
        <v>6</v>
      </c>
      <c r="D630" s="42">
        <v>11</v>
      </c>
      <c r="E630" s="43">
        <v>38029</v>
      </c>
      <c r="F630" s="44">
        <v>95804809</v>
      </c>
      <c r="G630" s="1" t="str">
        <f>IFERROR(IF(ventas_b_mes684[[#This Row],[CUIT]]="","-",VLOOKUP(ventas_b_mes684[[#This Row],[CUIT]],Lista_CUIT[#All],2,0)),"CUIT NO CARGADO")</f>
        <v>CUIT NO CARGADO</v>
      </c>
      <c r="H630" s="64">
        <v>30867.759999999998</v>
      </c>
      <c r="I630" s="64">
        <f>ventas_b_mes684[[#This Row],[IMPORTE NETO]]*0.21</f>
        <v>6482.2295999999997</v>
      </c>
      <c r="J630" s="64"/>
      <c r="K630" s="64"/>
      <c r="L630" s="64">
        <f>SUM(ventas_b_mes684[[#This Row],[IMPORTE NETO]:[EXENTO]])</f>
        <v>37349.989600000001</v>
      </c>
      <c r="M630" s="59"/>
    </row>
    <row r="631" spans="2:13">
      <c r="B631" s="40" t="s">
        <v>2306</v>
      </c>
      <c r="C631" s="41">
        <v>6</v>
      </c>
      <c r="D631" s="42">
        <v>11</v>
      </c>
      <c r="E631" s="43">
        <v>38032</v>
      </c>
      <c r="F631" s="44">
        <v>16149684</v>
      </c>
      <c r="G631" s="1" t="str">
        <f>IFERROR(IF(ventas_b_mes684[[#This Row],[CUIT]]="","-",VLOOKUP(ventas_b_mes684[[#This Row],[CUIT]],Lista_CUIT[#All],2,0)),"CUIT NO CARGADO")</f>
        <v>CUIT NO CARGADO</v>
      </c>
      <c r="H631" s="64">
        <v>78958.679999999993</v>
      </c>
      <c r="I631" s="64">
        <f>ventas_b_mes684[[#This Row],[IMPORTE NETO]]*0.21</f>
        <v>16581.322799999998</v>
      </c>
      <c r="J631" s="64"/>
      <c r="K631" s="64"/>
      <c r="L631" s="64">
        <f>SUM(ventas_b_mes684[[#This Row],[IMPORTE NETO]:[EXENTO]])</f>
        <v>95540.002799999987</v>
      </c>
      <c r="M631" s="59"/>
    </row>
    <row r="632" spans="2:13">
      <c r="B632" s="40" t="s">
        <v>2306</v>
      </c>
      <c r="C632" s="41">
        <v>6</v>
      </c>
      <c r="D632" s="42">
        <v>12</v>
      </c>
      <c r="E632" s="43">
        <v>29585</v>
      </c>
      <c r="F632" s="44">
        <v>25761604</v>
      </c>
      <c r="G632" s="1" t="str">
        <f>IFERROR(IF(ventas_b_mes684[[#This Row],[CUIT]]="","-",VLOOKUP(ventas_b_mes684[[#This Row],[CUIT]],Lista_CUIT[#All],2,0)),"CUIT NO CARGADO")</f>
        <v>CUIT NO CARGADO</v>
      </c>
      <c r="H632" s="64">
        <v>44074.38</v>
      </c>
      <c r="I632" s="64">
        <f>ventas_b_mes684[[#This Row],[IMPORTE NETO]]*0.21</f>
        <v>9255.6197999999986</v>
      </c>
      <c r="J632" s="64"/>
      <c r="K632" s="64"/>
      <c r="L632" s="64">
        <f>SUM(ventas_b_mes684[[#This Row],[IMPORTE NETO]:[EXENTO]])</f>
        <v>53329.999799999998</v>
      </c>
      <c r="M632" s="59"/>
    </row>
    <row r="633" spans="2:13">
      <c r="B633" s="40" t="s">
        <v>2306</v>
      </c>
      <c r="C633" s="41">
        <v>6</v>
      </c>
      <c r="D633" s="42">
        <v>12</v>
      </c>
      <c r="E633" s="43">
        <v>29600</v>
      </c>
      <c r="F633" s="44">
        <v>25521199</v>
      </c>
      <c r="G633" s="1" t="str">
        <f>IFERROR(IF(ventas_b_mes684[[#This Row],[CUIT]]="","-",VLOOKUP(ventas_b_mes684[[#This Row],[CUIT]],Lista_CUIT[#All],2,0)),"CUIT NO CARGADO")</f>
        <v>CUIT NO CARGADO</v>
      </c>
      <c r="H633" s="64">
        <v>35712.400000000001</v>
      </c>
      <c r="I633" s="64">
        <f>ventas_b_mes684[[#This Row],[IMPORTE NETO]]*0.21</f>
        <v>7499.6040000000003</v>
      </c>
      <c r="J633" s="64"/>
      <c r="K633" s="64"/>
      <c r="L633" s="64">
        <f>SUM(ventas_b_mes684[[#This Row],[IMPORTE NETO]:[EXENTO]])</f>
        <v>43212.004000000001</v>
      </c>
      <c r="M633" s="59"/>
    </row>
    <row r="634" spans="2:13">
      <c r="B634" s="40" t="s">
        <v>2306</v>
      </c>
      <c r="C634" s="41">
        <v>6</v>
      </c>
      <c r="D634" s="42">
        <v>12</v>
      </c>
      <c r="E634" s="43">
        <v>29606</v>
      </c>
      <c r="F634" s="44">
        <v>20767108</v>
      </c>
      <c r="G634" s="1" t="str">
        <f>IFERROR(IF(ventas_b_mes684[[#This Row],[CUIT]]="","-",VLOOKUP(ventas_b_mes684[[#This Row],[CUIT]],Lista_CUIT[#All],2,0)),"CUIT NO CARGADO")</f>
        <v>CUIT NO CARGADO</v>
      </c>
      <c r="H634" s="64">
        <v>59504.13</v>
      </c>
      <c r="I634" s="64">
        <f>ventas_b_mes684[[#This Row],[IMPORTE NETO]]*0.21</f>
        <v>12495.8673</v>
      </c>
      <c r="J634" s="64"/>
      <c r="K634" s="64"/>
      <c r="L634" s="64">
        <f>SUM(ventas_b_mes684[[#This Row],[IMPORTE NETO]:[EXENTO]])</f>
        <v>71999.997300000003</v>
      </c>
      <c r="M634" s="59"/>
    </row>
    <row r="635" spans="2:13">
      <c r="B635" s="40" t="s">
        <v>2306</v>
      </c>
      <c r="C635" s="41">
        <v>6</v>
      </c>
      <c r="D635" s="42">
        <v>12</v>
      </c>
      <c r="E635" s="43">
        <v>29607</v>
      </c>
      <c r="F635" s="44">
        <v>26626507</v>
      </c>
      <c r="G635" s="1" t="str">
        <f>IFERROR(IF(ventas_b_mes684[[#This Row],[CUIT]]="","-",VLOOKUP(ventas_b_mes684[[#This Row],[CUIT]],Lista_CUIT[#All],2,0)),"CUIT NO CARGADO")</f>
        <v>CUIT NO CARGADO</v>
      </c>
      <c r="H635" s="64">
        <v>36776.86</v>
      </c>
      <c r="I635" s="64">
        <f>ventas_b_mes684[[#This Row],[IMPORTE NETO]]*0.21</f>
        <v>7723.1405999999997</v>
      </c>
      <c r="J635" s="64"/>
      <c r="K635" s="64"/>
      <c r="L635" s="64">
        <f>SUM(ventas_b_mes684[[#This Row],[IMPORTE NETO]:[EXENTO]])</f>
        <v>44500.000599999999</v>
      </c>
      <c r="M635" s="59"/>
    </row>
    <row r="636" spans="2:13">
      <c r="B636" s="40" t="s">
        <v>2306</v>
      </c>
      <c r="C636" s="41">
        <v>6</v>
      </c>
      <c r="D636" s="42">
        <v>12</v>
      </c>
      <c r="E636" s="43">
        <v>29608</v>
      </c>
      <c r="F636" s="44">
        <v>33116313</v>
      </c>
      <c r="G636" s="1" t="str">
        <f>IFERROR(IF(ventas_b_mes684[[#This Row],[CUIT]]="","-",VLOOKUP(ventas_b_mes684[[#This Row],[CUIT]],Lista_CUIT[#All],2,0)),"CUIT NO CARGADO")</f>
        <v>CUIT NO CARGADO</v>
      </c>
      <c r="H636" s="64">
        <v>10338.84</v>
      </c>
      <c r="I636" s="64">
        <f>ventas_b_mes684[[#This Row],[IMPORTE NETO]]*0.21</f>
        <v>2171.1563999999998</v>
      </c>
      <c r="J636" s="64"/>
      <c r="K636" s="64"/>
      <c r="L636" s="64">
        <f>SUM(ventas_b_mes684[[#This Row],[IMPORTE NETO]:[EXENTO]])</f>
        <v>12509.9964</v>
      </c>
      <c r="M636" s="59"/>
    </row>
    <row r="637" spans="2:13">
      <c r="B637" s="40" t="s">
        <v>2306</v>
      </c>
      <c r="C637" s="41">
        <v>6</v>
      </c>
      <c r="D637" s="42">
        <v>12</v>
      </c>
      <c r="E637" s="43">
        <v>29599</v>
      </c>
      <c r="F637" s="44">
        <v>23810712</v>
      </c>
      <c r="G637" s="1" t="str">
        <f>IFERROR(IF(ventas_b_mes684[[#This Row],[CUIT]]="","-",VLOOKUP(ventas_b_mes684[[#This Row],[CUIT]],Lista_CUIT[#All],2,0)),"CUIT NO CARGADO")</f>
        <v>CUIT NO CARGADO</v>
      </c>
      <c r="H637" s="64">
        <v>21198.35</v>
      </c>
      <c r="I637" s="64">
        <f>ventas_b_mes684[[#This Row],[IMPORTE NETO]]*0.21</f>
        <v>4451.6534999999994</v>
      </c>
      <c r="J637" s="64"/>
      <c r="K637" s="64"/>
      <c r="L637" s="64">
        <f>SUM(ventas_b_mes684[[#This Row],[IMPORTE NETO]:[EXENTO]])</f>
        <v>25650.003499999999</v>
      </c>
      <c r="M637" s="59"/>
    </row>
    <row r="638" spans="2:13">
      <c r="B638" s="40" t="s">
        <v>2306</v>
      </c>
      <c r="C638" s="41">
        <v>6</v>
      </c>
      <c r="D638" s="42">
        <v>12</v>
      </c>
      <c r="E638" s="43">
        <v>29604</v>
      </c>
      <c r="F638" s="44">
        <v>32690436</v>
      </c>
      <c r="G638" s="1" t="str">
        <f>IFERROR(IF(ventas_b_mes684[[#This Row],[CUIT]]="","-",VLOOKUP(ventas_b_mes684[[#This Row],[CUIT]],Lista_CUIT[#All],2,0)),"CUIT NO CARGADO")</f>
        <v>CUIT NO CARGADO</v>
      </c>
      <c r="H638" s="64">
        <v>126198.35</v>
      </c>
      <c r="I638" s="64">
        <f>ventas_b_mes684[[#This Row],[IMPORTE NETO]]*0.21</f>
        <v>26501.6535</v>
      </c>
      <c r="J638" s="64"/>
      <c r="K638" s="64"/>
      <c r="L638" s="64">
        <f>SUM(ventas_b_mes684[[#This Row],[IMPORTE NETO]:[EXENTO]])</f>
        <v>152700.00349999999</v>
      </c>
      <c r="M638" s="59"/>
    </row>
    <row r="639" spans="2:13">
      <c r="B639" s="40" t="s">
        <v>2306</v>
      </c>
      <c r="C639" s="41">
        <v>6</v>
      </c>
      <c r="D639" s="42">
        <v>12</v>
      </c>
      <c r="E639" s="43">
        <v>29598</v>
      </c>
      <c r="F639" s="44">
        <v>23810712</v>
      </c>
      <c r="G639" s="1" t="str">
        <f>IFERROR(IF(ventas_b_mes684[[#This Row],[CUIT]]="","-",VLOOKUP(ventas_b_mes684[[#This Row],[CUIT]],Lista_CUIT[#All],2,0)),"CUIT NO CARGADO")</f>
        <v>CUIT NO CARGADO</v>
      </c>
      <c r="H639" s="64">
        <v>25578.51</v>
      </c>
      <c r="I639" s="64">
        <f>ventas_b_mes684[[#This Row],[IMPORTE NETO]]*0.21</f>
        <v>5371.4870999999994</v>
      </c>
      <c r="J639" s="64"/>
      <c r="K639" s="64"/>
      <c r="L639" s="64">
        <f>SUM(ventas_b_mes684[[#This Row],[IMPORTE NETO]:[EXENTO]])</f>
        <v>30949.997099999997</v>
      </c>
      <c r="M639" s="59"/>
    </row>
    <row r="640" spans="2:13">
      <c r="B640" s="40" t="s">
        <v>2306</v>
      </c>
      <c r="C640" s="41">
        <v>6</v>
      </c>
      <c r="D640" s="42">
        <v>11</v>
      </c>
      <c r="E640" s="43">
        <v>38050</v>
      </c>
      <c r="F640" s="44">
        <v>34343863</v>
      </c>
      <c r="G640" s="1" t="str">
        <f>IFERROR(IF(ventas_b_mes684[[#This Row],[CUIT]]="","-",VLOOKUP(ventas_b_mes684[[#This Row],[CUIT]],Lista_CUIT[#All],2,0)),"CUIT NO CARGADO")</f>
        <v>CUIT NO CARGADO</v>
      </c>
      <c r="H640" s="64">
        <v>42710.74</v>
      </c>
      <c r="I640" s="64">
        <f>ventas_b_mes684[[#This Row],[IMPORTE NETO]]*0.21</f>
        <v>8969.2554</v>
      </c>
      <c r="J640" s="64"/>
      <c r="K640" s="64"/>
      <c r="L640" s="64">
        <f>SUM(ventas_b_mes684[[#This Row],[IMPORTE NETO]:[EXENTO]])</f>
        <v>51679.9954</v>
      </c>
      <c r="M640" s="59"/>
    </row>
    <row r="641" spans="2:13">
      <c r="B641" s="40" t="s">
        <v>2306</v>
      </c>
      <c r="C641" s="41">
        <v>6</v>
      </c>
      <c r="D641" s="42">
        <v>13</v>
      </c>
      <c r="E641" s="43">
        <v>32431</v>
      </c>
      <c r="F641" s="44">
        <v>25905150</v>
      </c>
      <c r="G641" s="1" t="str">
        <f>IFERROR(IF(ventas_b_mes684[[#This Row],[CUIT]]="","-",VLOOKUP(ventas_b_mes684[[#This Row],[CUIT]],Lista_CUIT[#All],2,0)),"CUIT NO CARGADO")</f>
        <v>CUIT NO CARGADO</v>
      </c>
      <c r="H641" s="64">
        <v>6537.19</v>
      </c>
      <c r="I641" s="64">
        <f>ventas_b_mes684[[#This Row],[IMPORTE NETO]]*0.21</f>
        <v>1372.8099</v>
      </c>
      <c r="J641" s="64"/>
      <c r="K641" s="64"/>
      <c r="L641" s="64">
        <f>SUM(ventas_b_mes684[[#This Row],[IMPORTE NETO]:[EXENTO]])</f>
        <v>7909.9998999999998</v>
      </c>
      <c r="M641" s="59"/>
    </row>
    <row r="642" spans="2:13">
      <c r="B642" s="40" t="s">
        <v>2306</v>
      </c>
      <c r="C642" s="41">
        <v>6</v>
      </c>
      <c r="D642" s="42">
        <v>13</v>
      </c>
      <c r="E642" s="43">
        <v>32432</v>
      </c>
      <c r="F642" s="44">
        <v>23834100</v>
      </c>
      <c r="G642" s="1" t="str">
        <f>IFERROR(IF(ventas_b_mes684[[#This Row],[CUIT]]="","-",VLOOKUP(ventas_b_mes684[[#This Row],[CUIT]],Lista_CUIT[#All],2,0)),"CUIT NO CARGADO")</f>
        <v>CUIT NO CARGADO</v>
      </c>
      <c r="H642" s="64">
        <v>54380.17</v>
      </c>
      <c r="I642" s="64">
        <f>ventas_b_mes684[[#This Row],[IMPORTE NETO]]*0.21</f>
        <v>11419.8357</v>
      </c>
      <c r="J642" s="64"/>
      <c r="K642" s="64"/>
      <c r="L642" s="64">
        <f>SUM(ventas_b_mes684[[#This Row],[IMPORTE NETO]:[EXENTO]])</f>
        <v>65800.005699999994</v>
      </c>
      <c r="M642" s="59"/>
    </row>
    <row r="643" spans="2:13">
      <c r="B643" s="40" t="s">
        <v>2306</v>
      </c>
      <c r="C643" s="41">
        <v>6</v>
      </c>
      <c r="D643" s="42">
        <v>10</v>
      </c>
      <c r="E643" s="43">
        <v>54390</v>
      </c>
      <c r="F643" s="44">
        <v>94682952</v>
      </c>
      <c r="G643" s="1" t="str">
        <f>IFERROR(IF(ventas_b_mes684[[#This Row],[CUIT]]="","-",VLOOKUP(ventas_b_mes684[[#This Row],[CUIT]],Lista_CUIT[#All],2,0)),"CUIT NO CARGADO")</f>
        <v>CUIT NO CARGADO</v>
      </c>
      <c r="H643" s="64">
        <v>20661.16</v>
      </c>
      <c r="I643" s="64">
        <f>ventas_b_mes684[[#This Row],[IMPORTE NETO]]*0.21</f>
        <v>4338.8436000000002</v>
      </c>
      <c r="J643" s="64"/>
      <c r="K643" s="64"/>
      <c r="L643" s="64">
        <f>SUM(ventas_b_mes684[[#This Row],[IMPORTE NETO]:[EXENTO]])</f>
        <v>25000.0036</v>
      </c>
      <c r="M643" s="59"/>
    </row>
    <row r="644" spans="2:13">
      <c r="B644" s="40" t="s">
        <v>2306</v>
      </c>
      <c r="C644" s="41">
        <v>6</v>
      </c>
      <c r="D644" s="42">
        <v>11</v>
      </c>
      <c r="E644" s="43">
        <v>38045</v>
      </c>
      <c r="F644" s="44">
        <v>1776450</v>
      </c>
      <c r="G644" s="1" t="str">
        <f>IFERROR(IF(ventas_b_mes684[[#This Row],[CUIT]]="","-",VLOOKUP(ventas_b_mes684[[#This Row],[CUIT]],Lista_CUIT[#All],2,0)),"CUIT NO CARGADO")</f>
        <v>CUIT NO CARGADO</v>
      </c>
      <c r="H644" s="64">
        <v>7438.02</v>
      </c>
      <c r="I644" s="64">
        <f>ventas_b_mes684[[#This Row],[IMPORTE NETO]]*0.21</f>
        <v>1561.9842000000001</v>
      </c>
      <c r="J644" s="64"/>
      <c r="K644" s="64"/>
      <c r="L644" s="64">
        <f>SUM(ventas_b_mes684[[#This Row],[IMPORTE NETO]:[EXENTO]])</f>
        <v>9000.0042000000012</v>
      </c>
      <c r="M644" s="59"/>
    </row>
    <row r="645" spans="2:13">
      <c r="B645" s="40" t="s">
        <v>2306</v>
      </c>
      <c r="C645" s="41">
        <v>6</v>
      </c>
      <c r="D645" s="42">
        <v>15</v>
      </c>
      <c r="E645" s="43">
        <v>13159</v>
      </c>
      <c r="F645" s="44">
        <v>25974327</v>
      </c>
      <c r="G645" s="1" t="str">
        <f>IFERROR(IF(ventas_b_mes684[[#This Row],[CUIT]]="","-",VLOOKUP(ventas_b_mes684[[#This Row],[CUIT]],Lista_CUIT[#All],2,0)),"CUIT NO CARGADO")</f>
        <v>CUIT NO CARGADO</v>
      </c>
      <c r="H645" s="64">
        <v>20661.16</v>
      </c>
      <c r="I645" s="64">
        <f>ventas_b_mes684[[#This Row],[IMPORTE NETO]]*0.21</f>
        <v>4338.8436000000002</v>
      </c>
      <c r="J645" s="64"/>
      <c r="K645" s="64"/>
      <c r="L645" s="64">
        <f>SUM(ventas_b_mes684[[#This Row],[IMPORTE NETO]:[EXENTO]])</f>
        <v>25000.0036</v>
      </c>
      <c r="M645" s="59"/>
    </row>
    <row r="646" spans="2:13">
      <c r="B646" s="40" t="s">
        <v>2306</v>
      </c>
      <c r="C646" s="41">
        <v>6</v>
      </c>
      <c r="D646" s="42">
        <v>15</v>
      </c>
      <c r="E646" s="43">
        <v>13164</v>
      </c>
      <c r="F646" s="44">
        <v>43325862</v>
      </c>
      <c r="G646" s="1" t="str">
        <f>IFERROR(IF(ventas_b_mes684[[#This Row],[CUIT]]="","-",VLOOKUP(ventas_b_mes684[[#This Row],[CUIT]],Lista_CUIT[#All],2,0)),"CUIT NO CARGADO")</f>
        <v>CUIT NO CARGADO</v>
      </c>
      <c r="H646" s="64">
        <v>20661.16</v>
      </c>
      <c r="I646" s="64">
        <f>ventas_b_mes684[[#This Row],[IMPORTE NETO]]*0.21</f>
        <v>4338.8436000000002</v>
      </c>
      <c r="J646" s="64"/>
      <c r="K646" s="64"/>
      <c r="L646" s="64">
        <f>SUM(ventas_b_mes684[[#This Row],[IMPORTE NETO]:[EXENTO]])</f>
        <v>25000.0036</v>
      </c>
      <c r="M646" s="59"/>
    </row>
    <row r="647" spans="2:13">
      <c r="B647" s="40" t="s">
        <v>2306</v>
      </c>
      <c r="C647" s="41">
        <v>6</v>
      </c>
      <c r="D647" s="42">
        <v>15</v>
      </c>
      <c r="E647" s="43">
        <v>13163</v>
      </c>
      <c r="F647" s="44">
        <v>29674993</v>
      </c>
      <c r="G647" s="1" t="str">
        <f>IFERROR(IF(ventas_b_mes684[[#This Row],[CUIT]]="","-",VLOOKUP(ventas_b_mes684[[#This Row],[CUIT]],Lista_CUIT[#All],2,0)),"CUIT NO CARGADO")</f>
        <v>CUIT NO CARGADO</v>
      </c>
      <c r="H647" s="64">
        <v>20661.16</v>
      </c>
      <c r="I647" s="64">
        <f>ventas_b_mes684[[#This Row],[IMPORTE NETO]]*0.21</f>
        <v>4338.8436000000002</v>
      </c>
      <c r="J647" s="64"/>
      <c r="K647" s="64"/>
      <c r="L647" s="64">
        <f>SUM(ventas_b_mes684[[#This Row],[IMPORTE NETO]:[EXENTO]])</f>
        <v>25000.0036</v>
      </c>
      <c r="M647" s="59"/>
    </row>
    <row r="648" spans="2:13">
      <c r="B648" s="40" t="s">
        <v>2306</v>
      </c>
      <c r="C648" s="41">
        <v>6</v>
      </c>
      <c r="D648" s="42">
        <v>15</v>
      </c>
      <c r="E648" s="43">
        <v>13156</v>
      </c>
      <c r="F648" s="44">
        <v>45675142</v>
      </c>
      <c r="G648" s="1" t="str">
        <f>IFERROR(IF(ventas_b_mes684[[#This Row],[CUIT]]="","-",VLOOKUP(ventas_b_mes684[[#This Row],[CUIT]],Lista_CUIT[#All],2,0)),"CUIT NO CARGADO")</f>
        <v>CUIT NO CARGADO</v>
      </c>
      <c r="H648" s="64">
        <v>20661.16</v>
      </c>
      <c r="I648" s="64">
        <f>ventas_b_mes684[[#This Row],[IMPORTE NETO]]*0.21</f>
        <v>4338.8436000000002</v>
      </c>
      <c r="J648" s="64"/>
      <c r="K648" s="64"/>
      <c r="L648" s="64">
        <f>SUM(ventas_b_mes684[[#This Row],[IMPORTE NETO]:[EXENTO]])</f>
        <v>25000.0036</v>
      </c>
      <c r="M648" s="59"/>
    </row>
    <row r="649" spans="2:13">
      <c r="B649" s="40" t="s">
        <v>2306</v>
      </c>
      <c r="C649" s="41">
        <v>6</v>
      </c>
      <c r="D649" s="42">
        <v>10</v>
      </c>
      <c r="E649" s="43">
        <v>54400</v>
      </c>
      <c r="F649" s="44">
        <v>12932076</v>
      </c>
      <c r="G649" s="1" t="str">
        <f>IFERROR(IF(ventas_b_mes684[[#This Row],[CUIT]]="","-",VLOOKUP(ventas_b_mes684[[#This Row],[CUIT]],Lista_CUIT[#All],2,0)),"CUIT NO CARGADO")</f>
        <v>CUIT NO CARGADO</v>
      </c>
      <c r="H649" s="64">
        <v>72111.570000000007</v>
      </c>
      <c r="I649" s="64">
        <f>ventas_b_mes684[[#This Row],[IMPORTE NETO]]*0.21</f>
        <v>15143.429700000001</v>
      </c>
      <c r="J649" s="64"/>
      <c r="K649" s="64"/>
      <c r="L649" s="64">
        <f>SUM(ventas_b_mes684[[#This Row],[IMPORTE NETO]:[EXENTO]])</f>
        <v>87254.999700000015</v>
      </c>
      <c r="M649" s="59"/>
    </row>
    <row r="650" spans="2:13">
      <c r="B650" s="40" t="s">
        <v>2306</v>
      </c>
      <c r="C650" s="41">
        <v>6</v>
      </c>
      <c r="D650" s="42">
        <v>10</v>
      </c>
      <c r="E650" s="43">
        <v>54401</v>
      </c>
      <c r="F650" s="44">
        <v>34098077</v>
      </c>
      <c r="G650" s="1" t="str">
        <f>IFERROR(IF(ventas_b_mes684[[#This Row],[CUIT]]="","-",VLOOKUP(ventas_b_mes684[[#This Row],[CUIT]],Lista_CUIT[#All],2,0)),"CUIT NO CARGADO")</f>
        <v>CUIT NO CARGADO</v>
      </c>
      <c r="H650" s="64">
        <v>20661.16</v>
      </c>
      <c r="I650" s="64">
        <f>ventas_b_mes684[[#This Row],[IMPORTE NETO]]*0.21</f>
        <v>4338.8436000000002</v>
      </c>
      <c r="J650" s="64"/>
      <c r="K650" s="64"/>
      <c r="L650" s="64">
        <f>SUM(ventas_b_mes684[[#This Row],[IMPORTE NETO]:[EXENTO]])</f>
        <v>25000.0036</v>
      </c>
      <c r="M650" s="59"/>
    </row>
    <row r="651" spans="2:13">
      <c r="B651" s="40" t="s">
        <v>2306</v>
      </c>
      <c r="C651" s="41">
        <v>6</v>
      </c>
      <c r="D651" s="42">
        <v>13</v>
      </c>
      <c r="E651" s="43">
        <v>32435</v>
      </c>
      <c r="F651" s="44">
        <v>25905150</v>
      </c>
      <c r="G651" s="1" t="str">
        <f>IFERROR(IF(ventas_b_mes684[[#This Row],[CUIT]]="","-",VLOOKUP(ventas_b_mes684[[#This Row],[CUIT]],Lista_CUIT[#All],2,0)),"CUIT NO CARGADO")</f>
        <v>CUIT NO CARGADO</v>
      </c>
      <c r="H651" s="64">
        <v>5057.8500000000004</v>
      </c>
      <c r="I651" s="64">
        <f>ventas_b_mes684[[#This Row],[IMPORTE NETO]]*0.21</f>
        <v>1062.1485</v>
      </c>
      <c r="J651" s="64"/>
      <c r="K651" s="64"/>
      <c r="L651" s="64">
        <f>SUM(ventas_b_mes684[[#This Row],[IMPORTE NETO]:[EXENTO]])</f>
        <v>6119.9985000000006</v>
      </c>
      <c r="M651" s="59"/>
    </row>
    <row r="652" spans="2:13">
      <c r="B652" s="40" t="s">
        <v>2306</v>
      </c>
      <c r="C652" s="41">
        <v>6</v>
      </c>
      <c r="D652" s="42">
        <v>13</v>
      </c>
      <c r="E652" s="43">
        <v>32437</v>
      </c>
      <c r="F652" s="44">
        <v>20560897</v>
      </c>
      <c r="G652" s="1" t="str">
        <f>IFERROR(IF(ventas_b_mes684[[#This Row],[CUIT]]="","-",VLOOKUP(ventas_b_mes684[[#This Row],[CUIT]],Lista_CUIT[#All],2,0)),"CUIT NO CARGADO")</f>
        <v>CUIT NO CARGADO</v>
      </c>
      <c r="H652" s="64">
        <v>37355.370000000003</v>
      </c>
      <c r="I652" s="64">
        <f>ventas_b_mes684[[#This Row],[IMPORTE NETO]]*0.21</f>
        <v>7844.6277</v>
      </c>
      <c r="J652" s="64"/>
      <c r="K652" s="64"/>
      <c r="L652" s="64">
        <f>SUM(ventas_b_mes684[[#This Row],[IMPORTE NETO]:[EXENTO]])</f>
        <v>45199.9977</v>
      </c>
      <c r="M652" s="59"/>
    </row>
    <row r="653" spans="2:13">
      <c r="B653" s="40" t="s">
        <v>2306</v>
      </c>
      <c r="C653" s="41">
        <v>6</v>
      </c>
      <c r="D653" s="42">
        <v>13</v>
      </c>
      <c r="E653" s="43">
        <v>32440</v>
      </c>
      <c r="F653" s="44">
        <v>36497965</v>
      </c>
      <c r="G653" s="1" t="str">
        <f>IFERROR(IF(ventas_b_mes684[[#This Row],[CUIT]]="","-",VLOOKUP(ventas_b_mes684[[#This Row],[CUIT]],Lista_CUIT[#All],2,0)),"CUIT NO CARGADO")</f>
        <v>CUIT NO CARGADO</v>
      </c>
      <c r="H653" s="64">
        <v>7561.98</v>
      </c>
      <c r="I653" s="64">
        <f>ventas_b_mes684[[#This Row],[IMPORTE NETO]]*0.21</f>
        <v>1588.0157999999999</v>
      </c>
      <c r="J653" s="64"/>
      <c r="K653" s="64"/>
      <c r="L653" s="64">
        <f>SUM(ventas_b_mes684[[#This Row],[IMPORTE NETO]:[EXENTO]])</f>
        <v>9149.9957999999988</v>
      </c>
      <c r="M653" s="59"/>
    </row>
    <row r="654" spans="2:13">
      <c r="B654" s="40" t="s">
        <v>2306</v>
      </c>
      <c r="C654" s="41">
        <v>6</v>
      </c>
      <c r="D654" s="42">
        <v>10</v>
      </c>
      <c r="E654" s="43">
        <v>54406</v>
      </c>
      <c r="F654" s="44">
        <v>31905023</v>
      </c>
      <c r="G654" s="1" t="str">
        <f>IFERROR(IF(ventas_b_mes684[[#This Row],[CUIT]]="","-",VLOOKUP(ventas_b_mes684[[#This Row],[CUIT]],Lista_CUIT[#All],2,0)),"CUIT NO CARGADO")</f>
        <v>CUIT NO CARGADO</v>
      </c>
      <c r="H654" s="64">
        <v>45136.78</v>
      </c>
      <c r="I654" s="64">
        <f>ventas_b_mes684[[#This Row],[IMPORTE NETO]]*0.21</f>
        <v>9478.7237999999998</v>
      </c>
      <c r="J654" s="64"/>
      <c r="K654" s="64"/>
      <c r="L654" s="64">
        <f>SUM(ventas_b_mes684[[#This Row],[IMPORTE NETO]:[EXENTO]])</f>
        <v>54615.503799999999</v>
      </c>
      <c r="M654" s="59"/>
    </row>
    <row r="655" spans="2:13">
      <c r="B655" s="40" t="s">
        <v>2306</v>
      </c>
      <c r="C655" s="41">
        <v>6</v>
      </c>
      <c r="D655" s="42">
        <v>12</v>
      </c>
      <c r="E655" s="43">
        <v>29594</v>
      </c>
      <c r="F655" s="44">
        <v>20341823</v>
      </c>
      <c r="G655" s="1" t="str">
        <f>IFERROR(IF(ventas_b_mes684[[#This Row],[CUIT]]="","-",VLOOKUP(ventas_b_mes684[[#This Row],[CUIT]],Lista_CUIT[#All],2,0)),"CUIT NO CARGADO")</f>
        <v>CUIT NO CARGADO</v>
      </c>
      <c r="H655" s="64">
        <v>9917.36</v>
      </c>
      <c r="I655" s="64">
        <f>ventas_b_mes684[[#This Row],[IMPORTE NETO]]*0.21</f>
        <v>2082.6455999999998</v>
      </c>
      <c r="J655" s="64"/>
      <c r="K655" s="64"/>
      <c r="L655" s="64">
        <f>SUM(ventas_b_mes684[[#This Row],[IMPORTE NETO]:[EXENTO]])</f>
        <v>12000.0056</v>
      </c>
      <c r="M655" s="59"/>
    </row>
    <row r="656" spans="2:13">
      <c r="B656" s="40" t="s">
        <v>2306</v>
      </c>
      <c r="C656" s="41">
        <v>6</v>
      </c>
      <c r="D656" s="42">
        <v>11</v>
      </c>
      <c r="E656" s="43">
        <v>38049</v>
      </c>
      <c r="F656" s="44">
        <v>26710506</v>
      </c>
      <c r="G656" s="1" t="str">
        <f>IFERROR(IF(ventas_b_mes684[[#This Row],[CUIT]]="","-",VLOOKUP(ventas_b_mes684[[#This Row],[CUIT]],Lista_CUIT[#All],2,0)),"CUIT NO CARGADO")</f>
        <v>CUIT NO CARGADO</v>
      </c>
      <c r="H656" s="64">
        <v>7661.16</v>
      </c>
      <c r="I656" s="64">
        <f>ventas_b_mes684[[#This Row],[IMPORTE NETO]]*0.21</f>
        <v>1608.8435999999999</v>
      </c>
      <c r="J656" s="64"/>
      <c r="K656" s="64"/>
      <c r="L656" s="64">
        <f>SUM(ventas_b_mes684[[#This Row],[IMPORTE NETO]:[EXENTO]])</f>
        <v>9270.0036</v>
      </c>
      <c r="M656" s="59"/>
    </row>
    <row r="657" spans="2:13">
      <c r="B657" s="40" t="s">
        <v>2306</v>
      </c>
      <c r="C657" s="41">
        <v>6</v>
      </c>
      <c r="D657" s="42">
        <v>10</v>
      </c>
      <c r="E657" s="43">
        <v>54396</v>
      </c>
      <c r="F657" s="44">
        <v>31864492</v>
      </c>
      <c r="G657" s="1" t="str">
        <f>IFERROR(IF(ventas_b_mes684[[#This Row],[CUIT]]="","-",VLOOKUP(ventas_b_mes684[[#This Row],[CUIT]],Lista_CUIT[#All],2,0)),"CUIT NO CARGADO")</f>
        <v>CUIT NO CARGADO</v>
      </c>
      <c r="H657" s="64">
        <v>2743.8</v>
      </c>
      <c r="I657" s="64">
        <f>ventas_b_mes684[[#This Row],[IMPORTE NETO]]*0.21</f>
        <v>576.19799999999998</v>
      </c>
      <c r="J657" s="64"/>
      <c r="K657" s="64"/>
      <c r="L657" s="64">
        <f>SUM(ventas_b_mes684[[#This Row],[IMPORTE NETO]:[EXENTO]])</f>
        <v>3319.998</v>
      </c>
      <c r="M657" s="59"/>
    </row>
    <row r="658" spans="2:13">
      <c r="B658" s="40" t="s">
        <v>2306</v>
      </c>
      <c r="C658" s="41">
        <v>6</v>
      </c>
      <c r="D658" s="42">
        <v>12</v>
      </c>
      <c r="E658" s="43">
        <v>29589</v>
      </c>
      <c r="F658" s="44">
        <v>43043381</v>
      </c>
      <c r="G658" s="1" t="str">
        <f>IFERROR(IF(ventas_b_mes684[[#This Row],[CUIT]]="","-",VLOOKUP(ventas_b_mes684[[#This Row],[CUIT]],Lista_CUIT[#All],2,0)),"CUIT NO CARGADO")</f>
        <v>CUIT NO CARGADO</v>
      </c>
      <c r="H658" s="64">
        <v>20661.16</v>
      </c>
      <c r="I658" s="64">
        <f>ventas_b_mes684[[#This Row],[IMPORTE NETO]]*0.21</f>
        <v>4338.8436000000002</v>
      </c>
      <c r="J658" s="64"/>
      <c r="K658" s="64"/>
      <c r="L658" s="64">
        <f>SUM(ventas_b_mes684[[#This Row],[IMPORTE NETO]:[EXENTO]])</f>
        <v>25000.0036</v>
      </c>
      <c r="M658" s="59"/>
    </row>
    <row r="659" spans="2:13">
      <c r="B659" s="40" t="s">
        <v>2306</v>
      </c>
      <c r="C659" s="41">
        <v>6</v>
      </c>
      <c r="D659" s="42">
        <v>12</v>
      </c>
      <c r="E659" s="43">
        <v>29595</v>
      </c>
      <c r="F659" s="44">
        <v>32996711</v>
      </c>
      <c r="G659" s="1" t="str">
        <f>IFERROR(IF(ventas_b_mes684[[#This Row],[CUIT]]="","-",VLOOKUP(ventas_b_mes684[[#This Row],[CUIT]],Lista_CUIT[#All],2,0)),"CUIT NO CARGADO")</f>
        <v>CUIT NO CARGADO</v>
      </c>
      <c r="H659" s="64">
        <v>40533.06</v>
      </c>
      <c r="I659" s="64">
        <f>ventas_b_mes684[[#This Row],[IMPORTE NETO]]*0.21</f>
        <v>8511.9425999999985</v>
      </c>
      <c r="J659" s="64"/>
      <c r="K659" s="64"/>
      <c r="L659" s="64">
        <f>SUM(ventas_b_mes684[[#This Row],[IMPORTE NETO]:[EXENTO]])</f>
        <v>49045.002599999993</v>
      </c>
      <c r="M659" s="59"/>
    </row>
    <row r="660" spans="2:13">
      <c r="B660" s="40" t="s">
        <v>2306</v>
      </c>
      <c r="C660" s="41">
        <v>6</v>
      </c>
      <c r="D660" s="42">
        <v>13</v>
      </c>
      <c r="E660" s="43">
        <v>32441</v>
      </c>
      <c r="F660" s="44">
        <v>36497965</v>
      </c>
      <c r="G660" s="1" t="str">
        <f>IFERROR(IF(ventas_b_mes684[[#This Row],[CUIT]]="","-",VLOOKUP(ventas_b_mes684[[#This Row],[CUIT]],Lista_CUIT[#All],2,0)),"CUIT NO CARGADO")</f>
        <v>CUIT NO CARGADO</v>
      </c>
      <c r="H660" s="64">
        <v>2086.77</v>
      </c>
      <c r="I660" s="64">
        <f>ventas_b_mes684[[#This Row],[IMPORTE NETO]]*0.21</f>
        <v>438.2217</v>
      </c>
      <c r="J660" s="64"/>
      <c r="K660" s="64"/>
      <c r="L660" s="64">
        <f>SUM(ventas_b_mes684[[#This Row],[IMPORTE NETO]:[EXENTO]])</f>
        <v>2524.9917</v>
      </c>
      <c r="M660" s="59"/>
    </row>
    <row r="661" spans="2:13">
      <c r="B661" s="40" t="s">
        <v>2306</v>
      </c>
      <c r="C661" s="41">
        <v>6</v>
      </c>
      <c r="D661" s="42">
        <v>12</v>
      </c>
      <c r="E661" s="43">
        <v>29601</v>
      </c>
      <c r="F661" s="44">
        <v>16399632</v>
      </c>
      <c r="G661" s="1" t="str">
        <f>IFERROR(IF(ventas_b_mes684[[#This Row],[CUIT]]="","-",VLOOKUP(ventas_b_mes684[[#This Row],[CUIT]],Lista_CUIT[#All],2,0)),"CUIT NO CARGADO")</f>
        <v>CUIT NO CARGADO</v>
      </c>
      <c r="H661" s="64">
        <v>19256.2</v>
      </c>
      <c r="I661" s="64">
        <f>ventas_b_mes684[[#This Row],[IMPORTE NETO]]*0.21</f>
        <v>4043.8020000000001</v>
      </c>
      <c r="J661" s="64"/>
      <c r="K661" s="64"/>
      <c r="L661" s="64">
        <f>SUM(ventas_b_mes684[[#This Row],[IMPORTE NETO]:[EXENTO]])</f>
        <v>23300.002</v>
      </c>
      <c r="M661" s="59"/>
    </row>
    <row r="662" spans="2:13">
      <c r="B662" s="40" t="s">
        <v>2306</v>
      </c>
      <c r="C662" s="41">
        <v>6</v>
      </c>
      <c r="D662" s="42">
        <v>12</v>
      </c>
      <c r="E662" s="43">
        <v>29586</v>
      </c>
      <c r="F662" s="44">
        <v>43085333</v>
      </c>
      <c r="G662" s="1" t="str">
        <f>IFERROR(IF(ventas_b_mes684[[#This Row],[CUIT]]="","-",VLOOKUP(ventas_b_mes684[[#This Row],[CUIT]],Lista_CUIT[#All],2,0)),"CUIT NO CARGADO")</f>
        <v>CUIT NO CARGADO</v>
      </c>
      <c r="H662" s="64">
        <v>20661.16</v>
      </c>
      <c r="I662" s="64">
        <f>ventas_b_mes684[[#This Row],[IMPORTE NETO]]*0.21</f>
        <v>4338.8436000000002</v>
      </c>
      <c r="J662" s="64"/>
      <c r="K662" s="64"/>
      <c r="L662" s="64">
        <f>SUM(ventas_b_mes684[[#This Row],[IMPORTE NETO]:[EXENTO]])</f>
        <v>25000.0036</v>
      </c>
      <c r="M662" s="59"/>
    </row>
    <row r="663" spans="2:13">
      <c r="B663" s="40" t="s">
        <v>2306</v>
      </c>
      <c r="C663" s="41">
        <v>6</v>
      </c>
      <c r="D663" s="42">
        <v>13</v>
      </c>
      <c r="E663" s="43">
        <v>32433</v>
      </c>
      <c r="F663" s="44">
        <v>23834100</v>
      </c>
      <c r="G663" s="1" t="str">
        <f>IFERROR(IF(ventas_b_mes684[[#This Row],[CUIT]]="","-",VLOOKUP(ventas_b_mes684[[#This Row],[CUIT]],Lista_CUIT[#All],2,0)),"CUIT NO CARGADO")</f>
        <v>CUIT NO CARGADO</v>
      </c>
      <c r="H663" s="64">
        <v>17231.400000000001</v>
      </c>
      <c r="I663" s="64">
        <f>ventas_b_mes684[[#This Row],[IMPORTE NETO]]*0.21</f>
        <v>3618.5940000000001</v>
      </c>
      <c r="J663" s="64"/>
      <c r="K663" s="64"/>
      <c r="L663" s="64">
        <f>SUM(ventas_b_mes684[[#This Row],[IMPORTE NETO]:[EXENTO]])</f>
        <v>20849.994000000002</v>
      </c>
      <c r="M663" s="59"/>
    </row>
    <row r="664" spans="2:13">
      <c r="B664" s="40" t="s">
        <v>2306</v>
      </c>
      <c r="C664" s="41">
        <v>6</v>
      </c>
      <c r="D664" s="42">
        <v>13</v>
      </c>
      <c r="E664" s="43">
        <v>32439</v>
      </c>
      <c r="F664" s="44">
        <v>12369877</v>
      </c>
      <c r="G664" s="1" t="str">
        <f>IFERROR(IF(ventas_b_mes684[[#This Row],[CUIT]]="","-",VLOOKUP(ventas_b_mes684[[#This Row],[CUIT]],Lista_CUIT[#All],2,0)),"CUIT NO CARGADO")</f>
        <v>CUIT NO CARGADO</v>
      </c>
      <c r="H664" s="64">
        <v>5123.97</v>
      </c>
      <c r="I664" s="64">
        <f>ventas_b_mes684[[#This Row],[IMPORTE NETO]]*0.21</f>
        <v>1076.0337</v>
      </c>
      <c r="J664" s="64"/>
      <c r="K664" s="64"/>
      <c r="L664" s="64">
        <f>SUM(ventas_b_mes684[[#This Row],[IMPORTE NETO]:[EXENTO]])</f>
        <v>6200.0037000000002</v>
      </c>
      <c r="M664" s="59"/>
    </row>
    <row r="665" spans="2:13">
      <c r="B665" s="40" t="s">
        <v>2306</v>
      </c>
      <c r="C665" s="41">
        <v>6</v>
      </c>
      <c r="D665" s="42">
        <v>15</v>
      </c>
      <c r="E665" s="43">
        <v>13162</v>
      </c>
      <c r="F665" s="44">
        <v>31940963</v>
      </c>
      <c r="G665" s="1" t="str">
        <f>IFERROR(IF(ventas_b_mes684[[#This Row],[CUIT]]="","-",VLOOKUP(ventas_b_mes684[[#This Row],[CUIT]],Lista_CUIT[#All],2,0)),"CUIT NO CARGADO")</f>
        <v>CUIT NO CARGADO</v>
      </c>
      <c r="H665" s="64">
        <v>20661.16</v>
      </c>
      <c r="I665" s="64">
        <f>ventas_b_mes684[[#This Row],[IMPORTE NETO]]*0.21</f>
        <v>4338.8436000000002</v>
      </c>
      <c r="J665" s="64"/>
      <c r="K665" s="64"/>
      <c r="L665" s="64">
        <f>SUM(ventas_b_mes684[[#This Row],[IMPORTE NETO]:[EXENTO]])</f>
        <v>25000.0036</v>
      </c>
      <c r="M665" s="59"/>
    </row>
    <row r="666" spans="2:13">
      <c r="B666" s="40" t="s">
        <v>2306</v>
      </c>
      <c r="C666" s="41">
        <v>6</v>
      </c>
      <c r="D666" s="42">
        <v>11</v>
      </c>
      <c r="E666" s="43">
        <v>38044</v>
      </c>
      <c r="F666" s="44">
        <v>11389944</v>
      </c>
      <c r="G666" s="1" t="str">
        <f>IFERROR(IF(ventas_b_mes684[[#This Row],[CUIT]]="","-",VLOOKUP(ventas_b_mes684[[#This Row],[CUIT]],Lista_CUIT[#All],2,0)),"CUIT NO CARGADO")</f>
        <v>CUIT NO CARGADO</v>
      </c>
      <c r="H666" s="64">
        <v>54669.42</v>
      </c>
      <c r="I666" s="64">
        <f>ventas_b_mes684[[#This Row],[IMPORTE NETO]]*0.21</f>
        <v>11480.5782</v>
      </c>
      <c r="J666" s="64"/>
      <c r="K666" s="64"/>
      <c r="L666" s="64">
        <f>SUM(ventas_b_mes684[[#This Row],[IMPORTE NETO]:[EXENTO]])</f>
        <v>66149.998200000002</v>
      </c>
      <c r="M666" s="59"/>
    </row>
    <row r="667" spans="2:13">
      <c r="B667" s="40" t="s">
        <v>2306</v>
      </c>
      <c r="C667" s="41">
        <v>6</v>
      </c>
      <c r="D667" s="42">
        <v>13</v>
      </c>
      <c r="E667" s="43">
        <v>32430</v>
      </c>
      <c r="F667" s="44">
        <v>45237276</v>
      </c>
      <c r="G667" s="1" t="str">
        <f>IFERROR(IF(ventas_b_mes684[[#This Row],[CUIT]]="","-",VLOOKUP(ventas_b_mes684[[#This Row],[CUIT]],Lista_CUIT[#All],2,0)),"CUIT NO CARGADO")</f>
        <v>CUIT NO CARGADO</v>
      </c>
      <c r="H667" s="64">
        <v>20661.16</v>
      </c>
      <c r="I667" s="64">
        <f>ventas_b_mes684[[#This Row],[IMPORTE NETO]]*0.21</f>
        <v>4338.8436000000002</v>
      </c>
      <c r="J667" s="64"/>
      <c r="K667" s="64"/>
      <c r="L667" s="64">
        <f>SUM(ventas_b_mes684[[#This Row],[IMPORTE NETO]:[EXENTO]])</f>
        <v>25000.0036</v>
      </c>
      <c r="M667" s="59"/>
    </row>
    <row r="668" spans="2:13">
      <c r="B668" s="40" t="s">
        <v>2306</v>
      </c>
      <c r="C668" s="41">
        <v>6</v>
      </c>
      <c r="D668" s="42">
        <v>12</v>
      </c>
      <c r="E668" s="43">
        <v>29593</v>
      </c>
      <c r="F668" s="44">
        <v>1127352733</v>
      </c>
      <c r="G668" s="1" t="str">
        <f>IFERROR(IF(ventas_b_mes684[[#This Row],[CUIT]]="","-",VLOOKUP(ventas_b_mes684[[#This Row],[CUIT]],Lista_CUIT[#All],2,0)),"CUIT NO CARGADO")</f>
        <v>CUIT NO CARGADO</v>
      </c>
      <c r="H668" s="64">
        <v>9917.36</v>
      </c>
      <c r="I668" s="64">
        <f>ventas_b_mes684[[#This Row],[IMPORTE NETO]]*0.21</f>
        <v>2082.6455999999998</v>
      </c>
      <c r="J668" s="64"/>
      <c r="K668" s="64"/>
      <c r="L668" s="64">
        <f>SUM(ventas_b_mes684[[#This Row],[IMPORTE NETO]:[EXENTO]])</f>
        <v>12000.0056</v>
      </c>
      <c r="M668" s="59"/>
    </row>
    <row r="669" spans="2:13">
      <c r="B669" s="40" t="s">
        <v>2306</v>
      </c>
      <c r="C669" s="41">
        <v>6</v>
      </c>
      <c r="D669" s="42">
        <v>11</v>
      </c>
      <c r="E669" s="43">
        <v>38030</v>
      </c>
      <c r="F669" s="44">
        <v>14375955</v>
      </c>
      <c r="G669" s="1" t="str">
        <f>IFERROR(IF(ventas_b_mes684[[#This Row],[CUIT]]="","-",VLOOKUP(ventas_b_mes684[[#This Row],[CUIT]],Lista_CUIT[#All],2,0)),"CUIT NO CARGADO")</f>
        <v>CUIT NO CARGADO</v>
      </c>
      <c r="H669" s="64">
        <v>32892.559999999998</v>
      </c>
      <c r="I669" s="64">
        <f>ventas_b_mes684[[#This Row],[IMPORTE NETO]]*0.21</f>
        <v>6907.4375999999993</v>
      </c>
      <c r="J669" s="64"/>
      <c r="K669" s="64"/>
      <c r="L669" s="64">
        <f>SUM(ventas_b_mes684[[#This Row],[IMPORTE NETO]:[EXENTO]])</f>
        <v>39799.997599999995</v>
      </c>
      <c r="M669" s="59"/>
    </row>
    <row r="670" spans="2:13">
      <c r="B670" s="40" t="s">
        <v>2306</v>
      </c>
      <c r="C670" s="41">
        <v>6</v>
      </c>
      <c r="D670" s="42">
        <v>11</v>
      </c>
      <c r="E670" s="43">
        <v>38041</v>
      </c>
      <c r="F670" s="44">
        <v>27263118834</v>
      </c>
      <c r="G670" s="1" t="str">
        <f>IFERROR(IF(ventas_b_mes684[[#This Row],[CUIT]]="","-",VLOOKUP(ventas_b_mes684[[#This Row],[CUIT]],Lista_CUIT[#All],2,0)),"CUIT NO CARGADO")</f>
        <v>RONCORONI DANIELA VERONICA</v>
      </c>
      <c r="H670" s="64">
        <v>9752.07</v>
      </c>
      <c r="I670" s="64">
        <f>ventas_b_mes684[[#This Row],[IMPORTE NETO]]*0.21</f>
        <v>2047.9346999999998</v>
      </c>
      <c r="J670" s="64"/>
      <c r="K670" s="64"/>
      <c r="L670" s="64">
        <f>SUM(ventas_b_mes684[[#This Row],[IMPORTE NETO]:[EXENTO]])</f>
        <v>11800.0047</v>
      </c>
      <c r="M670" s="59"/>
    </row>
    <row r="671" spans="2:13">
      <c r="B671" s="40" t="s">
        <v>2306</v>
      </c>
      <c r="C671" s="41">
        <v>6</v>
      </c>
      <c r="D671" s="42">
        <v>12</v>
      </c>
      <c r="E671" s="43">
        <v>29588</v>
      </c>
      <c r="F671" s="44">
        <v>46352658</v>
      </c>
      <c r="G671" s="1" t="str">
        <f>IFERROR(IF(ventas_b_mes684[[#This Row],[CUIT]]="","-",VLOOKUP(ventas_b_mes684[[#This Row],[CUIT]],Lista_CUIT[#All],2,0)),"CUIT NO CARGADO")</f>
        <v>CUIT NO CARGADO</v>
      </c>
      <c r="H671" s="64">
        <v>20661.16</v>
      </c>
      <c r="I671" s="64">
        <f>ventas_b_mes684[[#This Row],[IMPORTE NETO]]*0.21</f>
        <v>4338.8436000000002</v>
      </c>
      <c r="J671" s="64"/>
      <c r="K671" s="64"/>
      <c r="L671" s="64">
        <f>SUM(ventas_b_mes684[[#This Row],[IMPORTE NETO]:[EXENTO]])</f>
        <v>25000.0036</v>
      </c>
      <c r="M671" s="59"/>
    </row>
    <row r="672" spans="2:13">
      <c r="B672" s="40" t="s">
        <v>2306</v>
      </c>
      <c r="C672" s="41">
        <v>6</v>
      </c>
      <c r="D672" s="42">
        <v>15</v>
      </c>
      <c r="E672" s="43">
        <v>13165</v>
      </c>
      <c r="F672" s="44">
        <v>33086577</v>
      </c>
      <c r="G672" s="1" t="str">
        <f>IFERROR(IF(ventas_b_mes684[[#This Row],[CUIT]]="","-",VLOOKUP(ventas_b_mes684[[#This Row],[CUIT]],Lista_CUIT[#All],2,0)),"CUIT NO CARGADO")</f>
        <v>CUIT NO CARGADO</v>
      </c>
      <c r="H672" s="64">
        <v>26900.82</v>
      </c>
      <c r="I672" s="64">
        <f>ventas_b_mes684[[#This Row],[IMPORTE NETO]]*0.21</f>
        <v>5649.1722</v>
      </c>
      <c r="J672" s="64"/>
      <c r="K672" s="64"/>
      <c r="L672" s="64">
        <f>SUM(ventas_b_mes684[[#This Row],[IMPORTE NETO]:[EXENTO]])</f>
        <v>32549.992200000001</v>
      </c>
      <c r="M672" s="59"/>
    </row>
    <row r="673" spans="2:13">
      <c r="B673" s="40" t="s">
        <v>2306</v>
      </c>
      <c r="C673" s="41">
        <v>6</v>
      </c>
      <c r="D673" s="42">
        <v>12</v>
      </c>
      <c r="E673" s="43">
        <v>29584</v>
      </c>
      <c r="F673" s="44">
        <v>93958330</v>
      </c>
      <c r="G673" s="1" t="str">
        <f>IFERROR(IF(ventas_b_mes684[[#This Row],[CUIT]]="","-",VLOOKUP(ventas_b_mes684[[#This Row],[CUIT]],Lista_CUIT[#All],2,0)),"CUIT NO CARGADO")</f>
        <v>CUIT NO CARGADO</v>
      </c>
      <c r="H673" s="64">
        <v>21570.25</v>
      </c>
      <c r="I673" s="64">
        <f>ventas_b_mes684[[#This Row],[IMPORTE NETO]]*0.21</f>
        <v>4529.7524999999996</v>
      </c>
      <c r="J673" s="64"/>
      <c r="K673" s="64"/>
      <c r="L673" s="64">
        <f>SUM(ventas_b_mes684[[#This Row],[IMPORTE NETO]:[EXENTO]])</f>
        <v>26100.002499999999</v>
      </c>
      <c r="M673" s="59"/>
    </row>
    <row r="674" spans="2:13">
      <c r="B674" s="40" t="s">
        <v>2306</v>
      </c>
      <c r="C674" s="41">
        <v>6</v>
      </c>
      <c r="D674" s="42">
        <v>15</v>
      </c>
      <c r="E674" s="43">
        <v>13157</v>
      </c>
      <c r="F674" s="44">
        <v>30809515</v>
      </c>
      <c r="G674" s="1" t="str">
        <f>IFERROR(IF(ventas_b_mes684[[#This Row],[CUIT]]="","-",VLOOKUP(ventas_b_mes684[[#This Row],[CUIT]],Lista_CUIT[#All],2,0)),"CUIT NO CARGADO")</f>
        <v>CUIT NO CARGADO</v>
      </c>
      <c r="H674" s="64">
        <v>51157.02</v>
      </c>
      <c r="I674" s="64">
        <f>ventas_b_mes684[[#This Row],[IMPORTE NETO]]*0.21</f>
        <v>10742.974199999999</v>
      </c>
      <c r="J674" s="64"/>
      <c r="K674" s="64"/>
      <c r="L674" s="64">
        <f>SUM(ventas_b_mes684[[#This Row],[IMPORTE NETO]:[EXENTO]])</f>
        <v>61899.994199999994</v>
      </c>
      <c r="M674" s="59"/>
    </row>
    <row r="675" spans="2:13">
      <c r="B675" s="40" t="s">
        <v>2306</v>
      </c>
      <c r="C675" s="41">
        <v>6</v>
      </c>
      <c r="D675" s="42">
        <v>15</v>
      </c>
      <c r="E675" s="43">
        <v>13158</v>
      </c>
      <c r="F675" s="44">
        <v>17193414</v>
      </c>
      <c r="G675" s="1" t="str">
        <f>IFERROR(IF(ventas_b_mes684[[#This Row],[CUIT]]="","-",VLOOKUP(ventas_b_mes684[[#This Row],[CUIT]],Lista_CUIT[#All],2,0)),"CUIT NO CARGADO")</f>
        <v>CUIT NO CARGADO</v>
      </c>
      <c r="H675" s="64">
        <v>153305.79</v>
      </c>
      <c r="I675" s="64">
        <f>ventas_b_mes684[[#This Row],[IMPORTE NETO]]*0.21</f>
        <v>32194.215899999999</v>
      </c>
      <c r="J675" s="64"/>
      <c r="K675" s="64"/>
      <c r="L675" s="64">
        <f>SUM(ventas_b_mes684[[#This Row],[IMPORTE NETO]:[EXENTO]])</f>
        <v>185500.00590000002</v>
      </c>
      <c r="M675" s="59"/>
    </row>
    <row r="676" spans="2:13">
      <c r="B676" s="40" t="s">
        <v>2306</v>
      </c>
      <c r="C676" s="41">
        <v>6</v>
      </c>
      <c r="D676" s="42">
        <v>10</v>
      </c>
      <c r="E676" s="43">
        <v>54384</v>
      </c>
      <c r="F676" s="44">
        <v>14596392</v>
      </c>
      <c r="G676" s="1" t="str">
        <f>IFERROR(IF(ventas_b_mes684[[#This Row],[CUIT]]="","-",VLOOKUP(ventas_b_mes684[[#This Row],[CUIT]],Lista_CUIT[#All],2,0)),"CUIT NO CARGADO")</f>
        <v>CUIT NO CARGADO</v>
      </c>
      <c r="H676" s="64">
        <v>68562</v>
      </c>
      <c r="I676" s="64">
        <f>ventas_b_mes684[[#This Row],[IMPORTE NETO]]*0.21</f>
        <v>14398.019999999999</v>
      </c>
      <c r="J676" s="64"/>
      <c r="K676" s="64"/>
      <c r="L676" s="64">
        <f>SUM(ventas_b_mes684[[#This Row],[IMPORTE NETO]:[EXENTO]])</f>
        <v>82960.02</v>
      </c>
      <c r="M676" s="59"/>
    </row>
    <row r="677" spans="2:13">
      <c r="B677" s="40" t="s">
        <v>2306</v>
      </c>
      <c r="C677" s="41">
        <v>6</v>
      </c>
      <c r="D677" s="42">
        <v>10</v>
      </c>
      <c r="E677" s="43">
        <v>54408</v>
      </c>
      <c r="F677" s="44">
        <v>95153984</v>
      </c>
      <c r="G677" s="1" t="str">
        <f>IFERROR(IF(ventas_b_mes684[[#This Row],[CUIT]]="","-",VLOOKUP(ventas_b_mes684[[#This Row],[CUIT]],Lista_CUIT[#All],2,0)),"CUIT NO CARGADO")</f>
        <v>CUIT NO CARGADO</v>
      </c>
      <c r="H677" s="64">
        <v>129347.1</v>
      </c>
      <c r="I677" s="64">
        <f>ventas_b_mes684[[#This Row],[IMPORTE NETO]]*0.21</f>
        <v>27162.891</v>
      </c>
      <c r="J677" s="64"/>
      <c r="K677" s="64"/>
      <c r="L677" s="64">
        <f>SUM(ventas_b_mes684[[#This Row],[IMPORTE NETO]:[EXENTO]])</f>
        <v>156509.99100000001</v>
      </c>
      <c r="M677" s="59"/>
    </row>
    <row r="678" spans="2:13">
      <c r="B678" s="40" t="s">
        <v>2306</v>
      </c>
      <c r="C678" s="41">
        <v>6</v>
      </c>
      <c r="D678" s="42">
        <v>10</v>
      </c>
      <c r="E678" s="43">
        <v>54407</v>
      </c>
      <c r="F678" s="44">
        <v>95153984</v>
      </c>
      <c r="G678" s="1" t="str">
        <f>IFERROR(IF(ventas_b_mes684[[#This Row],[CUIT]]="","-",VLOOKUP(ventas_b_mes684[[#This Row],[CUIT]],Lista_CUIT[#All],2,0)),"CUIT NO CARGADO")</f>
        <v>CUIT NO CARGADO</v>
      </c>
      <c r="H678" s="64">
        <v>240256.16</v>
      </c>
      <c r="I678" s="64">
        <f>ventas_b_mes684[[#This Row],[IMPORTE NETO]]*0.21</f>
        <v>50453.793599999997</v>
      </c>
      <c r="J678" s="64"/>
      <c r="K678" s="64"/>
      <c r="L678" s="64">
        <f>SUM(ventas_b_mes684[[#This Row],[IMPORTE NETO]:[EXENTO]])</f>
        <v>290709.95360000001</v>
      </c>
      <c r="M678" s="59"/>
    </row>
    <row r="679" spans="2:13">
      <c r="B679" s="40" t="s">
        <v>2306</v>
      </c>
      <c r="C679" s="41">
        <v>6</v>
      </c>
      <c r="D679" s="42">
        <v>11</v>
      </c>
      <c r="E679" s="43">
        <v>38053</v>
      </c>
      <c r="F679" s="44">
        <v>96002461</v>
      </c>
      <c r="G679" s="1" t="str">
        <f>IFERROR(IF(ventas_b_mes684[[#This Row],[CUIT]]="","-",VLOOKUP(ventas_b_mes684[[#This Row],[CUIT]],Lista_CUIT[#All],2,0)),"CUIT NO CARGADO")</f>
        <v>CUIT NO CARGADO</v>
      </c>
      <c r="H679" s="64">
        <v>20661.16</v>
      </c>
      <c r="I679" s="64">
        <f>ventas_b_mes684[[#This Row],[IMPORTE NETO]]*0.21</f>
        <v>4338.8436000000002</v>
      </c>
      <c r="J679" s="64"/>
      <c r="K679" s="64"/>
      <c r="L679" s="64">
        <f>SUM(ventas_b_mes684[[#This Row],[IMPORTE NETO]:[EXENTO]])</f>
        <v>25000.0036</v>
      </c>
      <c r="M679" s="59"/>
    </row>
    <row r="680" spans="2:13">
      <c r="B680" s="40" t="s">
        <v>2306</v>
      </c>
      <c r="C680" s="41">
        <v>6</v>
      </c>
      <c r="D680" s="42">
        <v>11</v>
      </c>
      <c r="E680" s="43">
        <v>38054</v>
      </c>
      <c r="F680" s="44">
        <v>26710506</v>
      </c>
      <c r="G680" s="1" t="str">
        <f>IFERROR(IF(ventas_b_mes684[[#This Row],[CUIT]]="","-",VLOOKUP(ventas_b_mes684[[#This Row],[CUIT]],Lista_CUIT[#All],2,0)),"CUIT NO CARGADO")</f>
        <v>CUIT NO CARGADO</v>
      </c>
      <c r="H680" s="64">
        <v>9966.94</v>
      </c>
      <c r="I680" s="64">
        <f>ventas_b_mes684[[#This Row],[IMPORTE NETO]]*0.21</f>
        <v>2093.0574000000001</v>
      </c>
      <c r="J680" s="64"/>
      <c r="K680" s="64"/>
      <c r="L680" s="64">
        <f>SUM(ventas_b_mes684[[#This Row],[IMPORTE NETO]:[EXENTO]])</f>
        <v>12059.9974</v>
      </c>
      <c r="M680" s="59"/>
    </row>
    <row r="681" spans="2:13">
      <c r="B681" s="40" t="s">
        <v>2306</v>
      </c>
      <c r="C681" s="41">
        <v>6</v>
      </c>
      <c r="D681" s="42">
        <v>11</v>
      </c>
      <c r="E681" s="43">
        <v>38052</v>
      </c>
      <c r="F681" s="44">
        <v>96002461</v>
      </c>
      <c r="G681" s="1" t="str">
        <f>IFERROR(IF(ventas_b_mes684[[#This Row],[CUIT]]="","-",VLOOKUP(ventas_b_mes684[[#This Row],[CUIT]],Lista_CUIT[#All],2,0)),"CUIT NO CARGADO")</f>
        <v>CUIT NO CARGADO</v>
      </c>
      <c r="H681" s="64">
        <v>10561.98</v>
      </c>
      <c r="I681" s="64">
        <f>ventas_b_mes684[[#This Row],[IMPORTE NETO]]*0.21</f>
        <v>2218.0157999999997</v>
      </c>
      <c r="J681" s="64"/>
      <c r="K681" s="64"/>
      <c r="L681" s="64">
        <f>SUM(ventas_b_mes684[[#This Row],[IMPORTE NETO]:[EXENTO]])</f>
        <v>12779.995799999999</v>
      </c>
      <c r="M681" s="59"/>
    </row>
    <row r="682" spans="2:13">
      <c r="B682" s="40" t="s">
        <v>2306</v>
      </c>
      <c r="C682" s="41">
        <v>6</v>
      </c>
      <c r="D682" s="42">
        <v>10</v>
      </c>
      <c r="E682" s="43">
        <v>54385</v>
      </c>
      <c r="F682" s="44">
        <v>22479855</v>
      </c>
      <c r="G682" s="1" t="str">
        <f>IFERROR(IF(ventas_b_mes684[[#This Row],[CUIT]]="","-",VLOOKUP(ventas_b_mes684[[#This Row],[CUIT]],Lista_CUIT[#All],2,0)),"CUIT NO CARGADO")</f>
        <v>CUIT NO CARGADO</v>
      </c>
      <c r="H682" s="64">
        <v>71280.990000000005</v>
      </c>
      <c r="I682" s="64">
        <f>ventas_b_mes684[[#This Row],[IMPORTE NETO]]*0.21</f>
        <v>14969.007900000001</v>
      </c>
      <c r="J682" s="64"/>
      <c r="K682" s="64"/>
      <c r="L682" s="64">
        <f>SUM(ventas_b_mes684[[#This Row],[IMPORTE NETO]:[EXENTO]])</f>
        <v>86249.997900000002</v>
      </c>
      <c r="M682" s="59"/>
    </row>
    <row r="683" spans="2:13">
      <c r="B683" s="40" t="s">
        <v>2306</v>
      </c>
      <c r="C683" s="41">
        <v>6</v>
      </c>
      <c r="D683" s="42">
        <v>12</v>
      </c>
      <c r="E683" s="43">
        <v>29592</v>
      </c>
      <c r="F683" s="44">
        <v>94070859</v>
      </c>
      <c r="G683" s="1" t="str">
        <f>IFERROR(IF(ventas_b_mes684[[#This Row],[CUIT]]="","-",VLOOKUP(ventas_b_mes684[[#This Row],[CUIT]],Lista_CUIT[#All],2,0)),"CUIT NO CARGADO")</f>
        <v>CUIT NO CARGADO</v>
      </c>
      <c r="H683" s="64">
        <v>20661.16</v>
      </c>
      <c r="I683" s="64">
        <f>ventas_b_mes684[[#This Row],[IMPORTE NETO]]*0.21</f>
        <v>4338.8436000000002</v>
      </c>
      <c r="J683" s="64"/>
      <c r="K683" s="64"/>
      <c r="L683" s="64">
        <f>SUM(ventas_b_mes684[[#This Row],[IMPORTE NETO]:[EXENTO]])</f>
        <v>25000.0036</v>
      </c>
      <c r="M683" s="59"/>
    </row>
    <row r="684" spans="2:13">
      <c r="B684" s="40" t="s">
        <v>2306</v>
      </c>
      <c r="C684" s="41">
        <v>6</v>
      </c>
      <c r="D684" s="42">
        <v>13</v>
      </c>
      <c r="E684" s="43">
        <v>32444</v>
      </c>
      <c r="F684" s="44">
        <v>36497965</v>
      </c>
      <c r="G684" s="1" t="str">
        <f>IFERROR(IF(ventas_b_mes684[[#This Row],[CUIT]]="","-",VLOOKUP(ventas_b_mes684[[#This Row],[CUIT]],Lista_CUIT[#All],2,0)),"CUIT NO CARGADO")</f>
        <v>CUIT NO CARGADO</v>
      </c>
      <c r="H684" s="64">
        <v>5413.22</v>
      </c>
      <c r="I684" s="64">
        <f>ventas_b_mes684[[#This Row],[IMPORTE NETO]]*0.21</f>
        <v>1136.7762</v>
      </c>
      <c r="J684" s="64"/>
      <c r="K684" s="64"/>
      <c r="L684" s="64">
        <f>SUM(ventas_b_mes684[[#This Row],[IMPORTE NETO]:[EXENTO]])</f>
        <v>6549.9962000000005</v>
      </c>
      <c r="M684" s="59"/>
    </row>
    <row r="685" spans="2:13">
      <c r="B685" s="40" t="s">
        <v>2306</v>
      </c>
      <c r="C685" s="41">
        <v>6</v>
      </c>
      <c r="D685" s="42">
        <v>12</v>
      </c>
      <c r="E685" s="43">
        <v>29605</v>
      </c>
      <c r="F685" s="44">
        <v>47257203</v>
      </c>
      <c r="G685" s="1" t="str">
        <f>IFERROR(IF(ventas_b_mes684[[#This Row],[CUIT]]="","-",VLOOKUP(ventas_b_mes684[[#This Row],[CUIT]],Lista_CUIT[#All],2,0)),"CUIT NO CARGADO")</f>
        <v>CUIT NO CARGADO</v>
      </c>
      <c r="H685" s="64">
        <v>14927.69</v>
      </c>
      <c r="I685" s="64">
        <f>ventas_b_mes684[[#This Row],[IMPORTE NETO]]*0.21</f>
        <v>3134.8148999999999</v>
      </c>
      <c r="J685" s="64"/>
      <c r="K685" s="64"/>
      <c r="L685" s="64">
        <f>SUM(ventas_b_mes684[[#This Row],[IMPORTE NETO]:[EXENTO]])</f>
        <v>18062.5049</v>
      </c>
      <c r="M685" s="59"/>
    </row>
    <row r="686" spans="2:13">
      <c r="B686" s="40" t="s">
        <v>2306</v>
      </c>
      <c r="C686" s="41">
        <v>6</v>
      </c>
      <c r="D686" s="42">
        <v>11</v>
      </c>
      <c r="E686" s="43">
        <v>38038</v>
      </c>
      <c r="F686" s="44">
        <v>17363693</v>
      </c>
      <c r="G686" s="1" t="str">
        <f>IFERROR(IF(ventas_b_mes684[[#This Row],[CUIT]]="","-",VLOOKUP(ventas_b_mes684[[#This Row],[CUIT]],Lista_CUIT[#All],2,0)),"CUIT NO CARGADO")</f>
        <v>CUIT NO CARGADO</v>
      </c>
      <c r="H686" s="64">
        <v>34876.03</v>
      </c>
      <c r="I686" s="64">
        <f>ventas_b_mes684[[#This Row],[IMPORTE NETO]]*0.21</f>
        <v>7323.9662999999991</v>
      </c>
      <c r="J686" s="64"/>
      <c r="K686" s="64"/>
      <c r="L686" s="64">
        <f>SUM(ventas_b_mes684[[#This Row],[IMPORTE NETO]:[EXENTO]])</f>
        <v>42199.996299999999</v>
      </c>
      <c r="M686" s="59"/>
    </row>
    <row r="687" spans="2:13">
      <c r="B687" s="40" t="s">
        <v>2306</v>
      </c>
      <c r="C687" s="41">
        <v>6</v>
      </c>
      <c r="D687" s="42">
        <v>10</v>
      </c>
      <c r="E687" s="43">
        <v>54395</v>
      </c>
      <c r="F687" s="44">
        <v>94740610</v>
      </c>
      <c r="G687" s="1" t="str">
        <f>IFERROR(IF(ventas_b_mes684[[#This Row],[CUIT]]="","-",VLOOKUP(ventas_b_mes684[[#This Row],[CUIT]],Lista_CUIT[#All],2,0)),"CUIT NO CARGADO")</f>
        <v>CUIT NO CARGADO</v>
      </c>
      <c r="H687" s="64">
        <v>8966.94</v>
      </c>
      <c r="I687" s="64">
        <f>ventas_b_mes684[[#This Row],[IMPORTE NETO]]*0.21</f>
        <v>1883.0574000000001</v>
      </c>
      <c r="J687" s="64"/>
      <c r="K687" s="64"/>
      <c r="L687" s="64">
        <f>SUM(ventas_b_mes684[[#This Row],[IMPORTE NETO]:[EXENTO]])</f>
        <v>10849.9974</v>
      </c>
      <c r="M687" s="59"/>
    </row>
    <row r="688" spans="2:13">
      <c r="B688" s="40" t="s">
        <v>2306</v>
      </c>
      <c r="C688" s="41">
        <v>6</v>
      </c>
      <c r="D688" s="42">
        <v>10</v>
      </c>
      <c r="E688" s="43">
        <v>54389</v>
      </c>
      <c r="F688" s="44">
        <v>25911194</v>
      </c>
      <c r="G688" s="1" t="str">
        <f>IFERROR(IF(ventas_b_mes684[[#This Row],[CUIT]]="","-",VLOOKUP(ventas_b_mes684[[#This Row],[CUIT]],Lista_CUIT[#All],2,0)),"CUIT NO CARGADO")</f>
        <v>CUIT NO CARGADO</v>
      </c>
      <c r="H688" s="64">
        <v>144297.51999999999</v>
      </c>
      <c r="I688" s="64">
        <f>ventas_b_mes684[[#This Row],[IMPORTE NETO]]*0.21</f>
        <v>30302.479199999998</v>
      </c>
      <c r="J688" s="64"/>
      <c r="K688" s="64"/>
      <c r="L688" s="64">
        <f>SUM(ventas_b_mes684[[#This Row],[IMPORTE NETO]:[EXENTO]])</f>
        <v>174599.99919999999</v>
      </c>
      <c r="M688" s="59"/>
    </row>
    <row r="689" spans="2:13">
      <c r="B689" s="40" t="s">
        <v>2306</v>
      </c>
      <c r="C689" s="41">
        <v>6</v>
      </c>
      <c r="D689" s="42">
        <v>10</v>
      </c>
      <c r="E689" s="43">
        <v>54393</v>
      </c>
      <c r="F689" s="44">
        <v>92795455</v>
      </c>
      <c r="G689" s="1" t="str">
        <f>IFERROR(IF(ventas_b_mes684[[#This Row],[CUIT]]="","-",VLOOKUP(ventas_b_mes684[[#This Row],[CUIT]],Lista_CUIT[#All],2,0)),"CUIT NO CARGADO")</f>
        <v>CUIT NO CARGADO</v>
      </c>
      <c r="H689" s="64">
        <v>20661.16</v>
      </c>
      <c r="I689" s="64">
        <f>ventas_b_mes684[[#This Row],[IMPORTE NETO]]*0.21</f>
        <v>4338.8436000000002</v>
      </c>
      <c r="J689" s="64"/>
      <c r="K689" s="64"/>
      <c r="L689" s="64">
        <f>SUM(ventas_b_mes684[[#This Row],[IMPORTE NETO]:[EXENTO]])</f>
        <v>25000.0036</v>
      </c>
      <c r="M689" s="59"/>
    </row>
    <row r="690" spans="2:13">
      <c r="B690" s="40" t="s">
        <v>2306</v>
      </c>
      <c r="C690" s="41">
        <v>6</v>
      </c>
      <c r="D690" s="42">
        <v>12</v>
      </c>
      <c r="E690" s="43">
        <v>29616</v>
      </c>
      <c r="F690" s="44">
        <v>18745145</v>
      </c>
      <c r="G690" s="1" t="str">
        <f>IFERROR(IF(ventas_b_mes684[[#This Row],[CUIT]]="","-",VLOOKUP(ventas_b_mes684[[#This Row],[CUIT]],Lista_CUIT[#All],2,0)),"CUIT NO CARGADO")</f>
        <v>CUIT NO CARGADO</v>
      </c>
      <c r="H690" s="64">
        <v>57194.21</v>
      </c>
      <c r="I690" s="64">
        <f>ventas_b_mes684[[#This Row],[IMPORTE NETO]]*0.21</f>
        <v>12010.784099999999</v>
      </c>
      <c r="J690" s="64"/>
      <c r="K690" s="64"/>
      <c r="L690" s="64">
        <f>SUM(ventas_b_mes684[[#This Row],[IMPORTE NETO]:[EXENTO]])</f>
        <v>69204.994099999996</v>
      </c>
      <c r="M690" s="59"/>
    </row>
    <row r="691" spans="2:13">
      <c r="B691" s="40" t="s">
        <v>2306</v>
      </c>
      <c r="C691" s="41">
        <v>6</v>
      </c>
      <c r="D691" s="42">
        <v>12</v>
      </c>
      <c r="E691" s="43">
        <v>29617</v>
      </c>
      <c r="F691" s="44">
        <v>34925047</v>
      </c>
      <c r="G691" s="1" t="str">
        <f>IFERROR(IF(ventas_b_mes684[[#This Row],[CUIT]]="","-",VLOOKUP(ventas_b_mes684[[#This Row],[CUIT]],Lista_CUIT[#All],2,0)),"CUIT NO CARGADO")</f>
        <v>CUIT NO CARGADO</v>
      </c>
      <c r="H691" s="64">
        <v>12867.77</v>
      </c>
      <c r="I691" s="64">
        <f>ventas_b_mes684[[#This Row],[IMPORTE NETO]]*0.21</f>
        <v>2702.2316999999998</v>
      </c>
      <c r="J691" s="64"/>
      <c r="K691" s="64"/>
      <c r="L691" s="64">
        <f>SUM(ventas_b_mes684[[#This Row],[IMPORTE NETO]:[EXENTO]])</f>
        <v>15570.001700000001</v>
      </c>
      <c r="M691" s="59"/>
    </row>
    <row r="692" spans="2:13">
      <c r="B692" s="40" t="s">
        <v>2306</v>
      </c>
      <c r="C692" s="41">
        <v>6</v>
      </c>
      <c r="D692" s="42">
        <v>10</v>
      </c>
      <c r="E692" s="43">
        <v>54392</v>
      </c>
      <c r="F692" s="44">
        <v>20823543</v>
      </c>
      <c r="G692" s="1" t="str">
        <f>IFERROR(IF(ventas_b_mes684[[#This Row],[CUIT]]="","-",VLOOKUP(ventas_b_mes684[[#This Row],[CUIT]],Lista_CUIT[#All],2,0)),"CUIT NO CARGADO")</f>
        <v>CUIT NO CARGADO</v>
      </c>
      <c r="H692" s="64">
        <v>27291.35</v>
      </c>
      <c r="I692" s="64">
        <f>ventas_b_mes684[[#This Row],[IMPORTE NETO]]*0.21</f>
        <v>5731.1834999999992</v>
      </c>
      <c r="J692" s="64"/>
      <c r="K692" s="64"/>
      <c r="L692" s="64">
        <f>SUM(ventas_b_mes684[[#This Row],[IMPORTE NETO]:[EXENTO]])</f>
        <v>33022.533499999998</v>
      </c>
      <c r="M692" s="59"/>
    </row>
    <row r="693" spans="2:13">
      <c r="B693" s="40" t="s">
        <v>2306</v>
      </c>
      <c r="C693" s="41">
        <v>6</v>
      </c>
      <c r="D693" s="42">
        <v>15</v>
      </c>
      <c r="E693" s="43">
        <v>13161</v>
      </c>
      <c r="F693" s="44">
        <v>93973048</v>
      </c>
      <c r="G693" s="1" t="str">
        <f>IFERROR(IF(ventas_b_mes684[[#This Row],[CUIT]]="","-",VLOOKUP(ventas_b_mes684[[#This Row],[CUIT]],Lista_CUIT[#All],2,0)),"CUIT NO CARGADO")</f>
        <v>CUIT NO CARGADO</v>
      </c>
      <c r="H693" s="64">
        <v>20661.16</v>
      </c>
      <c r="I693" s="64">
        <f>ventas_b_mes684[[#This Row],[IMPORTE NETO]]*0.21</f>
        <v>4338.8436000000002</v>
      </c>
      <c r="J693" s="64"/>
      <c r="K693" s="64"/>
      <c r="L693" s="64">
        <f>SUM(ventas_b_mes684[[#This Row],[IMPORTE NETO]:[EXENTO]])</f>
        <v>25000.0036</v>
      </c>
      <c r="M693" s="59"/>
    </row>
    <row r="694" spans="2:13">
      <c r="B694" s="40" t="s">
        <v>2306</v>
      </c>
      <c r="C694" s="41">
        <v>6</v>
      </c>
      <c r="D694" s="42">
        <v>11</v>
      </c>
      <c r="E694" s="43">
        <v>38036</v>
      </c>
      <c r="F694" s="44">
        <v>30803771</v>
      </c>
      <c r="G694" s="1" t="str">
        <f>IFERROR(IF(ventas_b_mes684[[#This Row],[CUIT]]="","-",VLOOKUP(ventas_b_mes684[[#This Row],[CUIT]],Lista_CUIT[#All],2,0)),"CUIT NO CARGADO")</f>
        <v>CUIT NO CARGADO</v>
      </c>
      <c r="H694" s="64">
        <v>56157.03</v>
      </c>
      <c r="I694" s="64">
        <f>ventas_b_mes684[[#This Row],[IMPORTE NETO]]*0.21</f>
        <v>11792.976299999998</v>
      </c>
      <c r="J694" s="64"/>
      <c r="K694" s="64"/>
      <c r="L694" s="64">
        <f>SUM(ventas_b_mes684[[#This Row],[IMPORTE NETO]:[EXENTO]])</f>
        <v>67950.006299999994</v>
      </c>
      <c r="M694" s="59"/>
    </row>
    <row r="695" spans="2:13">
      <c r="B695" s="40" t="s">
        <v>2306</v>
      </c>
      <c r="C695" s="41">
        <v>6</v>
      </c>
      <c r="D695" s="42">
        <v>15</v>
      </c>
      <c r="E695" s="43">
        <v>13160</v>
      </c>
      <c r="F695" s="44">
        <v>40947097</v>
      </c>
      <c r="G695" s="1" t="str">
        <f>IFERROR(IF(ventas_b_mes684[[#This Row],[CUIT]]="","-",VLOOKUP(ventas_b_mes684[[#This Row],[CUIT]],Lista_CUIT[#All],2,0)),"CUIT NO CARGADO")</f>
        <v>CUIT NO CARGADO</v>
      </c>
      <c r="H695" s="64">
        <v>20661.16</v>
      </c>
      <c r="I695" s="64">
        <f>ventas_b_mes684[[#This Row],[IMPORTE NETO]]*0.21</f>
        <v>4338.8436000000002</v>
      </c>
      <c r="J695" s="64"/>
      <c r="K695" s="64"/>
      <c r="L695" s="64">
        <f>SUM(ventas_b_mes684[[#This Row],[IMPORTE NETO]:[EXENTO]])</f>
        <v>25000.0036</v>
      </c>
      <c r="M695" s="59"/>
    </row>
    <row r="696" spans="2:13">
      <c r="B696" s="40" t="s">
        <v>2306</v>
      </c>
      <c r="C696" s="41">
        <v>6</v>
      </c>
      <c r="D696" s="42">
        <v>13</v>
      </c>
      <c r="E696" s="43">
        <v>32442</v>
      </c>
      <c r="F696" s="44">
        <v>93969085</v>
      </c>
      <c r="G696" s="1" t="str">
        <f>IFERROR(IF(ventas_b_mes684[[#This Row],[CUIT]]="","-",VLOOKUP(ventas_b_mes684[[#This Row],[CUIT]],Lista_CUIT[#All],2,0)),"CUIT NO CARGADO")</f>
        <v>CUIT NO CARGADO</v>
      </c>
      <c r="H696" s="64">
        <v>40330.58</v>
      </c>
      <c r="I696" s="64">
        <f>ventas_b_mes684[[#This Row],[IMPORTE NETO]]*0.21</f>
        <v>8469.4218000000001</v>
      </c>
      <c r="J696" s="64"/>
      <c r="K696" s="64"/>
      <c r="L696" s="64">
        <f>SUM(ventas_b_mes684[[#This Row],[IMPORTE NETO]:[EXENTO]])</f>
        <v>48800.001799999998</v>
      </c>
      <c r="M696" s="59"/>
    </row>
    <row r="697" spans="2:13">
      <c r="B697" s="40" t="s">
        <v>2306</v>
      </c>
      <c r="C697" s="41">
        <v>6</v>
      </c>
      <c r="D697" s="42">
        <v>13</v>
      </c>
      <c r="E697" s="43">
        <v>32436</v>
      </c>
      <c r="F697" s="44">
        <v>23878860</v>
      </c>
      <c r="G697" s="1" t="str">
        <f>IFERROR(IF(ventas_b_mes684[[#This Row],[CUIT]]="","-",VLOOKUP(ventas_b_mes684[[#This Row],[CUIT]],Lista_CUIT[#All],2,0)),"CUIT NO CARGADO")</f>
        <v>CUIT NO CARGADO</v>
      </c>
      <c r="H697" s="64">
        <v>28842.98</v>
      </c>
      <c r="I697" s="64">
        <f>ventas_b_mes684[[#This Row],[IMPORTE NETO]]*0.21</f>
        <v>6057.0257999999994</v>
      </c>
      <c r="J697" s="64"/>
      <c r="K697" s="64"/>
      <c r="L697" s="64">
        <f>SUM(ventas_b_mes684[[#This Row],[IMPORTE NETO]:[EXENTO]])</f>
        <v>34900.005799999999</v>
      </c>
      <c r="M697" s="59"/>
    </row>
    <row r="698" spans="2:13">
      <c r="B698" s="40" t="s">
        <v>2306</v>
      </c>
      <c r="C698" s="41">
        <v>6</v>
      </c>
      <c r="D698" s="42">
        <v>11</v>
      </c>
      <c r="E698" s="43">
        <v>38046</v>
      </c>
      <c r="F698" s="44">
        <v>24821073</v>
      </c>
      <c r="G698" s="1" t="str">
        <f>IFERROR(IF(ventas_b_mes684[[#This Row],[CUIT]]="","-",VLOOKUP(ventas_b_mes684[[#This Row],[CUIT]],Lista_CUIT[#All],2,0)),"CUIT NO CARGADO")</f>
        <v>CUIT NO CARGADO</v>
      </c>
      <c r="H698" s="64">
        <v>58388.43</v>
      </c>
      <c r="I698" s="64">
        <f>ventas_b_mes684[[#This Row],[IMPORTE NETO]]*0.21</f>
        <v>12261.570299999999</v>
      </c>
      <c r="J698" s="64"/>
      <c r="K698" s="64"/>
      <c r="L698" s="64">
        <f>SUM(ventas_b_mes684[[#This Row],[IMPORTE NETO]:[EXENTO]])</f>
        <v>70650.0003</v>
      </c>
      <c r="M698" s="59"/>
    </row>
    <row r="699" spans="2:13">
      <c r="B699" s="40" t="s">
        <v>2306</v>
      </c>
      <c r="C699" s="41">
        <v>6</v>
      </c>
      <c r="D699" s="42">
        <v>11</v>
      </c>
      <c r="E699" s="43">
        <v>38040</v>
      </c>
      <c r="F699" s="44">
        <v>27263118834</v>
      </c>
      <c r="G699" s="1" t="str">
        <f>IFERROR(IF(ventas_b_mes684[[#This Row],[CUIT]]="","-",VLOOKUP(ventas_b_mes684[[#This Row],[CUIT]],Lista_CUIT[#All],2,0)),"CUIT NO CARGADO")</f>
        <v>RONCORONI DANIELA VERONICA</v>
      </c>
      <c r="H699" s="64">
        <v>37479.339999999997</v>
      </c>
      <c r="I699" s="64">
        <f>ventas_b_mes684[[#This Row],[IMPORTE NETO]]*0.21</f>
        <v>7870.661399999999</v>
      </c>
      <c r="J699" s="64"/>
      <c r="K699" s="64"/>
      <c r="L699" s="64">
        <f>SUM(ventas_b_mes684[[#This Row],[IMPORTE NETO]:[EXENTO]])</f>
        <v>45350.001399999994</v>
      </c>
      <c r="M699" s="59"/>
    </row>
    <row r="700" spans="2:13">
      <c r="B700" s="40" t="s">
        <v>2306</v>
      </c>
      <c r="C700" s="41">
        <v>6</v>
      </c>
      <c r="D700" s="42">
        <v>12</v>
      </c>
      <c r="E700" s="43">
        <v>29591</v>
      </c>
      <c r="F700" s="44">
        <v>36689374</v>
      </c>
      <c r="G700" s="1" t="str">
        <f>IFERROR(IF(ventas_b_mes684[[#This Row],[CUIT]]="","-",VLOOKUP(ventas_b_mes684[[#This Row],[CUIT]],Lista_CUIT[#All],2,0)),"CUIT NO CARGADO")</f>
        <v>CUIT NO CARGADO</v>
      </c>
      <c r="H700" s="64">
        <v>9917.36</v>
      </c>
      <c r="I700" s="64">
        <f>ventas_b_mes684[[#This Row],[IMPORTE NETO]]*0.21</f>
        <v>2082.6455999999998</v>
      </c>
      <c r="J700" s="64"/>
      <c r="K700" s="64"/>
      <c r="L700" s="64">
        <f>SUM(ventas_b_mes684[[#This Row],[IMPORTE NETO]:[EXENTO]])</f>
        <v>12000.0056</v>
      </c>
      <c r="M700" s="59"/>
    </row>
    <row r="701" spans="2:13">
      <c r="B701" s="40" t="s">
        <v>2306</v>
      </c>
      <c r="C701" s="41">
        <v>6</v>
      </c>
      <c r="D701" s="42">
        <v>10</v>
      </c>
      <c r="E701" s="43">
        <v>54394</v>
      </c>
      <c r="F701" s="44">
        <v>23571956</v>
      </c>
      <c r="G701" s="1" t="str">
        <f>IFERROR(IF(ventas_b_mes684[[#This Row],[CUIT]]="","-",VLOOKUP(ventas_b_mes684[[#This Row],[CUIT]],Lista_CUIT[#All],2,0)),"CUIT NO CARGADO")</f>
        <v>CUIT NO CARGADO</v>
      </c>
      <c r="H701" s="64">
        <v>8264.4599999999991</v>
      </c>
      <c r="I701" s="64">
        <f>ventas_b_mes684[[#This Row],[IMPORTE NETO]]*0.21</f>
        <v>1735.5365999999997</v>
      </c>
      <c r="J701" s="64"/>
      <c r="K701" s="64"/>
      <c r="L701" s="64">
        <f>SUM(ventas_b_mes684[[#This Row],[IMPORTE NETO]:[EXENTO]])</f>
        <v>9999.9965999999986</v>
      </c>
      <c r="M701" s="59"/>
    </row>
    <row r="702" spans="2:13">
      <c r="B702" s="40" t="s">
        <v>2306</v>
      </c>
      <c r="C702" s="41">
        <v>6</v>
      </c>
      <c r="D702" s="42">
        <v>13</v>
      </c>
      <c r="E702" s="43">
        <v>32438</v>
      </c>
      <c r="F702" s="44">
        <v>12369877</v>
      </c>
      <c r="G702" s="1" t="str">
        <f>IFERROR(IF(ventas_b_mes684[[#This Row],[CUIT]]="","-",VLOOKUP(ventas_b_mes684[[#This Row],[CUIT]],Lista_CUIT[#All],2,0)),"CUIT NO CARGADO")</f>
        <v>CUIT NO CARGADO</v>
      </c>
      <c r="H702" s="64">
        <v>35619.83</v>
      </c>
      <c r="I702" s="64">
        <f>ventas_b_mes684[[#This Row],[IMPORTE NETO]]*0.21</f>
        <v>7480.1643000000004</v>
      </c>
      <c r="J702" s="64"/>
      <c r="K702" s="64"/>
      <c r="L702" s="64">
        <f>SUM(ventas_b_mes684[[#This Row],[IMPORTE NETO]:[EXENTO]])</f>
        <v>43099.994300000006</v>
      </c>
      <c r="M702" s="59"/>
    </row>
    <row r="703" spans="2:13">
      <c r="B703" s="40" t="s">
        <v>2306</v>
      </c>
      <c r="C703" s="41">
        <v>6</v>
      </c>
      <c r="D703" s="42">
        <v>12</v>
      </c>
      <c r="E703" s="43">
        <v>29603</v>
      </c>
      <c r="F703" s="44">
        <v>36689374</v>
      </c>
      <c r="G703" s="1" t="str">
        <f>IFERROR(IF(ventas_b_mes684[[#This Row],[CUIT]]="","-",VLOOKUP(ventas_b_mes684[[#This Row],[CUIT]],Lista_CUIT[#All],2,0)),"CUIT NO CARGADO")</f>
        <v>CUIT NO CARGADO</v>
      </c>
      <c r="H703" s="64">
        <v>36950.42</v>
      </c>
      <c r="I703" s="64">
        <f>ventas_b_mes684[[#This Row],[IMPORTE NETO]]*0.21</f>
        <v>7759.5881999999992</v>
      </c>
      <c r="J703" s="64"/>
      <c r="K703" s="64"/>
      <c r="L703" s="64">
        <f>SUM(ventas_b_mes684[[#This Row],[IMPORTE NETO]:[EXENTO]])</f>
        <v>44710.008199999997</v>
      </c>
      <c r="M703" s="59"/>
    </row>
    <row r="704" spans="2:13">
      <c r="B704" s="40" t="s">
        <v>2306</v>
      </c>
      <c r="C704" s="41">
        <v>6</v>
      </c>
      <c r="D704" s="42">
        <v>11</v>
      </c>
      <c r="E704" s="43">
        <v>38043</v>
      </c>
      <c r="F704" s="44">
        <v>26710506</v>
      </c>
      <c r="G704" s="1" t="str">
        <f>IFERROR(IF(ventas_b_mes684[[#This Row],[CUIT]]="","-",VLOOKUP(ventas_b_mes684[[#This Row],[CUIT]],Lista_CUIT[#All],2,0)),"CUIT NO CARGADO")</f>
        <v>CUIT NO CARGADO</v>
      </c>
      <c r="H704" s="64">
        <v>14057.85</v>
      </c>
      <c r="I704" s="64">
        <f>ventas_b_mes684[[#This Row],[IMPORTE NETO]]*0.21</f>
        <v>2952.1484999999998</v>
      </c>
      <c r="J704" s="64"/>
      <c r="K704" s="64"/>
      <c r="L704" s="64">
        <f>SUM(ventas_b_mes684[[#This Row],[IMPORTE NETO]:[EXENTO]])</f>
        <v>17009.998500000002</v>
      </c>
      <c r="M704" s="59"/>
    </row>
    <row r="705" spans="2:13">
      <c r="B705" s="40" t="s">
        <v>2306</v>
      </c>
      <c r="C705" s="41">
        <v>6</v>
      </c>
      <c r="D705" s="42">
        <v>15</v>
      </c>
      <c r="E705" s="43">
        <v>13155</v>
      </c>
      <c r="F705" s="44">
        <v>30282157</v>
      </c>
      <c r="G705" s="1" t="str">
        <f>IFERROR(IF(ventas_b_mes684[[#This Row],[CUIT]]="","-",VLOOKUP(ventas_b_mes684[[#This Row],[CUIT]],Lista_CUIT[#All],2,0)),"CUIT NO CARGADO")</f>
        <v>CUIT NO CARGADO</v>
      </c>
      <c r="H705" s="64">
        <v>5785.12</v>
      </c>
      <c r="I705" s="64">
        <f>ventas_b_mes684[[#This Row],[IMPORTE NETO]]*0.21</f>
        <v>1214.8751999999999</v>
      </c>
      <c r="J705" s="64"/>
      <c r="K705" s="64"/>
      <c r="L705" s="64">
        <f>SUM(ventas_b_mes684[[#This Row],[IMPORTE NETO]:[EXENTO]])</f>
        <v>6999.9951999999994</v>
      </c>
      <c r="M705" s="59"/>
    </row>
    <row r="706" spans="2:13">
      <c r="B706" s="40" t="s">
        <v>2306</v>
      </c>
      <c r="C706" s="41">
        <v>6</v>
      </c>
      <c r="D706" s="42">
        <v>10</v>
      </c>
      <c r="E706" s="43">
        <v>54391</v>
      </c>
      <c r="F706" s="44">
        <v>1365874</v>
      </c>
      <c r="G706" s="1" t="str">
        <f>IFERROR(IF(ventas_b_mes684[[#This Row],[CUIT]]="","-",VLOOKUP(ventas_b_mes684[[#This Row],[CUIT]],Lista_CUIT[#All],2,0)),"CUIT NO CARGADO")</f>
        <v>CUIT NO CARGADO</v>
      </c>
      <c r="H706" s="64">
        <v>12975.21</v>
      </c>
      <c r="I706" s="64">
        <f>ventas_b_mes684[[#This Row],[IMPORTE NETO]]*0.21</f>
        <v>2724.7940999999996</v>
      </c>
      <c r="J706" s="64"/>
      <c r="K706" s="64"/>
      <c r="L706" s="64">
        <f>SUM(ventas_b_mes684[[#This Row],[IMPORTE NETO]:[EXENTO]])</f>
        <v>15700.004099999998</v>
      </c>
      <c r="M706" s="59"/>
    </row>
    <row r="707" spans="2:13">
      <c r="B707" s="40" t="s">
        <v>2306</v>
      </c>
      <c r="C707" s="41">
        <v>6</v>
      </c>
      <c r="D707" s="42">
        <v>11</v>
      </c>
      <c r="E707" s="43">
        <v>38034</v>
      </c>
      <c r="F707" s="44">
        <v>26548987</v>
      </c>
      <c r="G707" s="1" t="str">
        <f>IFERROR(IF(ventas_b_mes684[[#This Row],[CUIT]]="","-",VLOOKUP(ventas_b_mes684[[#This Row],[CUIT]],Lista_CUIT[#All],2,0)),"CUIT NO CARGADO")</f>
        <v>CUIT NO CARGADO</v>
      </c>
      <c r="H707" s="64">
        <v>43066.12</v>
      </c>
      <c r="I707" s="64">
        <f>ventas_b_mes684[[#This Row],[IMPORTE NETO]]*0.21</f>
        <v>9043.8852000000006</v>
      </c>
      <c r="J707" s="64"/>
      <c r="K707" s="64"/>
      <c r="L707" s="64">
        <f>SUM(ventas_b_mes684[[#This Row],[IMPORTE NETO]:[EXENTO]])</f>
        <v>52110.0052</v>
      </c>
      <c r="M707" s="59"/>
    </row>
    <row r="708" spans="2:13">
      <c r="B708" s="40" t="s">
        <v>2306</v>
      </c>
      <c r="C708" s="41">
        <v>6</v>
      </c>
      <c r="D708" s="42">
        <v>11</v>
      </c>
      <c r="E708" s="43">
        <v>38033</v>
      </c>
      <c r="F708" s="44">
        <v>26548987</v>
      </c>
      <c r="G708" s="1" t="str">
        <f>IFERROR(IF(ventas_b_mes684[[#This Row],[CUIT]]="","-",VLOOKUP(ventas_b_mes684[[#This Row],[CUIT]],Lista_CUIT[#All],2,0)),"CUIT NO CARGADO")</f>
        <v>CUIT NO CARGADO</v>
      </c>
      <c r="H708" s="64">
        <v>9223.14</v>
      </c>
      <c r="I708" s="64">
        <f>ventas_b_mes684[[#This Row],[IMPORTE NETO]]*0.21</f>
        <v>1936.8593999999998</v>
      </c>
      <c r="J708" s="64"/>
      <c r="K708" s="64"/>
      <c r="L708" s="64">
        <f>SUM(ventas_b_mes684[[#This Row],[IMPORTE NETO]:[EXENTO]])</f>
        <v>11159.999399999999</v>
      </c>
      <c r="M708" s="59"/>
    </row>
    <row r="709" spans="2:13">
      <c r="B709" s="40" t="s">
        <v>2306</v>
      </c>
      <c r="C709" s="41">
        <v>6</v>
      </c>
      <c r="D709" s="42">
        <v>13</v>
      </c>
      <c r="E709" s="43">
        <v>32434</v>
      </c>
      <c r="F709" s="44">
        <v>1111</v>
      </c>
      <c r="G709" s="1" t="str">
        <f>IFERROR(IF(ventas_b_mes684[[#This Row],[CUIT]]="","-",VLOOKUP(ventas_b_mes684[[#This Row],[CUIT]],Lista_CUIT[#All],2,0)),"CUIT NO CARGADO")</f>
        <v>CUIT NO CARGADO</v>
      </c>
      <c r="H709" s="64">
        <v>13223.14</v>
      </c>
      <c r="I709" s="64">
        <f>ventas_b_mes684[[#This Row],[IMPORTE NETO]]*0.21</f>
        <v>2776.8593999999998</v>
      </c>
      <c r="J709" s="64"/>
      <c r="K709" s="64"/>
      <c r="L709" s="64">
        <f>SUM(ventas_b_mes684[[#This Row],[IMPORTE NETO]:[EXENTO]])</f>
        <v>15999.999399999999</v>
      </c>
      <c r="M709" s="59"/>
    </row>
    <row r="710" spans="2:13">
      <c r="B710" s="40" t="s">
        <v>2306</v>
      </c>
      <c r="C710" s="41">
        <v>6</v>
      </c>
      <c r="D710" s="42">
        <v>12</v>
      </c>
      <c r="E710" s="43">
        <v>29615</v>
      </c>
      <c r="F710" s="44">
        <v>41385913</v>
      </c>
      <c r="G710" s="1" t="str">
        <f>IFERROR(IF(ventas_b_mes684[[#This Row],[CUIT]]="","-",VLOOKUP(ventas_b_mes684[[#This Row],[CUIT]],Lista_CUIT[#All],2,0)),"CUIT NO CARGADO")</f>
        <v>CUIT NO CARGADO</v>
      </c>
      <c r="H710" s="64">
        <v>24797.55</v>
      </c>
      <c r="I710" s="64">
        <f>ventas_b_mes684[[#This Row],[IMPORTE NETO]]*0.21</f>
        <v>5207.4854999999998</v>
      </c>
      <c r="J710" s="64"/>
      <c r="K710" s="64"/>
      <c r="L710" s="64">
        <f>SUM(ventas_b_mes684[[#This Row],[IMPORTE NETO]:[EXENTO]])</f>
        <v>30005.035499999998</v>
      </c>
      <c r="M710" s="59"/>
    </row>
    <row r="711" spans="2:13">
      <c r="B711" s="40" t="s">
        <v>2306</v>
      </c>
      <c r="C711" s="41">
        <v>6</v>
      </c>
      <c r="D711" s="42">
        <v>12</v>
      </c>
      <c r="E711" s="43">
        <v>29614</v>
      </c>
      <c r="F711" s="44">
        <v>16056751</v>
      </c>
      <c r="G711" s="1" t="str">
        <f>IFERROR(IF(ventas_b_mes684[[#This Row],[CUIT]]="","-",VLOOKUP(ventas_b_mes684[[#This Row],[CUIT]],Lista_CUIT[#All],2,0)),"CUIT NO CARGADO")</f>
        <v>CUIT NO CARGADO</v>
      </c>
      <c r="H711" s="64">
        <v>93190.080000000002</v>
      </c>
      <c r="I711" s="64">
        <f>ventas_b_mes684[[#This Row],[IMPORTE NETO]]*0.21</f>
        <v>19569.916799999999</v>
      </c>
      <c r="J711" s="64"/>
      <c r="K711" s="64"/>
      <c r="L711" s="64">
        <f>SUM(ventas_b_mes684[[#This Row],[IMPORTE NETO]:[EXENTO]])</f>
        <v>112759.99679999999</v>
      </c>
      <c r="M711" s="59"/>
    </row>
    <row r="712" spans="2:13">
      <c r="B712" s="40" t="s">
        <v>2306</v>
      </c>
      <c r="C712" s="41">
        <v>6</v>
      </c>
      <c r="D712" s="42">
        <v>10</v>
      </c>
      <c r="E712" s="43">
        <v>54386</v>
      </c>
      <c r="F712" s="44">
        <v>203612644</v>
      </c>
      <c r="G712" s="1" t="str">
        <f>IFERROR(IF(ventas_b_mes684[[#This Row],[CUIT]]="","-",VLOOKUP(ventas_b_mes684[[#This Row],[CUIT]],Lista_CUIT[#All],2,0)),"CUIT NO CARGADO")</f>
        <v>CUIT NO CARGADO</v>
      </c>
      <c r="H712" s="64">
        <v>55495.87</v>
      </c>
      <c r="I712" s="64">
        <f>ventas_b_mes684[[#This Row],[IMPORTE NETO]]*0.21</f>
        <v>11654.1327</v>
      </c>
      <c r="J712" s="64"/>
      <c r="K712" s="64"/>
      <c r="L712" s="64">
        <f>SUM(ventas_b_mes684[[#This Row],[IMPORTE NETO]:[EXENTO]])</f>
        <v>67150.002699999997</v>
      </c>
      <c r="M712" s="59"/>
    </row>
    <row r="713" spans="2:13">
      <c r="B713" s="40" t="s">
        <v>2306</v>
      </c>
      <c r="C713" s="41">
        <v>6</v>
      </c>
      <c r="D713" s="42">
        <v>15</v>
      </c>
      <c r="E713" s="43">
        <v>13153</v>
      </c>
      <c r="F713" s="44">
        <v>16680059</v>
      </c>
      <c r="G713" s="1" t="str">
        <f>IFERROR(IF(ventas_b_mes684[[#This Row],[CUIT]]="","-",VLOOKUP(ventas_b_mes684[[#This Row],[CUIT]],Lista_CUIT[#All],2,0)),"CUIT NO CARGADO")</f>
        <v>CUIT NO CARGADO</v>
      </c>
      <c r="H713" s="64">
        <v>79008.259999999995</v>
      </c>
      <c r="I713" s="64">
        <f>ventas_b_mes684[[#This Row],[IMPORTE NETO]]*0.21</f>
        <v>16591.7346</v>
      </c>
      <c r="J713" s="64"/>
      <c r="K713" s="64"/>
      <c r="L713" s="64">
        <f>SUM(ventas_b_mes684[[#This Row],[IMPORTE NETO]:[EXENTO]])</f>
        <v>95599.994599999991</v>
      </c>
      <c r="M713" s="59"/>
    </row>
    <row r="714" spans="2:13">
      <c r="B714" s="40" t="s">
        <v>2306</v>
      </c>
      <c r="C714" s="41">
        <v>6</v>
      </c>
      <c r="D714" s="42">
        <v>12</v>
      </c>
      <c r="E714" s="43">
        <v>29587</v>
      </c>
      <c r="F714" s="44">
        <v>16019062</v>
      </c>
      <c r="G714" s="1" t="str">
        <f>IFERROR(IF(ventas_b_mes684[[#This Row],[CUIT]]="","-",VLOOKUP(ventas_b_mes684[[#This Row],[CUIT]],Lista_CUIT[#All],2,0)),"CUIT NO CARGADO")</f>
        <v>CUIT NO CARGADO</v>
      </c>
      <c r="H714" s="64">
        <v>20661.16</v>
      </c>
      <c r="I714" s="64">
        <f>ventas_b_mes684[[#This Row],[IMPORTE NETO]]*0.21</f>
        <v>4338.8436000000002</v>
      </c>
      <c r="J714" s="64"/>
      <c r="K714" s="64"/>
      <c r="L714" s="64">
        <f>SUM(ventas_b_mes684[[#This Row],[IMPORTE NETO]:[EXENTO]])</f>
        <v>25000.0036</v>
      </c>
      <c r="M714" s="59"/>
    </row>
    <row r="715" spans="2:13">
      <c r="B715" s="40" t="s">
        <v>2306</v>
      </c>
      <c r="C715" s="41">
        <v>6</v>
      </c>
      <c r="D715" s="42">
        <v>10</v>
      </c>
      <c r="E715" s="43">
        <v>54402</v>
      </c>
      <c r="F715" s="44">
        <v>27289788722</v>
      </c>
      <c r="G715" s="1" t="str">
        <f>IFERROR(IF(ventas_b_mes684[[#This Row],[CUIT]]="","-",VLOOKUP(ventas_b_mes684[[#This Row],[CUIT]],Lista_CUIT[#All],2,0)),"CUIT NO CARGADO")</f>
        <v>CUIT NO CARGADO</v>
      </c>
      <c r="H715" s="64">
        <v>88710.74</v>
      </c>
      <c r="I715" s="64">
        <f>ventas_b_mes684[[#This Row],[IMPORTE NETO]]*0.21</f>
        <v>18629.255400000002</v>
      </c>
      <c r="J715" s="64"/>
      <c r="K715" s="64"/>
      <c r="L715" s="64">
        <f>SUM(ventas_b_mes684[[#This Row],[IMPORTE NETO]:[EXENTO]])</f>
        <v>107339.99540000001</v>
      </c>
      <c r="M715" s="59"/>
    </row>
    <row r="716" spans="2:13">
      <c r="B716" s="40" t="s">
        <v>2306</v>
      </c>
      <c r="C716" s="41">
        <v>6</v>
      </c>
      <c r="D716" s="42">
        <v>10</v>
      </c>
      <c r="E716" s="43">
        <v>54397</v>
      </c>
      <c r="F716" s="44">
        <v>27181966330</v>
      </c>
      <c r="G716" s="1" t="str">
        <f>IFERROR(IF(ventas_b_mes684[[#This Row],[CUIT]]="","-",VLOOKUP(ventas_b_mes684[[#This Row],[CUIT]],Lista_CUIT[#All],2,0)),"CUIT NO CARGADO")</f>
        <v>CORNEJO MARGARITA ELIZABETH</v>
      </c>
      <c r="H716" s="64">
        <v>54991.73</v>
      </c>
      <c r="I716" s="64">
        <f>ventas_b_mes684[[#This Row],[IMPORTE NETO]]*0.21</f>
        <v>11548.263300000001</v>
      </c>
      <c r="J716" s="64"/>
      <c r="K716" s="64"/>
      <c r="L716" s="64">
        <f>SUM(ventas_b_mes684[[#This Row],[IMPORTE NETO]:[EXENTO]])</f>
        <v>66539.993300000002</v>
      </c>
      <c r="M716" s="59"/>
    </row>
    <row r="717" spans="2:13">
      <c r="B717" s="40" t="s">
        <v>2306</v>
      </c>
      <c r="C717" s="41">
        <v>6</v>
      </c>
      <c r="D717" s="42">
        <v>10</v>
      </c>
      <c r="E717" s="43">
        <v>54399</v>
      </c>
      <c r="F717" s="44">
        <v>27181966330</v>
      </c>
      <c r="G717" s="1" t="str">
        <f>IFERROR(IF(ventas_b_mes684[[#This Row],[CUIT]]="","-",VLOOKUP(ventas_b_mes684[[#This Row],[CUIT]],Lista_CUIT[#All],2,0)),"CUIT NO CARGADO")</f>
        <v>CORNEJO MARGARITA ELIZABETH</v>
      </c>
      <c r="H717" s="64">
        <v>2892.56</v>
      </c>
      <c r="I717" s="64">
        <f>ventas_b_mes684[[#This Row],[IMPORTE NETO]]*0.21</f>
        <v>607.43759999999997</v>
      </c>
      <c r="J717" s="64"/>
      <c r="K717" s="64"/>
      <c r="L717" s="64">
        <f>SUM(ventas_b_mes684[[#This Row],[IMPORTE NETO]:[EXENTO]])</f>
        <v>3499.9975999999997</v>
      </c>
      <c r="M717" s="59"/>
    </row>
    <row r="718" spans="2:13">
      <c r="B718" s="40" t="s">
        <v>2306</v>
      </c>
      <c r="C718" s="41">
        <v>6</v>
      </c>
      <c r="D718" s="42">
        <v>10</v>
      </c>
      <c r="E718" s="43">
        <v>54398</v>
      </c>
      <c r="F718" s="44">
        <v>27181966330</v>
      </c>
      <c r="G718" s="1" t="str">
        <f>IFERROR(IF(ventas_b_mes684[[#This Row],[CUIT]]="","-",VLOOKUP(ventas_b_mes684[[#This Row],[CUIT]],Lista_CUIT[#All],2,0)),"CUIT NO CARGADO")</f>
        <v>CORNEJO MARGARITA ELIZABETH</v>
      </c>
      <c r="H718" s="64">
        <v>67194.25</v>
      </c>
      <c r="I718" s="64">
        <f>ventas_b_mes684[[#This Row],[IMPORTE NETO]]*0.21</f>
        <v>14110.7925</v>
      </c>
      <c r="J718" s="64"/>
      <c r="K718" s="64"/>
      <c r="L718" s="64">
        <f>SUM(ventas_b_mes684[[#This Row],[IMPORTE NETO]:[EXENTO]])</f>
        <v>81305.042499999996</v>
      </c>
      <c r="M718" s="59"/>
    </row>
    <row r="719" spans="2:13">
      <c r="B719" s="40" t="s">
        <v>2306</v>
      </c>
      <c r="C719" s="41">
        <v>6</v>
      </c>
      <c r="D719" s="42">
        <v>12</v>
      </c>
      <c r="E719" s="43">
        <v>29590</v>
      </c>
      <c r="F719" s="44">
        <v>36689374</v>
      </c>
      <c r="G719" s="1" t="str">
        <f>IFERROR(IF(ventas_b_mes684[[#This Row],[CUIT]]="","-",VLOOKUP(ventas_b_mes684[[#This Row],[CUIT]],Lista_CUIT[#All],2,0)),"CUIT NO CARGADO")</f>
        <v>CUIT NO CARGADO</v>
      </c>
      <c r="H719" s="64">
        <v>4760.33</v>
      </c>
      <c r="I719" s="64">
        <f>ventas_b_mes684[[#This Row],[IMPORTE NETO]]*0.21</f>
        <v>999.66929999999991</v>
      </c>
      <c r="J719" s="64"/>
      <c r="K719" s="64"/>
      <c r="L719" s="64">
        <f>SUM(ventas_b_mes684[[#This Row],[IMPORTE NETO]:[EXENTO]])</f>
        <v>5759.9992999999995</v>
      </c>
      <c r="M719" s="59"/>
    </row>
    <row r="720" spans="2:13">
      <c r="B720" s="40" t="s">
        <v>2306</v>
      </c>
      <c r="C720" s="41">
        <v>6</v>
      </c>
      <c r="D720" s="42">
        <v>10</v>
      </c>
      <c r="E720" s="43">
        <v>54382</v>
      </c>
      <c r="F720" s="44">
        <v>22661898</v>
      </c>
      <c r="G720" s="1" t="str">
        <f>IFERROR(IF(ventas_b_mes684[[#This Row],[CUIT]]="","-",VLOOKUP(ventas_b_mes684[[#This Row],[CUIT]],Lista_CUIT[#All],2,0)),"CUIT NO CARGADO")</f>
        <v>CUIT NO CARGADO</v>
      </c>
      <c r="H720" s="64">
        <v>31487.599999999999</v>
      </c>
      <c r="I720" s="64">
        <f>ventas_b_mes684[[#This Row],[IMPORTE NETO]]*0.21</f>
        <v>6612.3959999999997</v>
      </c>
      <c r="J720" s="64"/>
      <c r="K720" s="64"/>
      <c r="L720" s="64">
        <f>SUM(ventas_b_mes684[[#This Row],[IMPORTE NETO]:[EXENTO]])</f>
        <v>38099.995999999999</v>
      </c>
      <c r="M720" s="59"/>
    </row>
    <row r="721" spans="2:13">
      <c r="B721" s="40" t="s">
        <v>2306</v>
      </c>
      <c r="C721" s="41">
        <v>6</v>
      </c>
      <c r="D721" s="42">
        <v>10</v>
      </c>
      <c r="E721" s="43">
        <v>54388</v>
      </c>
      <c r="F721" s="44">
        <v>18597462</v>
      </c>
      <c r="G721" s="1" t="str">
        <f>IFERROR(IF(ventas_b_mes684[[#This Row],[CUIT]]="","-",VLOOKUP(ventas_b_mes684[[#This Row],[CUIT]],Lista_CUIT[#All],2,0)),"CUIT NO CARGADO")</f>
        <v>CUIT NO CARGADO</v>
      </c>
      <c r="H721" s="64">
        <v>25537.19</v>
      </c>
      <c r="I721" s="64">
        <f>ventas_b_mes684[[#This Row],[IMPORTE NETO]]*0.21</f>
        <v>5362.8098999999993</v>
      </c>
      <c r="J721" s="64"/>
      <c r="K721" s="64"/>
      <c r="L721" s="64">
        <f>SUM(ventas_b_mes684[[#This Row],[IMPORTE NETO]:[EXENTO]])</f>
        <v>30899.999899999999</v>
      </c>
      <c r="M721" s="59"/>
    </row>
    <row r="722" spans="2:13">
      <c r="B722" s="40" t="s">
        <v>2306</v>
      </c>
      <c r="C722" s="41">
        <v>6</v>
      </c>
      <c r="D722" s="42">
        <v>10</v>
      </c>
      <c r="E722" s="43">
        <v>54403</v>
      </c>
      <c r="F722" s="44">
        <v>27280955391</v>
      </c>
      <c r="G722" s="1" t="str">
        <f>IFERROR(IF(ventas_b_mes684[[#This Row],[CUIT]]="","-",VLOOKUP(ventas_b_mes684[[#This Row],[CUIT]],Lista_CUIT[#All],2,0)),"CUIT NO CARGADO")</f>
        <v>CUIT NO CARGADO</v>
      </c>
      <c r="H722" s="64">
        <v>222785.1</v>
      </c>
      <c r="I722" s="64">
        <f>ventas_b_mes684[[#This Row],[IMPORTE NETO]]*0.21</f>
        <v>46784.870999999999</v>
      </c>
      <c r="J722" s="64"/>
      <c r="K722" s="64"/>
      <c r="L722" s="64">
        <f>SUM(ventas_b_mes684[[#This Row],[IMPORTE NETO]:[EXENTO]])</f>
        <v>269569.97100000002</v>
      </c>
      <c r="M722" s="59"/>
    </row>
    <row r="723" spans="2:13">
      <c r="B723" s="40" t="s">
        <v>2306</v>
      </c>
      <c r="C723" s="41">
        <v>6</v>
      </c>
      <c r="D723" s="42">
        <v>10</v>
      </c>
      <c r="E723" s="43">
        <v>54405</v>
      </c>
      <c r="F723" s="44">
        <v>27280955391</v>
      </c>
      <c r="G723" s="1" t="str">
        <f>IFERROR(IF(ventas_b_mes684[[#This Row],[CUIT]]="","-",VLOOKUP(ventas_b_mes684[[#This Row],[CUIT]],Lista_CUIT[#All],2,0)),"CUIT NO CARGADO")</f>
        <v>CUIT NO CARGADO</v>
      </c>
      <c r="H723" s="64">
        <v>33120</v>
      </c>
      <c r="I723" s="64">
        <f>ventas_b_mes684[[#This Row],[IMPORTE NETO]]*0.21</f>
        <v>6955.2</v>
      </c>
      <c r="J723" s="64"/>
      <c r="K723" s="64"/>
      <c r="L723" s="64">
        <f>SUM(ventas_b_mes684[[#This Row],[IMPORTE NETO]:[EXENTO]])</f>
        <v>40075.199999999997</v>
      </c>
      <c r="M723" s="59"/>
    </row>
    <row r="724" spans="2:13">
      <c r="B724" s="40" t="s">
        <v>2306</v>
      </c>
      <c r="C724" s="41">
        <v>6</v>
      </c>
      <c r="D724" s="42">
        <v>10</v>
      </c>
      <c r="E724" s="43">
        <v>54404</v>
      </c>
      <c r="F724" s="44">
        <v>27280955391</v>
      </c>
      <c r="G724" s="1" t="str">
        <f>IFERROR(IF(ventas_b_mes684[[#This Row],[CUIT]]="","-",VLOOKUP(ventas_b_mes684[[#This Row],[CUIT]],Lista_CUIT[#All],2,0)),"CUIT NO CARGADO")</f>
        <v>CUIT NO CARGADO</v>
      </c>
      <c r="H724" s="64">
        <v>54900.800000000003</v>
      </c>
      <c r="I724" s="64">
        <f>ventas_b_mes684[[#This Row],[IMPORTE NETO]]*0.21</f>
        <v>11529.168</v>
      </c>
      <c r="J724" s="64"/>
      <c r="K724" s="64"/>
      <c r="L724" s="64">
        <f>SUM(ventas_b_mes684[[#This Row],[IMPORTE NETO]:[EXENTO]])</f>
        <v>66429.968000000008</v>
      </c>
      <c r="M724" s="59"/>
    </row>
    <row r="725" spans="2:13">
      <c r="B725" s="40" t="s">
        <v>2306</v>
      </c>
      <c r="C725" s="41">
        <v>6</v>
      </c>
      <c r="D725" s="42">
        <v>12</v>
      </c>
      <c r="E725" s="43">
        <v>29596</v>
      </c>
      <c r="F725" s="44">
        <v>16304920</v>
      </c>
      <c r="G725" s="1" t="str">
        <f>IFERROR(IF(ventas_b_mes684[[#This Row],[CUIT]]="","-",VLOOKUP(ventas_b_mes684[[#This Row],[CUIT]],Lista_CUIT[#All],2,0)),"CUIT NO CARGADO")</f>
        <v>CUIT NO CARGADO</v>
      </c>
      <c r="H725" s="64">
        <v>28181.82</v>
      </c>
      <c r="I725" s="64">
        <f>ventas_b_mes684[[#This Row],[IMPORTE NETO]]*0.21</f>
        <v>5918.1821999999993</v>
      </c>
      <c r="J725" s="64"/>
      <c r="K725" s="64"/>
      <c r="L725" s="64">
        <f>SUM(ventas_b_mes684[[#This Row],[IMPORTE NETO]:[EXENTO]])</f>
        <v>34100.002200000003</v>
      </c>
      <c r="M725" s="59"/>
    </row>
    <row r="726" spans="2:13">
      <c r="B726" s="40" t="s">
        <v>2306</v>
      </c>
      <c r="C726" s="41">
        <v>6</v>
      </c>
      <c r="D726" s="42">
        <v>12</v>
      </c>
      <c r="E726" s="43">
        <v>29597</v>
      </c>
      <c r="F726" s="44">
        <v>16304920</v>
      </c>
      <c r="G726" s="1" t="str">
        <f>IFERROR(IF(ventas_b_mes684[[#This Row],[CUIT]]="","-",VLOOKUP(ventas_b_mes684[[#This Row],[CUIT]],Lista_CUIT[#All],2,0)),"CUIT NO CARGADO")</f>
        <v>CUIT NO CARGADO</v>
      </c>
      <c r="H726" s="64">
        <v>2314.0500000000002</v>
      </c>
      <c r="I726" s="64">
        <f>ventas_b_mes684[[#This Row],[IMPORTE NETO]]*0.21</f>
        <v>485.95050000000003</v>
      </c>
      <c r="J726" s="64"/>
      <c r="K726" s="64"/>
      <c r="L726" s="64">
        <f>SUM(ventas_b_mes684[[#This Row],[IMPORTE NETO]:[EXENTO]])</f>
        <v>2800.0005000000001</v>
      </c>
      <c r="M726" s="59"/>
    </row>
    <row r="727" spans="2:13">
      <c r="B727" s="40" t="s">
        <v>2306</v>
      </c>
      <c r="C727" s="41">
        <v>6</v>
      </c>
      <c r="D727" s="42">
        <v>12</v>
      </c>
      <c r="E727" s="43">
        <v>29602</v>
      </c>
      <c r="F727" s="44">
        <v>47257203</v>
      </c>
      <c r="G727" s="1" t="str">
        <f>IFERROR(IF(ventas_b_mes684[[#This Row],[CUIT]]="","-",VLOOKUP(ventas_b_mes684[[#This Row],[CUIT]],Lista_CUIT[#All],2,0)),"CUIT NO CARGADO")</f>
        <v>CUIT NO CARGADO</v>
      </c>
      <c r="H727" s="64">
        <v>20661.16</v>
      </c>
      <c r="I727" s="64">
        <f>ventas_b_mes684[[#This Row],[IMPORTE NETO]]*0.21</f>
        <v>4338.8436000000002</v>
      </c>
      <c r="J727" s="64"/>
      <c r="K727" s="64"/>
      <c r="L727" s="64">
        <f>SUM(ventas_b_mes684[[#This Row],[IMPORTE NETO]:[EXENTO]])</f>
        <v>25000.0036</v>
      </c>
      <c r="M727" s="59"/>
    </row>
    <row r="728" spans="2:13">
      <c r="B728" s="40" t="s">
        <v>2306</v>
      </c>
      <c r="C728" s="41">
        <v>6</v>
      </c>
      <c r="D728" s="42">
        <v>13</v>
      </c>
      <c r="E728" s="43">
        <v>32443</v>
      </c>
      <c r="F728" s="44">
        <v>33944702</v>
      </c>
      <c r="G728" s="1" t="str">
        <f>IFERROR(IF(ventas_b_mes684[[#This Row],[CUIT]]="","-",VLOOKUP(ventas_b_mes684[[#This Row],[CUIT]],Lista_CUIT[#All],2,0)),"CUIT NO CARGADO")</f>
        <v>CUIT NO CARGADO</v>
      </c>
      <c r="H728" s="64">
        <v>3421.49</v>
      </c>
      <c r="I728" s="64">
        <f>ventas_b_mes684[[#This Row],[IMPORTE NETO]]*0.21</f>
        <v>718.51289999999995</v>
      </c>
      <c r="J728" s="64"/>
      <c r="K728" s="64"/>
      <c r="L728" s="64">
        <f>SUM(ventas_b_mes684[[#This Row],[IMPORTE NETO]:[EXENTO]])</f>
        <v>4140.0028999999995</v>
      </c>
      <c r="M728" s="59"/>
    </row>
    <row r="729" spans="2:13">
      <c r="B729" s="40" t="s">
        <v>2306</v>
      </c>
      <c r="C729" s="41">
        <v>6</v>
      </c>
      <c r="D729" s="42">
        <v>11</v>
      </c>
      <c r="E729" s="43">
        <v>38042</v>
      </c>
      <c r="F729" s="44">
        <v>26710506</v>
      </c>
      <c r="G729" s="1" t="str">
        <f>IFERROR(IF(ventas_b_mes684[[#This Row],[CUIT]]="","-",VLOOKUP(ventas_b_mes684[[#This Row],[CUIT]],Lista_CUIT[#All],2,0)),"CUIT NO CARGADO")</f>
        <v>CUIT NO CARGADO</v>
      </c>
      <c r="H729" s="64">
        <v>20661.16</v>
      </c>
      <c r="I729" s="64">
        <f>ventas_b_mes684[[#This Row],[IMPORTE NETO]]*0.21</f>
        <v>4338.8436000000002</v>
      </c>
      <c r="J729" s="64"/>
      <c r="K729" s="64"/>
      <c r="L729" s="64">
        <f>SUM(ventas_b_mes684[[#This Row],[IMPORTE NETO]:[EXENTO]])</f>
        <v>25000.0036</v>
      </c>
      <c r="M729" s="59"/>
    </row>
    <row r="730" spans="2:13">
      <c r="B730" s="40" t="s">
        <v>2306</v>
      </c>
      <c r="C730" s="41">
        <v>6</v>
      </c>
      <c r="D730" s="42">
        <v>10</v>
      </c>
      <c r="E730" s="43">
        <v>54380</v>
      </c>
      <c r="F730" s="44">
        <v>16680908</v>
      </c>
      <c r="G730" s="1" t="str">
        <f>IFERROR(IF(ventas_b_mes684[[#This Row],[CUIT]]="","-",VLOOKUP(ventas_b_mes684[[#This Row],[CUIT]],Lista_CUIT[#All],2,0)),"CUIT NO CARGADO")</f>
        <v>CUIT NO CARGADO</v>
      </c>
      <c r="H730" s="64">
        <v>20661.16</v>
      </c>
      <c r="I730" s="64">
        <f>ventas_b_mes684[[#This Row],[IMPORTE NETO]]*0.21</f>
        <v>4338.8436000000002</v>
      </c>
      <c r="J730" s="64"/>
      <c r="K730" s="64"/>
      <c r="L730" s="64">
        <f>SUM(ventas_b_mes684[[#This Row],[IMPORTE NETO]:[EXENTO]])</f>
        <v>25000.0036</v>
      </c>
      <c r="M730" s="59"/>
    </row>
    <row r="731" spans="2:13">
      <c r="B731" s="40" t="s">
        <v>2306</v>
      </c>
      <c r="C731" s="41">
        <v>6</v>
      </c>
      <c r="D731" s="42">
        <v>11</v>
      </c>
      <c r="E731" s="43">
        <v>38028</v>
      </c>
      <c r="F731" s="44">
        <v>28696009</v>
      </c>
      <c r="G731" s="1" t="str">
        <f>IFERROR(IF(ventas_b_mes684[[#This Row],[CUIT]]="","-",VLOOKUP(ventas_b_mes684[[#This Row],[CUIT]],Lista_CUIT[#All],2,0)),"CUIT NO CARGADO")</f>
        <v>CUIT NO CARGADO</v>
      </c>
      <c r="H731" s="64">
        <v>60457.85</v>
      </c>
      <c r="I731" s="64">
        <f>ventas_b_mes684[[#This Row],[IMPORTE NETO]]*0.21</f>
        <v>12696.148499999999</v>
      </c>
      <c r="J731" s="64"/>
      <c r="K731" s="64"/>
      <c r="L731" s="64">
        <f>SUM(ventas_b_mes684[[#This Row],[IMPORTE NETO]:[EXENTO]])</f>
        <v>73153.998500000002</v>
      </c>
      <c r="M731" s="59"/>
    </row>
    <row r="732" spans="2:13">
      <c r="B732" s="40" t="s">
        <v>2306</v>
      </c>
      <c r="C732" s="41">
        <v>6</v>
      </c>
      <c r="D732" s="42">
        <v>11</v>
      </c>
      <c r="E732" s="43">
        <v>38035</v>
      </c>
      <c r="F732" s="44">
        <v>17856747</v>
      </c>
      <c r="G732" s="1" t="str">
        <f>IFERROR(IF(ventas_b_mes684[[#This Row],[CUIT]]="","-",VLOOKUP(ventas_b_mes684[[#This Row],[CUIT]],Lista_CUIT[#All],2,0)),"CUIT NO CARGADO")</f>
        <v>CUIT NO CARGADO</v>
      </c>
      <c r="H732" s="64">
        <v>148471.07</v>
      </c>
      <c r="I732" s="64">
        <f>ventas_b_mes684[[#This Row],[IMPORTE NETO]]*0.21</f>
        <v>31178.9247</v>
      </c>
      <c r="J732" s="64"/>
      <c r="K732" s="64"/>
      <c r="L732" s="64">
        <f>SUM(ventas_b_mes684[[#This Row],[IMPORTE NETO]:[EXENTO]])</f>
        <v>179649.99470000001</v>
      </c>
      <c r="M732" s="59"/>
    </row>
    <row r="733" spans="2:13">
      <c r="B733" s="40" t="s">
        <v>2306</v>
      </c>
      <c r="C733" s="41">
        <v>6</v>
      </c>
      <c r="D733" s="42">
        <v>11</v>
      </c>
      <c r="E733" s="43">
        <v>38039</v>
      </c>
      <c r="F733" s="44">
        <v>29746852</v>
      </c>
      <c r="G733" s="1" t="str">
        <f>IFERROR(IF(ventas_b_mes684[[#This Row],[CUIT]]="","-",VLOOKUP(ventas_b_mes684[[#This Row],[CUIT]],Lista_CUIT[#All],2,0)),"CUIT NO CARGADO")</f>
        <v>CUIT NO CARGADO</v>
      </c>
      <c r="H733" s="64">
        <v>34338.839999999997</v>
      </c>
      <c r="I733" s="64">
        <f>ventas_b_mes684[[#This Row],[IMPORTE NETO]]*0.21</f>
        <v>7211.1563999999989</v>
      </c>
      <c r="J733" s="64"/>
      <c r="K733" s="64"/>
      <c r="L733" s="64">
        <f>SUM(ventas_b_mes684[[#This Row],[IMPORTE NETO]:[EXENTO]])</f>
        <v>41549.996399999996</v>
      </c>
      <c r="M733" s="59"/>
    </row>
    <row r="734" spans="2:13">
      <c r="B734" s="40" t="s">
        <v>2306</v>
      </c>
      <c r="C734" s="41">
        <v>6</v>
      </c>
      <c r="D734" s="42">
        <v>12</v>
      </c>
      <c r="E734" s="43">
        <v>29609</v>
      </c>
      <c r="F734" s="44">
        <v>22240714</v>
      </c>
      <c r="G734" s="1" t="str">
        <f>IFERROR(IF(ventas_b_mes684[[#This Row],[CUIT]]="","-",VLOOKUP(ventas_b_mes684[[#This Row],[CUIT]],Lista_CUIT[#All],2,0)),"CUIT NO CARGADO")</f>
        <v>CUIT NO CARGADO</v>
      </c>
      <c r="H734" s="64">
        <v>62322.31</v>
      </c>
      <c r="I734" s="64">
        <f>ventas_b_mes684[[#This Row],[IMPORTE NETO]]*0.21</f>
        <v>13087.685099999999</v>
      </c>
      <c r="J734" s="64"/>
      <c r="K734" s="64"/>
      <c r="L734" s="64">
        <f>SUM(ventas_b_mes684[[#This Row],[IMPORTE NETO]:[EXENTO]])</f>
        <v>75409.9951</v>
      </c>
      <c r="M734" s="59"/>
    </row>
    <row r="735" spans="2:13">
      <c r="B735" s="40" t="s">
        <v>2306</v>
      </c>
      <c r="C735" s="41">
        <v>6</v>
      </c>
      <c r="D735" s="42">
        <v>12</v>
      </c>
      <c r="E735" s="43">
        <v>29610</v>
      </c>
      <c r="F735" s="44">
        <v>24102431</v>
      </c>
      <c r="G735" s="1" t="str">
        <f>IFERROR(IF(ventas_b_mes684[[#This Row],[CUIT]]="","-",VLOOKUP(ventas_b_mes684[[#This Row],[CUIT]],Lista_CUIT[#All],2,0)),"CUIT NO CARGADO")</f>
        <v>CUIT NO CARGADO</v>
      </c>
      <c r="H735" s="64">
        <v>90090.91</v>
      </c>
      <c r="I735" s="64">
        <f>ventas_b_mes684[[#This Row],[IMPORTE NETO]]*0.21</f>
        <v>18919.091100000001</v>
      </c>
      <c r="J735" s="64"/>
      <c r="K735" s="64"/>
      <c r="L735" s="64">
        <f>SUM(ventas_b_mes684[[#This Row],[IMPORTE NETO]:[EXENTO]])</f>
        <v>109010.00110000001</v>
      </c>
      <c r="M735" s="59"/>
    </row>
    <row r="736" spans="2:13">
      <c r="B736" s="40" t="s">
        <v>2306</v>
      </c>
      <c r="C736" s="41">
        <v>6</v>
      </c>
      <c r="D736" s="42">
        <v>12</v>
      </c>
      <c r="E736" s="43">
        <v>29611</v>
      </c>
      <c r="F736" s="44">
        <v>20213391</v>
      </c>
      <c r="G736" s="1" t="str">
        <f>IFERROR(IF(ventas_b_mes684[[#This Row],[CUIT]]="","-",VLOOKUP(ventas_b_mes684[[#This Row],[CUIT]],Lista_CUIT[#All],2,0)),"CUIT NO CARGADO")</f>
        <v>CUIT NO CARGADO</v>
      </c>
      <c r="H736" s="64">
        <v>29747.93</v>
      </c>
      <c r="I736" s="64">
        <f>ventas_b_mes684[[#This Row],[IMPORTE NETO]]*0.21</f>
        <v>6247.0653000000002</v>
      </c>
      <c r="J736" s="64"/>
      <c r="K736" s="64"/>
      <c r="L736" s="64">
        <f>SUM(ventas_b_mes684[[#This Row],[IMPORTE NETO]:[EXENTO]])</f>
        <v>35994.995300000002</v>
      </c>
      <c r="M736" s="59"/>
    </row>
    <row r="737" spans="2:13">
      <c r="B737" s="40" t="s">
        <v>2306</v>
      </c>
      <c r="C737" s="41">
        <v>6</v>
      </c>
      <c r="D737" s="42">
        <v>12</v>
      </c>
      <c r="E737" s="43">
        <v>29612</v>
      </c>
      <c r="F737" s="44">
        <v>35190282</v>
      </c>
      <c r="G737" s="1" t="str">
        <f>IFERROR(IF(ventas_b_mes684[[#This Row],[CUIT]]="","-",VLOOKUP(ventas_b_mes684[[#This Row],[CUIT]],Lista_CUIT[#All],2,0)),"CUIT NO CARGADO")</f>
        <v>CUIT NO CARGADO</v>
      </c>
      <c r="H737" s="64">
        <v>12933.88</v>
      </c>
      <c r="I737" s="64">
        <f>ventas_b_mes684[[#This Row],[IMPORTE NETO]]*0.21</f>
        <v>2716.1147999999998</v>
      </c>
      <c r="J737" s="64"/>
      <c r="K737" s="64"/>
      <c r="L737" s="64">
        <f>SUM(ventas_b_mes684[[#This Row],[IMPORTE NETO]:[EXENTO]])</f>
        <v>15649.994799999999</v>
      </c>
      <c r="M737" s="59"/>
    </row>
    <row r="738" spans="2:13">
      <c r="B738" s="40" t="s">
        <v>2306</v>
      </c>
      <c r="C738" s="41">
        <v>6</v>
      </c>
      <c r="D738" s="42">
        <v>12</v>
      </c>
      <c r="E738" s="43">
        <v>29613</v>
      </c>
      <c r="F738" s="44">
        <v>94028703</v>
      </c>
      <c r="G738" s="1" t="str">
        <f>IFERROR(IF(ventas_b_mes684[[#This Row],[CUIT]]="","-",VLOOKUP(ventas_b_mes684[[#This Row],[CUIT]],Lista_CUIT[#All],2,0)),"CUIT NO CARGADO")</f>
        <v>CUIT NO CARGADO</v>
      </c>
      <c r="H738" s="64">
        <v>18016.53</v>
      </c>
      <c r="I738" s="64">
        <f>ventas_b_mes684[[#This Row],[IMPORTE NETO]]*0.21</f>
        <v>3783.4712999999997</v>
      </c>
      <c r="J738" s="64"/>
      <c r="K738" s="64"/>
      <c r="L738" s="64">
        <f>SUM(ventas_b_mes684[[#This Row],[IMPORTE NETO]:[EXENTO]])</f>
        <v>21800.0013</v>
      </c>
      <c r="M738" s="59"/>
    </row>
    <row r="739" spans="2:13">
      <c r="B739" s="40" t="s">
        <v>2306</v>
      </c>
      <c r="C739" s="41">
        <v>6</v>
      </c>
      <c r="D739" s="42">
        <v>11</v>
      </c>
      <c r="E739" s="43">
        <v>38051</v>
      </c>
      <c r="F739" s="44">
        <v>34343863</v>
      </c>
      <c r="G739" s="1" t="str">
        <f>IFERROR(IF(ventas_b_mes684[[#This Row],[CUIT]]="","-",VLOOKUP(ventas_b_mes684[[#This Row],[CUIT]],Lista_CUIT[#All],2,0)),"CUIT NO CARGADO")</f>
        <v>CUIT NO CARGADO</v>
      </c>
      <c r="H739" s="64">
        <v>20661.16</v>
      </c>
      <c r="I739" s="64">
        <f>ventas_b_mes684[[#This Row],[IMPORTE NETO]]*0.21</f>
        <v>4338.8436000000002</v>
      </c>
      <c r="J739" s="64"/>
      <c r="K739" s="64"/>
      <c r="L739" s="64">
        <f>SUM(ventas_b_mes684[[#This Row],[IMPORTE NETO]:[EXENTO]])</f>
        <v>25000.0036</v>
      </c>
      <c r="M739" s="59"/>
    </row>
    <row r="740" spans="2:13">
      <c r="B740" s="40" t="s">
        <v>2306</v>
      </c>
      <c r="C740" s="41">
        <v>6</v>
      </c>
      <c r="D740" s="42">
        <v>15</v>
      </c>
      <c r="E740" s="43">
        <v>13154</v>
      </c>
      <c r="F740" s="44">
        <v>41064901</v>
      </c>
      <c r="G740" s="1" t="str">
        <f>IFERROR(IF(ventas_b_mes684[[#This Row],[CUIT]]="","-",VLOOKUP(ventas_b_mes684[[#This Row],[CUIT]],Lista_CUIT[#All],2,0)),"CUIT NO CARGADO")</f>
        <v>CUIT NO CARGADO</v>
      </c>
      <c r="H740" s="64">
        <v>20661.16</v>
      </c>
      <c r="I740" s="64">
        <f>ventas_b_mes684[[#This Row],[IMPORTE NETO]]*0.21</f>
        <v>4338.8436000000002</v>
      </c>
      <c r="J740" s="64"/>
      <c r="K740" s="64"/>
      <c r="L740" s="64">
        <f>SUM(ventas_b_mes684[[#This Row],[IMPORTE NETO]:[EXENTO]])</f>
        <v>25000.0036</v>
      </c>
      <c r="M740" s="59"/>
    </row>
    <row r="741" spans="2:13">
      <c r="B741" s="40" t="s">
        <v>2306</v>
      </c>
      <c r="C741" s="41">
        <v>6</v>
      </c>
      <c r="D741" s="42">
        <v>11</v>
      </c>
      <c r="E741" s="43">
        <v>38031</v>
      </c>
      <c r="F741" s="44">
        <v>28793994</v>
      </c>
      <c r="G741" s="1" t="str">
        <f>IFERROR(IF(ventas_b_mes684[[#This Row],[CUIT]]="","-",VLOOKUP(ventas_b_mes684[[#This Row],[CUIT]],Lista_CUIT[#All],2,0)),"CUIT NO CARGADO")</f>
        <v>CUIT NO CARGADO</v>
      </c>
      <c r="H741" s="64">
        <v>48646.75</v>
      </c>
      <c r="I741" s="64">
        <f>ventas_b_mes684[[#This Row],[IMPORTE NETO]]*0.21</f>
        <v>10215.817499999999</v>
      </c>
      <c r="J741" s="64"/>
      <c r="K741" s="64"/>
      <c r="L741" s="64">
        <f>SUM(ventas_b_mes684[[#This Row],[IMPORTE NETO]:[EXENTO]])</f>
        <v>58862.567499999997</v>
      </c>
      <c r="M741" s="59"/>
    </row>
    <row r="742" spans="2:13">
      <c r="B742" s="40" t="s">
        <v>2307</v>
      </c>
      <c r="C742" s="41">
        <v>6</v>
      </c>
      <c r="D742" s="42">
        <v>10</v>
      </c>
      <c r="E742" s="43">
        <v>54424</v>
      </c>
      <c r="F742" s="44">
        <v>14750820</v>
      </c>
      <c r="G742" s="1" t="str">
        <f>IFERROR(IF(ventas_b_mes684[[#This Row],[CUIT]]="","-",VLOOKUP(ventas_b_mes684[[#This Row],[CUIT]],Lista_CUIT[#All],2,0)),"CUIT NO CARGADO")</f>
        <v>CUIT NO CARGADO</v>
      </c>
      <c r="H742" s="64">
        <v>23140.5</v>
      </c>
      <c r="I742" s="64">
        <f>ventas_b_mes684[[#This Row],[IMPORTE NETO]]*0.21</f>
        <v>4859.5050000000001</v>
      </c>
      <c r="J742" s="64"/>
      <c r="K742" s="64"/>
      <c r="L742" s="64">
        <f>SUM(ventas_b_mes684[[#This Row],[IMPORTE NETO]:[EXENTO]])</f>
        <v>28000.005000000001</v>
      </c>
      <c r="M742" s="59"/>
    </row>
    <row r="743" spans="2:13">
      <c r="B743" s="40" t="s">
        <v>2307</v>
      </c>
      <c r="C743" s="41">
        <v>6</v>
      </c>
      <c r="D743" s="42">
        <v>10</v>
      </c>
      <c r="E743" s="43">
        <v>54411</v>
      </c>
      <c r="F743" s="44">
        <v>1234</v>
      </c>
      <c r="G743" s="1" t="str">
        <f>IFERROR(IF(ventas_b_mes684[[#This Row],[CUIT]]="","-",VLOOKUP(ventas_b_mes684[[#This Row],[CUIT]],Lista_CUIT[#All],2,0)),"CUIT NO CARGADO")</f>
        <v>CUIT NO CARGADO</v>
      </c>
      <c r="H743" s="64">
        <v>297.52</v>
      </c>
      <c r="I743" s="64">
        <f>ventas_b_mes684[[#This Row],[IMPORTE NETO]]*0.21</f>
        <v>62.479199999999992</v>
      </c>
      <c r="J743" s="64"/>
      <c r="K743" s="64"/>
      <c r="L743" s="64">
        <f>SUM(ventas_b_mes684[[#This Row],[IMPORTE NETO]:[EXENTO]])</f>
        <v>359.99919999999997</v>
      </c>
      <c r="M743" s="59"/>
    </row>
    <row r="744" spans="2:13">
      <c r="B744" s="40" t="s">
        <v>2307</v>
      </c>
      <c r="C744" s="41">
        <v>6</v>
      </c>
      <c r="D744" s="42">
        <v>13</v>
      </c>
      <c r="E744" s="43">
        <v>32455</v>
      </c>
      <c r="F744" s="44">
        <v>14531020</v>
      </c>
      <c r="G744" s="1" t="str">
        <f>IFERROR(IF(ventas_b_mes684[[#This Row],[CUIT]]="","-",VLOOKUP(ventas_b_mes684[[#This Row],[CUIT]],Lista_CUIT[#All],2,0)),"CUIT NO CARGADO")</f>
        <v>CUIT NO CARGADO</v>
      </c>
      <c r="H744" s="64">
        <v>18760.34</v>
      </c>
      <c r="I744" s="64">
        <f>ventas_b_mes684[[#This Row],[IMPORTE NETO]]*0.21</f>
        <v>3939.6713999999997</v>
      </c>
      <c r="J744" s="64"/>
      <c r="K744" s="64"/>
      <c r="L744" s="64">
        <f>SUM(ventas_b_mes684[[#This Row],[IMPORTE NETO]:[EXENTO]])</f>
        <v>22700.011399999999</v>
      </c>
      <c r="M744" s="59"/>
    </row>
    <row r="745" spans="2:13">
      <c r="B745" s="40" t="s">
        <v>2307</v>
      </c>
      <c r="C745" s="41">
        <v>6</v>
      </c>
      <c r="D745" s="42">
        <v>10</v>
      </c>
      <c r="E745" s="43">
        <v>54427</v>
      </c>
      <c r="F745" s="44">
        <v>23376103</v>
      </c>
      <c r="G745" s="1" t="str">
        <f>IFERROR(IF(ventas_b_mes684[[#This Row],[CUIT]]="","-",VLOOKUP(ventas_b_mes684[[#This Row],[CUIT]],Lista_CUIT[#All],2,0)),"CUIT NO CARGADO")</f>
        <v>CUIT NO CARGADO</v>
      </c>
      <c r="H745" s="64">
        <v>20661.16</v>
      </c>
      <c r="I745" s="64">
        <f>ventas_b_mes684[[#This Row],[IMPORTE NETO]]*0.21</f>
        <v>4338.8436000000002</v>
      </c>
      <c r="J745" s="64"/>
      <c r="K745" s="64"/>
      <c r="L745" s="64">
        <f>SUM(ventas_b_mes684[[#This Row],[IMPORTE NETO]:[EXENTO]])</f>
        <v>25000.0036</v>
      </c>
      <c r="M745" s="59"/>
    </row>
    <row r="746" spans="2:13">
      <c r="B746" s="40" t="s">
        <v>2307</v>
      </c>
      <c r="C746" s="41">
        <v>6</v>
      </c>
      <c r="D746" s="42">
        <v>11</v>
      </c>
      <c r="E746" s="43">
        <v>38071</v>
      </c>
      <c r="F746" s="44">
        <v>94755011</v>
      </c>
      <c r="G746" s="1" t="str">
        <f>IFERROR(IF(ventas_b_mes684[[#This Row],[CUIT]]="","-",VLOOKUP(ventas_b_mes684[[#This Row],[CUIT]],Lista_CUIT[#All],2,0)),"CUIT NO CARGADO")</f>
        <v>CUIT NO CARGADO</v>
      </c>
      <c r="H746" s="64">
        <v>18264.46</v>
      </c>
      <c r="I746" s="64">
        <f>ventas_b_mes684[[#This Row],[IMPORTE NETO]]*0.21</f>
        <v>3835.5365999999995</v>
      </c>
      <c r="J746" s="64"/>
      <c r="K746" s="64"/>
      <c r="L746" s="64">
        <f>SUM(ventas_b_mes684[[#This Row],[IMPORTE NETO]:[EXENTO]])</f>
        <v>22099.996599999999</v>
      </c>
      <c r="M746" s="59"/>
    </row>
    <row r="747" spans="2:13">
      <c r="B747" s="40" t="s">
        <v>2307</v>
      </c>
      <c r="C747" s="41">
        <v>6</v>
      </c>
      <c r="D747" s="42">
        <v>11</v>
      </c>
      <c r="E747" s="43">
        <v>38070</v>
      </c>
      <c r="F747" s="44">
        <v>30867589</v>
      </c>
      <c r="G747" s="1" t="str">
        <f>IFERROR(IF(ventas_b_mes684[[#This Row],[CUIT]]="","-",VLOOKUP(ventas_b_mes684[[#This Row],[CUIT]],Lista_CUIT[#All],2,0)),"CUIT NO CARGADO")</f>
        <v>CUIT NO CARGADO</v>
      </c>
      <c r="H747" s="64">
        <v>8394.6299999999992</v>
      </c>
      <c r="I747" s="64">
        <f>ventas_b_mes684[[#This Row],[IMPORTE NETO]]*0.21</f>
        <v>1762.8722999999998</v>
      </c>
      <c r="J747" s="64"/>
      <c r="K747" s="64"/>
      <c r="L747" s="64">
        <f>SUM(ventas_b_mes684[[#This Row],[IMPORTE NETO]:[EXENTO]])</f>
        <v>10157.502299999998</v>
      </c>
      <c r="M747" s="59"/>
    </row>
    <row r="748" spans="2:13">
      <c r="B748" s="40" t="s">
        <v>2307</v>
      </c>
      <c r="C748" s="41">
        <v>6</v>
      </c>
      <c r="D748" s="42">
        <v>10</v>
      </c>
      <c r="E748" s="43">
        <v>54426</v>
      </c>
      <c r="F748" s="44">
        <v>30279468</v>
      </c>
      <c r="G748" s="1" t="str">
        <f>IFERROR(IF(ventas_b_mes684[[#This Row],[CUIT]]="","-",VLOOKUP(ventas_b_mes684[[#This Row],[CUIT]],Lista_CUIT[#All],2,0)),"CUIT NO CARGADO")</f>
        <v>CUIT NO CARGADO</v>
      </c>
      <c r="H748" s="64">
        <v>8016.53</v>
      </c>
      <c r="I748" s="64">
        <f>ventas_b_mes684[[#This Row],[IMPORTE NETO]]*0.21</f>
        <v>1683.4712999999999</v>
      </c>
      <c r="J748" s="64"/>
      <c r="K748" s="64"/>
      <c r="L748" s="64">
        <f>SUM(ventas_b_mes684[[#This Row],[IMPORTE NETO]:[EXENTO]])</f>
        <v>9700.0012999999999</v>
      </c>
      <c r="M748" s="59"/>
    </row>
    <row r="749" spans="2:13">
      <c r="B749" s="40" t="s">
        <v>2307</v>
      </c>
      <c r="C749" s="41">
        <v>6</v>
      </c>
      <c r="D749" s="42">
        <v>11</v>
      </c>
      <c r="E749" s="43">
        <v>38073</v>
      </c>
      <c r="F749" s="44">
        <v>41874281</v>
      </c>
      <c r="G749" s="1" t="str">
        <f>IFERROR(IF(ventas_b_mes684[[#This Row],[CUIT]]="","-",VLOOKUP(ventas_b_mes684[[#This Row],[CUIT]],Lista_CUIT[#All],2,0)),"CUIT NO CARGADO")</f>
        <v>CUIT NO CARGADO</v>
      </c>
      <c r="H749" s="64">
        <v>15559.92</v>
      </c>
      <c r="I749" s="64">
        <f>ventas_b_mes684[[#This Row],[IMPORTE NETO]]*0.21</f>
        <v>3267.5832</v>
      </c>
      <c r="J749" s="64"/>
      <c r="K749" s="64"/>
      <c r="L749" s="64">
        <f>SUM(ventas_b_mes684[[#This Row],[IMPORTE NETO]:[EXENTO]])</f>
        <v>18827.503199999999</v>
      </c>
      <c r="M749" s="59"/>
    </row>
    <row r="750" spans="2:13">
      <c r="B750" s="40" t="s">
        <v>2307</v>
      </c>
      <c r="C750" s="41">
        <v>6</v>
      </c>
      <c r="D750" s="42">
        <v>13</v>
      </c>
      <c r="E750" s="43">
        <v>32450</v>
      </c>
      <c r="F750" s="44">
        <v>10120367</v>
      </c>
      <c r="G750" s="1" t="str">
        <f>IFERROR(IF(ventas_b_mes684[[#This Row],[CUIT]]="","-",VLOOKUP(ventas_b_mes684[[#This Row],[CUIT]],Lista_CUIT[#All],2,0)),"CUIT NO CARGADO")</f>
        <v>GILLY LIDIA MONICA CONCEPCION</v>
      </c>
      <c r="H750" s="64">
        <v>16942.150000000001</v>
      </c>
      <c r="I750" s="64">
        <f>ventas_b_mes684[[#This Row],[IMPORTE NETO]]*0.21</f>
        <v>3557.8515000000002</v>
      </c>
      <c r="J750" s="64"/>
      <c r="K750" s="64"/>
      <c r="L750" s="64">
        <f>SUM(ventas_b_mes684[[#This Row],[IMPORTE NETO]:[EXENTO]])</f>
        <v>20500.001500000002</v>
      </c>
      <c r="M750" s="59"/>
    </row>
    <row r="751" spans="2:13">
      <c r="B751" s="40" t="s">
        <v>2307</v>
      </c>
      <c r="C751" s="41">
        <v>6</v>
      </c>
      <c r="D751" s="42">
        <v>13</v>
      </c>
      <c r="E751" s="43">
        <v>32451</v>
      </c>
      <c r="F751" s="44">
        <v>23277110</v>
      </c>
      <c r="G751" s="1" t="str">
        <f>IFERROR(IF(ventas_b_mes684[[#This Row],[CUIT]]="","-",VLOOKUP(ventas_b_mes684[[#This Row],[CUIT]],Lista_CUIT[#All],2,0)),"CUIT NO CARGADO")</f>
        <v>CUIT NO CARGADO</v>
      </c>
      <c r="H751" s="64">
        <v>40909.089999999997</v>
      </c>
      <c r="I751" s="64">
        <f>ventas_b_mes684[[#This Row],[IMPORTE NETO]]*0.21</f>
        <v>8590.9088999999985</v>
      </c>
      <c r="J751" s="64"/>
      <c r="K751" s="64"/>
      <c r="L751" s="64">
        <f>SUM(ventas_b_mes684[[#This Row],[IMPORTE NETO]:[EXENTO]])</f>
        <v>49499.998899999991</v>
      </c>
      <c r="M751" s="59"/>
    </row>
    <row r="752" spans="2:13">
      <c r="B752" s="40" t="s">
        <v>2307</v>
      </c>
      <c r="C752" s="41">
        <v>6</v>
      </c>
      <c r="D752" s="42">
        <v>15</v>
      </c>
      <c r="E752" s="43">
        <v>13187</v>
      </c>
      <c r="F752" s="44">
        <v>35401700</v>
      </c>
      <c r="G752" s="1" t="str">
        <f>IFERROR(IF(ventas_b_mes684[[#This Row],[CUIT]]="","-",VLOOKUP(ventas_b_mes684[[#This Row],[CUIT]],Lista_CUIT[#All],2,0)),"CUIT NO CARGADO")</f>
        <v>CUIT NO CARGADO</v>
      </c>
      <c r="H752" s="64">
        <v>22479.34</v>
      </c>
      <c r="I752" s="64">
        <f>ventas_b_mes684[[#This Row],[IMPORTE NETO]]*0.21</f>
        <v>4720.6614</v>
      </c>
      <c r="J752" s="64"/>
      <c r="K752" s="64"/>
      <c r="L752" s="64">
        <f>SUM(ventas_b_mes684[[#This Row],[IMPORTE NETO]:[EXENTO]])</f>
        <v>27200.001400000001</v>
      </c>
      <c r="M752" s="59"/>
    </row>
    <row r="753" spans="2:13">
      <c r="B753" s="40" t="s">
        <v>2307</v>
      </c>
      <c r="C753" s="41">
        <v>6</v>
      </c>
      <c r="D753" s="42">
        <v>11</v>
      </c>
      <c r="E753" s="43">
        <v>38076</v>
      </c>
      <c r="F753" s="44">
        <v>10313429</v>
      </c>
      <c r="G753" s="1" t="str">
        <f>IFERROR(IF(ventas_b_mes684[[#This Row],[CUIT]]="","-",VLOOKUP(ventas_b_mes684[[#This Row],[CUIT]],Lista_CUIT[#All],2,0)),"CUIT NO CARGADO")</f>
        <v>CUIT NO CARGADO</v>
      </c>
      <c r="H753" s="64">
        <v>56935.95</v>
      </c>
      <c r="I753" s="64">
        <f>ventas_b_mes684[[#This Row],[IMPORTE NETO]]*0.21</f>
        <v>11956.549499999999</v>
      </c>
      <c r="J753" s="64"/>
      <c r="K753" s="64"/>
      <c r="L753" s="64">
        <f>SUM(ventas_b_mes684[[#This Row],[IMPORTE NETO]:[EXENTO]])</f>
        <v>68892.499499999991</v>
      </c>
      <c r="M753" s="59"/>
    </row>
    <row r="754" spans="2:13">
      <c r="B754" s="40" t="s">
        <v>2307</v>
      </c>
      <c r="C754" s="41">
        <v>6</v>
      </c>
      <c r="D754" s="42">
        <v>11</v>
      </c>
      <c r="E754" s="43">
        <v>38083</v>
      </c>
      <c r="F754" s="44">
        <v>13653778</v>
      </c>
      <c r="G754" s="1" t="str">
        <f>IFERROR(IF(ventas_b_mes684[[#This Row],[CUIT]]="","-",VLOOKUP(ventas_b_mes684[[#This Row],[CUIT]],Lista_CUIT[#All],2,0)),"CUIT NO CARGADO")</f>
        <v>CUIT NO CARGADO</v>
      </c>
      <c r="H754" s="64">
        <v>5909.09</v>
      </c>
      <c r="I754" s="64">
        <f>ventas_b_mes684[[#This Row],[IMPORTE NETO]]*0.21</f>
        <v>1240.9088999999999</v>
      </c>
      <c r="J754" s="64"/>
      <c r="K754" s="64"/>
      <c r="L754" s="64">
        <f>SUM(ventas_b_mes684[[#This Row],[IMPORTE NETO]:[EXENTO]])</f>
        <v>7149.9989000000005</v>
      </c>
      <c r="M754" s="59"/>
    </row>
    <row r="755" spans="2:13">
      <c r="B755" s="40" t="s">
        <v>2307</v>
      </c>
      <c r="C755" s="41">
        <v>6</v>
      </c>
      <c r="D755" s="42">
        <v>10</v>
      </c>
      <c r="E755" s="43">
        <v>54410</v>
      </c>
      <c r="F755" s="44">
        <v>94128715</v>
      </c>
      <c r="G755" s="1" t="str">
        <f>IFERROR(IF(ventas_b_mes684[[#This Row],[CUIT]]="","-",VLOOKUP(ventas_b_mes684[[#This Row],[CUIT]],Lista_CUIT[#All],2,0)),"CUIT NO CARGADO")</f>
        <v>CUIT NO CARGADO</v>
      </c>
      <c r="H755" s="64">
        <v>20661.16</v>
      </c>
      <c r="I755" s="64">
        <f>ventas_b_mes684[[#This Row],[IMPORTE NETO]]*0.21</f>
        <v>4338.8436000000002</v>
      </c>
      <c r="J755" s="64"/>
      <c r="K755" s="64"/>
      <c r="L755" s="64">
        <f>SUM(ventas_b_mes684[[#This Row],[IMPORTE NETO]:[EXENTO]])</f>
        <v>25000.0036</v>
      </c>
      <c r="M755" s="59"/>
    </row>
    <row r="756" spans="2:13">
      <c r="B756" s="40" t="s">
        <v>2307</v>
      </c>
      <c r="C756" s="41">
        <v>6</v>
      </c>
      <c r="D756" s="42">
        <v>10</v>
      </c>
      <c r="E756" s="43">
        <v>54409</v>
      </c>
      <c r="F756" s="44">
        <v>40639048</v>
      </c>
      <c r="G756" s="1" t="str">
        <f>IFERROR(IF(ventas_b_mes684[[#This Row],[CUIT]]="","-",VLOOKUP(ventas_b_mes684[[#This Row],[CUIT]],Lista_CUIT[#All],2,0)),"CUIT NO CARGADO")</f>
        <v>CUIT NO CARGADO</v>
      </c>
      <c r="H756" s="64">
        <v>20661.16</v>
      </c>
      <c r="I756" s="64">
        <f>ventas_b_mes684[[#This Row],[IMPORTE NETO]]*0.21</f>
        <v>4338.8436000000002</v>
      </c>
      <c r="J756" s="64"/>
      <c r="K756" s="64"/>
      <c r="L756" s="64">
        <f>SUM(ventas_b_mes684[[#This Row],[IMPORTE NETO]:[EXENTO]])</f>
        <v>25000.0036</v>
      </c>
      <c r="M756" s="59"/>
    </row>
    <row r="757" spans="2:13">
      <c r="B757" s="40" t="s">
        <v>2307</v>
      </c>
      <c r="C757" s="41">
        <v>6</v>
      </c>
      <c r="D757" s="42">
        <v>10</v>
      </c>
      <c r="E757" s="43">
        <v>54417</v>
      </c>
      <c r="F757" s="44">
        <v>43806402</v>
      </c>
      <c r="G757" s="1" t="str">
        <f>IFERROR(IF(ventas_b_mes684[[#This Row],[CUIT]]="","-",VLOOKUP(ventas_b_mes684[[#This Row],[CUIT]],Lista_CUIT[#All],2,0)),"CUIT NO CARGADO")</f>
        <v>CUIT NO CARGADO</v>
      </c>
      <c r="H757" s="64">
        <v>60578.51</v>
      </c>
      <c r="I757" s="64">
        <f>ventas_b_mes684[[#This Row],[IMPORTE NETO]]*0.21</f>
        <v>12721.4871</v>
      </c>
      <c r="J757" s="64"/>
      <c r="K757" s="64"/>
      <c r="L757" s="64">
        <f>SUM(ventas_b_mes684[[#This Row],[IMPORTE NETO]:[EXENTO]])</f>
        <v>73299.997100000008</v>
      </c>
      <c r="M757" s="59"/>
    </row>
    <row r="758" spans="2:13">
      <c r="B758" s="40" t="s">
        <v>2307</v>
      </c>
      <c r="C758" s="41">
        <v>6</v>
      </c>
      <c r="D758" s="42">
        <v>13</v>
      </c>
      <c r="E758" s="43">
        <v>32454</v>
      </c>
      <c r="F758" s="44">
        <v>39761652</v>
      </c>
      <c r="G758" s="1" t="str">
        <f>IFERROR(IF(ventas_b_mes684[[#This Row],[CUIT]]="","-",VLOOKUP(ventas_b_mes684[[#This Row],[CUIT]],Lista_CUIT[#All],2,0)),"CUIT NO CARGADO")</f>
        <v>CUIT NO CARGADO</v>
      </c>
      <c r="H758" s="64">
        <v>33851.269999999997</v>
      </c>
      <c r="I758" s="64">
        <f>ventas_b_mes684[[#This Row],[IMPORTE NETO]]*0.21</f>
        <v>7108.7666999999992</v>
      </c>
      <c r="J758" s="64"/>
      <c r="K758" s="64"/>
      <c r="L758" s="64">
        <f>SUM(ventas_b_mes684[[#This Row],[IMPORTE NETO]:[EXENTO]])</f>
        <v>40960.036699999997</v>
      </c>
      <c r="M758" s="59"/>
    </row>
    <row r="759" spans="2:13">
      <c r="B759" s="40" t="s">
        <v>2307</v>
      </c>
      <c r="C759" s="41">
        <v>6</v>
      </c>
      <c r="D759" s="42">
        <v>12</v>
      </c>
      <c r="E759" s="43">
        <v>29621</v>
      </c>
      <c r="F759" s="44">
        <v>13722850</v>
      </c>
      <c r="G759" s="1" t="str">
        <f>IFERROR(IF(ventas_b_mes684[[#This Row],[CUIT]]="","-",VLOOKUP(ventas_b_mes684[[#This Row],[CUIT]],Lista_CUIT[#All],2,0)),"CUIT NO CARGADO")</f>
        <v>CUIT NO CARGADO</v>
      </c>
      <c r="H759" s="64">
        <v>20661.16</v>
      </c>
      <c r="I759" s="64">
        <f>ventas_b_mes684[[#This Row],[IMPORTE NETO]]*0.21</f>
        <v>4338.8436000000002</v>
      </c>
      <c r="J759" s="64"/>
      <c r="K759" s="64"/>
      <c r="L759" s="64">
        <f>SUM(ventas_b_mes684[[#This Row],[IMPORTE NETO]:[EXENTO]])</f>
        <v>25000.0036</v>
      </c>
      <c r="M759" s="59"/>
    </row>
    <row r="760" spans="2:13">
      <c r="B760" s="40" t="s">
        <v>2307</v>
      </c>
      <c r="C760" s="41">
        <v>6</v>
      </c>
      <c r="D760" s="42">
        <v>11</v>
      </c>
      <c r="E760" s="43">
        <v>38065</v>
      </c>
      <c r="F760" s="44">
        <v>31343586</v>
      </c>
      <c r="G760" s="1" t="str">
        <f>IFERROR(IF(ventas_b_mes684[[#This Row],[CUIT]]="","-",VLOOKUP(ventas_b_mes684[[#This Row],[CUIT]],Lista_CUIT[#All],2,0)),"CUIT NO CARGADO")</f>
        <v>CUIT NO CARGADO</v>
      </c>
      <c r="H760" s="64">
        <v>34958.68</v>
      </c>
      <c r="I760" s="64">
        <f>ventas_b_mes684[[#This Row],[IMPORTE NETO]]*0.21</f>
        <v>7341.3227999999999</v>
      </c>
      <c r="J760" s="64"/>
      <c r="K760" s="64"/>
      <c r="L760" s="64">
        <f>SUM(ventas_b_mes684[[#This Row],[IMPORTE NETO]:[EXENTO]])</f>
        <v>42300.002800000002</v>
      </c>
      <c r="M760" s="59"/>
    </row>
    <row r="761" spans="2:13">
      <c r="B761" s="40" t="s">
        <v>2307</v>
      </c>
      <c r="C761" s="41">
        <v>6</v>
      </c>
      <c r="D761" s="42">
        <v>10</v>
      </c>
      <c r="E761" s="43">
        <v>54416</v>
      </c>
      <c r="F761" s="44">
        <v>49769819</v>
      </c>
      <c r="G761" s="1" t="str">
        <f>IFERROR(IF(ventas_b_mes684[[#This Row],[CUIT]]="","-",VLOOKUP(ventas_b_mes684[[#This Row],[CUIT]],Lista_CUIT[#All],2,0)),"CUIT NO CARGADO")</f>
        <v>CUIT NO CARGADO</v>
      </c>
      <c r="H761" s="64">
        <v>8264.4599999999991</v>
      </c>
      <c r="I761" s="64">
        <f>ventas_b_mes684[[#This Row],[IMPORTE NETO]]*0.21</f>
        <v>1735.5365999999997</v>
      </c>
      <c r="J761" s="64"/>
      <c r="K761" s="64"/>
      <c r="L761" s="64">
        <f>SUM(ventas_b_mes684[[#This Row],[IMPORTE NETO]:[EXENTO]])</f>
        <v>9999.9965999999986</v>
      </c>
      <c r="M761" s="59"/>
    </row>
    <row r="762" spans="2:13">
      <c r="B762" s="40" t="s">
        <v>2307</v>
      </c>
      <c r="C762" s="41">
        <v>6</v>
      </c>
      <c r="D762" s="42">
        <v>12</v>
      </c>
      <c r="E762" s="43">
        <v>29628</v>
      </c>
      <c r="F762" s="44">
        <v>32821453</v>
      </c>
      <c r="G762" s="1" t="str">
        <f>IFERROR(IF(ventas_b_mes684[[#This Row],[CUIT]]="","-",VLOOKUP(ventas_b_mes684[[#This Row],[CUIT]],Lista_CUIT[#All],2,0)),"CUIT NO CARGADO")</f>
        <v>CUIT NO CARGADO</v>
      </c>
      <c r="H762" s="64">
        <v>13223.1</v>
      </c>
      <c r="I762" s="64">
        <f>ventas_b_mes684[[#This Row],[IMPORTE NETO]]*0.21</f>
        <v>2776.8510000000001</v>
      </c>
      <c r="J762" s="64"/>
      <c r="K762" s="64"/>
      <c r="L762" s="64">
        <f>SUM(ventas_b_mes684[[#This Row],[IMPORTE NETO]:[EXENTO]])</f>
        <v>15999.951000000001</v>
      </c>
      <c r="M762" s="59"/>
    </row>
    <row r="763" spans="2:13">
      <c r="B763" s="40" t="s">
        <v>2307</v>
      </c>
      <c r="C763" s="41">
        <v>6</v>
      </c>
      <c r="D763" s="42">
        <v>12</v>
      </c>
      <c r="E763" s="43">
        <v>29618</v>
      </c>
      <c r="F763" s="44">
        <v>20001277</v>
      </c>
      <c r="G763" s="1" t="str">
        <f>IFERROR(IF(ventas_b_mes684[[#This Row],[CUIT]]="","-",VLOOKUP(ventas_b_mes684[[#This Row],[CUIT]],Lista_CUIT[#All],2,0)),"CUIT NO CARGADO")</f>
        <v>CUIT NO CARGADO</v>
      </c>
      <c r="H763" s="64">
        <v>20661.16</v>
      </c>
      <c r="I763" s="64">
        <f>ventas_b_mes684[[#This Row],[IMPORTE NETO]]*0.21</f>
        <v>4338.8436000000002</v>
      </c>
      <c r="J763" s="64"/>
      <c r="K763" s="64"/>
      <c r="L763" s="64">
        <f>SUM(ventas_b_mes684[[#This Row],[IMPORTE NETO]:[EXENTO]])</f>
        <v>25000.0036</v>
      </c>
      <c r="M763" s="59"/>
    </row>
    <row r="764" spans="2:13">
      <c r="B764" s="40" t="s">
        <v>2307</v>
      </c>
      <c r="C764" s="41">
        <v>6</v>
      </c>
      <c r="D764" s="42">
        <v>12</v>
      </c>
      <c r="E764" s="43">
        <v>29626</v>
      </c>
      <c r="F764" s="44">
        <v>21657293</v>
      </c>
      <c r="G764" s="1" t="str">
        <f>IFERROR(IF(ventas_b_mes684[[#This Row],[CUIT]]="","-",VLOOKUP(ventas_b_mes684[[#This Row],[CUIT]],Lista_CUIT[#All],2,0)),"CUIT NO CARGADO")</f>
        <v>CUIT NO CARGADO</v>
      </c>
      <c r="H764" s="64">
        <v>20661.16</v>
      </c>
      <c r="I764" s="64">
        <f>ventas_b_mes684[[#This Row],[IMPORTE NETO]]*0.21</f>
        <v>4338.8436000000002</v>
      </c>
      <c r="J764" s="64"/>
      <c r="K764" s="64"/>
      <c r="L764" s="64">
        <f>SUM(ventas_b_mes684[[#This Row],[IMPORTE NETO]:[EXENTO]])</f>
        <v>25000.0036</v>
      </c>
      <c r="M764" s="59"/>
    </row>
    <row r="765" spans="2:13">
      <c r="B765" s="40" t="s">
        <v>2307</v>
      </c>
      <c r="C765" s="41">
        <v>6</v>
      </c>
      <c r="D765" s="42">
        <v>15</v>
      </c>
      <c r="E765" s="43">
        <v>13176</v>
      </c>
      <c r="F765" s="44">
        <v>22209881</v>
      </c>
      <c r="G765" s="1" t="str">
        <f>IFERROR(IF(ventas_b_mes684[[#This Row],[CUIT]]="","-",VLOOKUP(ventas_b_mes684[[#This Row],[CUIT]],Lista_CUIT[#All],2,0)),"CUIT NO CARGADO")</f>
        <v>CAROLINI, CLAUDIA ANDREA</v>
      </c>
      <c r="H765" s="64">
        <v>126776.86</v>
      </c>
      <c r="I765" s="64">
        <f>ventas_b_mes684[[#This Row],[IMPORTE NETO]]*0.21</f>
        <v>26623.140599999999</v>
      </c>
      <c r="J765" s="64"/>
      <c r="K765" s="64"/>
      <c r="L765" s="64">
        <f>SUM(ventas_b_mes684[[#This Row],[IMPORTE NETO]:[EXENTO]])</f>
        <v>153400.0006</v>
      </c>
      <c r="M765" s="59"/>
    </row>
    <row r="766" spans="2:13">
      <c r="B766" s="40" t="s">
        <v>2307</v>
      </c>
      <c r="C766" s="41">
        <v>6</v>
      </c>
      <c r="D766" s="42">
        <v>13</v>
      </c>
      <c r="E766" s="43">
        <v>32453</v>
      </c>
      <c r="F766" s="44">
        <v>20560897</v>
      </c>
      <c r="G766" s="1" t="str">
        <f>IFERROR(IF(ventas_b_mes684[[#This Row],[CUIT]]="","-",VLOOKUP(ventas_b_mes684[[#This Row],[CUIT]],Lista_CUIT[#All],2,0)),"CUIT NO CARGADO")</f>
        <v>CUIT NO CARGADO</v>
      </c>
      <c r="H766" s="64">
        <v>212214.88</v>
      </c>
      <c r="I766" s="64">
        <f>ventas_b_mes684[[#This Row],[IMPORTE NETO]]*0.21</f>
        <v>44565.124799999998</v>
      </c>
      <c r="J766" s="64"/>
      <c r="K766" s="64"/>
      <c r="L766" s="64">
        <f>SUM(ventas_b_mes684[[#This Row],[IMPORTE NETO]:[EXENTO]])</f>
        <v>256780.0048</v>
      </c>
      <c r="M766" s="59"/>
    </row>
    <row r="767" spans="2:13">
      <c r="B767" s="40" t="s">
        <v>2307</v>
      </c>
      <c r="C767" s="41">
        <v>6</v>
      </c>
      <c r="D767" s="42">
        <v>12</v>
      </c>
      <c r="E767" s="43">
        <v>29634</v>
      </c>
      <c r="F767" s="44">
        <v>94028703</v>
      </c>
      <c r="G767" s="1" t="str">
        <f>IFERROR(IF(ventas_b_mes684[[#This Row],[CUIT]]="","-",VLOOKUP(ventas_b_mes684[[#This Row],[CUIT]],Lista_CUIT[#All],2,0)),"CUIT NO CARGADO")</f>
        <v>CUIT NO CARGADO</v>
      </c>
      <c r="H767" s="64">
        <v>8760.33</v>
      </c>
      <c r="I767" s="64">
        <f>ventas_b_mes684[[#This Row],[IMPORTE NETO]]*0.21</f>
        <v>1839.6693</v>
      </c>
      <c r="J767" s="64"/>
      <c r="K767" s="64"/>
      <c r="L767" s="64">
        <f>SUM(ventas_b_mes684[[#This Row],[IMPORTE NETO]:[EXENTO]])</f>
        <v>10599.999299999999</v>
      </c>
      <c r="M767" s="59"/>
    </row>
    <row r="768" spans="2:13">
      <c r="B768" s="40" t="s">
        <v>2307</v>
      </c>
      <c r="C768" s="41">
        <v>6</v>
      </c>
      <c r="D768" s="42">
        <v>12</v>
      </c>
      <c r="E768" s="43">
        <v>29633</v>
      </c>
      <c r="F768" s="44">
        <v>14009486</v>
      </c>
      <c r="G768" s="1" t="str">
        <f>IFERROR(IF(ventas_b_mes684[[#This Row],[CUIT]]="","-",VLOOKUP(ventas_b_mes684[[#This Row],[CUIT]],Lista_CUIT[#All],2,0)),"CUIT NO CARGADO")</f>
        <v>CUIT NO CARGADO</v>
      </c>
      <c r="H768" s="64">
        <v>40471.07</v>
      </c>
      <c r="I768" s="64">
        <f>ventas_b_mes684[[#This Row],[IMPORTE NETO]]*0.21</f>
        <v>8498.9246999999996</v>
      </c>
      <c r="J768" s="64"/>
      <c r="K768" s="64"/>
      <c r="L768" s="64">
        <f>SUM(ventas_b_mes684[[#This Row],[IMPORTE NETO]:[EXENTO]])</f>
        <v>48969.994699999996</v>
      </c>
      <c r="M768" s="59"/>
    </row>
    <row r="769" spans="2:13">
      <c r="B769" s="40" t="s">
        <v>2307</v>
      </c>
      <c r="C769" s="41">
        <v>6</v>
      </c>
      <c r="D769" s="42">
        <v>13</v>
      </c>
      <c r="E769" s="43">
        <v>32449</v>
      </c>
      <c r="F769" s="44">
        <v>10120367</v>
      </c>
      <c r="G769" s="1" t="str">
        <f>IFERROR(IF(ventas_b_mes684[[#This Row],[CUIT]]="","-",VLOOKUP(ventas_b_mes684[[#This Row],[CUIT]],Lista_CUIT[#All],2,0)),"CUIT NO CARGADO")</f>
        <v>GILLY LIDIA MONICA CONCEPCION</v>
      </c>
      <c r="H769" s="64">
        <v>67543.25</v>
      </c>
      <c r="I769" s="64">
        <f>ventas_b_mes684[[#This Row],[IMPORTE NETO]]*0.21</f>
        <v>14184.082499999999</v>
      </c>
      <c r="J769" s="64"/>
      <c r="K769" s="64"/>
      <c r="L769" s="64">
        <f>SUM(ventas_b_mes684[[#This Row],[IMPORTE NETO]:[EXENTO]])</f>
        <v>81727.332500000004</v>
      </c>
      <c r="M769" s="59"/>
    </row>
    <row r="770" spans="2:13">
      <c r="B770" s="40" t="s">
        <v>2307</v>
      </c>
      <c r="C770" s="41">
        <v>6</v>
      </c>
      <c r="D770" s="42">
        <v>12</v>
      </c>
      <c r="E770" s="43">
        <v>29623</v>
      </c>
      <c r="F770" s="44">
        <v>26323376</v>
      </c>
      <c r="G770" s="1" t="str">
        <f>IFERROR(IF(ventas_b_mes684[[#This Row],[CUIT]]="","-",VLOOKUP(ventas_b_mes684[[#This Row],[CUIT]],Lista_CUIT[#All],2,0)),"CUIT NO CARGADO")</f>
        <v>CUIT NO CARGADO</v>
      </c>
      <c r="H770" s="64">
        <v>10561.98</v>
      </c>
      <c r="I770" s="64">
        <f>ventas_b_mes684[[#This Row],[IMPORTE NETO]]*0.21</f>
        <v>2218.0157999999997</v>
      </c>
      <c r="J770" s="64"/>
      <c r="K770" s="64"/>
      <c r="L770" s="64">
        <f>SUM(ventas_b_mes684[[#This Row],[IMPORTE NETO]:[EXENTO]])</f>
        <v>12779.995799999999</v>
      </c>
      <c r="M770" s="59"/>
    </row>
    <row r="771" spans="2:13">
      <c r="B771" s="40" t="s">
        <v>2307</v>
      </c>
      <c r="C771" s="41">
        <v>6</v>
      </c>
      <c r="D771" s="42">
        <v>11</v>
      </c>
      <c r="E771" s="43">
        <v>38056</v>
      </c>
      <c r="F771" s="44">
        <v>23849350</v>
      </c>
      <c r="G771" s="1" t="str">
        <f>IFERROR(IF(ventas_b_mes684[[#This Row],[CUIT]]="","-",VLOOKUP(ventas_b_mes684[[#This Row],[CUIT]],Lista_CUIT[#All],2,0)),"CUIT NO CARGADO")</f>
        <v>CUIT NO CARGADO</v>
      </c>
      <c r="H771" s="64">
        <v>63545.45</v>
      </c>
      <c r="I771" s="64">
        <f>ventas_b_mes684[[#This Row],[IMPORTE NETO]]*0.21</f>
        <v>13344.544499999998</v>
      </c>
      <c r="J771" s="64"/>
      <c r="K771" s="64"/>
      <c r="L771" s="64">
        <f>SUM(ventas_b_mes684[[#This Row],[IMPORTE NETO]:[EXENTO]])</f>
        <v>76889.994500000001</v>
      </c>
      <c r="M771" s="59"/>
    </row>
    <row r="772" spans="2:13">
      <c r="B772" s="40" t="s">
        <v>2307</v>
      </c>
      <c r="C772" s="41">
        <v>6</v>
      </c>
      <c r="D772" s="42">
        <v>15</v>
      </c>
      <c r="E772" s="43">
        <v>13192</v>
      </c>
      <c r="F772" s="44">
        <v>35401700</v>
      </c>
      <c r="G772" s="1" t="str">
        <f>IFERROR(IF(ventas_b_mes684[[#This Row],[CUIT]]="","-",VLOOKUP(ventas_b_mes684[[#This Row],[CUIT]],Lista_CUIT[#All],2,0)),"CUIT NO CARGADO")</f>
        <v>CUIT NO CARGADO</v>
      </c>
      <c r="H772" s="64">
        <v>8404.9599999999991</v>
      </c>
      <c r="I772" s="64">
        <f>ventas_b_mes684[[#This Row],[IMPORTE NETO]]*0.21</f>
        <v>1765.0415999999998</v>
      </c>
      <c r="J772" s="64"/>
      <c r="K772" s="64"/>
      <c r="L772" s="64">
        <f>SUM(ventas_b_mes684[[#This Row],[IMPORTE NETO]:[EXENTO]])</f>
        <v>10170.0016</v>
      </c>
      <c r="M772" s="59"/>
    </row>
    <row r="773" spans="2:13">
      <c r="B773" s="40" t="s">
        <v>2307</v>
      </c>
      <c r="C773" s="41">
        <v>6</v>
      </c>
      <c r="D773" s="42">
        <v>10</v>
      </c>
      <c r="E773" s="43">
        <v>54429</v>
      </c>
      <c r="F773" s="44">
        <v>13256841</v>
      </c>
      <c r="G773" s="1" t="str">
        <f>IFERROR(IF(ventas_b_mes684[[#This Row],[CUIT]]="","-",VLOOKUP(ventas_b_mes684[[#This Row],[CUIT]],Lista_CUIT[#All],2,0)),"CUIT NO CARGADO")</f>
        <v>CUIT NO CARGADO</v>
      </c>
      <c r="H773" s="64">
        <v>23520.66</v>
      </c>
      <c r="I773" s="64">
        <f>ventas_b_mes684[[#This Row],[IMPORTE NETO]]*0.21</f>
        <v>4939.3386</v>
      </c>
      <c r="J773" s="64"/>
      <c r="K773" s="64"/>
      <c r="L773" s="64">
        <f>SUM(ventas_b_mes684[[#This Row],[IMPORTE NETO]:[EXENTO]])</f>
        <v>28459.998599999999</v>
      </c>
      <c r="M773" s="59"/>
    </row>
    <row r="774" spans="2:13">
      <c r="B774" s="40" t="s">
        <v>2307</v>
      </c>
      <c r="C774" s="41">
        <v>6</v>
      </c>
      <c r="D774" s="42">
        <v>12</v>
      </c>
      <c r="E774" s="43">
        <v>29619</v>
      </c>
      <c r="F774" s="44">
        <v>36597735</v>
      </c>
      <c r="G774" s="1" t="str">
        <f>IFERROR(IF(ventas_b_mes684[[#This Row],[CUIT]]="","-",VLOOKUP(ventas_b_mes684[[#This Row],[CUIT]],Lista_CUIT[#All],2,0)),"CUIT NO CARGADO")</f>
        <v>CUIT NO CARGADO</v>
      </c>
      <c r="H774" s="64">
        <v>10785.12</v>
      </c>
      <c r="I774" s="64">
        <f>ventas_b_mes684[[#This Row],[IMPORTE NETO]]*0.21</f>
        <v>2264.8751999999999</v>
      </c>
      <c r="J774" s="64"/>
      <c r="K774" s="64"/>
      <c r="L774" s="64">
        <f>SUM(ventas_b_mes684[[#This Row],[IMPORTE NETO]:[EXENTO]])</f>
        <v>13049.995200000001</v>
      </c>
      <c r="M774" s="59"/>
    </row>
    <row r="775" spans="2:13">
      <c r="B775" s="40" t="s">
        <v>2307</v>
      </c>
      <c r="C775" s="41">
        <v>6</v>
      </c>
      <c r="D775" s="42">
        <v>11</v>
      </c>
      <c r="E775" s="43">
        <v>38057</v>
      </c>
      <c r="F775" s="44">
        <v>14990830</v>
      </c>
      <c r="G775" s="1" t="str">
        <f>IFERROR(IF(ventas_b_mes684[[#This Row],[CUIT]]="","-",VLOOKUP(ventas_b_mes684[[#This Row],[CUIT]],Lista_CUIT[#All],2,0)),"CUIT NO CARGADO")</f>
        <v>CUIT NO CARGADO</v>
      </c>
      <c r="H775" s="64">
        <v>46198.37</v>
      </c>
      <c r="I775" s="64">
        <f>ventas_b_mes684[[#This Row],[IMPORTE NETO]]*0.21</f>
        <v>9701.6576999999997</v>
      </c>
      <c r="J775" s="64"/>
      <c r="K775" s="64"/>
      <c r="L775" s="64">
        <f>SUM(ventas_b_mes684[[#This Row],[IMPORTE NETO]:[EXENTO]])</f>
        <v>55900.027700000006</v>
      </c>
      <c r="M775" s="59"/>
    </row>
    <row r="776" spans="2:13">
      <c r="B776" s="40" t="s">
        <v>2307</v>
      </c>
      <c r="C776" s="41">
        <v>6</v>
      </c>
      <c r="D776" s="42">
        <v>11</v>
      </c>
      <c r="E776" s="43">
        <v>38063</v>
      </c>
      <c r="F776" s="44">
        <v>11384123</v>
      </c>
      <c r="G776" s="1" t="str">
        <f>IFERROR(IF(ventas_b_mes684[[#This Row],[CUIT]]="","-",VLOOKUP(ventas_b_mes684[[#This Row],[CUIT]],Lista_CUIT[#All],2,0)),"CUIT NO CARGADO")</f>
        <v>CUIT NO CARGADO</v>
      </c>
      <c r="H776" s="64">
        <v>25247.94</v>
      </c>
      <c r="I776" s="64">
        <f>ventas_b_mes684[[#This Row],[IMPORTE NETO]]*0.21</f>
        <v>5302.0673999999999</v>
      </c>
      <c r="J776" s="64"/>
      <c r="K776" s="64"/>
      <c r="L776" s="64">
        <f>SUM(ventas_b_mes684[[#This Row],[IMPORTE NETO]:[EXENTO]])</f>
        <v>30550.007399999999</v>
      </c>
      <c r="M776" s="59"/>
    </row>
    <row r="777" spans="2:13">
      <c r="B777" s="40" t="s">
        <v>2307</v>
      </c>
      <c r="C777" s="41">
        <v>6</v>
      </c>
      <c r="D777" s="42">
        <v>12</v>
      </c>
      <c r="E777" s="43">
        <v>29620</v>
      </c>
      <c r="F777" s="44">
        <v>13722850</v>
      </c>
      <c r="G777" s="1" t="str">
        <f>IFERROR(IF(ventas_b_mes684[[#This Row],[CUIT]]="","-",VLOOKUP(ventas_b_mes684[[#This Row],[CUIT]],Lista_CUIT[#All],2,0)),"CUIT NO CARGADO")</f>
        <v>CUIT NO CARGADO</v>
      </c>
      <c r="H777" s="64">
        <v>13537.19</v>
      </c>
      <c r="I777" s="64">
        <f>ventas_b_mes684[[#This Row],[IMPORTE NETO]]*0.21</f>
        <v>2842.8099000000002</v>
      </c>
      <c r="J777" s="64"/>
      <c r="K777" s="64"/>
      <c r="L777" s="64">
        <f>SUM(ventas_b_mes684[[#This Row],[IMPORTE NETO]:[EXENTO]])</f>
        <v>16379.999900000001</v>
      </c>
      <c r="M777" s="59"/>
    </row>
    <row r="778" spans="2:13">
      <c r="B778" s="40" t="s">
        <v>2307</v>
      </c>
      <c r="C778" s="41">
        <v>6</v>
      </c>
      <c r="D778" s="42">
        <v>10</v>
      </c>
      <c r="E778" s="43">
        <v>54413</v>
      </c>
      <c r="F778" s="44">
        <v>32678775</v>
      </c>
      <c r="G778" s="1" t="str">
        <f>IFERROR(IF(ventas_b_mes684[[#This Row],[CUIT]]="","-",VLOOKUP(ventas_b_mes684[[#This Row],[CUIT]],Lista_CUIT[#All],2,0)),"CUIT NO CARGADO")</f>
        <v>CUIT NO CARGADO</v>
      </c>
      <c r="H778" s="64">
        <v>72644.63</v>
      </c>
      <c r="I778" s="64">
        <f>ventas_b_mes684[[#This Row],[IMPORTE NETO]]*0.21</f>
        <v>15255.372300000001</v>
      </c>
      <c r="J778" s="64"/>
      <c r="K778" s="64"/>
      <c r="L778" s="64">
        <f>SUM(ventas_b_mes684[[#This Row],[IMPORTE NETO]:[EXENTO]])</f>
        <v>87900.002300000007</v>
      </c>
      <c r="M778" s="59"/>
    </row>
    <row r="779" spans="2:13">
      <c r="B779" s="40" t="s">
        <v>2307</v>
      </c>
      <c r="C779" s="41">
        <v>6</v>
      </c>
      <c r="D779" s="42">
        <v>10</v>
      </c>
      <c r="E779" s="43">
        <v>54412</v>
      </c>
      <c r="F779" s="44">
        <v>32713523</v>
      </c>
      <c r="G779" s="1" t="str">
        <f>IFERROR(IF(ventas_b_mes684[[#This Row],[CUIT]]="","-",VLOOKUP(ventas_b_mes684[[#This Row],[CUIT]],Lista_CUIT[#All],2,0)),"CUIT NO CARGADO")</f>
        <v>CUIT NO CARGADO</v>
      </c>
      <c r="H779" s="64">
        <v>31818.18</v>
      </c>
      <c r="I779" s="64">
        <f>ventas_b_mes684[[#This Row],[IMPORTE NETO]]*0.21</f>
        <v>6681.8177999999998</v>
      </c>
      <c r="J779" s="64"/>
      <c r="K779" s="64"/>
      <c r="L779" s="64">
        <f>SUM(ventas_b_mes684[[#This Row],[IMPORTE NETO]:[EXENTO]])</f>
        <v>38499.997799999997</v>
      </c>
      <c r="M779" s="59"/>
    </row>
    <row r="780" spans="2:13">
      <c r="B780" s="40" t="s">
        <v>2307</v>
      </c>
      <c r="C780" s="41">
        <v>6</v>
      </c>
      <c r="D780" s="42">
        <v>10</v>
      </c>
      <c r="E780" s="43">
        <v>54422</v>
      </c>
      <c r="F780" s="44">
        <v>23842399</v>
      </c>
      <c r="G780" s="1" t="str">
        <f>IFERROR(IF(ventas_b_mes684[[#This Row],[CUIT]]="","-",VLOOKUP(ventas_b_mes684[[#This Row],[CUIT]],Lista_CUIT[#All],2,0)),"CUIT NO CARGADO")</f>
        <v>CUIT NO CARGADO</v>
      </c>
      <c r="H780" s="64">
        <v>76165.289999999994</v>
      </c>
      <c r="I780" s="64">
        <f>ventas_b_mes684[[#This Row],[IMPORTE NETO]]*0.21</f>
        <v>15994.710899999998</v>
      </c>
      <c r="J780" s="64"/>
      <c r="K780" s="64"/>
      <c r="L780" s="64">
        <f>SUM(ventas_b_mes684[[#This Row],[IMPORTE NETO]:[EXENTO]])</f>
        <v>92160.000899999985</v>
      </c>
      <c r="M780" s="59"/>
    </row>
    <row r="781" spans="2:13">
      <c r="B781" s="40" t="s">
        <v>2307</v>
      </c>
      <c r="C781" s="41">
        <v>6</v>
      </c>
      <c r="D781" s="42">
        <v>11</v>
      </c>
      <c r="E781" s="43">
        <v>38080</v>
      </c>
      <c r="F781" s="44">
        <v>43240534</v>
      </c>
      <c r="G781" s="1" t="str">
        <f>IFERROR(IF(ventas_b_mes684[[#This Row],[CUIT]]="","-",VLOOKUP(ventas_b_mes684[[#This Row],[CUIT]],Lista_CUIT[#All],2,0)),"CUIT NO CARGADO")</f>
        <v>CUIT NO CARGADO</v>
      </c>
      <c r="H781" s="64">
        <v>20661.16</v>
      </c>
      <c r="I781" s="64">
        <f>ventas_b_mes684[[#This Row],[IMPORTE NETO]]*0.21</f>
        <v>4338.8436000000002</v>
      </c>
      <c r="J781" s="64"/>
      <c r="K781" s="64"/>
      <c r="L781" s="64">
        <f>SUM(ventas_b_mes684[[#This Row],[IMPORTE NETO]:[EXENTO]])</f>
        <v>25000.0036</v>
      </c>
      <c r="M781" s="59"/>
    </row>
    <row r="782" spans="2:13">
      <c r="B782" s="40" t="s">
        <v>2307</v>
      </c>
      <c r="C782" s="41">
        <v>6</v>
      </c>
      <c r="D782" s="42">
        <v>11</v>
      </c>
      <c r="E782" s="43">
        <v>38089</v>
      </c>
      <c r="F782" s="44">
        <v>32359939</v>
      </c>
      <c r="G782" s="1" t="str">
        <f>IFERROR(IF(ventas_b_mes684[[#This Row],[CUIT]]="","-",VLOOKUP(ventas_b_mes684[[#This Row],[CUIT]],Lista_CUIT[#All],2,0)),"CUIT NO CARGADO")</f>
        <v>CUIT NO CARGADO</v>
      </c>
      <c r="H782" s="64">
        <v>32595.03</v>
      </c>
      <c r="I782" s="64">
        <f>ventas_b_mes684[[#This Row],[IMPORTE NETO]]*0.21</f>
        <v>6844.9562999999998</v>
      </c>
      <c r="J782" s="64"/>
      <c r="K782" s="64"/>
      <c r="L782" s="64">
        <f>SUM(ventas_b_mes684[[#This Row],[IMPORTE NETO]:[EXENTO]])</f>
        <v>39439.986299999997</v>
      </c>
      <c r="M782" s="59"/>
    </row>
    <row r="783" spans="2:13">
      <c r="B783" s="40" t="s">
        <v>2307</v>
      </c>
      <c r="C783" s="41">
        <v>6</v>
      </c>
      <c r="D783" s="42">
        <v>15</v>
      </c>
      <c r="E783" s="43">
        <v>13167</v>
      </c>
      <c r="F783" s="44">
        <v>32060420</v>
      </c>
      <c r="G783" s="1" t="str">
        <f>IFERROR(IF(ventas_b_mes684[[#This Row],[CUIT]]="","-",VLOOKUP(ventas_b_mes684[[#This Row],[CUIT]],Lista_CUIT[#All],2,0)),"CUIT NO CARGADO")</f>
        <v>CUIT NO CARGADO</v>
      </c>
      <c r="H783" s="64">
        <v>20661.16</v>
      </c>
      <c r="I783" s="64">
        <f>ventas_b_mes684[[#This Row],[IMPORTE NETO]]*0.21</f>
        <v>4338.8436000000002</v>
      </c>
      <c r="J783" s="64"/>
      <c r="K783" s="64"/>
      <c r="L783" s="64">
        <f>SUM(ventas_b_mes684[[#This Row],[IMPORTE NETO]:[EXENTO]])</f>
        <v>25000.0036</v>
      </c>
      <c r="M783" s="59"/>
    </row>
    <row r="784" spans="2:13">
      <c r="B784" s="40" t="s">
        <v>2307</v>
      </c>
      <c r="C784" s="41">
        <v>6</v>
      </c>
      <c r="D784" s="42">
        <v>11</v>
      </c>
      <c r="E784" s="43">
        <v>38064</v>
      </c>
      <c r="F784" s="44">
        <v>205348880</v>
      </c>
      <c r="G784" s="1" t="str">
        <f>IFERROR(IF(ventas_b_mes684[[#This Row],[CUIT]]="","-",VLOOKUP(ventas_b_mes684[[#This Row],[CUIT]],Lista_CUIT[#All],2,0)),"CUIT NO CARGADO")</f>
        <v>CUIT NO CARGADO</v>
      </c>
      <c r="H784" s="64">
        <v>14462.81</v>
      </c>
      <c r="I784" s="64">
        <f>ventas_b_mes684[[#This Row],[IMPORTE NETO]]*0.21</f>
        <v>3037.1900999999998</v>
      </c>
      <c r="J784" s="64"/>
      <c r="K784" s="64"/>
      <c r="L784" s="64">
        <f>SUM(ventas_b_mes684[[#This Row],[IMPORTE NETO]:[EXENTO]])</f>
        <v>17500.000099999997</v>
      </c>
      <c r="M784" s="59"/>
    </row>
    <row r="785" spans="2:13">
      <c r="B785" s="40" t="s">
        <v>2307</v>
      </c>
      <c r="C785" s="41">
        <v>6</v>
      </c>
      <c r="D785" s="42">
        <v>15</v>
      </c>
      <c r="E785" s="43">
        <v>13178</v>
      </c>
      <c r="F785" s="44">
        <v>32094010</v>
      </c>
      <c r="G785" s="1" t="str">
        <f>IFERROR(IF(ventas_b_mes684[[#This Row],[CUIT]]="","-",VLOOKUP(ventas_b_mes684[[#This Row],[CUIT]],Lista_CUIT[#All],2,0)),"CUIT NO CARGADO")</f>
        <v>CACERES, CARLA GIMENA</v>
      </c>
      <c r="H785" s="64">
        <v>22479.34</v>
      </c>
      <c r="I785" s="64">
        <f>ventas_b_mes684[[#This Row],[IMPORTE NETO]]*0.21</f>
        <v>4720.6614</v>
      </c>
      <c r="J785" s="64"/>
      <c r="K785" s="64"/>
      <c r="L785" s="64">
        <f>SUM(ventas_b_mes684[[#This Row],[IMPORTE NETO]:[EXENTO]])</f>
        <v>27200.001400000001</v>
      </c>
      <c r="M785" s="59"/>
    </row>
    <row r="786" spans="2:13">
      <c r="B786" s="40" t="s">
        <v>2307</v>
      </c>
      <c r="C786" s="41">
        <v>6</v>
      </c>
      <c r="D786" s="42">
        <v>11</v>
      </c>
      <c r="E786" s="43">
        <v>38066</v>
      </c>
      <c r="F786" s="44">
        <v>22913356</v>
      </c>
      <c r="G786" s="1" t="str">
        <f>IFERROR(IF(ventas_b_mes684[[#This Row],[CUIT]]="","-",VLOOKUP(ventas_b_mes684[[#This Row],[CUIT]],Lista_CUIT[#All],2,0)),"CUIT NO CARGADO")</f>
        <v>CUIT NO CARGADO</v>
      </c>
      <c r="H786" s="64">
        <v>12107.44</v>
      </c>
      <c r="I786" s="64">
        <f>ventas_b_mes684[[#This Row],[IMPORTE NETO]]*0.21</f>
        <v>2542.5623999999998</v>
      </c>
      <c r="J786" s="64"/>
      <c r="K786" s="64"/>
      <c r="L786" s="64">
        <f>SUM(ventas_b_mes684[[#This Row],[IMPORTE NETO]:[EXENTO]])</f>
        <v>14650.002400000001</v>
      </c>
      <c r="M786" s="59"/>
    </row>
    <row r="787" spans="2:13">
      <c r="B787" s="40" t="s">
        <v>2307</v>
      </c>
      <c r="C787" s="41">
        <v>6</v>
      </c>
      <c r="D787" s="42">
        <v>13</v>
      </c>
      <c r="E787" s="43">
        <v>32458</v>
      </c>
      <c r="F787" s="44">
        <v>28353634</v>
      </c>
      <c r="G787" s="1" t="str">
        <f>IFERROR(IF(ventas_b_mes684[[#This Row],[CUIT]]="","-",VLOOKUP(ventas_b_mes684[[#This Row],[CUIT]],Lista_CUIT[#All],2,0)),"CUIT NO CARGADO")</f>
        <v>CUIT NO CARGADO</v>
      </c>
      <c r="H787" s="64">
        <v>42015.12</v>
      </c>
      <c r="I787" s="64">
        <f>ventas_b_mes684[[#This Row],[IMPORTE NETO]]*0.21</f>
        <v>8823.1751999999997</v>
      </c>
      <c r="J787" s="64"/>
      <c r="K787" s="64"/>
      <c r="L787" s="64">
        <f>SUM(ventas_b_mes684[[#This Row],[IMPORTE NETO]:[EXENTO]])</f>
        <v>50838.2952</v>
      </c>
      <c r="M787" s="59"/>
    </row>
    <row r="788" spans="2:13">
      <c r="B788" s="40" t="s">
        <v>2307</v>
      </c>
      <c r="C788" s="41">
        <v>6</v>
      </c>
      <c r="D788" s="42">
        <v>15</v>
      </c>
      <c r="E788" s="43">
        <v>13168</v>
      </c>
      <c r="F788" s="44">
        <v>37280750</v>
      </c>
      <c r="G788" s="1" t="str">
        <f>IFERROR(IF(ventas_b_mes684[[#This Row],[CUIT]]="","-",VLOOKUP(ventas_b_mes684[[#This Row],[CUIT]],Lista_CUIT[#All],2,0)),"CUIT NO CARGADO")</f>
        <v>CUIT NO CARGADO</v>
      </c>
      <c r="H788" s="64">
        <v>20661.16</v>
      </c>
      <c r="I788" s="64">
        <f>ventas_b_mes684[[#This Row],[IMPORTE NETO]]*0.21</f>
        <v>4338.8436000000002</v>
      </c>
      <c r="J788" s="64"/>
      <c r="K788" s="64"/>
      <c r="L788" s="64">
        <f>SUM(ventas_b_mes684[[#This Row],[IMPORTE NETO]:[EXENTO]])</f>
        <v>25000.0036</v>
      </c>
      <c r="M788" s="59"/>
    </row>
    <row r="789" spans="2:13">
      <c r="B789" s="40" t="s">
        <v>2307</v>
      </c>
      <c r="C789" s="41">
        <v>6</v>
      </c>
      <c r="D789" s="42">
        <v>12</v>
      </c>
      <c r="E789" s="43">
        <v>29627</v>
      </c>
      <c r="F789" s="44">
        <v>6430853</v>
      </c>
      <c r="G789" s="1" t="str">
        <f>IFERROR(IF(ventas_b_mes684[[#This Row],[CUIT]]="","-",VLOOKUP(ventas_b_mes684[[#This Row],[CUIT]],Lista_CUIT[#All],2,0)),"CUIT NO CARGADO")</f>
        <v>CUIT NO CARGADO</v>
      </c>
      <c r="H789" s="64">
        <v>153223.14000000001</v>
      </c>
      <c r="I789" s="64">
        <f>ventas_b_mes684[[#This Row],[IMPORTE NETO]]*0.21</f>
        <v>32176.859400000001</v>
      </c>
      <c r="J789" s="64"/>
      <c r="K789" s="64"/>
      <c r="L789" s="64">
        <f>SUM(ventas_b_mes684[[#This Row],[IMPORTE NETO]:[EXENTO]])</f>
        <v>185399.99940000003</v>
      </c>
      <c r="M789" s="59"/>
    </row>
    <row r="790" spans="2:13">
      <c r="B790" s="40" t="s">
        <v>2307</v>
      </c>
      <c r="C790" s="41">
        <v>6</v>
      </c>
      <c r="D790" s="42">
        <v>15</v>
      </c>
      <c r="E790" s="43">
        <v>13170</v>
      </c>
      <c r="F790" s="44">
        <v>27687487</v>
      </c>
      <c r="G790" s="1" t="str">
        <f>IFERROR(IF(ventas_b_mes684[[#This Row],[CUIT]]="","-",VLOOKUP(ventas_b_mes684[[#This Row],[CUIT]],Lista_CUIT[#All],2,0)),"CUIT NO CARGADO")</f>
        <v>CUIT NO CARGADO</v>
      </c>
      <c r="H790" s="64">
        <v>20661.16</v>
      </c>
      <c r="I790" s="64">
        <f>ventas_b_mes684[[#This Row],[IMPORTE NETO]]*0.21</f>
        <v>4338.8436000000002</v>
      </c>
      <c r="J790" s="64"/>
      <c r="K790" s="64"/>
      <c r="L790" s="64">
        <f>SUM(ventas_b_mes684[[#This Row],[IMPORTE NETO]:[EXENTO]])</f>
        <v>25000.0036</v>
      </c>
      <c r="M790" s="59"/>
    </row>
    <row r="791" spans="2:13">
      <c r="B791" s="40" t="s">
        <v>2307</v>
      </c>
      <c r="C791" s="41">
        <v>6</v>
      </c>
      <c r="D791" s="42">
        <v>11</v>
      </c>
      <c r="E791" s="43">
        <v>38075</v>
      </c>
      <c r="F791" s="44">
        <v>94306033</v>
      </c>
      <c r="G791" s="1" t="str">
        <f>IFERROR(IF(ventas_b_mes684[[#This Row],[CUIT]]="","-",VLOOKUP(ventas_b_mes684[[#This Row],[CUIT]],Lista_CUIT[#All],2,0)),"CUIT NO CARGADO")</f>
        <v>CUIT NO CARGADO</v>
      </c>
      <c r="H791" s="64">
        <v>58047.519999999997</v>
      </c>
      <c r="I791" s="64">
        <f>ventas_b_mes684[[#This Row],[IMPORTE NETO]]*0.21</f>
        <v>12189.9792</v>
      </c>
      <c r="J791" s="64"/>
      <c r="K791" s="64"/>
      <c r="L791" s="64">
        <f>SUM(ventas_b_mes684[[#This Row],[IMPORTE NETO]:[EXENTO]])</f>
        <v>70237.499199999991</v>
      </c>
      <c r="M791" s="59"/>
    </row>
    <row r="792" spans="2:13">
      <c r="B792" s="40" t="s">
        <v>2307</v>
      </c>
      <c r="C792" s="41">
        <v>6</v>
      </c>
      <c r="D792" s="42">
        <v>12</v>
      </c>
      <c r="E792" s="43">
        <v>29631</v>
      </c>
      <c r="F792" s="44">
        <v>16019062</v>
      </c>
      <c r="G792" s="1" t="str">
        <f>IFERROR(IF(ventas_b_mes684[[#This Row],[CUIT]]="","-",VLOOKUP(ventas_b_mes684[[#This Row],[CUIT]],Lista_CUIT[#All],2,0)),"CUIT NO CARGADO")</f>
        <v>CUIT NO CARGADO</v>
      </c>
      <c r="H792" s="64">
        <v>21644.63</v>
      </c>
      <c r="I792" s="64">
        <f>ventas_b_mes684[[#This Row],[IMPORTE NETO]]*0.21</f>
        <v>4545.3723</v>
      </c>
      <c r="J792" s="64"/>
      <c r="K792" s="64"/>
      <c r="L792" s="64">
        <f>SUM(ventas_b_mes684[[#This Row],[IMPORTE NETO]:[EXENTO]])</f>
        <v>26190.0023</v>
      </c>
      <c r="M792" s="59"/>
    </row>
    <row r="793" spans="2:13">
      <c r="B793" s="40" t="s">
        <v>2307</v>
      </c>
      <c r="C793" s="41">
        <v>6</v>
      </c>
      <c r="D793" s="42">
        <v>15</v>
      </c>
      <c r="E793" s="43">
        <v>13174</v>
      </c>
      <c r="F793" s="44">
        <v>18800818</v>
      </c>
      <c r="G793" s="1" t="str">
        <f>IFERROR(IF(ventas_b_mes684[[#This Row],[CUIT]]="","-",VLOOKUP(ventas_b_mes684[[#This Row],[CUIT]],Lista_CUIT[#All],2,0)),"CUIT NO CARGADO")</f>
        <v>CUIT NO CARGADO</v>
      </c>
      <c r="H793" s="64">
        <v>6611.57</v>
      </c>
      <c r="I793" s="64">
        <f>ventas_b_mes684[[#This Row],[IMPORTE NETO]]*0.21</f>
        <v>1388.4296999999999</v>
      </c>
      <c r="J793" s="64"/>
      <c r="K793" s="64"/>
      <c r="L793" s="64">
        <f>SUM(ventas_b_mes684[[#This Row],[IMPORTE NETO]:[EXENTO]])</f>
        <v>7999.9996999999994</v>
      </c>
      <c r="M793" s="59"/>
    </row>
    <row r="794" spans="2:13">
      <c r="B794" s="40" t="s">
        <v>2307</v>
      </c>
      <c r="C794" s="41">
        <v>6</v>
      </c>
      <c r="D794" s="42">
        <v>15</v>
      </c>
      <c r="E794" s="43">
        <v>13175</v>
      </c>
      <c r="F794" s="44">
        <v>26272486</v>
      </c>
      <c r="G794" s="1" t="str">
        <f>IFERROR(IF(ventas_b_mes684[[#This Row],[CUIT]]="","-",VLOOKUP(ventas_b_mes684[[#This Row],[CUIT]],Lista_CUIT[#All],2,0)),"CUIT NO CARGADO")</f>
        <v>BALMACEDA,NATALIA LORENA</v>
      </c>
      <c r="H794" s="64">
        <v>6760.33</v>
      </c>
      <c r="I794" s="64">
        <f>ventas_b_mes684[[#This Row],[IMPORTE NETO]]*0.21</f>
        <v>1419.6693</v>
      </c>
      <c r="J794" s="64"/>
      <c r="K794" s="64"/>
      <c r="L794" s="64">
        <f>SUM(ventas_b_mes684[[#This Row],[IMPORTE NETO]:[EXENTO]])</f>
        <v>8179.9992999999995</v>
      </c>
      <c r="M794" s="59"/>
    </row>
    <row r="795" spans="2:13">
      <c r="B795" s="40" t="s">
        <v>2307</v>
      </c>
      <c r="C795" s="41">
        <v>6</v>
      </c>
      <c r="D795" s="42">
        <v>11</v>
      </c>
      <c r="E795" s="43">
        <v>38058</v>
      </c>
      <c r="F795" s="44">
        <v>17602685</v>
      </c>
      <c r="G795" s="1" t="str">
        <f>IFERROR(IF(ventas_b_mes684[[#This Row],[CUIT]]="","-",VLOOKUP(ventas_b_mes684[[#This Row],[CUIT]],Lista_CUIT[#All],2,0)),"CUIT NO CARGADO")</f>
        <v>CUIT NO CARGADO</v>
      </c>
      <c r="H795" s="64">
        <v>7438.02</v>
      </c>
      <c r="I795" s="64">
        <f>ventas_b_mes684[[#This Row],[IMPORTE NETO]]*0.21</f>
        <v>1561.9842000000001</v>
      </c>
      <c r="J795" s="64"/>
      <c r="K795" s="64"/>
      <c r="L795" s="64">
        <f>SUM(ventas_b_mes684[[#This Row],[IMPORTE NETO]:[EXENTO]])</f>
        <v>9000.0042000000012</v>
      </c>
      <c r="M795" s="59"/>
    </row>
    <row r="796" spans="2:13">
      <c r="B796" s="40" t="s">
        <v>2307</v>
      </c>
      <c r="C796" s="41">
        <v>6</v>
      </c>
      <c r="D796" s="42">
        <v>10</v>
      </c>
      <c r="E796" s="43">
        <v>54421</v>
      </c>
      <c r="F796" s="44">
        <v>23842399</v>
      </c>
      <c r="G796" s="1" t="str">
        <f>IFERROR(IF(ventas_b_mes684[[#This Row],[CUIT]]="","-",VLOOKUP(ventas_b_mes684[[#This Row],[CUIT]],Lista_CUIT[#All],2,0)),"CUIT NO CARGADO")</f>
        <v>CUIT NO CARGADO</v>
      </c>
      <c r="H796" s="64">
        <v>43595.040000000001</v>
      </c>
      <c r="I796" s="64">
        <f>ventas_b_mes684[[#This Row],[IMPORTE NETO]]*0.21</f>
        <v>9154.9583999999995</v>
      </c>
      <c r="J796" s="64"/>
      <c r="K796" s="64"/>
      <c r="L796" s="64">
        <f>SUM(ventas_b_mes684[[#This Row],[IMPORTE NETO]:[EXENTO]])</f>
        <v>52749.998399999997</v>
      </c>
      <c r="M796" s="59"/>
    </row>
    <row r="797" spans="2:13">
      <c r="B797" s="40" t="s">
        <v>2307</v>
      </c>
      <c r="C797" s="41">
        <v>6</v>
      </c>
      <c r="D797" s="42">
        <v>11</v>
      </c>
      <c r="E797" s="43">
        <v>38069</v>
      </c>
      <c r="F797" s="44">
        <v>28378051</v>
      </c>
      <c r="G797" s="1" t="str">
        <f>IFERROR(IF(ventas_b_mes684[[#This Row],[CUIT]]="","-",VLOOKUP(ventas_b_mes684[[#This Row],[CUIT]],Lista_CUIT[#All],2,0)),"CUIT NO CARGADO")</f>
        <v>CUIT NO CARGADO</v>
      </c>
      <c r="H797" s="64">
        <v>8264.4599999999991</v>
      </c>
      <c r="I797" s="64">
        <f>ventas_b_mes684[[#This Row],[IMPORTE NETO]]*0.21</f>
        <v>1735.5365999999997</v>
      </c>
      <c r="J797" s="64"/>
      <c r="K797" s="64"/>
      <c r="L797" s="64">
        <f>SUM(ventas_b_mes684[[#This Row],[IMPORTE NETO]:[EXENTO]])</f>
        <v>9999.9965999999986</v>
      </c>
      <c r="M797" s="59"/>
    </row>
    <row r="798" spans="2:13">
      <c r="B798" s="40" t="s">
        <v>2307</v>
      </c>
      <c r="C798" s="41">
        <v>6</v>
      </c>
      <c r="D798" s="42">
        <v>15</v>
      </c>
      <c r="E798" s="43">
        <v>13188</v>
      </c>
      <c r="F798" s="44">
        <v>19083111</v>
      </c>
      <c r="G798" s="1" t="str">
        <f>IFERROR(IF(ventas_b_mes684[[#This Row],[CUIT]]="","-",VLOOKUP(ventas_b_mes684[[#This Row],[CUIT]],Lista_CUIT[#All],2,0)),"CUIT NO CARGADO")</f>
        <v>CUIT NO CARGADO</v>
      </c>
      <c r="H798" s="64">
        <v>20661.16</v>
      </c>
      <c r="I798" s="64">
        <f>ventas_b_mes684[[#This Row],[IMPORTE NETO]]*0.21</f>
        <v>4338.8436000000002</v>
      </c>
      <c r="J798" s="64"/>
      <c r="K798" s="64"/>
      <c r="L798" s="64">
        <f>SUM(ventas_b_mes684[[#This Row],[IMPORTE NETO]:[EXENTO]])</f>
        <v>25000.0036</v>
      </c>
      <c r="M798" s="59"/>
    </row>
    <row r="799" spans="2:13">
      <c r="B799" s="40" t="s">
        <v>2307</v>
      </c>
      <c r="C799" s="41">
        <v>6</v>
      </c>
      <c r="D799" s="42">
        <v>11</v>
      </c>
      <c r="E799" s="43">
        <v>38079</v>
      </c>
      <c r="F799" s="44">
        <v>43240534</v>
      </c>
      <c r="G799" s="1" t="str">
        <f>IFERROR(IF(ventas_b_mes684[[#This Row],[CUIT]]="","-",VLOOKUP(ventas_b_mes684[[#This Row],[CUIT]],Lista_CUIT[#All],2,0)),"CUIT NO CARGADO")</f>
        <v>CUIT NO CARGADO</v>
      </c>
      <c r="H799" s="64">
        <v>35887.599999999999</v>
      </c>
      <c r="I799" s="64">
        <f>ventas_b_mes684[[#This Row],[IMPORTE NETO]]*0.21</f>
        <v>7536.3959999999997</v>
      </c>
      <c r="J799" s="64"/>
      <c r="K799" s="64"/>
      <c r="L799" s="64">
        <f>SUM(ventas_b_mes684[[#This Row],[IMPORTE NETO]:[EXENTO]])</f>
        <v>43423.995999999999</v>
      </c>
      <c r="M799" s="59"/>
    </row>
    <row r="800" spans="2:13">
      <c r="B800" s="40" t="s">
        <v>2307</v>
      </c>
      <c r="C800" s="41">
        <v>6</v>
      </c>
      <c r="D800" s="42">
        <v>11</v>
      </c>
      <c r="E800" s="43">
        <v>38088</v>
      </c>
      <c r="F800" s="44">
        <v>25540456</v>
      </c>
      <c r="G800" s="1" t="str">
        <f>IFERROR(IF(ventas_b_mes684[[#This Row],[CUIT]]="","-",VLOOKUP(ventas_b_mes684[[#This Row],[CUIT]],Lista_CUIT[#All],2,0)),"CUIT NO CARGADO")</f>
        <v>CUIT NO CARGADO</v>
      </c>
      <c r="H800" s="64">
        <v>20661.16</v>
      </c>
      <c r="I800" s="64">
        <f>ventas_b_mes684[[#This Row],[IMPORTE NETO]]*0.21</f>
        <v>4338.8436000000002</v>
      </c>
      <c r="J800" s="64"/>
      <c r="K800" s="64"/>
      <c r="L800" s="64">
        <f>SUM(ventas_b_mes684[[#This Row],[IMPORTE NETO]:[EXENTO]])</f>
        <v>25000.0036</v>
      </c>
      <c r="M800" s="59"/>
    </row>
    <row r="801" spans="2:13">
      <c r="B801" s="40" t="s">
        <v>2307</v>
      </c>
      <c r="C801" s="41">
        <v>6</v>
      </c>
      <c r="D801" s="42">
        <v>11</v>
      </c>
      <c r="E801" s="43">
        <v>38087</v>
      </c>
      <c r="F801" s="44">
        <v>47113324</v>
      </c>
      <c r="G801" s="1" t="str">
        <f>IFERROR(IF(ventas_b_mes684[[#This Row],[CUIT]]="","-",VLOOKUP(ventas_b_mes684[[#This Row],[CUIT]],Lista_CUIT[#All],2,0)),"CUIT NO CARGADO")</f>
        <v>CUIT NO CARGADO</v>
      </c>
      <c r="H801" s="64">
        <v>20661.16</v>
      </c>
      <c r="I801" s="64">
        <f>ventas_b_mes684[[#This Row],[IMPORTE NETO]]*0.21</f>
        <v>4338.8436000000002</v>
      </c>
      <c r="J801" s="64"/>
      <c r="K801" s="64"/>
      <c r="L801" s="64">
        <f>SUM(ventas_b_mes684[[#This Row],[IMPORTE NETO]:[EXENTO]])</f>
        <v>25000.0036</v>
      </c>
      <c r="M801" s="59"/>
    </row>
    <row r="802" spans="2:13">
      <c r="B802" s="40" t="s">
        <v>2307</v>
      </c>
      <c r="C802" s="41">
        <v>6</v>
      </c>
      <c r="D802" s="42">
        <v>10</v>
      </c>
      <c r="E802" s="43">
        <v>54414</v>
      </c>
      <c r="F802" s="44">
        <v>27120474036</v>
      </c>
      <c r="G802" s="1" t="str">
        <f>IFERROR(IF(ventas_b_mes684[[#This Row],[CUIT]]="","-",VLOOKUP(ventas_b_mes684[[#This Row],[CUIT]],Lista_CUIT[#All],2,0)),"CUIT NO CARGADO")</f>
        <v>CUIT NO CARGADO</v>
      </c>
      <c r="H802" s="64">
        <v>113685.95</v>
      </c>
      <c r="I802" s="64">
        <f>ventas_b_mes684[[#This Row],[IMPORTE NETO]]*0.21</f>
        <v>23874.049499999997</v>
      </c>
      <c r="J802" s="64"/>
      <c r="K802" s="64"/>
      <c r="L802" s="64">
        <f>SUM(ventas_b_mes684[[#This Row],[IMPORTE NETO]:[EXENTO]])</f>
        <v>137559.99950000001</v>
      </c>
      <c r="M802" s="59"/>
    </row>
    <row r="803" spans="2:13">
      <c r="B803" s="40" t="s">
        <v>2307</v>
      </c>
      <c r="C803" s="41">
        <v>6</v>
      </c>
      <c r="D803" s="42">
        <v>15</v>
      </c>
      <c r="E803" s="43">
        <v>13169</v>
      </c>
      <c r="F803" s="44">
        <v>34692504</v>
      </c>
      <c r="G803" s="1" t="str">
        <f>IFERROR(IF(ventas_b_mes684[[#This Row],[CUIT]]="","-",VLOOKUP(ventas_b_mes684[[#This Row],[CUIT]],Lista_CUIT[#All],2,0)),"CUIT NO CARGADO")</f>
        <v>CUIT NO CARGADO</v>
      </c>
      <c r="H803" s="64">
        <v>8842.98</v>
      </c>
      <c r="I803" s="64">
        <f>ventas_b_mes684[[#This Row],[IMPORTE NETO]]*0.21</f>
        <v>1857.0257999999999</v>
      </c>
      <c r="J803" s="64"/>
      <c r="K803" s="64"/>
      <c r="L803" s="64">
        <f>SUM(ventas_b_mes684[[#This Row],[IMPORTE NETO]:[EXENTO]])</f>
        <v>10700.005799999999</v>
      </c>
      <c r="M803" s="59"/>
    </row>
    <row r="804" spans="2:13">
      <c r="B804" s="40" t="s">
        <v>2307</v>
      </c>
      <c r="C804" s="41">
        <v>6</v>
      </c>
      <c r="D804" s="42">
        <v>11</v>
      </c>
      <c r="E804" s="43">
        <v>38082</v>
      </c>
      <c r="F804" s="44">
        <v>23953508</v>
      </c>
      <c r="G804" s="1" t="str">
        <f>IFERROR(IF(ventas_b_mes684[[#This Row],[CUIT]]="","-",VLOOKUP(ventas_b_mes684[[#This Row],[CUIT]],Lista_CUIT[#All],2,0)),"CUIT NO CARGADO")</f>
        <v>CUIT NO CARGADO</v>
      </c>
      <c r="H804" s="64">
        <v>20661.16</v>
      </c>
      <c r="I804" s="64">
        <f>ventas_b_mes684[[#This Row],[IMPORTE NETO]]*0.21</f>
        <v>4338.8436000000002</v>
      </c>
      <c r="J804" s="64"/>
      <c r="K804" s="64"/>
      <c r="L804" s="64">
        <f>SUM(ventas_b_mes684[[#This Row],[IMPORTE NETO]:[EXENTO]])</f>
        <v>25000.0036</v>
      </c>
      <c r="M804" s="59"/>
    </row>
    <row r="805" spans="2:13">
      <c r="B805" s="40" t="s">
        <v>2307</v>
      </c>
      <c r="C805" s="41">
        <v>6</v>
      </c>
      <c r="D805" s="42">
        <v>11</v>
      </c>
      <c r="E805" s="43">
        <v>38059</v>
      </c>
      <c r="F805" s="44">
        <v>30594020</v>
      </c>
      <c r="G805" s="1" t="str">
        <f>IFERROR(IF(ventas_b_mes684[[#This Row],[CUIT]]="","-",VLOOKUP(ventas_b_mes684[[#This Row],[CUIT]],Lista_CUIT[#All],2,0)),"CUIT NO CARGADO")</f>
        <v>CUIT NO CARGADO</v>
      </c>
      <c r="H805" s="64">
        <v>20661.16</v>
      </c>
      <c r="I805" s="64">
        <f>ventas_b_mes684[[#This Row],[IMPORTE NETO]]*0.21</f>
        <v>4338.8436000000002</v>
      </c>
      <c r="J805" s="64"/>
      <c r="K805" s="64"/>
      <c r="L805" s="64">
        <f>SUM(ventas_b_mes684[[#This Row],[IMPORTE NETO]:[EXENTO]])</f>
        <v>25000.0036</v>
      </c>
      <c r="M805" s="59"/>
    </row>
    <row r="806" spans="2:13">
      <c r="B806" s="40" t="s">
        <v>2307</v>
      </c>
      <c r="C806" s="41">
        <v>6</v>
      </c>
      <c r="D806" s="42">
        <v>12</v>
      </c>
      <c r="E806" s="43">
        <v>29630</v>
      </c>
      <c r="F806" s="44">
        <v>35983549</v>
      </c>
      <c r="G806" s="1" t="str">
        <f>IFERROR(IF(ventas_b_mes684[[#This Row],[CUIT]]="","-",VLOOKUP(ventas_b_mes684[[#This Row],[CUIT]],Lista_CUIT[#All],2,0)),"CUIT NO CARGADO")</f>
        <v>CUIT NO CARGADO</v>
      </c>
      <c r="H806" s="64">
        <v>90578.51</v>
      </c>
      <c r="I806" s="64">
        <f>ventas_b_mes684[[#This Row],[IMPORTE NETO]]*0.21</f>
        <v>19021.487099999998</v>
      </c>
      <c r="J806" s="64"/>
      <c r="K806" s="64"/>
      <c r="L806" s="64">
        <f>SUM(ventas_b_mes684[[#This Row],[IMPORTE NETO]:[EXENTO]])</f>
        <v>109599.99709999999</v>
      </c>
      <c r="M806" s="59"/>
    </row>
    <row r="807" spans="2:13">
      <c r="B807" s="40" t="s">
        <v>2307</v>
      </c>
      <c r="C807" s="41">
        <v>6</v>
      </c>
      <c r="D807" s="42">
        <v>11</v>
      </c>
      <c r="E807" s="43">
        <v>38086</v>
      </c>
      <c r="F807" s="44">
        <v>21593842</v>
      </c>
      <c r="G807" s="1" t="str">
        <f>IFERROR(IF(ventas_b_mes684[[#This Row],[CUIT]]="","-",VLOOKUP(ventas_b_mes684[[#This Row],[CUIT]],Lista_CUIT[#All],2,0)),"CUIT NO CARGADO")</f>
        <v>CUIT NO CARGADO</v>
      </c>
      <c r="H807" s="64">
        <v>21793.39</v>
      </c>
      <c r="I807" s="64">
        <f>ventas_b_mes684[[#This Row],[IMPORTE NETO]]*0.21</f>
        <v>4576.6118999999999</v>
      </c>
      <c r="J807" s="64"/>
      <c r="K807" s="64"/>
      <c r="L807" s="64">
        <f>SUM(ventas_b_mes684[[#This Row],[IMPORTE NETO]:[EXENTO]])</f>
        <v>26370.001899999999</v>
      </c>
      <c r="M807" s="59"/>
    </row>
    <row r="808" spans="2:13">
      <c r="B808" s="40" t="s">
        <v>2307</v>
      </c>
      <c r="C808" s="41">
        <v>6</v>
      </c>
      <c r="D808" s="42">
        <v>15</v>
      </c>
      <c r="E808" s="43">
        <v>13185</v>
      </c>
      <c r="F808" s="44">
        <v>21863233</v>
      </c>
      <c r="G808" s="1" t="str">
        <f>IFERROR(IF(ventas_b_mes684[[#This Row],[CUIT]]="","-",VLOOKUP(ventas_b_mes684[[#This Row],[CUIT]],Lista_CUIT[#All],2,0)),"CUIT NO CARGADO")</f>
        <v>CUIT NO CARGADO</v>
      </c>
      <c r="H808" s="64">
        <v>20661.16</v>
      </c>
      <c r="I808" s="64">
        <f>ventas_b_mes684[[#This Row],[IMPORTE NETO]]*0.21</f>
        <v>4338.8436000000002</v>
      </c>
      <c r="J808" s="64"/>
      <c r="K808" s="64"/>
      <c r="L808" s="64">
        <f>SUM(ventas_b_mes684[[#This Row],[IMPORTE NETO]:[EXENTO]])</f>
        <v>25000.0036</v>
      </c>
      <c r="M808" s="59"/>
    </row>
    <row r="809" spans="2:13">
      <c r="B809" s="40" t="s">
        <v>2307</v>
      </c>
      <c r="C809" s="41">
        <v>6</v>
      </c>
      <c r="D809" s="42">
        <v>15</v>
      </c>
      <c r="E809" s="43">
        <v>13166</v>
      </c>
      <c r="F809" s="44">
        <v>30142749</v>
      </c>
      <c r="G809" s="1" t="str">
        <f>IFERROR(IF(ventas_b_mes684[[#This Row],[CUIT]]="","-",VLOOKUP(ventas_b_mes684[[#This Row],[CUIT]],Lista_CUIT[#All],2,0)),"CUIT NO CARGADO")</f>
        <v>CUIT NO CARGADO</v>
      </c>
      <c r="H809" s="64">
        <v>20661.16</v>
      </c>
      <c r="I809" s="64">
        <f>ventas_b_mes684[[#This Row],[IMPORTE NETO]]*0.21</f>
        <v>4338.8436000000002</v>
      </c>
      <c r="J809" s="64"/>
      <c r="K809" s="64"/>
      <c r="L809" s="64">
        <f>SUM(ventas_b_mes684[[#This Row],[IMPORTE NETO]:[EXENTO]])</f>
        <v>25000.0036</v>
      </c>
      <c r="M809" s="59"/>
    </row>
    <row r="810" spans="2:13">
      <c r="B810" s="40" t="s">
        <v>2307</v>
      </c>
      <c r="C810" s="41">
        <v>6</v>
      </c>
      <c r="D810" s="42">
        <v>13</v>
      </c>
      <c r="E810" s="43">
        <v>32456</v>
      </c>
      <c r="F810" s="44">
        <v>17880694</v>
      </c>
      <c r="G810" s="1" t="str">
        <f>IFERROR(IF(ventas_b_mes684[[#This Row],[CUIT]]="","-",VLOOKUP(ventas_b_mes684[[#This Row],[CUIT]],Lista_CUIT[#All],2,0)),"CUIT NO CARGADO")</f>
        <v>CUIT NO CARGADO</v>
      </c>
      <c r="H810" s="64">
        <v>43694.2</v>
      </c>
      <c r="I810" s="64">
        <f>ventas_b_mes684[[#This Row],[IMPORTE NETO]]*0.21</f>
        <v>9175.7819999999992</v>
      </c>
      <c r="J810" s="64"/>
      <c r="K810" s="64"/>
      <c r="L810" s="64">
        <f>SUM(ventas_b_mes684[[#This Row],[IMPORTE NETO]:[EXENTO]])</f>
        <v>52869.981999999996</v>
      </c>
      <c r="M810" s="59"/>
    </row>
    <row r="811" spans="2:13">
      <c r="B811" s="40" t="s">
        <v>2307</v>
      </c>
      <c r="C811" s="41">
        <v>6</v>
      </c>
      <c r="D811" s="42">
        <v>10</v>
      </c>
      <c r="E811" s="43">
        <v>54420</v>
      </c>
      <c r="F811" s="44">
        <v>26478603</v>
      </c>
      <c r="G811" s="1" t="str">
        <f>IFERROR(IF(ventas_b_mes684[[#This Row],[CUIT]]="","-",VLOOKUP(ventas_b_mes684[[#This Row],[CUIT]],Lista_CUIT[#All],2,0)),"CUIT NO CARGADO")</f>
        <v>CUIT NO CARGADO</v>
      </c>
      <c r="H811" s="64">
        <v>867.77</v>
      </c>
      <c r="I811" s="64">
        <f>ventas_b_mes684[[#This Row],[IMPORTE NETO]]*0.21</f>
        <v>182.23169999999999</v>
      </c>
      <c r="J811" s="64"/>
      <c r="K811" s="64"/>
      <c r="L811" s="64">
        <f>SUM(ventas_b_mes684[[#This Row],[IMPORTE NETO]:[EXENTO]])</f>
        <v>1050.0017</v>
      </c>
      <c r="M811" s="59"/>
    </row>
    <row r="812" spans="2:13">
      <c r="B812" s="40" t="s">
        <v>2307</v>
      </c>
      <c r="C812" s="41">
        <v>6</v>
      </c>
      <c r="D812" s="42">
        <v>10</v>
      </c>
      <c r="E812" s="43">
        <v>54425</v>
      </c>
      <c r="F812" s="44">
        <v>31651966</v>
      </c>
      <c r="G812" s="1" t="str">
        <f>IFERROR(IF(ventas_b_mes684[[#This Row],[CUIT]]="","-",VLOOKUP(ventas_b_mes684[[#This Row],[CUIT]],Lista_CUIT[#All],2,0)),"CUIT NO CARGADO")</f>
        <v>CUIT NO CARGADO</v>
      </c>
      <c r="H812" s="64">
        <v>8264.4599999999991</v>
      </c>
      <c r="I812" s="64">
        <f>ventas_b_mes684[[#This Row],[IMPORTE NETO]]*0.21</f>
        <v>1735.5365999999997</v>
      </c>
      <c r="J812" s="64"/>
      <c r="K812" s="64"/>
      <c r="L812" s="64">
        <f>SUM(ventas_b_mes684[[#This Row],[IMPORTE NETO]:[EXENTO]])</f>
        <v>9999.9965999999986</v>
      </c>
      <c r="M812" s="59"/>
    </row>
    <row r="813" spans="2:13">
      <c r="B813" s="40" t="s">
        <v>2307</v>
      </c>
      <c r="C813" s="41">
        <v>6</v>
      </c>
      <c r="D813" s="42">
        <v>12</v>
      </c>
      <c r="E813" s="43">
        <v>29632</v>
      </c>
      <c r="F813" s="44">
        <v>24391452</v>
      </c>
      <c r="G813" s="1" t="str">
        <f>IFERROR(IF(ventas_b_mes684[[#This Row],[CUIT]]="","-",VLOOKUP(ventas_b_mes684[[#This Row],[CUIT]],Lista_CUIT[#All],2,0)),"CUIT NO CARGADO")</f>
        <v>CUIT NO CARGADO</v>
      </c>
      <c r="H813" s="64">
        <v>17148.759999999998</v>
      </c>
      <c r="I813" s="64">
        <f>ventas_b_mes684[[#This Row],[IMPORTE NETO]]*0.21</f>
        <v>3601.2395999999994</v>
      </c>
      <c r="J813" s="64"/>
      <c r="K813" s="64"/>
      <c r="L813" s="64">
        <f>SUM(ventas_b_mes684[[#This Row],[IMPORTE NETO]:[EXENTO]])</f>
        <v>20749.999599999999</v>
      </c>
      <c r="M813" s="59"/>
    </row>
    <row r="814" spans="2:13">
      <c r="B814" s="40" t="s">
        <v>2307</v>
      </c>
      <c r="C814" s="41">
        <v>6</v>
      </c>
      <c r="D814" s="42">
        <v>15</v>
      </c>
      <c r="E814" s="43">
        <v>13190</v>
      </c>
      <c r="F814" s="44">
        <v>34740568</v>
      </c>
      <c r="G814" s="1" t="str">
        <f>IFERROR(IF(ventas_b_mes684[[#This Row],[CUIT]]="","-",VLOOKUP(ventas_b_mes684[[#This Row],[CUIT]],Lista_CUIT[#All],2,0)),"CUIT NO CARGADO")</f>
        <v>CUIT NO CARGADO</v>
      </c>
      <c r="H814" s="64">
        <v>20661.16</v>
      </c>
      <c r="I814" s="64">
        <f>ventas_b_mes684[[#This Row],[IMPORTE NETO]]*0.21</f>
        <v>4338.8436000000002</v>
      </c>
      <c r="J814" s="64"/>
      <c r="K814" s="64"/>
      <c r="L814" s="64">
        <f>SUM(ventas_b_mes684[[#This Row],[IMPORTE NETO]:[EXENTO]])</f>
        <v>25000.0036</v>
      </c>
      <c r="M814" s="59"/>
    </row>
    <row r="815" spans="2:13">
      <c r="B815" s="40" t="s">
        <v>2307</v>
      </c>
      <c r="C815" s="41">
        <v>6</v>
      </c>
      <c r="D815" s="42">
        <v>11</v>
      </c>
      <c r="E815" s="43">
        <v>38061</v>
      </c>
      <c r="F815" s="44">
        <v>14897908</v>
      </c>
      <c r="G815" s="1" t="str">
        <f>IFERROR(IF(ventas_b_mes684[[#This Row],[CUIT]]="","-",VLOOKUP(ventas_b_mes684[[#This Row],[CUIT]],Lista_CUIT[#All],2,0)),"CUIT NO CARGADO")</f>
        <v>CUIT NO CARGADO</v>
      </c>
      <c r="H815" s="64">
        <v>4347.1099999999997</v>
      </c>
      <c r="I815" s="64">
        <f>ventas_b_mes684[[#This Row],[IMPORTE NETO]]*0.21</f>
        <v>912.89309999999989</v>
      </c>
      <c r="J815" s="64"/>
      <c r="K815" s="64"/>
      <c r="L815" s="64">
        <f>SUM(ventas_b_mes684[[#This Row],[IMPORTE NETO]:[EXENTO]])</f>
        <v>5260.0030999999999</v>
      </c>
      <c r="M815" s="59"/>
    </row>
    <row r="816" spans="2:13">
      <c r="B816" s="40" t="s">
        <v>2307</v>
      </c>
      <c r="C816" s="41">
        <v>6</v>
      </c>
      <c r="D816" s="42">
        <v>15</v>
      </c>
      <c r="E816" s="43">
        <v>13171</v>
      </c>
      <c r="F816" s="44">
        <v>30267269</v>
      </c>
      <c r="G816" s="1" t="str">
        <f>IFERROR(IF(ventas_b_mes684[[#This Row],[CUIT]]="","-",VLOOKUP(ventas_b_mes684[[#This Row],[CUIT]],Lista_CUIT[#All],2,0)),"CUIT NO CARGADO")</f>
        <v>ALVAREZ,NATALIA</v>
      </c>
      <c r="H816" s="64">
        <v>20000</v>
      </c>
      <c r="I816" s="64">
        <f>ventas_b_mes684[[#This Row],[IMPORTE NETO]]*0.21</f>
        <v>4200</v>
      </c>
      <c r="J816" s="64"/>
      <c r="K816" s="64"/>
      <c r="L816" s="64">
        <f>SUM(ventas_b_mes684[[#This Row],[IMPORTE NETO]:[EXENTO]])</f>
        <v>24200</v>
      </c>
      <c r="M816" s="59"/>
    </row>
    <row r="817" spans="2:13">
      <c r="B817" s="40" t="s">
        <v>2307</v>
      </c>
      <c r="C817" s="41">
        <v>6</v>
      </c>
      <c r="D817" s="42">
        <v>10</v>
      </c>
      <c r="E817" s="43">
        <v>54428</v>
      </c>
      <c r="F817" s="44">
        <v>14339719</v>
      </c>
      <c r="G817" s="1" t="str">
        <f>IFERROR(IF(ventas_b_mes684[[#This Row],[CUIT]]="","-",VLOOKUP(ventas_b_mes684[[#This Row],[CUIT]],Lista_CUIT[#All],2,0)),"CUIT NO CARGADO")</f>
        <v>CUIT NO CARGADO</v>
      </c>
      <c r="H817" s="64">
        <v>40871.9</v>
      </c>
      <c r="I817" s="64">
        <f>ventas_b_mes684[[#This Row],[IMPORTE NETO]]*0.21</f>
        <v>8583.0990000000002</v>
      </c>
      <c r="J817" s="64"/>
      <c r="K817" s="64"/>
      <c r="L817" s="64">
        <f>SUM(ventas_b_mes684[[#This Row],[IMPORTE NETO]:[EXENTO]])</f>
        <v>49454.999000000003</v>
      </c>
      <c r="M817" s="59"/>
    </row>
    <row r="818" spans="2:13">
      <c r="B818" s="40" t="s">
        <v>2307</v>
      </c>
      <c r="C818" s="41">
        <v>6</v>
      </c>
      <c r="D818" s="42">
        <v>10</v>
      </c>
      <c r="E818" s="43">
        <v>54415</v>
      </c>
      <c r="F818" s="44">
        <v>92466781</v>
      </c>
      <c r="G818" s="1" t="str">
        <f>IFERROR(IF(ventas_b_mes684[[#This Row],[CUIT]]="","-",VLOOKUP(ventas_b_mes684[[#This Row],[CUIT]],Lista_CUIT[#All],2,0)),"CUIT NO CARGADO")</f>
        <v>CUIT NO CARGADO</v>
      </c>
      <c r="H818" s="64">
        <v>10578.51</v>
      </c>
      <c r="I818" s="64">
        <f>ventas_b_mes684[[#This Row],[IMPORTE NETO]]*0.21</f>
        <v>2221.4870999999998</v>
      </c>
      <c r="J818" s="64"/>
      <c r="K818" s="64"/>
      <c r="L818" s="64">
        <f>SUM(ventas_b_mes684[[#This Row],[IMPORTE NETO]:[EXENTO]])</f>
        <v>12799.997100000001</v>
      </c>
      <c r="M818" s="59"/>
    </row>
    <row r="819" spans="2:13">
      <c r="B819" s="40" t="s">
        <v>2307</v>
      </c>
      <c r="C819" s="41">
        <v>6</v>
      </c>
      <c r="D819" s="42">
        <v>10</v>
      </c>
      <c r="E819" s="43">
        <v>54423</v>
      </c>
      <c r="F819" s="44">
        <v>25978968</v>
      </c>
      <c r="G819" s="1" t="str">
        <f>IFERROR(IF(ventas_b_mes684[[#This Row],[CUIT]]="","-",VLOOKUP(ventas_b_mes684[[#This Row],[CUIT]],Lista_CUIT[#All],2,0)),"CUIT NO CARGADO")</f>
        <v>CUIT NO CARGADO</v>
      </c>
      <c r="H819" s="64">
        <v>82396.69</v>
      </c>
      <c r="I819" s="64">
        <f>ventas_b_mes684[[#This Row],[IMPORTE NETO]]*0.21</f>
        <v>17303.304899999999</v>
      </c>
      <c r="J819" s="64"/>
      <c r="K819" s="64"/>
      <c r="L819" s="64">
        <f>SUM(ventas_b_mes684[[#This Row],[IMPORTE NETO]:[EXENTO]])</f>
        <v>99699.994900000005</v>
      </c>
      <c r="M819" s="59"/>
    </row>
    <row r="820" spans="2:13">
      <c r="B820" s="40" t="s">
        <v>2307</v>
      </c>
      <c r="C820" s="41">
        <v>6</v>
      </c>
      <c r="D820" s="42">
        <v>11</v>
      </c>
      <c r="E820" s="43">
        <v>38067</v>
      </c>
      <c r="F820" s="44">
        <v>5108393</v>
      </c>
      <c r="G820" s="1" t="str">
        <f>IFERROR(IF(ventas_b_mes684[[#This Row],[CUIT]]="","-",VLOOKUP(ventas_b_mes684[[#This Row],[CUIT]],Lista_CUIT[#All],2,0)),"CUIT NO CARGADO")</f>
        <v>CUIT NO CARGADO</v>
      </c>
      <c r="H820" s="64">
        <v>40462.75</v>
      </c>
      <c r="I820" s="64">
        <f>ventas_b_mes684[[#This Row],[IMPORTE NETO]]*0.21</f>
        <v>8497.1774999999998</v>
      </c>
      <c r="J820" s="64"/>
      <c r="K820" s="64"/>
      <c r="L820" s="64">
        <f>SUM(ventas_b_mes684[[#This Row],[IMPORTE NETO]:[EXENTO]])</f>
        <v>48959.927499999998</v>
      </c>
      <c r="M820" s="59"/>
    </row>
    <row r="821" spans="2:13">
      <c r="B821" s="40" t="s">
        <v>2307</v>
      </c>
      <c r="C821" s="41">
        <v>6</v>
      </c>
      <c r="D821" s="42">
        <v>11</v>
      </c>
      <c r="E821" s="43">
        <v>38081</v>
      </c>
      <c r="F821" s="44">
        <v>23953508</v>
      </c>
      <c r="G821" s="1" t="str">
        <f>IFERROR(IF(ventas_b_mes684[[#This Row],[CUIT]]="","-",VLOOKUP(ventas_b_mes684[[#This Row],[CUIT]],Lista_CUIT[#All],2,0)),"CUIT NO CARGADO")</f>
        <v>CUIT NO CARGADO</v>
      </c>
      <c r="H821" s="64">
        <v>64522.7</v>
      </c>
      <c r="I821" s="64">
        <f>ventas_b_mes684[[#This Row],[IMPORTE NETO]]*0.21</f>
        <v>13549.766999999998</v>
      </c>
      <c r="J821" s="64"/>
      <c r="K821" s="64"/>
      <c r="L821" s="64">
        <f>SUM(ventas_b_mes684[[#This Row],[IMPORTE NETO]:[EXENTO]])</f>
        <v>78072.46699999999</v>
      </c>
      <c r="M821" s="59"/>
    </row>
    <row r="822" spans="2:13">
      <c r="B822" s="40" t="s">
        <v>2307</v>
      </c>
      <c r="C822" s="41">
        <v>6</v>
      </c>
      <c r="D822" s="42">
        <v>15</v>
      </c>
      <c r="E822" s="43">
        <v>13182</v>
      </c>
      <c r="F822" s="44">
        <v>34240156</v>
      </c>
      <c r="G822" s="1" t="str">
        <f>IFERROR(IF(ventas_b_mes684[[#This Row],[CUIT]]="","-",VLOOKUP(ventas_b_mes684[[#This Row],[CUIT]],Lista_CUIT[#All],2,0)),"CUIT NO CARGADO")</f>
        <v>CUIT NO CARGADO</v>
      </c>
      <c r="H822" s="64">
        <v>20661.16</v>
      </c>
      <c r="I822" s="64">
        <f>ventas_b_mes684[[#This Row],[IMPORTE NETO]]*0.21</f>
        <v>4338.8436000000002</v>
      </c>
      <c r="J822" s="64"/>
      <c r="K822" s="64"/>
      <c r="L822" s="64">
        <f>SUM(ventas_b_mes684[[#This Row],[IMPORTE NETO]:[EXENTO]])</f>
        <v>25000.0036</v>
      </c>
      <c r="M822" s="59"/>
    </row>
    <row r="823" spans="2:13">
      <c r="B823" s="40" t="s">
        <v>2307</v>
      </c>
      <c r="C823" s="41">
        <v>6</v>
      </c>
      <c r="D823" s="42">
        <v>15</v>
      </c>
      <c r="E823" s="43">
        <v>13180</v>
      </c>
      <c r="F823" s="44">
        <v>37280750</v>
      </c>
      <c r="G823" s="1" t="str">
        <f>IFERROR(IF(ventas_b_mes684[[#This Row],[CUIT]]="","-",VLOOKUP(ventas_b_mes684[[#This Row],[CUIT]],Lista_CUIT[#All],2,0)),"CUIT NO CARGADO")</f>
        <v>CUIT NO CARGADO</v>
      </c>
      <c r="H823" s="64">
        <v>16305.79</v>
      </c>
      <c r="I823" s="64">
        <f>ventas_b_mes684[[#This Row],[IMPORTE NETO]]*0.21</f>
        <v>3424.2159000000001</v>
      </c>
      <c r="J823" s="64"/>
      <c r="K823" s="64"/>
      <c r="L823" s="64">
        <f>SUM(ventas_b_mes684[[#This Row],[IMPORTE NETO]:[EXENTO]])</f>
        <v>19730.0059</v>
      </c>
      <c r="M823" s="59"/>
    </row>
    <row r="824" spans="2:13">
      <c r="B824" s="40" t="s">
        <v>2307</v>
      </c>
      <c r="C824" s="41">
        <v>6</v>
      </c>
      <c r="D824" s="42">
        <v>15</v>
      </c>
      <c r="E824" s="43">
        <v>13181</v>
      </c>
      <c r="F824" s="44">
        <v>26251378</v>
      </c>
      <c r="G824" s="1" t="str">
        <f>IFERROR(IF(ventas_b_mes684[[#This Row],[CUIT]]="","-",VLOOKUP(ventas_b_mes684[[#This Row],[CUIT]],Lista_CUIT[#All],2,0)),"CUIT NO CARGADO")</f>
        <v>CUIT NO CARGADO</v>
      </c>
      <c r="H824" s="64">
        <v>41404.959999999999</v>
      </c>
      <c r="I824" s="64">
        <f>ventas_b_mes684[[#This Row],[IMPORTE NETO]]*0.21</f>
        <v>8695.0415999999987</v>
      </c>
      <c r="J824" s="64"/>
      <c r="K824" s="64"/>
      <c r="L824" s="64">
        <f>SUM(ventas_b_mes684[[#This Row],[IMPORTE NETO]:[EXENTO]])</f>
        <v>50100.001599999996</v>
      </c>
      <c r="M824" s="59"/>
    </row>
    <row r="825" spans="2:13">
      <c r="B825" s="40" t="s">
        <v>2307</v>
      </c>
      <c r="C825" s="41">
        <v>6</v>
      </c>
      <c r="D825" s="42">
        <v>12</v>
      </c>
      <c r="E825" s="43">
        <v>29624</v>
      </c>
      <c r="F825" s="44">
        <v>17540232</v>
      </c>
      <c r="G825" s="1" t="str">
        <f>IFERROR(IF(ventas_b_mes684[[#This Row],[CUIT]]="","-",VLOOKUP(ventas_b_mes684[[#This Row],[CUIT]],Lista_CUIT[#All],2,0)),"CUIT NO CARGADO")</f>
        <v>CUIT NO CARGADO</v>
      </c>
      <c r="H825" s="64">
        <v>44958.68</v>
      </c>
      <c r="I825" s="64">
        <f>ventas_b_mes684[[#This Row],[IMPORTE NETO]]*0.21</f>
        <v>9441.3227999999999</v>
      </c>
      <c r="J825" s="64"/>
      <c r="K825" s="64"/>
      <c r="L825" s="64">
        <f>SUM(ventas_b_mes684[[#This Row],[IMPORTE NETO]:[EXENTO]])</f>
        <v>54400.002800000002</v>
      </c>
      <c r="M825" s="59"/>
    </row>
    <row r="826" spans="2:13">
      <c r="B826" s="40" t="s">
        <v>2307</v>
      </c>
      <c r="C826" s="41">
        <v>6</v>
      </c>
      <c r="D826" s="42">
        <v>12</v>
      </c>
      <c r="E826" s="43">
        <v>29629</v>
      </c>
      <c r="F826" s="44">
        <v>95406113</v>
      </c>
      <c r="G826" s="1" t="str">
        <f>IFERROR(IF(ventas_b_mes684[[#This Row],[CUIT]]="","-",VLOOKUP(ventas_b_mes684[[#This Row],[CUIT]],Lista_CUIT[#All],2,0)),"CUIT NO CARGADO")</f>
        <v>CUIT NO CARGADO</v>
      </c>
      <c r="H826" s="64">
        <v>20661.16</v>
      </c>
      <c r="I826" s="64">
        <f>ventas_b_mes684[[#This Row],[IMPORTE NETO]]*0.21</f>
        <v>4338.8436000000002</v>
      </c>
      <c r="J826" s="64"/>
      <c r="K826" s="64"/>
      <c r="L826" s="64">
        <f>SUM(ventas_b_mes684[[#This Row],[IMPORTE NETO]:[EXENTO]])</f>
        <v>25000.0036</v>
      </c>
      <c r="M826" s="59"/>
    </row>
    <row r="827" spans="2:13">
      <c r="B827" s="40" t="s">
        <v>2307</v>
      </c>
      <c r="C827" s="41">
        <v>6</v>
      </c>
      <c r="D827" s="42">
        <v>11</v>
      </c>
      <c r="E827" s="43">
        <v>38085</v>
      </c>
      <c r="F827" s="44">
        <v>20249213</v>
      </c>
      <c r="G827" s="1" t="str">
        <f>IFERROR(IF(ventas_b_mes684[[#This Row],[CUIT]]="","-",VLOOKUP(ventas_b_mes684[[#This Row],[CUIT]],Lista_CUIT[#All],2,0)),"CUIT NO CARGADO")</f>
        <v>CUIT NO CARGADO</v>
      </c>
      <c r="H827" s="64">
        <v>101859.49</v>
      </c>
      <c r="I827" s="64">
        <f>ventas_b_mes684[[#This Row],[IMPORTE NETO]]*0.21</f>
        <v>21390.492900000001</v>
      </c>
      <c r="J827" s="64"/>
      <c r="K827" s="64"/>
      <c r="L827" s="64">
        <f>SUM(ventas_b_mes684[[#This Row],[IMPORTE NETO]:[EXENTO]])</f>
        <v>123249.9829</v>
      </c>
      <c r="M827" s="59"/>
    </row>
    <row r="828" spans="2:13">
      <c r="B828" s="40" t="s">
        <v>2307</v>
      </c>
      <c r="C828" s="41">
        <v>6</v>
      </c>
      <c r="D828" s="42">
        <v>15</v>
      </c>
      <c r="E828" s="43">
        <v>13184</v>
      </c>
      <c r="F828" s="44">
        <v>20013209</v>
      </c>
      <c r="G828" s="1" t="str">
        <f>IFERROR(IF(ventas_b_mes684[[#This Row],[CUIT]]="","-",VLOOKUP(ventas_b_mes684[[#This Row],[CUIT]],Lista_CUIT[#All],2,0)),"CUIT NO CARGADO")</f>
        <v>CUIT NO CARGADO</v>
      </c>
      <c r="H828" s="64">
        <v>20661.16</v>
      </c>
      <c r="I828" s="64">
        <f>ventas_b_mes684[[#This Row],[IMPORTE NETO]]*0.21</f>
        <v>4338.8436000000002</v>
      </c>
      <c r="J828" s="64"/>
      <c r="K828" s="64"/>
      <c r="L828" s="64">
        <f>SUM(ventas_b_mes684[[#This Row],[IMPORTE NETO]:[EXENTO]])</f>
        <v>25000.0036</v>
      </c>
      <c r="M828" s="59"/>
    </row>
    <row r="829" spans="2:13">
      <c r="B829" s="40" t="s">
        <v>2307</v>
      </c>
      <c r="C829" s="41">
        <v>6</v>
      </c>
      <c r="D829" s="42">
        <v>11</v>
      </c>
      <c r="E829" s="43">
        <v>38060</v>
      </c>
      <c r="F829" s="44">
        <v>14897908</v>
      </c>
      <c r="G829" s="1" t="str">
        <f>IFERROR(IF(ventas_b_mes684[[#This Row],[CUIT]]="","-",VLOOKUP(ventas_b_mes684[[#This Row],[CUIT]],Lista_CUIT[#All],2,0)),"CUIT NO CARGADO")</f>
        <v>CUIT NO CARGADO</v>
      </c>
      <c r="H829" s="64">
        <v>29047.52</v>
      </c>
      <c r="I829" s="64">
        <f>ventas_b_mes684[[#This Row],[IMPORTE NETO]]*0.21</f>
        <v>6099.9791999999998</v>
      </c>
      <c r="J829" s="64"/>
      <c r="K829" s="64"/>
      <c r="L829" s="64">
        <f>SUM(ventas_b_mes684[[#This Row],[IMPORTE NETO]:[EXENTO]])</f>
        <v>35147.499199999998</v>
      </c>
      <c r="M829" s="59"/>
    </row>
    <row r="830" spans="2:13">
      <c r="B830" s="40" t="s">
        <v>2307</v>
      </c>
      <c r="C830" s="41">
        <v>6</v>
      </c>
      <c r="D830" s="42">
        <v>15</v>
      </c>
      <c r="E830" s="43">
        <v>13179</v>
      </c>
      <c r="F830" s="44">
        <v>33040292</v>
      </c>
      <c r="G830" s="1" t="str">
        <f>IFERROR(IF(ventas_b_mes684[[#This Row],[CUIT]]="","-",VLOOKUP(ventas_b_mes684[[#This Row],[CUIT]],Lista_CUIT[#All],2,0)),"CUIT NO CARGADO")</f>
        <v>CUIT NO CARGADO</v>
      </c>
      <c r="H830" s="64">
        <v>20661.16</v>
      </c>
      <c r="I830" s="64">
        <f>ventas_b_mes684[[#This Row],[IMPORTE NETO]]*0.21</f>
        <v>4338.8436000000002</v>
      </c>
      <c r="J830" s="64"/>
      <c r="K830" s="64"/>
      <c r="L830" s="64">
        <f>SUM(ventas_b_mes684[[#This Row],[IMPORTE NETO]:[EXENTO]])</f>
        <v>25000.0036</v>
      </c>
      <c r="M830" s="59"/>
    </row>
    <row r="831" spans="2:13">
      <c r="B831" s="40" t="s">
        <v>2307</v>
      </c>
      <c r="C831" s="41">
        <v>6</v>
      </c>
      <c r="D831" s="42">
        <v>10</v>
      </c>
      <c r="E831" s="43">
        <v>54430</v>
      </c>
      <c r="F831" s="44">
        <v>13256841</v>
      </c>
      <c r="G831" s="1" t="str">
        <f>IFERROR(IF(ventas_b_mes684[[#This Row],[CUIT]]="","-",VLOOKUP(ventas_b_mes684[[#This Row],[CUIT]],Lista_CUIT[#All],2,0)),"CUIT NO CARGADO")</f>
        <v>CUIT NO CARGADO</v>
      </c>
      <c r="H831" s="64">
        <v>3719.01</v>
      </c>
      <c r="I831" s="64">
        <f>ventas_b_mes684[[#This Row],[IMPORTE NETO]]*0.21</f>
        <v>780.99210000000005</v>
      </c>
      <c r="J831" s="64"/>
      <c r="K831" s="64"/>
      <c r="L831" s="64">
        <f>SUM(ventas_b_mes684[[#This Row],[IMPORTE NETO]:[EXENTO]])</f>
        <v>4500.0021000000006</v>
      </c>
      <c r="M831" s="59"/>
    </row>
    <row r="832" spans="2:13">
      <c r="B832" s="40" t="s">
        <v>2307</v>
      </c>
      <c r="C832" s="41">
        <v>6</v>
      </c>
      <c r="D832" s="42">
        <v>13</v>
      </c>
      <c r="E832" s="43">
        <v>32459</v>
      </c>
      <c r="F832" s="44">
        <v>22862164</v>
      </c>
      <c r="G832" s="1" t="str">
        <f>IFERROR(IF(ventas_b_mes684[[#This Row],[CUIT]]="","-",VLOOKUP(ventas_b_mes684[[#This Row],[CUIT]],Lista_CUIT[#All],2,0)),"CUIT NO CARGADO")</f>
        <v>CUIT NO CARGADO</v>
      </c>
      <c r="H832" s="64">
        <v>42396.69</v>
      </c>
      <c r="I832" s="64">
        <f>ventas_b_mes684[[#This Row],[IMPORTE NETO]]*0.21</f>
        <v>8903.304900000001</v>
      </c>
      <c r="J832" s="64"/>
      <c r="K832" s="64"/>
      <c r="L832" s="64">
        <f>SUM(ventas_b_mes684[[#This Row],[IMPORTE NETO]:[EXENTO]])</f>
        <v>51299.994900000005</v>
      </c>
      <c r="M832" s="59"/>
    </row>
    <row r="833" spans="2:13">
      <c r="B833" s="40" t="s">
        <v>2307</v>
      </c>
      <c r="C833" s="41">
        <v>6</v>
      </c>
      <c r="D833" s="42">
        <v>11</v>
      </c>
      <c r="E833" s="43">
        <v>38072</v>
      </c>
      <c r="F833" s="44">
        <v>41874281</v>
      </c>
      <c r="G833" s="1" t="str">
        <f>IFERROR(IF(ventas_b_mes684[[#This Row],[CUIT]]="","-",VLOOKUP(ventas_b_mes684[[#This Row],[CUIT]],Lista_CUIT[#All],2,0)),"CUIT NO CARGADO")</f>
        <v>CUIT NO CARGADO</v>
      </c>
      <c r="H833" s="64">
        <v>16894.63</v>
      </c>
      <c r="I833" s="64">
        <f>ventas_b_mes684[[#This Row],[IMPORTE NETO]]*0.21</f>
        <v>3547.8723</v>
      </c>
      <c r="J833" s="64"/>
      <c r="K833" s="64"/>
      <c r="L833" s="64">
        <f>SUM(ventas_b_mes684[[#This Row],[IMPORTE NETO]:[EXENTO]])</f>
        <v>20442.5023</v>
      </c>
      <c r="M833" s="59"/>
    </row>
    <row r="834" spans="2:13">
      <c r="B834" s="40" t="s">
        <v>2307</v>
      </c>
      <c r="C834" s="41">
        <v>6</v>
      </c>
      <c r="D834" s="42">
        <v>15</v>
      </c>
      <c r="E834" s="43">
        <v>13193</v>
      </c>
      <c r="F834" s="44">
        <v>20013209</v>
      </c>
      <c r="G834" s="1" t="str">
        <f>IFERROR(IF(ventas_b_mes684[[#This Row],[CUIT]]="","-",VLOOKUP(ventas_b_mes684[[#This Row],[CUIT]],Lista_CUIT[#All],2,0)),"CUIT NO CARGADO")</f>
        <v>CUIT NO CARGADO</v>
      </c>
      <c r="H834" s="64">
        <v>52760.33</v>
      </c>
      <c r="I834" s="64">
        <f>ventas_b_mes684[[#This Row],[IMPORTE NETO]]*0.21</f>
        <v>11079.6693</v>
      </c>
      <c r="J834" s="64"/>
      <c r="K834" s="64"/>
      <c r="L834" s="64">
        <f>SUM(ventas_b_mes684[[#This Row],[IMPORTE NETO]:[EXENTO]])</f>
        <v>63839.999300000003</v>
      </c>
      <c r="M834" s="59"/>
    </row>
    <row r="835" spans="2:13">
      <c r="B835" s="40" t="s">
        <v>2307</v>
      </c>
      <c r="C835" s="41">
        <v>6</v>
      </c>
      <c r="D835" s="42">
        <v>12</v>
      </c>
      <c r="E835" s="43">
        <v>29622</v>
      </c>
      <c r="F835" s="44">
        <v>36597735</v>
      </c>
      <c r="G835" s="1" t="str">
        <f>IFERROR(IF(ventas_b_mes684[[#This Row],[CUIT]]="","-",VLOOKUP(ventas_b_mes684[[#This Row],[CUIT]],Lista_CUIT[#All],2,0)),"CUIT NO CARGADO")</f>
        <v>CUIT NO CARGADO</v>
      </c>
      <c r="H835" s="64">
        <v>20661.16</v>
      </c>
      <c r="I835" s="64">
        <f>ventas_b_mes684[[#This Row],[IMPORTE NETO]]*0.21</f>
        <v>4338.8436000000002</v>
      </c>
      <c r="J835" s="64"/>
      <c r="K835" s="64"/>
      <c r="L835" s="64">
        <f>SUM(ventas_b_mes684[[#This Row],[IMPORTE NETO]:[EXENTO]])</f>
        <v>25000.0036</v>
      </c>
      <c r="M835" s="59"/>
    </row>
    <row r="836" spans="2:13">
      <c r="B836" s="40" t="s">
        <v>2307</v>
      </c>
      <c r="C836" s="41">
        <v>6</v>
      </c>
      <c r="D836" s="42">
        <v>11</v>
      </c>
      <c r="E836" s="43">
        <v>38055</v>
      </c>
      <c r="F836" s="44">
        <v>23849350</v>
      </c>
      <c r="G836" s="1" t="str">
        <f>IFERROR(IF(ventas_b_mes684[[#This Row],[CUIT]]="","-",VLOOKUP(ventas_b_mes684[[#This Row],[CUIT]],Lista_CUIT[#All],2,0)),"CUIT NO CARGADO")</f>
        <v>CUIT NO CARGADO</v>
      </c>
      <c r="H836" s="64">
        <v>181254.55</v>
      </c>
      <c r="I836" s="64">
        <f>ventas_b_mes684[[#This Row],[IMPORTE NETO]]*0.21</f>
        <v>38063.455499999996</v>
      </c>
      <c r="J836" s="64"/>
      <c r="K836" s="64"/>
      <c r="L836" s="64">
        <f>SUM(ventas_b_mes684[[#This Row],[IMPORTE NETO]:[EXENTO]])</f>
        <v>219318.00549999997</v>
      </c>
      <c r="M836" s="59"/>
    </row>
    <row r="837" spans="2:13">
      <c r="B837" s="40" t="s">
        <v>2307</v>
      </c>
      <c r="C837" s="41">
        <v>6</v>
      </c>
      <c r="D837" s="42">
        <v>15</v>
      </c>
      <c r="E837" s="43">
        <v>13186</v>
      </c>
      <c r="F837" s="44">
        <v>21863233</v>
      </c>
      <c r="G837" s="1" t="str">
        <f>IFERROR(IF(ventas_b_mes684[[#This Row],[CUIT]]="","-",VLOOKUP(ventas_b_mes684[[#This Row],[CUIT]],Lista_CUIT[#All],2,0)),"CUIT NO CARGADO")</f>
        <v>CUIT NO CARGADO</v>
      </c>
      <c r="H837" s="64">
        <v>27000</v>
      </c>
      <c r="I837" s="64">
        <f>ventas_b_mes684[[#This Row],[IMPORTE NETO]]*0.21</f>
        <v>5670</v>
      </c>
      <c r="J837" s="64"/>
      <c r="K837" s="64"/>
      <c r="L837" s="64">
        <f>SUM(ventas_b_mes684[[#This Row],[IMPORTE NETO]:[EXENTO]])</f>
        <v>32670</v>
      </c>
      <c r="M837" s="59"/>
    </row>
    <row r="838" spans="2:13">
      <c r="B838" s="40" t="s">
        <v>2307</v>
      </c>
      <c r="C838" s="41">
        <v>6</v>
      </c>
      <c r="D838" s="42">
        <v>11</v>
      </c>
      <c r="E838" s="43">
        <v>38068</v>
      </c>
      <c r="F838" s="44">
        <v>1776450</v>
      </c>
      <c r="G838" s="1" t="str">
        <f>IFERROR(IF(ventas_b_mes684[[#This Row],[CUIT]]="","-",VLOOKUP(ventas_b_mes684[[#This Row],[CUIT]],Lista_CUIT[#All],2,0)),"CUIT NO CARGADO")</f>
        <v>CUIT NO CARGADO</v>
      </c>
      <c r="H838" s="64">
        <v>83157.02</v>
      </c>
      <c r="I838" s="64">
        <f>ventas_b_mes684[[#This Row],[IMPORTE NETO]]*0.21</f>
        <v>17462.974200000001</v>
      </c>
      <c r="J838" s="64"/>
      <c r="K838" s="64"/>
      <c r="L838" s="64">
        <f>SUM(ventas_b_mes684[[#This Row],[IMPORTE NETO]:[EXENTO]])</f>
        <v>100619.9942</v>
      </c>
      <c r="M838" s="59"/>
    </row>
    <row r="839" spans="2:13">
      <c r="B839" s="40" t="s">
        <v>2307</v>
      </c>
      <c r="C839" s="41">
        <v>6</v>
      </c>
      <c r="D839" s="42">
        <v>12</v>
      </c>
      <c r="E839" s="43">
        <v>29625</v>
      </c>
      <c r="F839" s="44">
        <v>36941750</v>
      </c>
      <c r="G839" s="1" t="str">
        <f>IFERROR(IF(ventas_b_mes684[[#This Row],[CUIT]]="","-",VLOOKUP(ventas_b_mes684[[#This Row],[CUIT]],Lista_CUIT[#All],2,0)),"CUIT NO CARGADO")</f>
        <v>CUIT NO CARGADO</v>
      </c>
      <c r="H839" s="64">
        <v>35404.959999999999</v>
      </c>
      <c r="I839" s="64">
        <f>ventas_b_mes684[[#This Row],[IMPORTE NETO]]*0.21</f>
        <v>7435.0415999999996</v>
      </c>
      <c r="J839" s="64"/>
      <c r="K839" s="64"/>
      <c r="L839" s="64">
        <f>SUM(ventas_b_mes684[[#This Row],[IMPORTE NETO]:[EXENTO]])</f>
        <v>42840.001599999996</v>
      </c>
      <c r="M839" s="59"/>
    </row>
    <row r="840" spans="2:13">
      <c r="B840" s="40" t="s">
        <v>2307</v>
      </c>
      <c r="C840" s="41">
        <v>6</v>
      </c>
      <c r="D840" s="42">
        <v>12</v>
      </c>
      <c r="E840" s="43">
        <v>29635</v>
      </c>
      <c r="F840" s="44">
        <v>11230681</v>
      </c>
      <c r="G840" s="1" t="str">
        <f>IFERROR(IF(ventas_b_mes684[[#This Row],[CUIT]]="","-",VLOOKUP(ventas_b_mes684[[#This Row],[CUIT]],Lista_CUIT[#All],2,0)),"CUIT NO CARGADO")</f>
        <v>CUIT NO CARGADO</v>
      </c>
      <c r="H840" s="64">
        <v>30826.45</v>
      </c>
      <c r="I840" s="64">
        <f>ventas_b_mes684[[#This Row],[IMPORTE NETO]]*0.21</f>
        <v>6473.5545000000002</v>
      </c>
      <c r="J840" s="64"/>
      <c r="K840" s="64"/>
      <c r="L840" s="64">
        <f>SUM(ventas_b_mes684[[#This Row],[IMPORTE NETO]:[EXENTO]])</f>
        <v>37300.004500000003</v>
      </c>
      <c r="M840" s="59"/>
    </row>
    <row r="841" spans="2:13">
      <c r="B841" s="40" t="s">
        <v>2307</v>
      </c>
      <c r="C841" s="41">
        <v>6</v>
      </c>
      <c r="D841" s="42">
        <v>11</v>
      </c>
      <c r="E841" s="43">
        <v>38078</v>
      </c>
      <c r="F841" s="44">
        <v>1078951</v>
      </c>
      <c r="G841" s="1" t="str">
        <f>IFERROR(IF(ventas_b_mes684[[#This Row],[CUIT]]="","-",VLOOKUP(ventas_b_mes684[[#This Row],[CUIT]],Lista_CUIT[#All],2,0)),"CUIT NO CARGADO")</f>
        <v>CUIT NO CARGADO</v>
      </c>
      <c r="H841" s="64">
        <v>17148.759999999998</v>
      </c>
      <c r="I841" s="64">
        <f>ventas_b_mes684[[#This Row],[IMPORTE NETO]]*0.21</f>
        <v>3601.2395999999994</v>
      </c>
      <c r="J841" s="64"/>
      <c r="K841" s="64"/>
      <c r="L841" s="64">
        <f>SUM(ventas_b_mes684[[#This Row],[IMPORTE NETO]:[EXENTO]])</f>
        <v>20749.999599999999</v>
      </c>
      <c r="M841" s="59"/>
    </row>
    <row r="842" spans="2:13">
      <c r="B842" s="40" t="s">
        <v>2307</v>
      </c>
      <c r="C842" s="41">
        <v>6</v>
      </c>
      <c r="D842" s="42">
        <v>15</v>
      </c>
      <c r="E842" s="43">
        <v>13191</v>
      </c>
      <c r="F842" s="44">
        <v>22993607</v>
      </c>
      <c r="G842" s="1" t="str">
        <f>IFERROR(IF(ventas_b_mes684[[#This Row],[CUIT]]="","-",VLOOKUP(ventas_b_mes684[[#This Row],[CUIT]],Lista_CUIT[#All],2,0)),"CUIT NO CARGADO")</f>
        <v>MONTENEGRO,LEONOR</v>
      </c>
      <c r="H842" s="64">
        <v>12892.56</v>
      </c>
      <c r="I842" s="64">
        <f>ventas_b_mes684[[#This Row],[IMPORTE NETO]]*0.21</f>
        <v>2707.4375999999997</v>
      </c>
      <c r="J842" s="64"/>
      <c r="K842" s="64"/>
      <c r="L842" s="64">
        <f>SUM(ventas_b_mes684[[#This Row],[IMPORTE NETO]:[EXENTO]])</f>
        <v>15599.997599999999</v>
      </c>
      <c r="M842" s="59"/>
    </row>
    <row r="843" spans="2:13">
      <c r="B843" s="40" t="s">
        <v>2307</v>
      </c>
      <c r="C843" s="41">
        <v>6</v>
      </c>
      <c r="D843" s="42">
        <v>10</v>
      </c>
      <c r="E843" s="43">
        <v>54431</v>
      </c>
      <c r="F843" s="44">
        <v>17274589</v>
      </c>
      <c r="G843" s="1" t="str">
        <f>IFERROR(IF(ventas_b_mes684[[#This Row],[CUIT]]="","-",VLOOKUP(ventas_b_mes684[[#This Row],[CUIT]],Lista_CUIT[#All],2,0)),"CUIT NO CARGADO")</f>
        <v>CUIT NO CARGADO</v>
      </c>
      <c r="H843" s="64">
        <v>9545.4500000000007</v>
      </c>
      <c r="I843" s="64">
        <f>ventas_b_mes684[[#This Row],[IMPORTE NETO]]*0.21</f>
        <v>2004.5445</v>
      </c>
      <c r="J843" s="64"/>
      <c r="K843" s="64"/>
      <c r="L843" s="64">
        <f>SUM(ventas_b_mes684[[#This Row],[IMPORTE NETO]:[EXENTO]])</f>
        <v>11549.994500000001</v>
      </c>
      <c r="M843" s="59"/>
    </row>
    <row r="844" spans="2:13">
      <c r="B844" s="40" t="s">
        <v>2307</v>
      </c>
      <c r="C844" s="41">
        <v>6</v>
      </c>
      <c r="D844" s="42">
        <v>13</v>
      </c>
      <c r="E844" s="43">
        <v>32460</v>
      </c>
      <c r="F844" s="44">
        <v>46251017</v>
      </c>
      <c r="G844" s="1" t="str">
        <f>IFERROR(IF(ventas_b_mes684[[#This Row],[CUIT]]="","-",VLOOKUP(ventas_b_mes684[[#This Row],[CUIT]],Lista_CUIT[#All],2,0)),"CUIT NO CARGADO")</f>
        <v>CUIT NO CARGADO</v>
      </c>
      <c r="H844" s="64">
        <v>20661.16</v>
      </c>
      <c r="I844" s="64">
        <f>ventas_b_mes684[[#This Row],[IMPORTE NETO]]*0.21</f>
        <v>4338.8436000000002</v>
      </c>
      <c r="J844" s="64"/>
      <c r="K844" s="64"/>
      <c r="L844" s="64">
        <f>SUM(ventas_b_mes684[[#This Row],[IMPORTE NETO]:[EXENTO]])</f>
        <v>25000.0036</v>
      </c>
      <c r="M844" s="59"/>
    </row>
    <row r="845" spans="2:13">
      <c r="B845" s="40" t="s">
        <v>2307</v>
      </c>
      <c r="C845" s="41">
        <v>6</v>
      </c>
      <c r="D845" s="42">
        <v>11</v>
      </c>
      <c r="E845" s="43">
        <v>38074</v>
      </c>
      <c r="F845" s="44">
        <v>27778250</v>
      </c>
      <c r="G845" s="1" t="str">
        <f>IFERROR(IF(ventas_b_mes684[[#This Row],[CUIT]]="","-",VLOOKUP(ventas_b_mes684[[#This Row],[CUIT]],Lista_CUIT[#All],2,0)),"CUIT NO CARGADO")</f>
        <v>CUIT NO CARGADO</v>
      </c>
      <c r="H845" s="64">
        <v>111066.12</v>
      </c>
      <c r="I845" s="64">
        <f>ventas_b_mes684[[#This Row],[IMPORTE NETO]]*0.21</f>
        <v>23323.885199999997</v>
      </c>
      <c r="J845" s="64"/>
      <c r="K845" s="64"/>
      <c r="L845" s="64">
        <f>SUM(ventas_b_mes684[[#This Row],[IMPORTE NETO]:[EXENTO]])</f>
        <v>134390.00519999999</v>
      </c>
      <c r="M845" s="59"/>
    </row>
    <row r="846" spans="2:13">
      <c r="B846" s="40" t="s">
        <v>2307</v>
      </c>
      <c r="C846" s="41">
        <v>6</v>
      </c>
      <c r="D846" s="42">
        <v>15</v>
      </c>
      <c r="E846" s="43">
        <v>13173</v>
      </c>
      <c r="F846" s="44">
        <v>18800818</v>
      </c>
      <c r="G846" s="1" t="str">
        <f>IFERROR(IF(ventas_b_mes684[[#This Row],[CUIT]]="","-",VLOOKUP(ventas_b_mes684[[#This Row],[CUIT]],Lista_CUIT[#All],2,0)),"CUIT NO CARGADO")</f>
        <v>CUIT NO CARGADO</v>
      </c>
      <c r="H846" s="64">
        <v>20661.16</v>
      </c>
      <c r="I846" s="64">
        <f>ventas_b_mes684[[#This Row],[IMPORTE NETO]]*0.21</f>
        <v>4338.8436000000002</v>
      </c>
      <c r="J846" s="64"/>
      <c r="K846" s="64"/>
      <c r="L846" s="64">
        <f>SUM(ventas_b_mes684[[#This Row],[IMPORTE NETO]:[EXENTO]])</f>
        <v>25000.0036</v>
      </c>
      <c r="M846" s="59"/>
    </row>
    <row r="847" spans="2:13">
      <c r="B847" s="40" t="s">
        <v>2307</v>
      </c>
      <c r="C847" s="41">
        <v>6</v>
      </c>
      <c r="D847" s="42">
        <v>15</v>
      </c>
      <c r="E847" s="43">
        <v>13172</v>
      </c>
      <c r="F847" s="44">
        <v>18800818</v>
      </c>
      <c r="G847" s="1" t="str">
        <f>IFERROR(IF(ventas_b_mes684[[#This Row],[CUIT]]="","-",VLOOKUP(ventas_b_mes684[[#This Row],[CUIT]],Lista_CUIT[#All],2,0)),"CUIT NO CARGADO")</f>
        <v>CUIT NO CARGADO</v>
      </c>
      <c r="H847" s="64">
        <v>64355.37</v>
      </c>
      <c r="I847" s="64">
        <f>ventas_b_mes684[[#This Row],[IMPORTE NETO]]*0.21</f>
        <v>13514.627700000001</v>
      </c>
      <c r="J847" s="64"/>
      <c r="K847" s="64"/>
      <c r="L847" s="64">
        <f>SUM(ventas_b_mes684[[#This Row],[IMPORTE NETO]:[EXENTO]])</f>
        <v>77869.997700000007</v>
      </c>
      <c r="M847" s="59"/>
    </row>
    <row r="848" spans="2:13">
      <c r="B848" s="40" t="s">
        <v>2307</v>
      </c>
      <c r="C848" s="41">
        <v>6</v>
      </c>
      <c r="D848" s="42">
        <v>10</v>
      </c>
      <c r="E848" s="43">
        <v>54419</v>
      </c>
      <c r="F848" s="44">
        <v>27144671800</v>
      </c>
      <c r="G848" s="1" t="str">
        <f>IFERROR(IF(ventas_b_mes684[[#This Row],[CUIT]]="","-",VLOOKUP(ventas_b_mes684[[#This Row],[CUIT]],Lista_CUIT[#All],2,0)),"CUIT NO CARGADO")</f>
        <v>CUIT NO CARGADO</v>
      </c>
      <c r="H848" s="64">
        <v>8264.4599999999991</v>
      </c>
      <c r="I848" s="64">
        <f>ventas_b_mes684[[#This Row],[IMPORTE NETO]]*0.21</f>
        <v>1735.5365999999997</v>
      </c>
      <c r="J848" s="64"/>
      <c r="K848" s="64"/>
      <c r="L848" s="64">
        <f>SUM(ventas_b_mes684[[#This Row],[IMPORTE NETO]:[EXENTO]])</f>
        <v>9999.9965999999986</v>
      </c>
      <c r="M848" s="59"/>
    </row>
    <row r="849" spans="2:13">
      <c r="B849" s="40" t="s">
        <v>2307</v>
      </c>
      <c r="C849" s="41">
        <v>6</v>
      </c>
      <c r="D849" s="42">
        <v>11</v>
      </c>
      <c r="E849" s="43">
        <v>38062</v>
      </c>
      <c r="F849" s="44">
        <v>20762283</v>
      </c>
      <c r="G849" s="1" t="str">
        <f>IFERROR(IF(ventas_b_mes684[[#This Row],[CUIT]]="","-",VLOOKUP(ventas_b_mes684[[#This Row],[CUIT]],Lista_CUIT[#All],2,0)),"CUIT NO CARGADO")</f>
        <v>CUIT NO CARGADO</v>
      </c>
      <c r="H849" s="64">
        <v>50537.19</v>
      </c>
      <c r="I849" s="64">
        <f>ventas_b_mes684[[#This Row],[IMPORTE NETO]]*0.21</f>
        <v>10612.8099</v>
      </c>
      <c r="J849" s="64"/>
      <c r="K849" s="64"/>
      <c r="L849" s="64">
        <f>SUM(ventas_b_mes684[[#This Row],[IMPORTE NETO]:[EXENTO]])</f>
        <v>61149.999900000003</v>
      </c>
      <c r="M849" s="59"/>
    </row>
    <row r="850" spans="2:13">
      <c r="B850" s="40" t="s">
        <v>2307</v>
      </c>
      <c r="C850" s="41">
        <v>6</v>
      </c>
      <c r="D850" s="42">
        <v>15</v>
      </c>
      <c r="E850" s="43">
        <v>13183</v>
      </c>
      <c r="F850" s="44">
        <v>39765404</v>
      </c>
      <c r="G850" s="1" t="str">
        <f>IFERROR(IF(ventas_b_mes684[[#This Row],[CUIT]]="","-",VLOOKUP(ventas_b_mes684[[#This Row],[CUIT]],Lista_CUIT[#All],2,0)),"CUIT NO CARGADO")</f>
        <v>CUIT NO CARGADO</v>
      </c>
      <c r="H850" s="64">
        <v>25530.58</v>
      </c>
      <c r="I850" s="64">
        <f>ventas_b_mes684[[#This Row],[IMPORTE NETO]]*0.21</f>
        <v>5361.4218000000001</v>
      </c>
      <c r="J850" s="64"/>
      <c r="K850" s="64"/>
      <c r="L850" s="64">
        <f>SUM(ventas_b_mes684[[#This Row],[IMPORTE NETO]:[EXENTO]])</f>
        <v>30892.001800000002</v>
      </c>
      <c r="M850" s="59"/>
    </row>
    <row r="851" spans="2:13">
      <c r="B851" s="40" t="s">
        <v>2307</v>
      </c>
      <c r="C851" s="41">
        <v>6</v>
      </c>
      <c r="D851" s="42">
        <v>13</v>
      </c>
      <c r="E851" s="43">
        <v>32461</v>
      </c>
      <c r="F851" s="44">
        <v>22862164</v>
      </c>
      <c r="G851" s="1" t="str">
        <f>IFERROR(IF(ventas_b_mes684[[#This Row],[CUIT]]="","-",VLOOKUP(ventas_b_mes684[[#This Row],[CUIT]],Lista_CUIT[#All],2,0)),"CUIT NO CARGADO")</f>
        <v>CUIT NO CARGADO</v>
      </c>
      <c r="H851" s="64">
        <v>4049.59</v>
      </c>
      <c r="I851" s="64">
        <f>ventas_b_mes684[[#This Row],[IMPORTE NETO]]*0.21</f>
        <v>850.41390000000001</v>
      </c>
      <c r="J851" s="64"/>
      <c r="K851" s="64"/>
      <c r="L851" s="64">
        <f>SUM(ventas_b_mes684[[#This Row],[IMPORTE NETO]:[EXENTO]])</f>
        <v>4900.0038999999997</v>
      </c>
      <c r="M851" s="59"/>
    </row>
    <row r="852" spans="2:13">
      <c r="B852" s="40" t="s">
        <v>2307</v>
      </c>
      <c r="C852" s="41">
        <v>6</v>
      </c>
      <c r="D852" s="42">
        <v>10</v>
      </c>
      <c r="E852" s="43">
        <v>54432</v>
      </c>
      <c r="F852" s="44">
        <v>40639048</v>
      </c>
      <c r="G852" s="1" t="str">
        <f>IFERROR(IF(ventas_b_mes684[[#This Row],[CUIT]]="","-",VLOOKUP(ventas_b_mes684[[#This Row],[CUIT]],Lista_CUIT[#All],2,0)),"CUIT NO CARGADO")</f>
        <v>CUIT NO CARGADO</v>
      </c>
      <c r="H852" s="64">
        <v>10561.98</v>
      </c>
      <c r="I852" s="64">
        <f>ventas_b_mes684[[#This Row],[IMPORTE NETO]]*0.21</f>
        <v>2218.0157999999997</v>
      </c>
      <c r="J852" s="64"/>
      <c r="K852" s="64"/>
      <c r="L852" s="64">
        <f>SUM(ventas_b_mes684[[#This Row],[IMPORTE NETO]:[EXENTO]])</f>
        <v>12779.995799999999</v>
      </c>
      <c r="M852" s="59"/>
    </row>
    <row r="853" spans="2:13">
      <c r="B853" s="40" t="s">
        <v>2307</v>
      </c>
      <c r="C853" s="41">
        <v>6</v>
      </c>
      <c r="D853" s="42">
        <v>15</v>
      </c>
      <c r="E853" s="43">
        <v>13194</v>
      </c>
      <c r="F853" s="44">
        <v>22479614</v>
      </c>
      <c r="G853" s="1" t="str">
        <f>IFERROR(IF(ventas_b_mes684[[#This Row],[CUIT]]="","-",VLOOKUP(ventas_b_mes684[[#This Row],[CUIT]],Lista_CUIT[#All],2,0)),"CUIT NO CARGADO")</f>
        <v>AGUIAR, MARISA</v>
      </c>
      <c r="H853" s="64">
        <v>22727.27</v>
      </c>
      <c r="I853" s="64">
        <f>ventas_b_mes684[[#This Row],[IMPORTE NETO]]*0.21</f>
        <v>4772.7267000000002</v>
      </c>
      <c r="J853" s="64"/>
      <c r="K853" s="64"/>
      <c r="L853" s="64">
        <f>SUM(ventas_b_mes684[[#This Row],[IMPORTE NETO]:[EXENTO]])</f>
        <v>27499.9967</v>
      </c>
      <c r="M853" s="59"/>
    </row>
    <row r="854" spans="2:13">
      <c r="B854" s="40" t="s">
        <v>2307</v>
      </c>
      <c r="C854" s="41">
        <v>6</v>
      </c>
      <c r="D854" s="42">
        <v>15</v>
      </c>
      <c r="E854" s="43">
        <v>13195</v>
      </c>
      <c r="F854" s="44">
        <v>22479614</v>
      </c>
      <c r="G854" s="1" t="str">
        <f>IFERROR(IF(ventas_b_mes684[[#This Row],[CUIT]]="","-",VLOOKUP(ventas_b_mes684[[#This Row],[CUIT]],Lista_CUIT[#All],2,0)),"CUIT NO CARGADO")</f>
        <v>AGUIAR, MARISA</v>
      </c>
      <c r="H854" s="64">
        <v>6024.79</v>
      </c>
      <c r="I854" s="64">
        <f>ventas_b_mes684[[#This Row],[IMPORTE NETO]]*0.21</f>
        <v>1265.2058999999999</v>
      </c>
      <c r="J854" s="64"/>
      <c r="K854" s="64"/>
      <c r="L854" s="64">
        <f>SUM(ventas_b_mes684[[#This Row],[IMPORTE NETO]:[EXENTO]])</f>
        <v>7289.9958999999999</v>
      </c>
      <c r="M854" s="59"/>
    </row>
    <row r="855" spans="2:13">
      <c r="B855" s="40" t="s">
        <v>2307</v>
      </c>
      <c r="C855" s="41">
        <v>6</v>
      </c>
      <c r="D855" s="42">
        <v>11</v>
      </c>
      <c r="E855" s="43">
        <v>38077</v>
      </c>
      <c r="F855" s="44">
        <v>23284387</v>
      </c>
      <c r="G855" s="1" t="str">
        <f>IFERROR(IF(ventas_b_mes684[[#This Row],[CUIT]]="","-",VLOOKUP(ventas_b_mes684[[#This Row],[CUIT]],Lista_CUIT[#All],2,0)),"CUIT NO CARGADO")</f>
        <v>CUIT NO CARGADO</v>
      </c>
      <c r="H855" s="64">
        <v>143471.07</v>
      </c>
      <c r="I855" s="64">
        <f>ventas_b_mes684[[#This Row],[IMPORTE NETO]]*0.21</f>
        <v>30128.9247</v>
      </c>
      <c r="J855" s="64"/>
      <c r="K855" s="64"/>
      <c r="L855" s="64">
        <f>SUM(ventas_b_mes684[[#This Row],[IMPORTE NETO]:[EXENTO]])</f>
        <v>173599.99470000001</v>
      </c>
      <c r="M855" s="59"/>
    </row>
    <row r="856" spans="2:13">
      <c r="B856" s="40" t="s">
        <v>2307</v>
      </c>
      <c r="C856" s="41">
        <v>6</v>
      </c>
      <c r="D856" s="42">
        <v>11</v>
      </c>
      <c r="E856" s="43">
        <v>38084</v>
      </c>
      <c r="F856" s="44">
        <v>40305864</v>
      </c>
      <c r="G856" s="1" t="str">
        <f>IFERROR(IF(ventas_b_mes684[[#This Row],[CUIT]]="","-",VLOOKUP(ventas_b_mes684[[#This Row],[CUIT]],Lista_CUIT[#All],2,0)),"CUIT NO CARGADO")</f>
        <v>CUIT NO CARGADO</v>
      </c>
      <c r="H856" s="64">
        <v>22057.85</v>
      </c>
      <c r="I856" s="64">
        <f>ventas_b_mes684[[#This Row],[IMPORTE NETO]]*0.21</f>
        <v>4632.1484999999993</v>
      </c>
      <c r="J856" s="64"/>
      <c r="K856" s="64"/>
      <c r="L856" s="64">
        <f>SUM(ventas_b_mes684[[#This Row],[IMPORTE NETO]:[EXENTO]])</f>
        <v>26689.998499999998</v>
      </c>
      <c r="M856" s="59"/>
    </row>
    <row r="857" spans="2:13">
      <c r="B857" s="40" t="s">
        <v>2307</v>
      </c>
      <c r="C857" s="41">
        <v>6</v>
      </c>
      <c r="D857" s="42">
        <v>13</v>
      </c>
      <c r="E857" s="43">
        <v>32446</v>
      </c>
      <c r="F857" s="44">
        <v>23277110</v>
      </c>
      <c r="G857" s="1" t="str">
        <f>IFERROR(IF(ventas_b_mes684[[#This Row],[CUIT]]="","-",VLOOKUP(ventas_b_mes684[[#This Row],[CUIT]],Lista_CUIT[#All],2,0)),"CUIT NO CARGADO")</f>
        <v>CUIT NO CARGADO</v>
      </c>
      <c r="H857" s="64">
        <v>41586.94</v>
      </c>
      <c r="I857" s="64">
        <f>ventas_b_mes684[[#This Row],[IMPORTE NETO]]*0.21</f>
        <v>8733.2574000000004</v>
      </c>
      <c r="J857" s="64"/>
      <c r="K857" s="64"/>
      <c r="L857" s="64">
        <f>SUM(ventas_b_mes684[[#This Row],[IMPORTE NETO]:[EXENTO]])</f>
        <v>50320.197400000005</v>
      </c>
      <c r="M857" s="59"/>
    </row>
    <row r="858" spans="2:13">
      <c r="B858" s="40" t="s">
        <v>2307</v>
      </c>
      <c r="C858" s="41">
        <v>6</v>
      </c>
      <c r="D858" s="42">
        <v>13</v>
      </c>
      <c r="E858" s="43">
        <v>32445</v>
      </c>
      <c r="F858" s="44">
        <v>23277110</v>
      </c>
      <c r="G858" s="1" t="str">
        <f>IFERROR(IF(ventas_b_mes684[[#This Row],[CUIT]]="","-",VLOOKUP(ventas_b_mes684[[#This Row],[CUIT]],Lista_CUIT[#All],2,0)),"CUIT NO CARGADO")</f>
        <v>CUIT NO CARGADO</v>
      </c>
      <c r="H858" s="64">
        <v>38636.47</v>
      </c>
      <c r="I858" s="64">
        <f>ventas_b_mes684[[#This Row],[IMPORTE NETO]]*0.21</f>
        <v>8113.6587</v>
      </c>
      <c r="J858" s="64"/>
      <c r="K858" s="64"/>
      <c r="L858" s="64">
        <f>SUM(ventas_b_mes684[[#This Row],[IMPORTE NETO]:[EXENTO]])</f>
        <v>46750.128700000001</v>
      </c>
      <c r="M858" s="59"/>
    </row>
    <row r="859" spans="2:13">
      <c r="B859" s="40" t="s">
        <v>2307</v>
      </c>
      <c r="C859" s="41">
        <v>6</v>
      </c>
      <c r="D859" s="42">
        <v>13</v>
      </c>
      <c r="E859" s="43">
        <v>32447</v>
      </c>
      <c r="F859" s="44">
        <v>23277110</v>
      </c>
      <c r="G859" s="1" t="str">
        <f>IFERROR(IF(ventas_b_mes684[[#This Row],[CUIT]]="","-",VLOOKUP(ventas_b_mes684[[#This Row],[CUIT]],Lista_CUIT[#All],2,0)),"CUIT NO CARGADO")</f>
        <v>CUIT NO CARGADO</v>
      </c>
      <c r="H859" s="64">
        <v>6778.94</v>
      </c>
      <c r="I859" s="64">
        <f>ventas_b_mes684[[#This Row],[IMPORTE NETO]]*0.21</f>
        <v>1423.5773999999999</v>
      </c>
      <c r="J859" s="64"/>
      <c r="K859" s="64"/>
      <c r="L859" s="64">
        <f>SUM(ventas_b_mes684[[#This Row],[IMPORTE NETO]:[EXENTO]])</f>
        <v>8202.5173999999988</v>
      </c>
      <c r="M859" s="59"/>
    </row>
    <row r="860" spans="2:13">
      <c r="B860" s="40" t="s">
        <v>2307</v>
      </c>
      <c r="C860" s="41">
        <v>6</v>
      </c>
      <c r="D860" s="42">
        <v>13</v>
      </c>
      <c r="E860" s="43">
        <v>32452</v>
      </c>
      <c r="F860" s="44">
        <v>20560897</v>
      </c>
      <c r="G860" s="1" t="str">
        <f>IFERROR(IF(ventas_b_mes684[[#This Row],[CUIT]]="","-",VLOOKUP(ventas_b_mes684[[#This Row],[CUIT]],Lista_CUIT[#All],2,0)),"CUIT NO CARGADO")</f>
        <v>CUIT NO CARGADO</v>
      </c>
      <c r="H860" s="64">
        <v>10884.3</v>
      </c>
      <c r="I860" s="64">
        <f>ventas_b_mes684[[#This Row],[IMPORTE NETO]]*0.21</f>
        <v>2285.703</v>
      </c>
      <c r="J860" s="64"/>
      <c r="K860" s="64"/>
      <c r="L860" s="64">
        <f>SUM(ventas_b_mes684[[#This Row],[IMPORTE NETO]:[EXENTO]])</f>
        <v>13170.002999999999</v>
      </c>
      <c r="M860" s="59"/>
    </row>
    <row r="861" spans="2:13">
      <c r="B861" s="40" t="s">
        <v>2307</v>
      </c>
      <c r="C861" s="41">
        <v>6</v>
      </c>
      <c r="D861" s="42">
        <v>13</v>
      </c>
      <c r="E861" s="43">
        <v>32448</v>
      </c>
      <c r="F861" s="44">
        <v>23277110</v>
      </c>
      <c r="G861" s="1" t="str">
        <f>IFERROR(IF(ventas_b_mes684[[#This Row],[CUIT]]="","-",VLOOKUP(ventas_b_mes684[[#This Row],[CUIT]],Lista_CUIT[#All],2,0)),"CUIT NO CARGADO")</f>
        <v>CUIT NO CARGADO</v>
      </c>
      <c r="H861" s="64">
        <v>48103.519999999997</v>
      </c>
      <c r="I861" s="64">
        <f>ventas_b_mes684[[#This Row],[IMPORTE NETO]]*0.21</f>
        <v>10101.739199999998</v>
      </c>
      <c r="J861" s="64"/>
      <c r="K861" s="64"/>
      <c r="L861" s="64">
        <f>SUM(ventas_b_mes684[[#This Row],[IMPORTE NETO]:[EXENTO]])</f>
        <v>58205.259199999993</v>
      </c>
      <c r="M861" s="59"/>
    </row>
    <row r="862" spans="2:13">
      <c r="B862" s="40" t="s">
        <v>2307</v>
      </c>
      <c r="C862" s="41">
        <v>6</v>
      </c>
      <c r="D862" s="42">
        <v>10</v>
      </c>
      <c r="E862" s="43">
        <v>54418</v>
      </c>
      <c r="F862" s="44">
        <v>92665770</v>
      </c>
      <c r="G862" s="1" t="str">
        <f>IFERROR(IF(ventas_b_mes684[[#This Row],[CUIT]]="","-",VLOOKUP(ventas_b_mes684[[#This Row],[CUIT]],Lista_CUIT[#All],2,0)),"CUIT NO CARGADO")</f>
        <v>CUIT NO CARGADO</v>
      </c>
      <c r="H862" s="64">
        <v>20743.8</v>
      </c>
      <c r="I862" s="64">
        <f>ventas_b_mes684[[#This Row],[IMPORTE NETO]]*0.21</f>
        <v>4356.1979999999994</v>
      </c>
      <c r="J862" s="64"/>
      <c r="K862" s="64"/>
      <c r="L862" s="64">
        <f>SUM(ventas_b_mes684[[#This Row],[IMPORTE NETO]:[EXENTO]])</f>
        <v>25099.998</v>
      </c>
      <c r="M862" s="59"/>
    </row>
    <row r="863" spans="2:13">
      <c r="B863" s="40" t="s">
        <v>2307</v>
      </c>
      <c r="C863" s="41">
        <v>6</v>
      </c>
      <c r="D863" s="42">
        <v>13</v>
      </c>
      <c r="E863" s="43">
        <v>32457</v>
      </c>
      <c r="F863" s="44">
        <v>20560897</v>
      </c>
      <c r="G863" s="1" t="str">
        <f>IFERROR(IF(ventas_b_mes684[[#This Row],[CUIT]]="","-",VLOOKUP(ventas_b_mes684[[#This Row],[CUIT]],Lista_CUIT[#All],2,0)),"CUIT NO CARGADO")</f>
        <v>CUIT NO CARGADO</v>
      </c>
      <c r="H863" s="64">
        <v>18520.66</v>
      </c>
      <c r="I863" s="64">
        <f>ventas_b_mes684[[#This Row],[IMPORTE NETO]]*0.21</f>
        <v>3889.3386</v>
      </c>
      <c r="J863" s="64"/>
      <c r="K863" s="64"/>
      <c r="L863" s="64">
        <f>SUM(ventas_b_mes684[[#This Row],[IMPORTE NETO]:[EXENTO]])</f>
        <v>22409.998599999999</v>
      </c>
      <c r="M863" s="59"/>
    </row>
    <row r="864" spans="2:13">
      <c r="B864" s="40" t="s">
        <v>2307</v>
      </c>
      <c r="C864" s="41">
        <v>6</v>
      </c>
      <c r="D864" s="42">
        <v>15</v>
      </c>
      <c r="E864" s="43">
        <v>13177</v>
      </c>
      <c r="F864" s="44">
        <v>33086577</v>
      </c>
      <c r="G864" s="1" t="str">
        <f>IFERROR(IF(ventas_b_mes684[[#This Row],[CUIT]]="","-",VLOOKUP(ventas_b_mes684[[#This Row],[CUIT]],Lista_CUIT[#All],2,0)),"CUIT NO CARGADO")</f>
        <v>CUIT NO CARGADO</v>
      </c>
      <c r="H864" s="64">
        <v>40330.58</v>
      </c>
      <c r="I864" s="64">
        <f>ventas_b_mes684[[#This Row],[IMPORTE NETO]]*0.21</f>
        <v>8469.4218000000001</v>
      </c>
      <c r="J864" s="64"/>
      <c r="K864" s="64"/>
      <c r="L864" s="64">
        <f>SUM(ventas_b_mes684[[#This Row],[IMPORTE NETO]:[EXENTO]])</f>
        <v>48800.001799999998</v>
      </c>
      <c r="M864" s="59"/>
    </row>
    <row r="865" spans="2:13">
      <c r="B865" s="40" t="s">
        <v>2307</v>
      </c>
      <c r="C865" s="41">
        <v>6</v>
      </c>
      <c r="D865" s="42">
        <v>15</v>
      </c>
      <c r="E865" s="43">
        <v>13189</v>
      </c>
      <c r="F865" s="44">
        <v>34651132</v>
      </c>
      <c r="G865" s="1" t="str">
        <f>IFERROR(IF(ventas_b_mes684[[#This Row],[CUIT]]="","-",VLOOKUP(ventas_b_mes684[[#This Row],[CUIT]],Lista_CUIT[#All],2,0)),"CUIT NO CARGADO")</f>
        <v>EURO BOLUMBURU, MARIA FERNANDA</v>
      </c>
      <c r="H865" s="64">
        <v>15123.97</v>
      </c>
      <c r="I865" s="64">
        <f>ventas_b_mes684[[#This Row],[IMPORTE NETO]]*0.21</f>
        <v>3176.0337</v>
      </c>
      <c r="J865" s="64"/>
      <c r="K865" s="64"/>
      <c r="L865" s="64">
        <f>SUM(ventas_b_mes684[[#This Row],[IMPORTE NETO]:[EXENTO]])</f>
        <v>18300.003700000001</v>
      </c>
      <c r="M865" s="59"/>
    </row>
    <row r="866" spans="2:13">
      <c r="B866" s="40" t="s">
        <v>2307</v>
      </c>
      <c r="C866" s="41">
        <v>8</v>
      </c>
      <c r="D866" s="42">
        <v>13</v>
      </c>
      <c r="E866" s="43">
        <v>828</v>
      </c>
      <c r="F866" s="44">
        <v>23277110</v>
      </c>
      <c r="G866" s="1" t="str">
        <f>IFERROR(IF(ventas_b_mes684[[#This Row],[CUIT]]="","-",VLOOKUP(ventas_b_mes684[[#This Row],[CUIT]],Lista_CUIT[#All],2,0)),"CUIT NO CARGADO")</f>
        <v>CUIT NO CARGADO</v>
      </c>
      <c r="H866" s="64">
        <v>-6778.94</v>
      </c>
      <c r="I866" s="64">
        <f>ventas_b_mes684[[#This Row],[IMPORTE NETO]]*0.21</f>
        <v>-1423.5773999999999</v>
      </c>
      <c r="J866" s="64"/>
      <c r="K866" s="64"/>
      <c r="L866" s="64">
        <f>SUM(ventas_b_mes684[[#This Row],[IMPORTE NETO]:[EXENTO]])</f>
        <v>-8202.5173999999988</v>
      </c>
      <c r="M866" s="59"/>
    </row>
    <row r="867" spans="2:13">
      <c r="B867" s="40" t="s">
        <v>2307</v>
      </c>
      <c r="C867" s="41">
        <v>8</v>
      </c>
      <c r="D867" s="42">
        <v>13</v>
      </c>
      <c r="E867" s="43">
        <v>827</v>
      </c>
      <c r="F867" s="44">
        <v>23277110</v>
      </c>
      <c r="G867" s="1" t="str">
        <f>IFERROR(IF(ventas_b_mes684[[#This Row],[CUIT]]="","-",VLOOKUP(ventas_b_mes684[[#This Row],[CUIT]],Lista_CUIT[#All],2,0)),"CUIT NO CARGADO")</f>
        <v>CUIT NO CARGADO</v>
      </c>
      <c r="H867" s="64">
        <v>-48103.519999999997</v>
      </c>
      <c r="I867" s="64">
        <f>ventas_b_mes684[[#This Row],[IMPORTE NETO]]*0.21</f>
        <v>-10101.739199999998</v>
      </c>
      <c r="J867" s="64"/>
      <c r="K867" s="64"/>
      <c r="L867" s="64">
        <f>SUM(ventas_b_mes684[[#This Row],[IMPORTE NETO]:[EXENTO]])</f>
        <v>-58205.259199999993</v>
      </c>
      <c r="M867" s="59"/>
    </row>
    <row r="868" spans="2:13">
      <c r="B868" s="40" t="s">
        <v>2307</v>
      </c>
      <c r="C868" s="41">
        <v>8</v>
      </c>
      <c r="D868" s="42">
        <v>10</v>
      </c>
      <c r="E868" s="43">
        <v>1625</v>
      </c>
      <c r="F868" s="44">
        <v>27120474036</v>
      </c>
      <c r="G868" s="1" t="str">
        <f>IFERROR(IF(ventas_b_mes684[[#This Row],[CUIT]]="","-",VLOOKUP(ventas_b_mes684[[#This Row],[CUIT]],Lista_CUIT[#All],2,0)),"CUIT NO CARGADO")</f>
        <v>CUIT NO CARGADO</v>
      </c>
      <c r="H868" s="64">
        <v>-37750</v>
      </c>
      <c r="I868" s="64">
        <f>ventas_b_mes684[[#This Row],[IMPORTE NETO]]*0.21</f>
        <v>-7927.5</v>
      </c>
      <c r="J868" s="64"/>
      <c r="K868" s="64"/>
      <c r="L868" s="542">
        <f>SUM(ventas_b_mes684[[#This Row],[IMPORTE NETO]:[EXENTO]])</f>
        <v>-45677.5</v>
      </c>
      <c r="M868" s="59"/>
    </row>
    <row r="869" spans="2:13">
      <c r="B869" s="40" t="s">
        <v>2307</v>
      </c>
      <c r="C869" s="41">
        <v>8</v>
      </c>
      <c r="D869" s="42">
        <v>10</v>
      </c>
      <c r="E869" s="43">
        <v>1624</v>
      </c>
      <c r="F869" s="44">
        <v>27120474036</v>
      </c>
      <c r="G869" s="1" t="str">
        <f>IFERROR(IF(ventas_b_mes684[[#This Row],[CUIT]]="","-",VLOOKUP(ventas_b_mes684[[#This Row],[CUIT]],Lista_CUIT[#All],2,0)),"CUIT NO CARGADO")</f>
        <v>CUIT NO CARGADO</v>
      </c>
      <c r="H869" s="64">
        <v>-84039.67</v>
      </c>
      <c r="I869" s="64">
        <f>ventas_b_mes684[[#This Row],[IMPORTE NETO]]*0.21</f>
        <v>-17648.330699999999</v>
      </c>
      <c r="J869" s="64"/>
      <c r="K869" s="64"/>
      <c r="L869" s="64">
        <f>SUM(ventas_b_mes684[[#This Row],[IMPORTE NETO]:[EXENTO]])</f>
        <v>-101688.0007</v>
      </c>
      <c r="M869" s="59"/>
    </row>
    <row r="870" spans="2:13">
      <c r="B870" s="40" t="s">
        <v>2307</v>
      </c>
      <c r="C870" s="41">
        <v>8</v>
      </c>
      <c r="D870" s="42">
        <v>10</v>
      </c>
      <c r="E870" s="43">
        <v>1622</v>
      </c>
      <c r="F870" s="44">
        <v>27120474036</v>
      </c>
      <c r="G870" s="1" t="str">
        <f>IFERROR(IF(ventas_b_mes684[[#This Row],[CUIT]]="","-",VLOOKUP(ventas_b_mes684[[#This Row],[CUIT]],Lista_CUIT[#All],2,0)),"CUIT NO CARGADO")</f>
        <v>CUIT NO CARGADO</v>
      </c>
      <c r="H870" s="64">
        <v>-298951.65000000002</v>
      </c>
      <c r="I870" s="64">
        <f>ventas_b_mes684[[#This Row],[IMPORTE NETO]]*0.21</f>
        <v>-62779.8465</v>
      </c>
      <c r="J870" s="64"/>
      <c r="K870" s="64"/>
      <c r="L870" s="64">
        <f>SUM(ventas_b_mes684[[#This Row],[IMPORTE NETO]:[EXENTO]])</f>
        <v>-361731.49650000001</v>
      </c>
      <c r="M870" s="59"/>
    </row>
    <row r="871" spans="2:13">
      <c r="B871" s="40" t="s">
        <v>2307</v>
      </c>
      <c r="C871" s="41">
        <v>8</v>
      </c>
      <c r="D871" s="42">
        <v>10</v>
      </c>
      <c r="E871" s="43">
        <v>1623</v>
      </c>
      <c r="F871" s="44">
        <v>27120474036</v>
      </c>
      <c r="G871" s="1" t="str">
        <f>IFERROR(IF(ventas_b_mes684[[#This Row],[CUIT]]="","-",VLOOKUP(ventas_b_mes684[[#This Row],[CUIT]],Lista_CUIT[#All],2,0)),"CUIT NO CARGADO")</f>
        <v>CUIT NO CARGADO</v>
      </c>
      <c r="H871" s="64">
        <v>-229326.84</v>
      </c>
      <c r="I871" s="64">
        <f>ventas_b_mes684[[#This Row],[IMPORTE NETO]]*0.21</f>
        <v>-48158.636399999996</v>
      </c>
      <c r="J871" s="64"/>
      <c r="K871" s="64"/>
      <c r="L871" s="64">
        <f>SUM(ventas_b_mes684[[#This Row],[IMPORTE NETO]:[EXENTO]])</f>
        <v>-277485.47639999999</v>
      </c>
      <c r="M871" s="59"/>
    </row>
    <row r="872" spans="2:13">
      <c r="B872" s="40" t="s">
        <v>2308</v>
      </c>
      <c r="C872" s="41">
        <v>8</v>
      </c>
      <c r="D872" s="42">
        <v>13</v>
      </c>
      <c r="E872" s="43">
        <v>829</v>
      </c>
      <c r="F872" s="44">
        <v>20560897</v>
      </c>
      <c r="G872" s="1" t="str">
        <f>IFERROR(IF(ventas_b_mes684[[#This Row],[CUIT]]="","-",VLOOKUP(ventas_b_mes684[[#This Row],[CUIT]],Lista_CUIT[#All],2,0)),"CUIT NO CARGADO")</f>
        <v>CUIT NO CARGADO</v>
      </c>
      <c r="H872" s="64">
        <v>-19338.84</v>
      </c>
      <c r="I872" s="64">
        <f>ventas_b_mes684[[#This Row],[IMPORTE NETO]]*0.21</f>
        <v>-4061.1563999999998</v>
      </c>
      <c r="J872" s="64"/>
      <c r="K872" s="64"/>
      <c r="L872" s="64">
        <f>SUM(ventas_b_mes684[[#This Row],[IMPORTE NETO]:[EXENTO]])</f>
        <v>-23399.9964</v>
      </c>
      <c r="M872" s="59"/>
    </row>
    <row r="873" spans="2:13">
      <c r="B873" s="40" t="s">
        <v>2308</v>
      </c>
      <c r="C873" s="41">
        <v>6</v>
      </c>
      <c r="D873" s="42">
        <v>15</v>
      </c>
      <c r="E873" s="43">
        <v>13198</v>
      </c>
      <c r="F873" s="44">
        <v>94298485</v>
      </c>
      <c r="G873" s="1" t="str">
        <f>IFERROR(IF(ventas_b_mes684[[#This Row],[CUIT]]="","-",VLOOKUP(ventas_b_mes684[[#This Row],[CUIT]],Lista_CUIT[#All],2,0)),"CUIT NO CARGADO")</f>
        <v>CUIT NO CARGADO</v>
      </c>
      <c r="H873" s="64">
        <v>20661.16</v>
      </c>
      <c r="I873" s="64">
        <f>ventas_b_mes684[[#This Row],[IMPORTE NETO]]*0.21</f>
        <v>4338.8436000000002</v>
      </c>
      <c r="J873" s="64"/>
      <c r="K873" s="64"/>
      <c r="L873" s="64">
        <f>SUM(ventas_b_mes684[[#This Row],[IMPORTE NETO]:[EXENTO]])</f>
        <v>25000.0036</v>
      </c>
      <c r="M873" s="59"/>
    </row>
    <row r="874" spans="2:13">
      <c r="B874" s="40" t="s">
        <v>2308</v>
      </c>
      <c r="C874" s="41">
        <v>6</v>
      </c>
      <c r="D874" s="42">
        <v>15</v>
      </c>
      <c r="E874" s="43">
        <v>13199</v>
      </c>
      <c r="F874" s="44">
        <v>47155273</v>
      </c>
      <c r="G874" s="1" t="str">
        <f>IFERROR(IF(ventas_b_mes684[[#This Row],[CUIT]]="","-",VLOOKUP(ventas_b_mes684[[#This Row],[CUIT]],Lista_CUIT[#All],2,0)),"CUIT NO CARGADO")</f>
        <v>CUIT NO CARGADO</v>
      </c>
      <c r="H874" s="64">
        <v>20661.16</v>
      </c>
      <c r="I874" s="64">
        <f>ventas_b_mes684[[#This Row],[IMPORTE NETO]]*0.21</f>
        <v>4338.8436000000002</v>
      </c>
      <c r="J874" s="64"/>
      <c r="K874" s="64"/>
      <c r="L874" s="64">
        <f>SUM(ventas_b_mes684[[#This Row],[IMPORTE NETO]:[EXENTO]])</f>
        <v>25000.0036</v>
      </c>
      <c r="M874" s="59"/>
    </row>
    <row r="875" spans="2:13">
      <c r="B875" s="40" t="s">
        <v>2308</v>
      </c>
      <c r="C875" s="41">
        <v>6</v>
      </c>
      <c r="D875" s="42">
        <v>11</v>
      </c>
      <c r="E875" s="43">
        <v>38095</v>
      </c>
      <c r="F875" s="44">
        <v>41357102</v>
      </c>
      <c r="G875" s="1" t="str">
        <f>IFERROR(IF(ventas_b_mes684[[#This Row],[CUIT]]="","-",VLOOKUP(ventas_b_mes684[[#This Row],[CUIT]],Lista_CUIT[#All],2,0)),"CUIT NO CARGADO")</f>
        <v>CUIT NO CARGADO</v>
      </c>
      <c r="H875" s="64">
        <v>20661.16</v>
      </c>
      <c r="I875" s="64">
        <f>ventas_b_mes684[[#This Row],[IMPORTE NETO]]*0.21</f>
        <v>4338.8436000000002</v>
      </c>
      <c r="J875" s="64"/>
      <c r="K875" s="64"/>
      <c r="L875" s="64">
        <f>SUM(ventas_b_mes684[[#This Row],[IMPORTE NETO]:[EXENTO]])</f>
        <v>25000.0036</v>
      </c>
      <c r="M875" s="59"/>
    </row>
    <row r="876" spans="2:13">
      <c r="B876" s="40" t="s">
        <v>2308</v>
      </c>
      <c r="C876" s="41">
        <v>6</v>
      </c>
      <c r="D876" s="42">
        <v>10</v>
      </c>
      <c r="E876" s="43">
        <v>54438</v>
      </c>
      <c r="F876" s="44">
        <v>31168844</v>
      </c>
      <c r="G876" s="1" t="str">
        <f>IFERROR(IF(ventas_b_mes684[[#This Row],[CUIT]]="","-",VLOOKUP(ventas_b_mes684[[#This Row],[CUIT]],Lista_CUIT[#All],2,0)),"CUIT NO CARGADO")</f>
        <v>CUIT NO CARGADO</v>
      </c>
      <c r="H876" s="64">
        <v>124545.45</v>
      </c>
      <c r="I876" s="64">
        <f>ventas_b_mes684[[#This Row],[IMPORTE NETO]]*0.21</f>
        <v>26154.5445</v>
      </c>
      <c r="J876" s="64"/>
      <c r="K876" s="64"/>
      <c r="L876" s="64">
        <f>SUM(ventas_b_mes684[[#This Row],[IMPORTE NETO]:[EXENTO]])</f>
        <v>150699.9945</v>
      </c>
      <c r="M876" s="59"/>
    </row>
    <row r="877" spans="2:13">
      <c r="B877" s="40" t="s">
        <v>2308</v>
      </c>
      <c r="C877" s="41">
        <v>6</v>
      </c>
      <c r="D877" s="42">
        <v>13</v>
      </c>
      <c r="E877" s="43">
        <v>32465</v>
      </c>
      <c r="F877" s="44">
        <v>0</v>
      </c>
      <c r="G877" s="1" t="str">
        <f>IFERROR(IF(ventas_b_mes684[[#This Row],[CUIT]]="","-",VLOOKUP(ventas_b_mes684[[#This Row],[CUIT]],Lista_CUIT[#All],2,0)),"CUIT NO CARGADO")</f>
        <v>CUIT NO CARGADO</v>
      </c>
      <c r="H877" s="64">
        <v>3421.49</v>
      </c>
      <c r="I877" s="64">
        <f>ventas_b_mes684[[#This Row],[IMPORTE NETO]]*0.21</f>
        <v>718.51289999999995</v>
      </c>
      <c r="J877" s="64"/>
      <c r="K877" s="64"/>
      <c r="L877" s="64">
        <f>SUM(ventas_b_mes684[[#This Row],[IMPORTE NETO]:[EXENTO]])</f>
        <v>4140.0028999999995</v>
      </c>
      <c r="M877" s="59"/>
    </row>
    <row r="878" spans="2:13">
      <c r="B878" s="40" t="s">
        <v>2308</v>
      </c>
      <c r="C878" s="41">
        <v>6</v>
      </c>
      <c r="D878" s="42">
        <v>11</v>
      </c>
      <c r="E878" s="43">
        <v>38104</v>
      </c>
      <c r="F878" s="44">
        <v>30073418</v>
      </c>
      <c r="G878" s="1" t="str">
        <f>IFERROR(IF(ventas_b_mes684[[#This Row],[CUIT]]="","-",VLOOKUP(ventas_b_mes684[[#This Row],[CUIT]],Lista_CUIT[#All],2,0)),"CUIT NO CARGADO")</f>
        <v>CUIT NO CARGADO</v>
      </c>
      <c r="H878" s="64">
        <v>20661.16</v>
      </c>
      <c r="I878" s="64">
        <f>ventas_b_mes684[[#This Row],[IMPORTE NETO]]*0.21</f>
        <v>4338.8436000000002</v>
      </c>
      <c r="J878" s="64"/>
      <c r="K878" s="64"/>
      <c r="L878" s="64">
        <f>SUM(ventas_b_mes684[[#This Row],[IMPORTE NETO]:[EXENTO]])</f>
        <v>25000.0036</v>
      </c>
      <c r="M878" s="59"/>
    </row>
    <row r="879" spans="2:13">
      <c r="B879" s="40" t="s">
        <v>2308</v>
      </c>
      <c r="C879" s="41">
        <v>6</v>
      </c>
      <c r="D879" s="42">
        <v>12</v>
      </c>
      <c r="E879" s="43">
        <v>29639</v>
      </c>
      <c r="F879" s="44">
        <v>95936100</v>
      </c>
      <c r="G879" s="1" t="str">
        <f>IFERROR(IF(ventas_b_mes684[[#This Row],[CUIT]]="","-",VLOOKUP(ventas_b_mes684[[#This Row],[CUIT]],Lista_CUIT[#All],2,0)),"CUIT NO CARGADO")</f>
        <v>CUIT NO CARGADO</v>
      </c>
      <c r="H879" s="64">
        <v>20661.16</v>
      </c>
      <c r="I879" s="64">
        <f>ventas_b_mes684[[#This Row],[IMPORTE NETO]]*0.21</f>
        <v>4338.8436000000002</v>
      </c>
      <c r="J879" s="64"/>
      <c r="K879" s="64"/>
      <c r="L879" s="64">
        <f>SUM(ventas_b_mes684[[#This Row],[IMPORTE NETO]:[EXENTO]])</f>
        <v>25000.0036</v>
      </c>
      <c r="M879" s="59"/>
    </row>
    <row r="880" spans="2:13">
      <c r="B880" s="40" t="s">
        <v>2308</v>
      </c>
      <c r="C880" s="41">
        <v>6</v>
      </c>
      <c r="D880" s="42">
        <v>15</v>
      </c>
      <c r="E880" s="43">
        <v>13196</v>
      </c>
      <c r="F880" s="44">
        <v>34890129</v>
      </c>
      <c r="G880" s="1" t="str">
        <f>IFERROR(IF(ventas_b_mes684[[#This Row],[CUIT]]="","-",VLOOKUP(ventas_b_mes684[[#This Row],[CUIT]],Lista_CUIT[#All],2,0)),"CUIT NO CARGADO")</f>
        <v>CUIT NO CARGADO</v>
      </c>
      <c r="H880" s="64">
        <v>20661.16</v>
      </c>
      <c r="I880" s="64">
        <f>ventas_b_mes684[[#This Row],[IMPORTE NETO]]*0.21</f>
        <v>4338.8436000000002</v>
      </c>
      <c r="J880" s="64"/>
      <c r="K880" s="64"/>
      <c r="L880" s="64">
        <f>SUM(ventas_b_mes684[[#This Row],[IMPORTE NETO]:[EXENTO]])</f>
        <v>25000.0036</v>
      </c>
      <c r="M880" s="59"/>
    </row>
    <row r="881" spans="2:13">
      <c r="B881" s="40" t="s">
        <v>2308</v>
      </c>
      <c r="C881" s="41">
        <v>6</v>
      </c>
      <c r="D881" s="42">
        <v>10</v>
      </c>
      <c r="E881" s="43">
        <v>54440</v>
      </c>
      <c r="F881" s="44">
        <v>27968286</v>
      </c>
      <c r="G881" s="1" t="str">
        <f>IFERROR(IF(ventas_b_mes684[[#This Row],[CUIT]]="","-",VLOOKUP(ventas_b_mes684[[#This Row],[CUIT]],Lista_CUIT[#All],2,0)),"CUIT NO CARGADO")</f>
        <v>CUIT NO CARGADO</v>
      </c>
      <c r="H881" s="64">
        <v>14958.68</v>
      </c>
      <c r="I881" s="64">
        <f>ventas_b_mes684[[#This Row],[IMPORTE NETO]]*0.21</f>
        <v>3141.3227999999999</v>
      </c>
      <c r="J881" s="64"/>
      <c r="K881" s="64"/>
      <c r="L881" s="64">
        <f>SUM(ventas_b_mes684[[#This Row],[IMPORTE NETO]:[EXENTO]])</f>
        <v>18100.002800000002</v>
      </c>
      <c r="M881" s="59"/>
    </row>
    <row r="882" spans="2:13">
      <c r="B882" s="40" t="s">
        <v>2308</v>
      </c>
      <c r="C882" s="41">
        <v>6</v>
      </c>
      <c r="D882" s="42">
        <v>11</v>
      </c>
      <c r="E882" s="43">
        <v>38091</v>
      </c>
      <c r="F882" s="44">
        <v>95573083</v>
      </c>
      <c r="G882" s="1" t="str">
        <f>IFERROR(IF(ventas_b_mes684[[#This Row],[CUIT]]="","-",VLOOKUP(ventas_b_mes684[[#This Row],[CUIT]],Lista_CUIT[#All],2,0)),"CUIT NO CARGADO")</f>
        <v>CUIT NO CARGADO</v>
      </c>
      <c r="H882" s="64">
        <v>20661.16</v>
      </c>
      <c r="I882" s="64">
        <f>ventas_b_mes684[[#This Row],[IMPORTE NETO]]*0.21</f>
        <v>4338.8436000000002</v>
      </c>
      <c r="J882" s="64"/>
      <c r="K882" s="64"/>
      <c r="L882" s="64">
        <f>SUM(ventas_b_mes684[[#This Row],[IMPORTE NETO]:[EXENTO]])</f>
        <v>25000.0036</v>
      </c>
      <c r="M882" s="59"/>
    </row>
    <row r="883" spans="2:13">
      <c r="B883" s="40" t="s">
        <v>2308</v>
      </c>
      <c r="C883" s="41">
        <v>6</v>
      </c>
      <c r="D883" s="42">
        <v>10</v>
      </c>
      <c r="E883" s="43">
        <v>54445</v>
      </c>
      <c r="F883" s="44">
        <v>14596595</v>
      </c>
      <c r="G883" s="1" t="str">
        <f>IFERROR(IF(ventas_b_mes684[[#This Row],[CUIT]]="","-",VLOOKUP(ventas_b_mes684[[#This Row],[CUIT]],Lista_CUIT[#All],2,0)),"CUIT NO CARGADO")</f>
        <v>CUIT NO CARGADO</v>
      </c>
      <c r="H883" s="64">
        <v>31157.02</v>
      </c>
      <c r="I883" s="64">
        <f>ventas_b_mes684[[#This Row],[IMPORTE NETO]]*0.21</f>
        <v>6542.9741999999997</v>
      </c>
      <c r="J883" s="64"/>
      <c r="K883" s="64"/>
      <c r="L883" s="64">
        <f>SUM(ventas_b_mes684[[#This Row],[IMPORTE NETO]:[EXENTO]])</f>
        <v>37699.994200000001</v>
      </c>
      <c r="M883" s="59"/>
    </row>
    <row r="884" spans="2:13">
      <c r="B884" s="40" t="s">
        <v>2308</v>
      </c>
      <c r="C884" s="41">
        <v>6</v>
      </c>
      <c r="D884" s="42">
        <v>11</v>
      </c>
      <c r="E884" s="43">
        <v>38101</v>
      </c>
      <c r="F884" s="44">
        <v>25096698</v>
      </c>
      <c r="G884" s="1" t="str">
        <f>IFERROR(IF(ventas_b_mes684[[#This Row],[CUIT]]="","-",VLOOKUP(ventas_b_mes684[[#This Row],[CUIT]],Lista_CUIT[#All],2,0)),"CUIT NO CARGADO")</f>
        <v>CUIT NO CARGADO</v>
      </c>
      <c r="H884" s="64">
        <v>10785.12</v>
      </c>
      <c r="I884" s="64">
        <f>ventas_b_mes684[[#This Row],[IMPORTE NETO]]*0.21</f>
        <v>2264.8751999999999</v>
      </c>
      <c r="J884" s="64"/>
      <c r="K884" s="64"/>
      <c r="L884" s="64">
        <f>SUM(ventas_b_mes684[[#This Row],[IMPORTE NETO]:[EXENTO]])</f>
        <v>13049.995200000001</v>
      </c>
      <c r="M884" s="59"/>
    </row>
    <row r="885" spans="2:13">
      <c r="B885" s="40" t="s">
        <v>2308</v>
      </c>
      <c r="C885" s="41">
        <v>6</v>
      </c>
      <c r="D885" s="42">
        <v>11</v>
      </c>
      <c r="E885" s="43">
        <v>38102</v>
      </c>
      <c r="F885" s="44">
        <v>16398689</v>
      </c>
      <c r="G885" s="1" t="str">
        <f>IFERROR(IF(ventas_b_mes684[[#This Row],[CUIT]]="","-",VLOOKUP(ventas_b_mes684[[#This Row],[CUIT]],Lista_CUIT[#All],2,0)),"CUIT NO CARGADO")</f>
        <v>CUIT NO CARGADO</v>
      </c>
      <c r="H885" s="64">
        <v>26115.68</v>
      </c>
      <c r="I885" s="64">
        <f>ventas_b_mes684[[#This Row],[IMPORTE NETO]]*0.21</f>
        <v>5484.2928000000002</v>
      </c>
      <c r="J885" s="64"/>
      <c r="K885" s="64"/>
      <c r="L885" s="64">
        <f>SUM(ventas_b_mes684[[#This Row],[IMPORTE NETO]:[EXENTO]])</f>
        <v>31599.9728</v>
      </c>
      <c r="M885" s="59"/>
    </row>
    <row r="886" spans="2:13">
      <c r="B886" s="40" t="s">
        <v>2308</v>
      </c>
      <c r="C886" s="41">
        <v>6</v>
      </c>
      <c r="D886" s="42">
        <v>11</v>
      </c>
      <c r="E886" s="43">
        <v>38106</v>
      </c>
      <c r="F886" s="44">
        <v>42930197</v>
      </c>
      <c r="G886" s="1" t="str">
        <f>IFERROR(IF(ventas_b_mes684[[#This Row],[CUIT]]="","-",VLOOKUP(ventas_b_mes684[[#This Row],[CUIT]],Lista_CUIT[#All],2,0)),"CUIT NO CARGADO")</f>
        <v>CUIT NO CARGADO</v>
      </c>
      <c r="H886" s="64">
        <v>12082.64</v>
      </c>
      <c r="I886" s="64">
        <f>ventas_b_mes684[[#This Row],[IMPORTE NETO]]*0.21</f>
        <v>2537.3543999999997</v>
      </c>
      <c r="J886" s="64"/>
      <c r="K886" s="64"/>
      <c r="L886" s="64">
        <f>SUM(ventas_b_mes684[[#This Row],[IMPORTE NETO]:[EXENTO]])</f>
        <v>14619.9944</v>
      </c>
      <c r="M886" s="59"/>
    </row>
    <row r="887" spans="2:13">
      <c r="B887" s="40" t="s">
        <v>2308</v>
      </c>
      <c r="C887" s="41">
        <v>6</v>
      </c>
      <c r="D887" s="42">
        <v>13</v>
      </c>
      <c r="E887" s="43">
        <v>32467</v>
      </c>
      <c r="F887" s="44">
        <v>25987456</v>
      </c>
      <c r="G887" s="1" t="str">
        <f>IFERROR(IF(ventas_b_mes684[[#This Row],[CUIT]]="","-",VLOOKUP(ventas_b_mes684[[#This Row],[CUIT]],Lista_CUIT[#All],2,0)),"CUIT NO CARGADO")</f>
        <v>CUIT NO CARGADO</v>
      </c>
      <c r="H887" s="64">
        <v>23553.72</v>
      </c>
      <c r="I887" s="64">
        <f>ventas_b_mes684[[#This Row],[IMPORTE NETO]]*0.21</f>
        <v>4946.2812000000004</v>
      </c>
      <c r="J887" s="64"/>
      <c r="K887" s="64"/>
      <c r="L887" s="64">
        <f>SUM(ventas_b_mes684[[#This Row],[IMPORTE NETO]:[EXENTO]])</f>
        <v>28500.001200000002</v>
      </c>
      <c r="M887" s="59"/>
    </row>
    <row r="888" spans="2:13">
      <c r="B888" s="40" t="s">
        <v>2308</v>
      </c>
      <c r="C888" s="41">
        <v>6</v>
      </c>
      <c r="D888" s="42">
        <v>15</v>
      </c>
      <c r="E888" s="43">
        <v>13207</v>
      </c>
      <c r="F888" s="44">
        <v>20635816</v>
      </c>
      <c r="G888" s="1" t="str">
        <f>IFERROR(IF(ventas_b_mes684[[#This Row],[CUIT]]="","-",VLOOKUP(ventas_b_mes684[[#This Row],[CUIT]],Lista_CUIT[#All],2,0)),"CUIT NO CARGADO")</f>
        <v>CUIT NO CARGADO</v>
      </c>
      <c r="H888" s="64">
        <v>93657.02</v>
      </c>
      <c r="I888" s="64">
        <f>ventas_b_mes684[[#This Row],[IMPORTE NETO]]*0.21</f>
        <v>19667.974200000001</v>
      </c>
      <c r="J888" s="64"/>
      <c r="K888" s="64"/>
      <c r="L888" s="64">
        <f>SUM(ventas_b_mes684[[#This Row],[IMPORTE NETO]:[EXENTO]])</f>
        <v>113324.9942</v>
      </c>
      <c r="M888" s="59"/>
    </row>
    <row r="889" spans="2:13">
      <c r="B889" s="40" t="s">
        <v>2308</v>
      </c>
      <c r="C889" s="41">
        <v>6</v>
      </c>
      <c r="D889" s="42">
        <v>15</v>
      </c>
      <c r="E889" s="43">
        <v>13206</v>
      </c>
      <c r="F889" s="44">
        <v>47182082</v>
      </c>
      <c r="G889" s="1" t="str">
        <f>IFERROR(IF(ventas_b_mes684[[#This Row],[CUIT]]="","-",VLOOKUP(ventas_b_mes684[[#This Row],[CUIT]],Lista_CUIT[#All],2,0)),"CUIT NO CARGADO")</f>
        <v>CUIT NO CARGADO</v>
      </c>
      <c r="H889" s="64">
        <v>20661.16</v>
      </c>
      <c r="I889" s="64">
        <f>ventas_b_mes684[[#This Row],[IMPORTE NETO]]*0.21</f>
        <v>4338.8436000000002</v>
      </c>
      <c r="J889" s="64"/>
      <c r="K889" s="64"/>
      <c r="L889" s="64">
        <f>SUM(ventas_b_mes684[[#This Row],[IMPORTE NETO]:[EXENTO]])</f>
        <v>25000.0036</v>
      </c>
      <c r="M889" s="59"/>
    </row>
    <row r="890" spans="2:13">
      <c r="B890" s="40" t="s">
        <v>2308</v>
      </c>
      <c r="C890" s="41">
        <v>6</v>
      </c>
      <c r="D890" s="42">
        <v>15</v>
      </c>
      <c r="E890" s="43">
        <v>13204</v>
      </c>
      <c r="F890" s="44">
        <v>40144881</v>
      </c>
      <c r="G890" s="1" t="str">
        <f>IFERROR(IF(ventas_b_mes684[[#This Row],[CUIT]]="","-",VLOOKUP(ventas_b_mes684[[#This Row],[CUIT]],Lista_CUIT[#All],2,0)),"CUIT NO CARGADO")</f>
        <v>CUIT NO CARGADO</v>
      </c>
      <c r="H890" s="64">
        <v>8264.4599999999991</v>
      </c>
      <c r="I890" s="64">
        <f>ventas_b_mes684[[#This Row],[IMPORTE NETO]]*0.21</f>
        <v>1735.5365999999997</v>
      </c>
      <c r="J890" s="64"/>
      <c r="K890" s="64"/>
      <c r="L890" s="64">
        <f>SUM(ventas_b_mes684[[#This Row],[IMPORTE NETO]:[EXENTO]])</f>
        <v>9999.9965999999986</v>
      </c>
      <c r="M890" s="59"/>
    </row>
    <row r="891" spans="2:13">
      <c r="B891" s="40" t="s">
        <v>2308</v>
      </c>
      <c r="C891" s="41">
        <v>6</v>
      </c>
      <c r="D891" s="42">
        <v>12</v>
      </c>
      <c r="E891" s="43">
        <v>29648</v>
      </c>
      <c r="F891" s="44">
        <v>38472583</v>
      </c>
      <c r="G891" s="1" t="str">
        <f>IFERROR(IF(ventas_b_mes684[[#This Row],[CUIT]]="","-",VLOOKUP(ventas_b_mes684[[#This Row],[CUIT]],Lista_CUIT[#All],2,0)),"CUIT NO CARGADO")</f>
        <v>CUIT NO CARGADO</v>
      </c>
      <c r="H891" s="64">
        <v>26528.93</v>
      </c>
      <c r="I891" s="64">
        <f>ventas_b_mes684[[#This Row],[IMPORTE NETO]]*0.21</f>
        <v>5571.0752999999995</v>
      </c>
      <c r="J891" s="64"/>
      <c r="K891" s="64"/>
      <c r="L891" s="64">
        <f>SUM(ventas_b_mes684[[#This Row],[IMPORTE NETO]:[EXENTO]])</f>
        <v>32100.005300000001</v>
      </c>
      <c r="M891" s="59"/>
    </row>
    <row r="892" spans="2:13">
      <c r="B892" s="40" t="s">
        <v>2308</v>
      </c>
      <c r="C892" s="41">
        <v>6</v>
      </c>
      <c r="D892" s="42">
        <v>10</v>
      </c>
      <c r="E892" s="43">
        <v>54433</v>
      </c>
      <c r="F892" s="44">
        <v>21484123</v>
      </c>
      <c r="G892" s="1" t="str">
        <f>IFERROR(IF(ventas_b_mes684[[#This Row],[CUIT]]="","-",VLOOKUP(ventas_b_mes684[[#This Row],[CUIT]],Lista_CUIT[#All],2,0)),"CUIT NO CARGADO")</f>
        <v>CUIT NO CARGADO</v>
      </c>
      <c r="H892" s="64">
        <v>154752.07</v>
      </c>
      <c r="I892" s="64">
        <f>ventas_b_mes684[[#This Row],[IMPORTE NETO]]*0.21</f>
        <v>32497.934700000002</v>
      </c>
      <c r="J892" s="64"/>
      <c r="K892" s="64"/>
      <c r="L892" s="64">
        <f>SUM(ventas_b_mes684[[#This Row],[IMPORTE NETO]:[EXENTO]])</f>
        <v>187250.00470000002</v>
      </c>
      <c r="M892" s="59"/>
    </row>
    <row r="893" spans="2:13">
      <c r="B893" s="40" t="s">
        <v>2308</v>
      </c>
      <c r="C893" s="41">
        <v>6</v>
      </c>
      <c r="D893" s="42">
        <v>10</v>
      </c>
      <c r="E893" s="43">
        <v>54439</v>
      </c>
      <c r="F893" s="44">
        <v>28801796</v>
      </c>
      <c r="G893" s="1" t="str">
        <f>IFERROR(IF(ventas_b_mes684[[#This Row],[CUIT]]="","-",VLOOKUP(ventas_b_mes684[[#This Row],[CUIT]],Lista_CUIT[#All],2,0)),"CUIT NO CARGADO")</f>
        <v>CUIT NO CARGADO</v>
      </c>
      <c r="H893" s="64">
        <v>8264.4599999999991</v>
      </c>
      <c r="I893" s="64">
        <f>ventas_b_mes684[[#This Row],[IMPORTE NETO]]*0.21</f>
        <v>1735.5365999999997</v>
      </c>
      <c r="J893" s="64"/>
      <c r="K893" s="64"/>
      <c r="L893" s="64">
        <f>SUM(ventas_b_mes684[[#This Row],[IMPORTE NETO]:[EXENTO]])</f>
        <v>9999.9965999999986</v>
      </c>
      <c r="M893" s="59"/>
    </row>
    <row r="894" spans="2:13">
      <c r="B894" s="40" t="s">
        <v>2308</v>
      </c>
      <c r="C894" s="41">
        <v>6</v>
      </c>
      <c r="D894" s="42">
        <v>15</v>
      </c>
      <c r="E894" s="43">
        <v>13210</v>
      </c>
      <c r="F894" s="44">
        <v>36329304</v>
      </c>
      <c r="G894" s="1" t="str">
        <f>IFERROR(IF(ventas_b_mes684[[#This Row],[CUIT]]="","-",VLOOKUP(ventas_b_mes684[[#This Row],[CUIT]],Lista_CUIT[#All],2,0)),"CUIT NO CARGADO")</f>
        <v>CUIT NO CARGADO</v>
      </c>
      <c r="H894" s="64">
        <v>20661.16</v>
      </c>
      <c r="I894" s="64">
        <f>ventas_b_mes684[[#This Row],[IMPORTE NETO]]*0.21</f>
        <v>4338.8436000000002</v>
      </c>
      <c r="J894" s="64"/>
      <c r="K894" s="64"/>
      <c r="L894" s="64">
        <f>SUM(ventas_b_mes684[[#This Row],[IMPORTE NETO]:[EXENTO]])</f>
        <v>25000.0036</v>
      </c>
      <c r="M894" s="59"/>
    </row>
    <row r="895" spans="2:13">
      <c r="B895" s="40" t="s">
        <v>2308</v>
      </c>
      <c r="C895" s="41">
        <v>6</v>
      </c>
      <c r="D895" s="42">
        <v>15</v>
      </c>
      <c r="E895" s="43">
        <v>13205</v>
      </c>
      <c r="F895" s="44">
        <v>36329304</v>
      </c>
      <c r="G895" s="1" t="str">
        <f>IFERROR(IF(ventas_b_mes684[[#This Row],[CUIT]]="","-",VLOOKUP(ventas_b_mes684[[#This Row],[CUIT]],Lista_CUIT[#All],2,0)),"CUIT NO CARGADO")</f>
        <v>CUIT NO CARGADO</v>
      </c>
      <c r="H895" s="64">
        <v>8264.4599999999991</v>
      </c>
      <c r="I895" s="64">
        <f>ventas_b_mes684[[#This Row],[IMPORTE NETO]]*0.21</f>
        <v>1735.5365999999997</v>
      </c>
      <c r="J895" s="64"/>
      <c r="K895" s="64"/>
      <c r="L895" s="64">
        <f>SUM(ventas_b_mes684[[#This Row],[IMPORTE NETO]:[EXENTO]])</f>
        <v>9999.9965999999986</v>
      </c>
      <c r="M895" s="59"/>
    </row>
    <row r="896" spans="2:13">
      <c r="B896" s="40" t="s">
        <v>2308</v>
      </c>
      <c r="C896" s="41">
        <v>6</v>
      </c>
      <c r="D896" s="42">
        <v>13</v>
      </c>
      <c r="E896" s="43">
        <v>32464</v>
      </c>
      <c r="F896" s="44">
        <v>156932365</v>
      </c>
      <c r="G896" s="1" t="str">
        <f>IFERROR(IF(ventas_b_mes684[[#This Row],[CUIT]]="","-",VLOOKUP(ventas_b_mes684[[#This Row],[CUIT]],Lista_CUIT[#All],2,0)),"CUIT NO CARGADO")</f>
        <v>CUIT NO CARGADO</v>
      </c>
      <c r="H896" s="64">
        <v>34132.230000000003</v>
      </c>
      <c r="I896" s="64">
        <f>ventas_b_mes684[[#This Row],[IMPORTE NETO]]*0.21</f>
        <v>7167.7683000000006</v>
      </c>
      <c r="J896" s="64"/>
      <c r="K896" s="64"/>
      <c r="L896" s="64">
        <f>SUM(ventas_b_mes684[[#This Row],[IMPORTE NETO]:[EXENTO]])</f>
        <v>41299.998300000007</v>
      </c>
      <c r="M896" s="59"/>
    </row>
    <row r="897" spans="2:13">
      <c r="B897" s="40" t="s">
        <v>2308</v>
      </c>
      <c r="C897" s="41">
        <v>6</v>
      </c>
      <c r="D897" s="42">
        <v>12</v>
      </c>
      <c r="E897" s="43">
        <v>29643</v>
      </c>
      <c r="F897" s="44">
        <v>21842628</v>
      </c>
      <c r="G897" s="1" t="str">
        <f>IFERROR(IF(ventas_b_mes684[[#This Row],[CUIT]]="","-",VLOOKUP(ventas_b_mes684[[#This Row],[CUIT]],Lista_CUIT[#All],2,0)),"CUIT NO CARGADO")</f>
        <v>CUIT NO CARGADO</v>
      </c>
      <c r="H897" s="64">
        <v>34710.74</v>
      </c>
      <c r="I897" s="64">
        <f>ventas_b_mes684[[#This Row],[IMPORTE NETO]]*0.21</f>
        <v>7289.2553999999991</v>
      </c>
      <c r="J897" s="64"/>
      <c r="K897" s="64"/>
      <c r="L897" s="64">
        <f>SUM(ventas_b_mes684[[#This Row],[IMPORTE NETO]:[EXENTO]])</f>
        <v>41999.9954</v>
      </c>
      <c r="M897" s="59"/>
    </row>
    <row r="898" spans="2:13">
      <c r="B898" s="40" t="s">
        <v>2308</v>
      </c>
      <c r="C898" s="41">
        <v>6</v>
      </c>
      <c r="D898" s="42">
        <v>11</v>
      </c>
      <c r="E898" s="43">
        <v>38094</v>
      </c>
      <c r="F898" s="44">
        <v>92708396</v>
      </c>
      <c r="G898" s="1" t="str">
        <f>IFERROR(IF(ventas_b_mes684[[#This Row],[CUIT]]="","-",VLOOKUP(ventas_b_mes684[[#This Row],[CUIT]],Lista_CUIT[#All],2,0)),"CUIT NO CARGADO")</f>
        <v>CUIT NO CARGADO</v>
      </c>
      <c r="H898" s="64">
        <v>44888.43</v>
      </c>
      <c r="I898" s="64">
        <f>ventas_b_mes684[[#This Row],[IMPORTE NETO]]*0.21</f>
        <v>9426.5702999999994</v>
      </c>
      <c r="J898" s="64"/>
      <c r="K898" s="64"/>
      <c r="L898" s="64">
        <f>SUM(ventas_b_mes684[[#This Row],[IMPORTE NETO]:[EXENTO]])</f>
        <v>54315.0003</v>
      </c>
      <c r="M898" s="59"/>
    </row>
    <row r="899" spans="2:13">
      <c r="B899" s="40" t="s">
        <v>2308</v>
      </c>
      <c r="C899" s="41">
        <v>6</v>
      </c>
      <c r="D899" s="42">
        <v>11</v>
      </c>
      <c r="E899" s="43">
        <v>38100</v>
      </c>
      <c r="F899" s="44">
        <v>22859299</v>
      </c>
      <c r="G899" s="1" t="str">
        <f>IFERROR(IF(ventas_b_mes684[[#This Row],[CUIT]]="","-",VLOOKUP(ventas_b_mes684[[#This Row],[CUIT]],Lista_CUIT[#All],2,0)),"CUIT NO CARGADO")</f>
        <v>CUIT NO CARGADO</v>
      </c>
      <c r="H899" s="64">
        <v>102553.72</v>
      </c>
      <c r="I899" s="64">
        <f>ventas_b_mes684[[#This Row],[IMPORTE NETO]]*0.21</f>
        <v>21536.281200000001</v>
      </c>
      <c r="J899" s="64"/>
      <c r="K899" s="64"/>
      <c r="L899" s="64">
        <f>SUM(ventas_b_mes684[[#This Row],[IMPORTE NETO]:[EXENTO]])</f>
        <v>124090.0012</v>
      </c>
      <c r="M899" s="59"/>
    </row>
    <row r="900" spans="2:13">
      <c r="B900" s="40" t="s">
        <v>2308</v>
      </c>
      <c r="C900" s="41">
        <v>6</v>
      </c>
      <c r="D900" s="42">
        <v>13</v>
      </c>
      <c r="E900" s="43">
        <v>32472</v>
      </c>
      <c r="F900" s="44">
        <v>20560897</v>
      </c>
      <c r="G900" s="1" t="str">
        <f>IFERROR(IF(ventas_b_mes684[[#This Row],[CUIT]]="","-",VLOOKUP(ventas_b_mes684[[#This Row],[CUIT]],Lista_CUIT[#All],2,0)),"CUIT NO CARGADO")</f>
        <v>CUIT NO CARGADO</v>
      </c>
      <c r="H900" s="64">
        <v>8429.75</v>
      </c>
      <c r="I900" s="64">
        <f>ventas_b_mes684[[#This Row],[IMPORTE NETO]]*0.21</f>
        <v>1770.2474999999999</v>
      </c>
      <c r="J900" s="64"/>
      <c r="K900" s="64"/>
      <c r="L900" s="64">
        <f>SUM(ventas_b_mes684[[#This Row],[IMPORTE NETO]:[EXENTO]])</f>
        <v>10199.997499999999</v>
      </c>
      <c r="M900" s="59"/>
    </row>
    <row r="901" spans="2:13">
      <c r="B901" s="40" t="s">
        <v>2308</v>
      </c>
      <c r="C901" s="41">
        <v>6</v>
      </c>
      <c r="D901" s="42">
        <v>10</v>
      </c>
      <c r="E901" s="43">
        <v>54436</v>
      </c>
      <c r="F901" s="44">
        <v>26122221</v>
      </c>
      <c r="G901" s="1" t="str">
        <f>IFERROR(IF(ventas_b_mes684[[#This Row],[CUIT]]="","-",VLOOKUP(ventas_b_mes684[[#This Row],[CUIT]],Lista_CUIT[#All],2,0)),"CUIT NO CARGADO")</f>
        <v>CUIT NO CARGADO</v>
      </c>
      <c r="H901" s="64">
        <v>20661.16</v>
      </c>
      <c r="I901" s="64">
        <f>ventas_b_mes684[[#This Row],[IMPORTE NETO]]*0.21</f>
        <v>4338.8436000000002</v>
      </c>
      <c r="J901" s="64"/>
      <c r="K901" s="64"/>
      <c r="L901" s="64">
        <f>SUM(ventas_b_mes684[[#This Row],[IMPORTE NETO]:[EXENTO]])</f>
        <v>25000.0036</v>
      </c>
      <c r="M901" s="59"/>
    </row>
    <row r="902" spans="2:13">
      <c r="B902" s="40" t="s">
        <v>2308</v>
      </c>
      <c r="C902" s="41">
        <v>6</v>
      </c>
      <c r="D902" s="42">
        <v>11</v>
      </c>
      <c r="E902" s="43">
        <v>38105</v>
      </c>
      <c r="F902" s="44">
        <v>16046590</v>
      </c>
      <c r="G902" s="1" t="str">
        <f>IFERROR(IF(ventas_b_mes684[[#This Row],[CUIT]]="","-",VLOOKUP(ventas_b_mes684[[#This Row],[CUIT]],Lista_CUIT[#All],2,0)),"CUIT NO CARGADO")</f>
        <v>CUIT NO CARGADO</v>
      </c>
      <c r="H902" s="64">
        <v>10578.51</v>
      </c>
      <c r="I902" s="64">
        <f>ventas_b_mes684[[#This Row],[IMPORTE NETO]]*0.21</f>
        <v>2221.4870999999998</v>
      </c>
      <c r="J902" s="64"/>
      <c r="K902" s="64"/>
      <c r="L902" s="64">
        <f>SUM(ventas_b_mes684[[#This Row],[IMPORTE NETO]:[EXENTO]])</f>
        <v>12799.997100000001</v>
      </c>
      <c r="M902" s="59"/>
    </row>
    <row r="903" spans="2:13">
      <c r="B903" s="40" t="s">
        <v>2308</v>
      </c>
      <c r="C903" s="41">
        <v>6</v>
      </c>
      <c r="D903" s="42">
        <v>12</v>
      </c>
      <c r="E903" s="43">
        <v>29636</v>
      </c>
      <c r="F903" s="44">
        <v>25317620</v>
      </c>
      <c r="G903" s="1" t="str">
        <f>IFERROR(IF(ventas_b_mes684[[#This Row],[CUIT]]="","-",VLOOKUP(ventas_b_mes684[[#This Row],[CUIT]],Lista_CUIT[#All],2,0)),"CUIT NO CARGADO")</f>
        <v>CUIT NO CARGADO</v>
      </c>
      <c r="H903" s="64">
        <v>14049.59</v>
      </c>
      <c r="I903" s="64">
        <f>ventas_b_mes684[[#This Row],[IMPORTE NETO]]*0.21</f>
        <v>2950.4139</v>
      </c>
      <c r="J903" s="64"/>
      <c r="K903" s="64"/>
      <c r="L903" s="64">
        <f>SUM(ventas_b_mes684[[#This Row],[IMPORTE NETO]:[EXENTO]])</f>
        <v>17000.0039</v>
      </c>
      <c r="M903" s="59"/>
    </row>
    <row r="904" spans="2:13">
      <c r="B904" s="40" t="s">
        <v>2308</v>
      </c>
      <c r="C904" s="41">
        <v>6</v>
      </c>
      <c r="D904" s="42">
        <v>12</v>
      </c>
      <c r="E904" s="43">
        <v>29644</v>
      </c>
      <c r="F904" s="44">
        <v>45481186</v>
      </c>
      <c r="G904" s="1" t="str">
        <f>IFERROR(IF(ventas_b_mes684[[#This Row],[CUIT]]="","-",VLOOKUP(ventas_b_mes684[[#This Row],[CUIT]],Lista_CUIT[#All],2,0)),"CUIT NO CARGADO")</f>
        <v>CUIT NO CARGADO</v>
      </c>
      <c r="H904" s="64">
        <v>4462.8100000000004</v>
      </c>
      <c r="I904" s="64">
        <f>ventas_b_mes684[[#This Row],[IMPORTE NETO]]*0.21</f>
        <v>937.19010000000003</v>
      </c>
      <c r="J904" s="64"/>
      <c r="K904" s="64"/>
      <c r="L904" s="64">
        <f>SUM(ventas_b_mes684[[#This Row],[IMPORTE NETO]:[EXENTO]])</f>
        <v>5400.0001000000002</v>
      </c>
      <c r="M904" s="59"/>
    </row>
    <row r="905" spans="2:13">
      <c r="B905" s="40" t="s">
        <v>2308</v>
      </c>
      <c r="C905" s="41">
        <v>6</v>
      </c>
      <c r="D905" s="42">
        <v>11</v>
      </c>
      <c r="E905" s="43">
        <v>38092</v>
      </c>
      <c r="F905" s="44">
        <v>20521996</v>
      </c>
      <c r="G905" s="1" t="str">
        <f>IFERROR(IF(ventas_b_mes684[[#This Row],[CUIT]]="","-",VLOOKUP(ventas_b_mes684[[#This Row],[CUIT]],Lista_CUIT[#All],2,0)),"CUIT NO CARGADO")</f>
        <v>CUIT NO CARGADO</v>
      </c>
      <c r="H905" s="64">
        <v>13636.36</v>
      </c>
      <c r="I905" s="64">
        <f>ventas_b_mes684[[#This Row],[IMPORTE NETO]]*0.21</f>
        <v>2863.6356000000001</v>
      </c>
      <c r="J905" s="64"/>
      <c r="K905" s="64"/>
      <c r="L905" s="64">
        <f>SUM(ventas_b_mes684[[#This Row],[IMPORTE NETO]:[EXENTO]])</f>
        <v>16499.995600000002</v>
      </c>
      <c r="M905" s="59"/>
    </row>
    <row r="906" spans="2:13">
      <c r="B906" s="40" t="s">
        <v>2308</v>
      </c>
      <c r="C906" s="41">
        <v>6</v>
      </c>
      <c r="D906" s="42">
        <v>11</v>
      </c>
      <c r="E906" s="43">
        <v>38099</v>
      </c>
      <c r="F906" s="44">
        <v>28773354</v>
      </c>
      <c r="G906" s="1" t="str">
        <f>IFERROR(IF(ventas_b_mes684[[#This Row],[CUIT]]="","-",VLOOKUP(ventas_b_mes684[[#This Row],[CUIT]],Lista_CUIT[#All],2,0)),"CUIT NO CARGADO")</f>
        <v>CUIT NO CARGADO</v>
      </c>
      <c r="H906" s="64">
        <v>27644.63</v>
      </c>
      <c r="I906" s="64">
        <f>ventas_b_mes684[[#This Row],[IMPORTE NETO]]*0.21</f>
        <v>5805.3723</v>
      </c>
      <c r="J906" s="64"/>
      <c r="K906" s="64"/>
      <c r="L906" s="64">
        <f>SUM(ventas_b_mes684[[#This Row],[IMPORTE NETO]:[EXENTO]])</f>
        <v>33450.0023</v>
      </c>
      <c r="M906" s="59"/>
    </row>
    <row r="907" spans="2:13">
      <c r="B907" s="40" t="s">
        <v>2308</v>
      </c>
      <c r="C907" s="41">
        <v>6</v>
      </c>
      <c r="D907" s="42">
        <v>10</v>
      </c>
      <c r="E907" s="43">
        <v>54443</v>
      </c>
      <c r="F907" s="44">
        <v>13658745</v>
      </c>
      <c r="G907" s="1" t="str">
        <f>IFERROR(IF(ventas_b_mes684[[#This Row],[CUIT]]="","-",VLOOKUP(ventas_b_mes684[[#This Row],[CUIT]],Lista_CUIT[#All],2,0)),"CUIT NO CARGADO")</f>
        <v>CUIT NO CARGADO</v>
      </c>
      <c r="H907" s="64">
        <v>56611.57</v>
      </c>
      <c r="I907" s="64">
        <f>ventas_b_mes684[[#This Row],[IMPORTE NETO]]*0.21</f>
        <v>11888.429699999999</v>
      </c>
      <c r="J907" s="64"/>
      <c r="K907" s="64"/>
      <c r="L907" s="64">
        <f>SUM(ventas_b_mes684[[#This Row],[IMPORTE NETO]:[EXENTO]])</f>
        <v>68499.9997</v>
      </c>
      <c r="M907" s="59"/>
    </row>
    <row r="908" spans="2:13">
      <c r="B908" s="40" t="s">
        <v>2308</v>
      </c>
      <c r="C908" s="41">
        <v>6</v>
      </c>
      <c r="D908" s="42">
        <v>10</v>
      </c>
      <c r="E908" s="43">
        <v>54441</v>
      </c>
      <c r="F908" s="44">
        <v>25869848</v>
      </c>
      <c r="G908" s="1" t="str">
        <f>IFERROR(IF(ventas_b_mes684[[#This Row],[CUIT]]="","-",VLOOKUP(ventas_b_mes684[[#This Row],[CUIT]],Lista_CUIT[#All],2,0)),"CUIT NO CARGADO")</f>
        <v>SAJAMA EVANGELINA PATRICIA</v>
      </c>
      <c r="H908" s="64">
        <v>25371.9</v>
      </c>
      <c r="I908" s="64">
        <f>ventas_b_mes684[[#This Row],[IMPORTE NETO]]*0.21</f>
        <v>5328.0990000000002</v>
      </c>
      <c r="J908" s="64"/>
      <c r="K908" s="64"/>
      <c r="L908" s="64">
        <f>SUM(ventas_b_mes684[[#This Row],[IMPORTE NETO]:[EXENTO]])</f>
        <v>30699.999000000003</v>
      </c>
      <c r="M908" s="59"/>
    </row>
    <row r="909" spans="2:13">
      <c r="B909" s="40" t="s">
        <v>2308</v>
      </c>
      <c r="C909" s="41">
        <v>6</v>
      </c>
      <c r="D909" s="42">
        <v>13</v>
      </c>
      <c r="E909" s="43">
        <v>32468</v>
      </c>
      <c r="F909" s="44">
        <v>22744556</v>
      </c>
      <c r="G909" s="1" t="str">
        <f>IFERROR(IF(ventas_b_mes684[[#This Row],[CUIT]]="","-",VLOOKUP(ventas_b_mes684[[#This Row],[CUIT]],Lista_CUIT[#All],2,0)),"CUIT NO CARGADO")</f>
        <v>CUIT NO CARGADO</v>
      </c>
      <c r="H909" s="64">
        <v>27768.6</v>
      </c>
      <c r="I909" s="64">
        <f>ventas_b_mes684[[#This Row],[IMPORTE NETO]]*0.21</f>
        <v>5831.405999999999</v>
      </c>
      <c r="J909" s="64"/>
      <c r="K909" s="64"/>
      <c r="L909" s="64">
        <f>SUM(ventas_b_mes684[[#This Row],[IMPORTE NETO]:[EXENTO]])</f>
        <v>33600.005999999994</v>
      </c>
      <c r="M909" s="59"/>
    </row>
    <row r="910" spans="2:13">
      <c r="B910" s="40" t="s">
        <v>2308</v>
      </c>
      <c r="C910" s="41">
        <v>6</v>
      </c>
      <c r="D910" s="42">
        <v>15</v>
      </c>
      <c r="E910" s="43">
        <v>13212</v>
      </c>
      <c r="F910" s="44">
        <v>32425533</v>
      </c>
      <c r="G910" s="1" t="str">
        <f>IFERROR(IF(ventas_b_mes684[[#This Row],[CUIT]]="","-",VLOOKUP(ventas_b_mes684[[#This Row],[CUIT]],Lista_CUIT[#All],2,0)),"CUIT NO CARGADO")</f>
        <v>CUIT NO CARGADO</v>
      </c>
      <c r="H910" s="64">
        <v>20661.16</v>
      </c>
      <c r="I910" s="64">
        <f>ventas_b_mes684[[#This Row],[IMPORTE NETO]]*0.21</f>
        <v>4338.8436000000002</v>
      </c>
      <c r="J910" s="64"/>
      <c r="K910" s="64"/>
      <c r="L910" s="64">
        <f>SUM(ventas_b_mes684[[#This Row],[IMPORTE NETO]:[EXENTO]])</f>
        <v>25000.0036</v>
      </c>
      <c r="M910" s="59"/>
    </row>
    <row r="911" spans="2:13">
      <c r="B911" s="40" t="s">
        <v>2308</v>
      </c>
      <c r="C911" s="41">
        <v>6</v>
      </c>
      <c r="D911" s="42">
        <v>11</v>
      </c>
      <c r="E911" s="43">
        <v>38098</v>
      </c>
      <c r="F911" s="44">
        <v>41584897</v>
      </c>
      <c r="G911" s="1" t="str">
        <f>IFERROR(IF(ventas_b_mes684[[#This Row],[CUIT]]="","-",VLOOKUP(ventas_b_mes684[[#This Row],[CUIT]],Lista_CUIT[#All],2,0)),"CUIT NO CARGADO")</f>
        <v>CUIT NO CARGADO</v>
      </c>
      <c r="H911" s="64">
        <v>20661.16</v>
      </c>
      <c r="I911" s="64">
        <f>ventas_b_mes684[[#This Row],[IMPORTE NETO]]*0.21</f>
        <v>4338.8436000000002</v>
      </c>
      <c r="J911" s="64"/>
      <c r="K911" s="64"/>
      <c r="L911" s="64">
        <f>SUM(ventas_b_mes684[[#This Row],[IMPORTE NETO]:[EXENTO]])</f>
        <v>25000.0036</v>
      </c>
      <c r="M911" s="59"/>
    </row>
    <row r="912" spans="2:13">
      <c r="B912" s="40" t="s">
        <v>2308</v>
      </c>
      <c r="C912" s="41">
        <v>6</v>
      </c>
      <c r="D912" s="42">
        <v>13</v>
      </c>
      <c r="E912" s="43">
        <v>32471</v>
      </c>
      <c r="F912" s="44">
        <v>24142598</v>
      </c>
      <c r="G912" s="1" t="str">
        <f>IFERROR(IF(ventas_b_mes684[[#This Row],[CUIT]]="","-",VLOOKUP(ventas_b_mes684[[#This Row],[CUIT]],Lista_CUIT[#All],2,0)),"CUIT NO CARGADO")</f>
        <v>CUIT NO CARGADO</v>
      </c>
      <c r="H912" s="64">
        <v>108066.12</v>
      </c>
      <c r="I912" s="64">
        <f>ventas_b_mes684[[#This Row],[IMPORTE NETO]]*0.21</f>
        <v>22693.885199999997</v>
      </c>
      <c r="J912" s="64"/>
      <c r="K912" s="64"/>
      <c r="L912" s="64">
        <f>SUM(ventas_b_mes684[[#This Row],[IMPORTE NETO]:[EXENTO]])</f>
        <v>130760.00519999999</v>
      </c>
      <c r="M912" s="59"/>
    </row>
    <row r="913" spans="2:13">
      <c r="B913" s="40" t="s">
        <v>2308</v>
      </c>
      <c r="C913" s="41">
        <v>6</v>
      </c>
      <c r="D913" s="42">
        <v>11</v>
      </c>
      <c r="E913" s="43">
        <v>38090</v>
      </c>
      <c r="F913" s="44">
        <v>94517254</v>
      </c>
      <c r="G913" s="1" t="str">
        <f>IFERROR(IF(ventas_b_mes684[[#This Row],[CUIT]]="","-",VLOOKUP(ventas_b_mes684[[#This Row],[CUIT]],Lista_CUIT[#All],2,0)),"CUIT NO CARGADO")</f>
        <v>CUIT NO CARGADO</v>
      </c>
      <c r="H913" s="64">
        <v>9545.4500000000007</v>
      </c>
      <c r="I913" s="64">
        <f>ventas_b_mes684[[#This Row],[IMPORTE NETO]]*0.21</f>
        <v>2004.5445</v>
      </c>
      <c r="J913" s="64"/>
      <c r="K913" s="64"/>
      <c r="L913" s="64">
        <f>SUM(ventas_b_mes684[[#This Row],[IMPORTE NETO]:[EXENTO]])</f>
        <v>11549.994500000001</v>
      </c>
      <c r="M913" s="59"/>
    </row>
    <row r="914" spans="2:13">
      <c r="B914" s="40" t="s">
        <v>2308</v>
      </c>
      <c r="C914" s="41">
        <v>6</v>
      </c>
      <c r="D914" s="42">
        <v>15</v>
      </c>
      <c r="E914" s="43">
        <v>13219</v>
      </c>
      <c r="F914" s="44">
        <v>31431954</v>
      </c>
      <c r="G914" s="1" t="str">
        <f>IFERROR(IF(ventas_b_mes684[[#This Row],[CUIT]]="","-",VLOOKUP(ventas_b_mes684[[#This Row],[CUIT]],Lista_CUIT[#All],2,0)),"CUIT NO CARGADO")</f>
        <v>CUIT NO CARGADO</v>
      </c>
      <c r="H914" s="64">
        <v>2082.64</v>
      </c>
      <c r="I914" s="64">
        <f>ventas_b_mes684[[#This Row],[IMPORTE NETO]]*0.21</f>
        <v>437.35439999999994</v>
      </c>
      <c r="J914" s="64"/>
      <c r="K914" s="64"/>
      <c r="L914" s="64">
        <f>SUM(ventas_b_mes684[[#This Row],[IMPORTE NETO]:[EXENTO]])</f>
        <v>2519.9943999999996</v>
      </c>
      <c r="M914" s="59"/>
    </row>
    <row r="915" spans="2:13">
      <c r="B915" s="40" t="s">
        <v>2308</v>
      </c>
      <c r="C915" s="41">
        <v>6</v>
      </c>
      <c r="D915" s="42">
        <v>15</v>
      </c>
      <c r="E915" s="43">
        <v>13220</v>
      </c>
      <c r="F915" s="44">
        <v>93973048</v>
      </c>
      <c r="G915" s="1" t="str">
        <f>IFERROR(IF(ventas_b_mes684[[#This Row],[CUIT]]="","-",VLOOKUP(ventas_b_mes684[[#This Row],[CUIT]],Lista_CUIT[#All],2,0)),"CUIT NO CARGADO")</f>
        <v>CUIT NO CARGADO</v>
      </c>
      <c r="H915" s="64">
        <v>198272.64000000001</v>
      </c>
      <c r="I915" s="64">
        <f>ventas_b_mes684[[#This Row],[IMPORTE NETO]]*0.21</f>
        <v>41637.254399999998</v>
      </c>
      <c r="J915" s="64"/>
      <c r="K915" s="64"/>
      <c r="L915" s="64">
        <f>SUM(ventas_b_mes684[[#This Row],[IMPORTE NETO]:[EXENTO]])</f>
        <v>239909.89440000002</v>
      </c>
      <c r="M915" s="59"/>
    </row>
    <row r="916" spans="2:13">
      <c r="B916" s="40" t="s">
        <v>2308</v>
      </c>
      <c r="C916" s="41">
        <v>6</v>
      </c>
      <c r="D916" s="42">
        <v>11</v>
      </c>
      <c r="E916" s="43">
        <v>38108</v>
      </c>
      <c r="F916" s="44">
        <v>16253145</v>
      </c>
      <c r="G916" s="1" t="str">
        <f>IFERROR(IF(ventas_b_mes684[[#This Row],[CUIT]]="","-",VLOOKUP(ventas_b_mes684[[#This Row],[CUIT]],Lista_CUIT[#All],2,0)),"CUIT NO CARGADO")</f>
        <v>CUIT NO CARGADO</v>
      </c>
      <c r="H916" s="64">
        <v>28520.66</v>
      </c>
      <c r="I916" s="64">
        <f>ventas_b_mes684[[#This Row],[IMPORTE NETO]]*0.21</f>
        <v>5989.3386</v>
      </c>
      <c r="J916" s="64"/>
      <c r="K916" s="64"/>
      <c r="L916" s="64">
        <f>SUM(ventas_b_mes684[[#This Row],[IMPORTE NETO]:[EXENTO]])</f>
        <v>34509.998599999999</v>
      </c>
      <c r="M916" s="59"/>
    </row>
    <row r="917" spans="2:13">
      <c r="B917" s="40" t="s">
        <v>2308</v>
      </c>
      <c r="C917" s="41">
        <v>6</v>
      </c>
      <c r="D917" s="42">
        <v>15</v>
      </c>
      <c r="E917" s="43">
        <v>13197</v>
      </c>
      <c r="F917" s="44">
        <v>32592021</v>
      </c>
      <c r="G917" s="1" t="str">
        <f>IFERROR(IF(ventas_b_mes684[[#This Row],[CUIT]]="","-",VLOOKUP(ventas_b_mes684[[#This Row],[CUIT]],Lista_CUIT[#All],2,0)),"CUIT NO CARGADO")</f>
        <v>CUIT NO CARGADO</v>
      </c>
      <c r="H917" s="64">
        <v>20661.16</v>
      </c>
      <c r="I917" s="64">
        <f>ventas_b_mes684[[#This Row],[IMPORTE NETO]]*0.21</f>
        <v>4338.8436000000002</v>
      </c>
      <c r="J917" s="64"/>
      <c r="K917" s="64"/>
      <c r="L917" s="64">
        <f>SUM(ventas_b_mes684[[#This Row],[IMPORTE NETO]:[EXENTO]])</f>
        <v>25000.0036</v>
      </c>
      <c r="M917" s="59"/>
    </row>
    <row r="918" spans="2:13">
      <c r="B918" s="40" t="s">
        <v>2308</v>
      </c>
      <c r="C918" s="41">
        <v>6</v>
      </c>
      <c r="D918" s="42">
        <v>13</v>
      </c>
      <c r="E918" s="43">
        <v>32466</v>
      </c>
      <c r="F918" s="44">
        <v>13735651</v>
      </c>
      <c r="G918" s="1" t="str">
        <f>IFERROR(IF(ventas_b_mes684[[#This Row],[CUIT]]="","-",VLOOKUP(ventas_b_mes684[[#This Row],[CUIT]],Lista_CUIT[#All],2,0)),"CUIT NO CARGADO")</f>
        <v>CUIT NO CARGADO</v>
      </c>
      <c r="H918" s="64">
        <v>35190.080000000002</v>
      </c>
      <c r="I918" s="64">
        <f>ventas_b_mes684[[#This Row],[IMPORTE NETO]]*0.21</f>
        <v>7389.9168</v>
      </c>
      <c r="J918" s="64"/>
      <c r="K918" s="64"/>
      <c r="L918" s="64">
        <f>SUM(ventas_b_mes684[[#This Row],[IMPORTE NETO]:[EXENTO]])</f>
        <v>42579.996800000001</v>
      </c>
      <c r="M918" s="59"/>
    </row>
    <row r="919" spans="2:13">
      <c r="B919" s="40" t="s">
        <v>2308</v>
      </c>
      <c r="C919" s="41">
        <v>6</v>
      </c>
      <c r="D919" s="42">
        <v>12</v>
      </c>
      <c r="E919" s="43">
        <v>29649</v>
      </c>
      <c r="F919" s="44">
        <v>33116945</v>
      </c>
      <c r="G919" s="1" t="str">
        <f>IFERROR(IF(ventas_b_mes684[[#This Row],[CUIT]]="","-",VLOOKUP(ventas_b_mes684[[#This Row],[CUIT]],Lista_CUIT[#All],2,0)),"CUIT NO CARGADO")</f>
        <v>CUIT NO CARGADO</v>
      </c>
      <c r="H919" s="64">
        <v>25719.01</v>
      </c>
      <c r="I919" s="64">
        <f>ventas_b_mes684[[#This Row],[IMPORTE NETO]]*0.21</f>
        <v>5400.9920999999995</v>
      </c>
      <c r="J919" s="64"/>
      <c r="K919" s="64"/>
      <c r="L919" s="64">
        <f>SUM(ventas_b_mes684[[#This Row],[IMPORTE NETO]:[EXENTO]])</f>
        <v>31120.002099999998</v>
      </c>
      <c r="M919" s="59"/>
    </row>
    <row r="920" spans="2:13">
      <c r="B920" s="40" t="s">
        <v>2308</v>
      </c>
      <c r="C920" s="41">
        <v>6</v>
      </c>
      <c r="D920" s="42">
        <v>12</v>
      </c>
      <c r="E920" s="43">
        <v>29640</v>
      </c>
      <c r="F920" s="44">
        <v>38992020</v>
      </c>
      <c r="G920" s="1" t="str">
        <f>IFERROR(IF(ventas_b_mes684[[#This Row],[CUIT]]="","-",VLOOKUP(ventas_b_mes684[[#This Row],[CUIT]],Lista_CUIT[#All],2,0)),"CUIT NO CARGADO")</f>
        <v>CUIT NO CARGADO</v>
      </c>
      <c r="H920" s="64">
        <v>20661.16</v>
      </c>
      <c r="I920" s="64">
        <f>ventas_b_mes684[[#This Row],[IMPORTE NETO]]*0.21</f>
        <v>4338.8436000000002</v>
      </c>
      <c r="J920" s="64"/>
      <c r="K920" s="64"/>
      <c r="L920" s="64">
        <f>SUM(ventas_b_mes684[[#This Row],[IMPORTE NETO]:[EXENTO]])</f>
        <v>25000.0036</v>
      </c>
      <c r="M920" s="59"/>
    </row>
    <row r="921" spans="2:13">
      <c r="B921" s="40" t="s">
        <v>2308</v>
      </c>
      <c r="C921" s="41">
        <v>6</v>
      </c>
      <c r="D921" s="42">
        <v>15</v>
      </c>
      <c r="E921" s="43">
        <v>13203</v>
      </c>
      <c r="F921" s="44">
        <v>33040292</v>
      </c>
      <c r="G921" s="1" t="str">
        <f>IFERROR(IF(ventas_b_mes684[[#This Row],[CUIT]]="","-",VLOOKUP(ventas_b_mes684[[#This Row],[CUIT]],Lista_CUIT[#All],2,0)),"CUIT NO CARGADO")</f>
        <v>CUIT NO CARGADO</v>
      </c>
      <c r="H921" s="64">
        <v>11768.6</v>
      </c>
      <c r="I921" s="64">
        <f>ventas_b_mes684[[#This Row],[IMPORTE NETO]]*0.21</f>
        <v>2471.4059999999999</v>
      </c>
      <c r="J921" s="64"/>
      <c r="K921" s="64"/>
      <c r="L921" s="64">
        <f>SUM(ventas_b_mes684[[#This Row],[IMPORTE NETO]:[EXENTO]])</f>
        <v>14240.006000000001</v>
      </c>
      <c r="M921" s="59"/>
    </row>
    <row r="922" spans="2:13">
      <c r="B922" s="40" t="s">
        <v>2308</v>
      </c>
      <c r="C922" s="41">
        <v>6</v>
      </c>
      <c r="D922" s="42">
        <v>10</v>
      </c>
      <c r="E922" s="43">
        <v>54442</v>
      </c>
      <c r="F922" s="44">
        <v>33455617</v>
      </c>
      <c r="G922" s="1" t="str">
        <f>IFERROR(IF(ventas_b_mes684[[#This Row],[CUIT]]="","-",VLOOKUP(ventas_b_mes684[[#This Row],[CUIT]],Lista_CUIT[#All],2,0)),"CUIT NO CARGADO")</f>
        <v>CUIT NO CARGADO</v>
      </c>
      <c r="H922" s="64">
        <v>20661.16</v>
      </c>
      <c r="I922" s="64">
        <f>ventas_b_mes684[[#This Row],[IMPORTE NETO]]*0.21</f>
        <v>4338.8436000000002</v>
      </c>
      <c r="J922" s="64"/>
      <c r="K922" s="64"/>
      <c r="L922" s="64">
        <f>SUM(ventas_b_mes684[[#This Row],[IMPORTE NETO]:[EXENTO]])</f>
        <v>25000.0036</v>
      </c>
      <c r="M922" s="59"/>
    </row>
    <row r="923" spans="2:13">
      <c r="B923" s="40" t="s">
        <v>2308</v>
      </c>
      <c r="C923" s="41">
        <v>6</v>
      </c>
      <c r="D923" s="42">
        <v>11</v>
      </c>
      <c r="E923" s="43">
        <v>38097</v>
      </c>
      <c r="F923" s="44">
        <v>16398689</v>
      </c>
      <c r="G923" s="1" t="str">
        <f>IFERROR(IF(ventas_b_mes684[[#This Row],[CUIT]]="","-",VLOOKUP(ventas_b_mes684[[#This Row],[CUIT]],Lista_CUIT[#All],2,0)),"CUIT NO CARGADO")</f>
        <v>CUIT NO CARGADO</v>
      </c>
      <c r="H923" s="64">
        <v>38140.49</v>
      </c>
      <c r="I923" s="64">
        <f>ventas_b_mes684[[#This Row],[IMPORTE NETO]]*0.21</f>
        <v>8009.5028999999995</v>
      </c>
      <c r="J923" s="64"/>
      <c r="K923" s="64"/>
      <c r="L923" s="64">
        <f>SUM(ventas_b_mes684[[#This Row],[IMPORTE NETO]:[EXENTO]])</f>
        <v>46149.992899999997</v>
      </c>
      <c r="M923" s="59"/>
    </row>
    <row r="924" spans="2:13">
      <c r="B924" s="40" t="s">
        <v>2308</v>
      </c>
      <c r="C924" s="41">
        <v>6</v>
      </c>
      <c r="D924" s="42">
        <v>11</v>
      </c>
      <c r="E924" s="43">
        <v>38096</v>
      </c>
      <c r="F924" s="44">
        <v>41584897</v>
      </c>
      <c r="G924" s="1" t="str">
        <f>IFERROR(IF(ventas_b_mes684[[#This Row],[CUIT]]="","-",VLOOKUP(ventas_b_mes684[[#This Row],[CUIT]],Lista_CUIT[#All],2,0)),"CUIT NO CARGADO")</f>
        <v>CUIT NO CARGADO</v>
      </c>
      <c r="H924" s="64">
        <v>6677.69</v>
      </c>
      <c r="I924" s="64">
        <f>ventas_b_mes684[[#This Row],[IMPORTE NETO]]*0.21</f>
        <v>1402.3148999999999</v>
      </c>
      <c r="J924" s="64"/>
      <c r="K924" s="64"/>
      <c r="L924" s="64">
        <f>SUM(ventas_b_mes684[[#This Row],[IMPORTE NETO]:[EXENTO]])</f>
        <v>8080.0048999999999</v>
      </c>
      <c r="M924" s="59"/>
    </row>
    <row r="925" spans="2:13">
      <c r="B925" s="40" t="s">
        <v>2308</v>
      </c>
      <c r="C925" s="41">
        <v>6</v>
      </c>
      <c r="D925" s="42">
        <v>11</v>
      </c>
      <c r="E925" s="43">
        <v>38107</v>
      </c>
      <c r="F925" s="44">
        <v>41584897</v>
      </c>
      <c r="G925" s="1" t="str">
        <f>IFERROR(IF(ventas_b_mes684[[#This Row],[CUIT]]="","-",VLOOKUP(ventas_b_mes684[[#This Row],[CUIT]],Lista_CUIT[#All],2,0)),"CUIT NO CARGADO")</f>
        <v>CUIT NO CARGADO</v>
      </c>
      <c r="H925" s="64">
        <v>35404.959999999999</v>
      </c>
      <c r="I925" s="64">
        <f>ventas_b_mes684[[#This Row],[IMPORTE NETO]]*0.21</f>
        <v>7435.0415999999996</v>
      </c>
      <c r="J925" s="64"/>
      <c r="K925" s="64"/>
      <c r="L925" s="64">
        <f>SUM(ventas_b_mes684[[#This Row],[IMPORTE NETO]:[EXENTO]])</f>
        <v>42840.001599999996</v>
      </c>
      <c r="M925" s="59"/>
    </row>
    <row r="926" spans="2:13">
      <c r="B926" s="40" t="s">
        <v>2308</v>
      </c>
      <c r="C926" s="41">
        <v>6</v>
      </c>
      <c r="D926" s="42">
        <v>15</v>
      </c>
      <c r="E926" s="43">
        <v>13218</v>
      </c>
      <c r="F926" s="44">
        <v>47155273</v>
      </c>
      <c r="G926" s="1" t="str">
        <f>IFERROR(IF(ventas_b_mes684[[#This Row],[CUIT]]="","-",VLOOKUP(ventas_b_mes684[[#This Row],[CUIT]],Lista_CUIT[#All],2,0)),"CUIT NO CARGADO")</f>
        <v>CUIT NO CARGADO</v>
      </c>
      <c r="H926" s="64">
        <v>4314.05</v>
      </c>
      <c r="I926" s="64">
        <f>ventas_b_mes684[[#This Row],[IMPORTE NETO]]*0.21</f>
        <v>905.95050000000003</v>
      </c>
      <c r="J926" s="64"/>
      <c r="K926" s="64"/>
      <c r="L926" s="64">
        <f>SUM(ventas_b_mes684[[#This Row],[IMPORTE NETO]:[EXENTO]])</f>
        <v>5220.0005000000001</v>
      </c>
      <c r="M926" s="59"/>
    </row>
    <row r="927" spans="2:13">
      <c r="B927" s="40" t="s">
        <v>2308</v>
      </c>
      <c r="C927" s="41">
        <v>6</v>
      </c>
      <c r="D927" s="42">
        <v>12</v>
      </c>
      <c r="E927" s="43">
        <v>29645</v>
      </c>
      <c r="F927" s="44">
        <v>34925047</v>
      </c>
      <c r="G927" s="1" t="str">
        <f>IFERROR(IF(ventas_b_mes684[[#This Row],[CUIT]]="","-",VLOOKUP(ventas_b_mes684[[#This Row],[CUIT]],Lista_CUIT[#All],2,0)),"CUIT NO CARGADO")</f>
        <v>CUIT NO CARGADO</v>
      </c>
      <c r="H927" s="64">
        <v>20661.16</v>
      </c>
      <c r="I927" s="64">
        <f>ventas_b_mes684[[#This Row],[IMPORTE NETO]]*0.21</f>
        <v>4338.8436000000002</v>
      </c>
      <c r="J927" s="64"/>
      <c r="K927" s="64"/>
      <c r="L927" s="64">
        <f>SUM(ventas_b_mes684[[#This Row],[IMPORTE NETO]:[EXENTO]])</f>
        <v>25000.0036</v>
      </c>
      <c r="M927" s="59"/>
    </row>
    <row r="928" spans="2:13">
      <c r="B928" s="40" t="s">
        <v>2308</v>
      </c>
      <c r="C928" s="41">
        <v>6</v>
      </c>
      <c r="D928" s="42">
        <v>15</v>
      </c>
      <c r="E928" s="43">
        <v>13214</v>
      </c>
      <c r="F928" s="44">
        <v>47182082</v>
      </c>
      <c r="G928" s="1" t="str">
        <f>IFERROR(IF(ventas_b_mes684[[#This Row],[CUIT]]="","-",VLOOKUP(ventas_b_mes684[[#This Row],[CUIT]],Lista_CUIT[#All],2,0)),"CUIT NO CARGADO")</f>
        <v>CUIT NO CARGADO</v>
      </c>
      <c r="H928" s="64">
        <v>5057.8500000000004</v>
      </c>
      <c r="I928" s="64">
        <f>ventas_b_mes684[[#This Row],[IMPORTE NETO]]*0.21</f>
        <v>1062.1485</v>
      </c>
      <c r="J928" s="64"/>
      <c r="K928" s="64"/>
      <c r="L928" s="64">
        <f>SUM(ventas_b_mes684[[#This Row],[IMPORTE NETO]:[EXENTO]])</f>
        <v>6119.9985000000006</v>
      </c>
      <c r="M928" s="59"/>
    </row>
    <row r="929" spans="2:13">
      <c r="B929" s="40" t="s">
        <v>2308</v>
      </c>
      <c r="C929" s="41">
        <v>6</v>
      </c>
      <c r="D929" s="42">
        <v>10</v>
      </c>
      <c r="E929" s="43">
        <v>54444</v>
      </c>
      <c r="F929" s="44">
        <v>12685953</v>
      </c>
      <c r="G929" s="1" t="str">
        <f>IFERROR(IF(ventas_b_mes684[[#This Row],[CUIT]]="","-",VLOOKUP(ventas_b_mes684[[#This Row],[CUIT]],Lista_CUIT[#All],2,0)),"CUIT NO CARGADO")</f>
        <v>CUIT NO CARGADO</v>
      </c>
      <c r="H929" s="64">
        <v>8264.4599999999991</v>
      </c>
      <c r="I929" s="64">
        <f>ventas_b_mes684[[#This Row],[IMPORTE NETO]]*0.21</f>
        <v>1735.5365999999997</v>
      </c>
      <c r="J929" s="64"/>
      <c r="K929" s="64"/>
      <c r="L929" s="64">
        <f>SUM(ventas_b_mes684[[#This Row],[IMPORTE NETO]:[EXENTO]])</f>
        <v>9999.9965999999986</v>
      </c>
      <c r="M929" s="59"/>
    </row>
    <row r="930" spans="2:13">
      <c r="B930" s="40" t="s">
        <v>2308</v>
      </c>
      <c r="C930" s="41">
        <v>6</v>
      </c>
      <c r="D930" s="42">
        <v>10</v>
      </c>
      <c r="E930" s="43">
        <v>54435</v>
      </c>
      <c r="F930" s="44">
        <v>38707668</v>
      </c>
      <c r="G930" s="1" t="str">
        <f>IFERROR(IF(ventas_b_mes684[[#This Row],[CUIT]]="","-",VLOOKUP(ventas_b_mes684[[#This Row],[CUIT]],Lista_CUIT[#All],2,0)),"CUIT NO CARGADO")</f>
        <v>CUIT NO CARGADO</v>
      </c>
      <c r="H930" s="64">
        <v>20661.16</v>
      </c>
      <c r="I930" s="64">
        <f>ventas_b_mes684[[#This Row],[IMPORTE NETO]]*0.21</f>
        <v>4338.8436000000002</v>
      </c>
      <c r="J930" s="64"/>
      <c r="K930" s="64"/>
      <c r="L930" s="64">
        <f>SUM(ventas_b_mes684[[#This Row],[IMPORTE NETO]:[EXENTO]])</f>
        <v>25000.0036</v>
      </c>
      <c r="M930" s="59"/>
    </row>
    <row r="931" spans="2:13">
      <c r="B931" s="40" t="s">
        <v>2308</v>
      </c>
      <c r="C931" s="41">
        <v>6</v>
      </c>
      <c r="D931" s="42">
        <v>12</v>
      </c>
      <c r="E931" s="43">
        <v>29650</v>
      </c>
      <c r="F931" s="44">
        <v>40526223</v>
      </c>
      <c r="G931" s="1" t="str">
        <f>IFERROR(IF(ventas_b_mes684[[#This Row],[CUIT]]="","-",VLOOKUP(ventas_b_mes684[[#This Row],[CUIT]],Lista_CUIT[#All],2,0)),"CUIT NO CARGADO")</f>
        <v>CUIT NO CARGADO</v>
      </c>
      <c r="H931" s="64">
        <v>20661.16</v>
      </c>
      <c r="I931" s="64">
        <f>ventas_b_mes684[[#This Row],[IMPORTE NETO]]*0.21</f>
        <v>4338.8436000000002</v>
      </c>
      <c r="J931" s="64"/>
      <c r="K931" s="64"/>
      <c r="L931" s="64">
        <f>SUM(ventas_b_mes684[[#This Row],[IMPORTE NETO]:[EXENTO]])</f>
        <v>25000.0036</v>
      </c>
      <c r="M931" s="59"/>
    </row>
    <row r="932" spans="2:13">
      <c r="B932" s="40" t="s">
        <v>2308</v>
      </c>
      <c r="C932" s="41">
        <v>6</v>
      </c>
      <c r="D932" s="42">
        <v>15</v>
      </c>
      <c r="E932" s="43">
        <v>13215</v>
      </c>
      <c r="F932" s="44">
        <v>25671318</v>
      </c>
      <c r="G932" s="1" t="str">
        <f>IFERROR(IF(ventas_b_mes684[[#This Row],[CUIT]]="","-",VLOOKUP(ventas_b_mes684[[#This Row],[CUIT]],Lista_CUIT[#All],2,0)),"CUIT NO CARGADO")</f>
        <v>GOMEZ,Griselda graciela</v>
      </c>
      <c r="H932" s="64">
        <v>42727.27</v>
      </c>
      <c r="I932" s="64">
        <f>ventas_b_mes684[[#This Row],[IMPORTE NETO]]*0.21</f>
        <v>8972.7266999999993</v>
      </c>
      <c r="J932" s="64"/>
      <c r="K932" s="64"/>
      <c r="L932" s="64">
        <f>SUM(ventas_b_mes684[[#This Row],[IMPORTE NETO]:[EXENTO]])</f>
        <v>51699.996699999996</v>
      </c>
      <c r="M932" s="59"/>
    </row>
    <row r="933" spans="2:13">
      <c r="B933" s="40" t="s">
        <v>2308</v>
      </c>
      <c r="C933" s="41">
        <v>6</v>
      </c>
      <c r="D933" s="42">
        <v>15</v>
      </c>
      <c r="E933" s="43">
        <v>13213</v>
      </c>
      <c r="F933" s="44">
        <v>47182082</v>
      </c>
      <c r="G933" s="1" t="str">
        <f>IFERROR(IF(ventas_b_mes684[[#This Row],[CUIT]]="","-",VLOOKUP(ventas_b_mes684[[#This Row],[CUIT]],Lista_CUIT[#All],2,0)),"CUIT NO CARGADO")</f>
        <v>CUIT NO CARGADO</v>
      </c>
      <c r="H933" s="64">
        <v>25066.12</v>
      </c>
      <c r="I933" s="64">
        <f>ventas_b_mes684[[#This Row],[IMPORTE NETO]]*0.21</f>
        <v>5263.8851999999997</v>
      </c>
      <c r="J933" s="64"/>
      <c r="K933" s="64"/>
      <c r="L933" s="64">
        <f>SUM(ventas_b_mes684[[#This Row],[IMPORTE NETO]:[EXENTO]])</f>
        <v>30330.0052</v>
      </c>
      <c r="M933" s="59"/>
    </row>
    <row r="934" spans="2:13">
      <c r="B934" s="40" t="s">
        <v>2308</v>
      </c>
      <c r="C934" s="41">
        <v>6</v>
      </c>
      <c r="D934" s="42">
        <v>11</v>
      </c>
      <c r="E934" s="43">
        <v>38109</v>
      </c>
      <c r="F934" s="44">
        <v>31603353</v>
      </c>
      <c r="G934" s="1" t="str">
        <f>IFERROR(IF(ventas_b_mes684[[#This Row],[CUIT]]="","-",VLOOKUP(ventas_b_mes684[[#This Row],[CUIT]],Lista_CUIT[#All],2,0)),"CUIT NO CARGADO")</f>
        <v>CUIT NO CARGADO</v>
      </c>
      <c r="H934" s="64">
        <v>22549.59</v>
      </c>
      <c r="I934" s="64">
        <f>ventas_b_mes684[[#This Row],[IMPORTE NETO]]*0.21</f>
        <v>4735.4138999999996</v>
      </c>
      <c r="J934" s="64"/>
      <c r="K934" s="64"/>
      <c r="L934" s="64">
        <f>SUM(ventas_b_mes684[[#This Row],[IMPORTE NETO]:[EXENTO]])</f>
        <v>27285.0039</v>
      </c>
      <c r="M934" s="59"/>
    </row>
    <row r="935" spans="2:13">
      <c r="B935" s="40" t="s">
        <v>2308</v>
      </c>
      <c r="C935" s="41">
        <v>6</v>
      </c>
      <c r="D935" s="42">
        <v>12</v>
      </c>
      <c r="E935" s="43">
        <v>29638</v>
      </c>
      <c r="F935" s="44">
        <v>41385913</v>
      </c>
      <c r="G935" s="1" t="str">
        <f>IFERROR(IF(ventas_b_mes684[[#This Row],[CUIT]]="","-",VLOOKUP(ventas_b_mes684[[#This Row],[CUIT]],Lista_CUIT[#All],2,0)),"CUIT NO CARGADO")</f>
        <v>CUIT NO CARGADO</v>
      </c>
      <c r="H935" s="64">
        <v>20661.16</v>
      </c>
      <c r="I935" s="64">
        <f>ventas_b_mes684[[#This Row],[IMPORTE NETO]]*0.21</f>
        <v>4338.8436000000002</v>
      </c>
      <c r="J935" s="64"/>
      <c r="K935" s="64"/>
      <c r="L935" s="64">
        <f>SUM(ventas_b_mes684[[#This Row],[IMPORTE NETO]:[EXENTO]])</f>
        <v>25000.0036</v>
      </c>
      <c r="M935" s="59"/>
    </row>
    <row r="936" spans="2:13">
      <c r="B936" s="40" t="s">
        <v>2308</v>
      </c>
      <c r="C936" s="41">
        <v>6</v>
      </c>
      <c r="D936" s="42">
        <v>15</v>
      </c>
      <c r="E936" s="43">
        <v>13221</v>
      </c>
      <c r="F936" s="44">
        <v>29674993</v>
      </c>
      <c r="G936" s="1" t="str">
        <f>IFERROR(IF(ventas_b_mes684[[#This Row],[CUIT]]="","-",VLOOKUP(ventas_b_mes684[[#This Row],[CUIT]],Lista_CUIT[#All],2,0)),"CUIT NO CARGADO")</f>
        <v>CUIT NO CARGADO</v>
      </c>
      <c r="H936" s="64">
        <v>20231.400000000001</v>
      </c>
      <c r="I936" s="64">
        <f>ventas_b_mes684[[#This Row],[IMPORTE NETO]]*0.21</f>
        <v>4248.5940000000001</v>
      </c>
      <c r="J936" s="64"/>
      <c r="K936" s="64"/>
      <c r="L936" s="64">
        <f>SUM(ventas_b_mes684[[#This Row],[IMPORTE NETO]:[EXENTO]])</f>
        <v>24479.994000000002</v>
      </c>
      <c r="M936" s="59"/>
    </row>
    <row r="937" spans="2:13">
      <c r="B937" s="40" t="s">
        <v>2308</v>
      </c>
      <c r="C937" s="41">
        <v>6</v>
      </c>
      <c r="D937" s="42">
        <v>10</v>
      </c>
      <c r="E937" s="43">
        <v>54446</v>
      </c>
      <c r="F937" s="44">
        <v>10623555</v>
      </c>
      <c r="G937" s="1" t="str">
        <f>IFERROR(IF(ventas_b_mes684[[#This Row],[CUIT]]="","-",VLOOKUP(ventas_b_mes684[[#This Row],[CUIT]],Lista_CUIT[#All],2,0)),"CUIT NO CARGADO")</f>
        <v>CUIT NO CARGADO</v>
      </c>
      <c r="H937" s="64">
        <v>25785.119999999999</v>
      </c>
      <c r="I937" s="64">
        <f>ventas_b_mes684[[#This Row],[IMPORTE NETO]]*0.21</f>
        <v>5414.8751999999995</v>
      </c>
      <c r="J937" s="64"/>
      <c r="K937" s="64"/>
      <c r="L937" s="64">
        <f>SUM(ventas_b_mes684[[#This Row],[IMPORTE NETO]:[EXENTO]])</f>
        <v>31199.995199999998</v>
      </c>
      <c r="M937" s="59"/>
    </row>
    <row r="938" spans="2:13">
      <c r="B938" s="40" t="s">
        <v>2308</v>
      </c>
      <c r="C938" s="41">
        <v>6</v>
      </c>
      <c r="D938" s="42">
        <v>13</v>
      </c>
      <c r="E938" s="43">
        <v>32462</v>
      </c>
      <c r="F938" s="44">
        <v>33060136</v>
      </c>
      <c r="G938" s="1" t="str">
        <f>IFERROR(IF(ventas_b_mes684[[#This Row],[CUIT]]="","-",VLOOKUP(ventas_b_mes684[[#This Row],[CUIT]],Lista_CUIT[#All],2,0)),"CUIT NO CARGADO")</f>
        <v>CUIT NO CARGADO</v>
      </c>
      <c r="H938" s="64">
        <v>19880.169999999998</v>
      </c>
      <c r="I938" s="64">
        <f>ventas_b_mes684[[#This Row],[IMPORTE NETO]]*0.21</f>
        <v>4174.8356999999996</v>
      </c>
      <c r="J938" s="64"/>
      <c r="K938" s="64"/>
      <c r="L938" s="64">
        <f>SUM(ventas_b_mes684[[#This Row],[IMPORTE NETO]:[EXENTO]])</f>
        <v>24055.005699999998</v>
      </c>
      <c r="M938" s="59"/>
    </row>
    <row r="939" spans="2:13">
      <c r="B939" s="40" t="s">
        <v>2308</v>
      </c>
      <c r="C939" s="41">
        <v>6</v>
      </c>
      <c r="D939" s="42">
        <v>12</v>
      </c>
      <c r="E939" s="43">
        <v>29642</v>
      </c>
      <c r="F939" s="44">
        <v>25802685</v>
      </c>
      <c r="G939" s="1" t="str">
        <f>IFERROR(IF(ventas_b_mes684[[#This Row],[CUIT]]="","-",VLOOKUP(ventas_b_mes684[[#This Row],[CUIT]],Lista_CUIT[#All],2,0)),"CUIT NO CARGADO")</f>
        <v>CUIT NO CARGADO</v>
      </c>
      <c r="H939" s="64">
        <v>11768.6</v>
      </c>
      <c r="I939" s="64">
        <f>ventas_b_mes684[[#This Row],[IMPORTE NETO]]*0.21</f>
        <v>2471.4059999999999</v>
      </c>
      <c r="J939" s="64"/>
      <c r="K939" s="64"/>
      <c r="L939" s="64">
        <f>SUM(ventas_b_mes684[[#This Row],[IMPORTE NETO]:[EXENTO]])</f>
        <v>14240.006000000001</v>
      </c>
      <c r="M939" s="59"/>
    </row>
    <row r="940" spans="2:13">
      <c r="B940" s="40" t="s">
        <v>2308</v>
      </c>
      <c r="C940" s="41">
        <v>6</v>
      </c>
      <c r="D940" s="42">
        <v>15</v>
      </c>
      <c r="E940" s="43">
        <v>13201</v>
      </c>
      <c r="F940" s="44">
        <v>25152656</v>
      </c>
      <c r="G940" s="1" t="str">
        <f>IFERROR(IF(ventas_b_mes684[[#This Row],[CUIT]]="","-",VLOOKUP(ventas_b_mes684[[#This Row],[CUIT]],Lista_CUIT[#All],2,0)),"CUIT NO CARGADO")</f>
        <v>CUIT NO CARGADO</v>
      </c>
      <c r="H940" s="64">
        <v>8264.4599999999991</v>
      </c>
      <c r="I940" s="64">
        <f>ventas_b_mes684[[#This Row],[IMPORTE NETO]]*0.21</f>
        <v>1735.5365999999997</v>
      </c>
      <c r="J940" s="64"/>
      <c r="K940" s="64"/>
      <c r="L940" s="64">
        <f>SUM(ventas_b_mes684[[#This Row],[IMPORTE NETO]:[EXENTO]])</f>
        <v>9999.9965999999986</v>
      </c>
      <c r="M940" s="59"/>
    </row>
    <row r="941" spans="2:13">
      <c r="B941" s="40" t="s">
        <v>2308</v>
      </c>
      <c r="C941" s="41">
        <v>6</v>
      </c>
      <c r="D941" s="42">
        <v>12</v>
      </c>
      <c r="E941" s="43">
        <v>29652</v>
      </c>
      <c r="F941" s="44">
        <v>7325976</v>
      </c>
      <c r="G941" s="1" t="str">
        <f>IFERROR(IF(ventas_b_mes684[[#This Row],[CUIT]]="","-",VLOOKUP(ventas_b_mes684[[#This Row],[CUIT]],Lista_CUIT[#All],2,0)),"CUIT NO CARGADO")</f>
        <v>CUIT NO CARGADO</v>
      </c>
      <c r="H941" s="64">
        <v>13471.07</v>
      </c>
      <c r="I941" s="64">
        <f>ventas_b_mes684[[#This Row],[IMPORTE NETO]]*0.21</f>
        <v>2828.9247</v>
      </c>
      <c r="J941" s="64"/>
      <c r="K941" s="64"/>
      <c r="L941" s="64">
        <f>SUM(ventas_b_mes684[[#This Row],[IMPORTE NETO]:[EXENTO]])</f>
        <v>16299.994699999999</v>
      </c>
      <c r="M941" s="59"/>
    </row>
    <row r="942" spans="2:13">
      <c r="B942" s="40" t="s">
        <v>2308</v>
      </c>
      <c r="C942" s="41">
        <v>6</v>
      </c>
      <c r="D942" s="42">
        <v>15</v>
      </c>
      <c r="E942" s="43">
        <v>13217</v>
      </c>
      <c r="F942" s="44">
        <v>30551721</v>
      </c>
      <c r="G942" s="1" t="str">
        <f>IFERROR(IF(ventas_b_mes684[[#This Row],[CUIT]]="","-",VLOOKUP(ventas_b_mes684[[#This Row],[CUIT]],Lista_CUIT[#All],2,0)),"CUIT NO CARGADO")</f>
        <v>CUIT NO CARGADO</v>
      </c>
      <c r="H942" s="64">
        <v>20661.16</v>
      </c>
      <c r="I942" s="64">
        <f>ventas_b_mes684[[#This Row],[IMPORTE NETO]]*0.21</f>
        <v>4338.8436000000002</v>
      </c>
      <c r="J942" s="64"/>
      <c r="K942" s="64"/>
      <c r="L942" s="64">
        <f>SUM(ventas_b_mes684[[#This Row],[IMPORTE NETO]:[EXENTO]])</f>
        <v>25000.0036</v>
      </c>
      <c r="M942" s="59"/>
    </row>
    <row r="943" spans="2:13">
      <c r="B943" s="40" t="s">
        <v>2308</v>
      </c>
      <c r="C943" s="41">
        <v>6</v>
      </c>
      <c r="D943" s="42">
        <v>10</v>
      </c>
      <c r="E943" s="43">
        <v>54434</v>
      </c>
      <c r="F943" s="44">
        <v>21484123</v>
      </c>
      <c r="G943" s="1" t="str">
        <f>IFERROR(IF(ventas_b_mes684[[#This Row],[CUIT]]="","-",VLOOKUP(ventas_b_mes684[[#This Row],[CUIT]],Lista_CUIT[#All],2,0)),"CUIT NO CARGADO")</f>
        <v>CUIT NO CARGADO</v>
      </c>
      <c r="H943" s="64">
        <v>222231.4</v>
      </c>
      <c r="I943" s="64">
        <f>ventas_b_mes684[[#This Row],[IMPORTE NETO]]*0.21</f>
        <v>46668.593999999997</v>
      </c>
      <c r="J943" s="64"/>
      <c r="K943" s="64"/>
      <c r="L943" s="64">
        <f>SUM(ventas_b_mes684[[#This Row],[IMPORTE NETO]:[EXENTO]])</f>
        <v>268899.99400000001</v>
      </c>
      <c r="M943" s="59"/>
    </row>
    <row r="944" spans="2:13">
      <c r="B944" s="40" t="s">
        <v>2308</v>
      </c>
      <c r="C944" s="41">
        <v>6</v>
      </c>
      <c r="D944" s="42">
        <v>12</v>
      </c>
      <c r="E944" s="43">
        <v>29647</v>
      </c>
      <c r="F944" s="44">
        <v>16875985</v>
      </c>
      <c r="G944" s="1" t="str">
        <f>IFERROR(IF(ventas_b_mes684[[#This Row],[CUIT]]="","-",VLOOKUP(ventas_b_mes684[[#This Row],[CUIT]],Lista_CUIT[#All],2,0)),"CUIT NO CARGADO")</f>
        <v>CUIT NO CARGADO</v>
      </c>
      <c r="H944" s="64">
        <v>33991.74</v>
      </c>
      <c r="I944" s="64">
        <f>ventas_b_mes684[[#This Row],[IMPORTE NETO]]*0.21</f>
        <v>7138.2653999999993</v>
      </c>
      <c r="J944" s="64"/>
      <c r="K944" s="64"/>
      <c r="L944" s="64">
        <f>SUM(ventas_b_mes684[[#This Row],[IMPORTE NETO]:[EXENTO]])</f>
        <v>41130.005399999995</v>
      </c>
      <c r="M944" s="59"/>
    </row>
    <row r="945" spans="2:13">
      <c r="B945" s="40" t="s">
        <v>2308</v>
      </c>
      <c r="C945" s="41">
        <v>6</v>
      </c>
      <c r="D945" s="42">
        <v>10</v>
      </c>
      <c r="E945" s="43">
        <v>54437</v>
      </c>
      <c r="F945" s="44">
        <v>2565999</v>
      </c>
      <c r="G945" s="1" t="str">
        <f>IFERROR(IF(ventas_b_mes684[[#This Row],[CUIT]]="","-",VLOOKUP(ventas_b_mes684[[#This Row],[CUIT]],Lista_CUIT[#All],2,0)),"CUIT NO CARGADO")</f>
        <v>CUIT NO CARGADO</v>
      </c>
      <c r="H945" s="64">
        <v>7438.02</v>
      </c>
      <c r="I945" s="64">
        <f>ventas_b_mes684[[#This Row],[IMPORTE NETO]]*0.21</f>
        <v>1561.9842000000001</v>
      </c>
      <c r="J945" s="64"/>
      <c r="K945" s="64"/>
      <c r="L945" s="64">
        <f>SUM(ventas_b_mes684[[#This Row],[IMPORTE NETO]:[EXENTO]])</f>
        <v>9000.0042000000012</v>
      </c>
      <c r="M945" s="59"/>
    </row>
    <row r="946" spans="2:13">
      <c r="B946" s="40" t="s">
        <v>2308</v>
      </c>
      <c r="C946" s="41">
        <v>6</v>
      </c>
      <c r="D946" s="42">
        <v>12</v>
      </c>
      <c r="E946" s="43">
        <v>29654</v>
      </c>
      <c r="F946" s="44">
        <v>22922464</v>
      </c>
      <c r="G946" s="1" t="str">
        <f>IFERROR(IF(ventas_b_mes684[[#This Row],[CUIT]]="","-",VLOOKUP(ventas_b_mes684[[#This Row],[CUIT]],Lista_CUIT[#All],2,0)),"CUIT NO CARGADO")</f>
        <v>CUIT NO CARGADO</v>
      </c>
      <c r="H946" s="64">
        <v>20661.16</v>
      </c>
      <c r="I946" s="64">
        <f>ventas_b_mes684[[#This Row],[IMPORTE NETO]]*0.21</f>
        <v>4338.8436000000002</v>
      </c>
      <c r="J946" s="64"/>
      <c r="K946" s="64"/>
      <c r="L946" s="64">
        <f>SUM(ventas_b_mes684[[#This Row],[IMPORTE NETO]:[EXENTO]])</f>
        <v>25000.0036</v>
      </c>
      <c r="M946" s="59"/>
    </row>
    <row r="947" spans="2:13">
      <c r="B947" s="40" t="s">
        <v>2308</v>
      </c>
      <c r="C947" s="41">
        <v>6</v>
      </c>
      <c r="D947" s="42">
        <v>12</v>
      </c>
      <c r="E947" s="43">
        <v>29637</v>
      </c>
      <c r="F947" s="44">
        <v>38827873</v>
      </c>
      <c r="G947" s="1" t="str">
        <f>IFERROR(IF(ventas_b_mes684[[#This Row],[CUIT]]="","-",VLOOKUP(ventas_b_mes684[[#This Row],[CUIT]],Lista_CUIT[#All],2,0)),"CUIT NO CARGADO")</f>
        <v>CUIT NO CARGADO</v>
      </c>
      <c r="H947" s="64">
        <v>11768.6</v>
      </c>
      <c r="I947" s="64">
        <f>ventas_b_mes684[[#This Row],[IMPORTE NETO]]*0.21</f>
        <v>2471.4059999999999</v>
      </c>
      <c r="J947" s="64"/>
      <c r="K947" s="64"/>
      <c r="L947" s="64">
        <f>SUM(ventas_b_mes684[[#This Row],[IMPORTE NETO]:[EXENTO]])</f>
        <v>14240.006000000001</v>
      </c>
      <c r="M947" s="59"/>
    </row>
    <row r="948" spans="2:13">
      <c r="B948" s="40" t="s">
        <v>2308</v>
      </c>
      <c r="C948" s="41">
        <v>6</v>
      </c>
      <c r="D948" s="42">
        <v>13</v>
      </c>
      <c r="E948" s="43">
        <v>32469</v>
      </c>
      <c r="F948" s="44">
        <v>20560897</v>
      </c>
      <c r="G948" s="1" t="str">
        <f>IFERROR(IF(ventas_b_mes684[[#This Row],[CUIT]]="","-",VLOOKUP(ventas_b_mes684[[#This Row],[CUIT]],Lista_CUIT[#All],2,0)),"CUIT NO CARGADO")</f>
        <v>CUIT NO CARGADO</v>
      </c>
      <c r="H948" s="64">
        <v>19338.84</v>
      </c>
      <c r="I948" s="64">
        <f>ventas_b_mes684[[#This Row],[IMPORTE NETO]]*0.21</f>
        <v>4061.1563999999998</v>
      </c>
      <c r="J948" s="64"/>
      <c r="K948" s="64"/>
      <c r="L948" s="64">
        <f>SUM(ventas_b_mes684[[#This Row],[IMPORTE NETO]:[EXENTO]])</f>
        <v>23399.9964</v>
      </c>
      <c r="M948" s="59"/>
    </row>
    <row r="949" spans="2:13">
      <c r="B949" s="40" t="s">
        <v>2308</v>
      </c>
      <c r="C949" s="41">
        <v>6</v>
      </c>
      <c r="D949" s="42">
        <v>15</v>
      </c>
      <c r="E949" s="43">
        <v>13216</v>
      </c>
      <c r="F949" s="44">
        <v>44420153</v>
      </c>
      <c r="G949" s="1" t="str">
        <f>IFERROR(IF(ventas_b_mes684[[#This Row],[CUIT]]="","-",VLOOKUP(ventas_b_mes684[[#This Row],[CUIT]],Lista_CUIT[#All],2,0)),"CUIT NO CARGADO")</f>
        <v>CUIT NO CARGADO</v>
      </c>
      <c r="H949" s="64">
        <v>20661.16</v>
      </c>
      <c r="I949" s="64">
        <f>ventas_b_mes684[[#This Row],[IMPORTE NETO]]*0.21</f>
        <v>4338.8436000000002</v>
      </c>
      <c r="J949" s="64"/>
      <c r="K949" s="64"/>
      <c r="L949" s="64">
        <f>SUM(ventas_b_mes684[[#This Row],[IMPORTE NETO]:[EXENTO]])</f>
        <v>25000.0036</v>
      </c>
      <c r="M949" s="59"/>
    </row>
    <row r="950" spans="2:13">
      <c r="B950" s="40" t="s">
        <v>2308</v>
      </c>
      <c r="C950" s="41">
        <v>6</v>
      </c>
      <c r="D950" s="42">
        <v>13</v>
      </c>
      <c r="E950" s="43">
        <v>32470</v>
      </c>
      <c r="F950" s="44">
        <v>20560897</v>
      </c>
      <c r="G950" s="1" t="str">
        <f>IFERROR(IF(ventas_b_mes684[[#This Row],[CUIT]]="","-",VLOOKUP(ventas_b_mes684[[#This Row],[CUIT]],Lista_CUIT[#All],2,0)),"CUIT NO CARGADO")</f>
        <v>CUIT NO CARGADO</v>
      </c>
      <c r="H950" s="64">
        <v>19338.84</v>
      </c>
      <c r="I950" s="64">
        <f>ventas_b_mes684[[#This Row],[IMPORTE NETO]]*0.21</f>
        <v>4061.1563999999998</v>
      </c>
      <c r="J950" s="64"/>
      <c r="K950" s="64"/>
      <c r="L950" s="64">
        <f>SUM(ventas_b_mes684[[#This Row],[IMPORTE NETO]:[EXENTO]])</f>
        <v>23399.9964</v>
      </c>
      <c r="M950" s="59"/>
    </row>
    <row r="951" spans="2:13">
      <c r="B951" s="40" t="s">
        <v>2308</v>
      </c>
      <c r="C951" s="41">
        <v>6</v>
      </c>
      <c r="D951" s="42">
        <v>12</v>
      </c>
      <c r="E951" s="43">
        <v>29651</v>
      </c>
      <c r="F951" s="44">
        <v>22650937</v>
      </c>
      <c r="G951" s="1" t="str">
        <f>IFERROR(IF(ventas_b_mes684[[#This Row],[CUIT]]="","-",VLOOKUP(ventas_b_mes684[[#This Row],[CUIT]],Lista_CUIT[#All],2,0)),"CUIT NO CARGADO")</f>
        <v>CUIT NO CARGADO</v>
      </c>
      <c r="H951" s="64">
        <v>20661.16</v>
      </c>
      <c r="I951" s="64">
        <f>ventas_b_mes684[[#This Row],[IMPORTE NETO]]*0.21</f>
        <v>4338.8436000000002</v>
      </c>
      <c r="J951" s="64"/>
      <c r="K951" s="64"/>
      <c r="L951" s="64">
        <f>SUM(ventas_b_mes684[[#This Row],[IMPORTE NETO]:[EXENTO]])</f>
        <v>25000.0036</v>
      </c>
      <c r="M951" s="59"/>
    </row>
    <row r="952" spans="2:13">
      <c r="B952" s="40" t="s">
        <v>2308</v>
      </c>
      <c r="C952" s="41">
        <v>6</v>
      </c>
      <c r="D952" s="42">
        <v>15</v>
      </c>
      <c r="E952" s="43">
        <v>13200</v>
      </c>
      <c r="F952" s="44">
        <v>35234365</v>
      </c>
      <c r="G952" s="1" t="str">
        <f>IFERROR(IF(ventas_b_mes684[[#This Row],[CUIT]]="","-",VLOOKUP(ventas_b_mes684[[#This Row],[CUIT]],Lista_CUIT[#All],2,0)),"CUIT NO CARGADO")</f>
        <v>CUIT NO CARGADO</v>
      </c>
      <c r="H952" s="64">
        <v>20661.16</v>
      </c>
      <c r="I952" s="64">
        <f>ventas_b_mes684[[#This Row],[IMPORTE NETO]]*0.21</f>
        <v>4338.8436000000002</v>
      </c>
      <c r="J952" s="64"/>
      <c r="K952" s="64"/>
      <c r="L952" s="64">
        <f>SUM(ventas_b_mes684[[#This Row],[IMPORTE NETO]:[EXENTO]])</f>
        <v>25000.0036</v>
      </c>
      <c r="M952" s="59"/>
    </row>
    <row r="953" spans="2:13">
      <c r="B953" s="40" t="s">
        <v>2308</v>
      </c>
      <c r="C953" s="41">
        <v>6</v>
      </c>
      <c r="D953" s="42">
        <v>11</v>
      </c>
      <c r="E953" s="43">
        <v>38093</v>
      </c>
      <c r="F953" s="44">
        <v>23138405</v>
      </c>
      <c r="G953" s="1" t="str">
        <f>IFERROR(IF(ventas_b_mes684[[#This Row],[CUIT]]="","-",VLOOKUP(ventas_b_mes684[[#This Row],[CUIT]],Lista_CUIT[#All],2,0)),"CUIT NO CARGADO")</f>
        <v>CUIT NO CARGADO</v>
      </c>
      <c r="H953" s="64">
        <v>45917.36</v>
      </c>
      <c r="I953" s="64">
        <f>ventas_b_mes684[[#This Row],[IMPORTE NETO]]*0.21</f>
        <v>9642.6455999999998</v>
      </c>
      <c r="J953" s="64"/>
      <c r="K953" s="64"/>
      <c r="L953" s="64">
        <f>SUM(ventas_b_mes684[[#This Row],[IMPORTE NETO]:[EXENTO]])</f>
        <v>55560.005600000004</v>
      </c>
      <c r="M953" s="59"/>
    </row>
    <row r="954" spans="2:13">
      <c r="B954" s="40" t="s">
        <v>2308</v>
      </c>
      <c r="C954" s="41">
        <v>6</v>
      </c>
      <c r="D954" s="42">
        <v>12</v>
      </c>
      <c r="E954" s="43">
        <v>29641</v>
      </c>
      <c r="F954" s="44">
        <v>31697394</v>
      </c>
      <c r="G954" s="1" t="str">
        <f>IFERROR(IF(ventas_b_mes684[[#This Row],[CUIT]]="","-",VLOOKUP(ventas_b_mes684[[#This Row],[CUIT]],Lista_CUIT[#All],2,0)),"CUIT NO CARGADO")</f>
        <v>CUIT NO CARGADO</v>
      </c>
      <c r="H954" s="64">
        <v>17175.66</v>
      </c>
      <c r="I954" s="64">
        <f>ventas_b_mes684[[#This Row],[IMPORTE NETO]]*0.21</f>
        <v>3606.8885999999998</v>
      </c>
      <c r="J954" s="64"/>
      <c r="K954" s="64"/>
      <c r="L954" s="64">
        <f>SUM(ventas_b_mes684[[#This Row],[IMPORTE NETO]:[EXENTO]])</f>
        <v>20782.548599999998</v>
      </c>
      <c r="M954" s="59"/>
    </row>
    <row r="955" spans="2:13">
      <c r="B955" s="40" t="s">
        <v>2308</v>
      </c>
      <c r="C955" s="41">
        <v>6</v>
      </c>
      <c r="D955" s="42">
        <v>15</v>
      </c>
      <c r="E955" s="43">
        <v>13202</v>
      </c>
      <c r="F955" s="44">
        <v>37018499</v>
      </c>
      <c r="G955" s="1" t="str">
        <f>IFERROR(IF(ventas_b_mes684[[#This Row],[CUIT]]="","-",VLOOKUP(ventas_b_mes684[[#This Row],[CUIT]],Lista_CUIT[#All],2,0)),"CUIT NO CARGADO")</f>
        <v>PINO, ROMINA (ALUMNA)</v>
      </c>
      <c r="H955" s="64">
        <v>11239.67</v>
      </c>
      <c r="I955" s="64">
        <f>ventas_b_mes684[[#This Row],[IMPORTE NETO]]*0.21</f>
        <v>2360.3307</v>
      </c>
      <c r="J955" s="64"/>
      <c r="K955" s="64"/>
      <c r="L955" s="64">
        <f>SUM(ventas_b_mes684[[#This Row],[IMPORTE NETO]:[EXENTO]])</f>
        <v>13600.000700000001</v>
      </c>
      <c r="M955" s="59"/>
    </row>
    <row r="956" spans="2:13">
      <c r="B956" s="40" t="s">
        <v>2308</v>
      </c>
      <c r="C956" s="41">
        <v>6</v>
      </c>
      <c r="D956" s="42">
        <v>11</v>
      </c>
      <c r="E956" s="43">
        <v>38103</v>
      </c>
      <c r="F956" s="44">
        <v>30716672707</v>
      </c>
      <c r="G956" s="1" t="str">
        <f>IFERROR(IF(ventas_b_mes684[[#This Row],[CUIT]]="","-",VLOOKUP(ventas_b_mes684[[#This Row],[CUIT]],Lista_CUIT[#All],2,0)),"CUIT NO CARGADO")</f>
        <v>CUIT NO CARGADO</v>
      </c>
      <c r="H956" s="64">
        <v>186438.02</v>
      </c>
      <c r="I956" s="64">
        <f>ventas_b_mes684[[#This Row],[IMPORTE NETO]]*0.21</f>
        <v>39151.984199999999</v>
      </c>
      <c r="J956" s="64"/>
      <c r="K956" s="64"/>
      <c r="L956" s="64">
        <f>SUM(ventas_b_mes684[[#This Row],[IMPORTE NETO]:[EXENTO]])</f>
        <v>225590.0042</v>
      </c>
      <c r="M956" s="59"/>
    </row>
    <row r="957" spans="2:13">
      <c r="B957" s="40" t="s">
        <v>2308</v>
      </c>
      <c r="C957" s="41">
        <v>6</v>
      </c>
      <c r="D957" s="42">
        <v>15</v>
      </c>
      <c r="E957" s="43">
        <v>13211</v>
      </c>
      <c r="F957" s="44">
        <v>31583535</v>
      </c>
      <c r="G957" s="1" t="str">
        <f>IFERROR(IF(ventas_b_mes684[[#This Row],[CUIT]]="","-",VLOOKUP(ventas_b_mes684[[#This Row],[CUIT]],Lista_CUIT[#All],2,0)),"CUIT NO CARGADO")</f>
        <v>CUIT NO CARGADO</v>
      </c>
      <c r="H957" s="64">
        <v>20661.16</v>
      </c>
      <c r="I957" s="64">
        <f>ventas_b_mes684[[#This Row],[IMPORTE NETO]]*0.21</f>
        <v>4338.8436000000002</v>
      </c>
      <c r="J957" s="64"/>
      <c r="K957" s="64"/>
      <c r="L957" s="64">
        <f>SUM(ventas_b_mes684[[#This Row],[IMPORTE NETO]:[EXENTO]])</f>
        <v>25000.0036</v>
      </c>
      <c r="M957" s="59"/>
    </row>
    <row r="958" spans="2:13">
      <c r="B958" s="40" t="s">
        <v>2308</v>
      </c>
      <c r="C958" s="41">
        <v>6</v>
      </c>
      <c r="D958" s="42">
        <v>12</v>
      </c>
      <c r="E958" s="43">
        <v>29646</v>
      </c>
      <c r="F958" s="44">
        <v>36689374</v>
      </c>
      <c r="G958" s="1" t="str">
        <f>IFERROR(IF(ventas_b_mes684[[#This Row],[CUIT]]="","-",VLOOKUP(ventas_b_mes684[[#This Row],[CUIT]],Lista_CUIT[#All],2,0)),"CUIT NO CARGADO")</f>
        <v>CUIT NO CARGADO</v>
      </c>
      <c r="H958" s="64">
        <v>20661.16</v>
      </c>
      <c r="I958" s="64">
        <f>ventas_b_mes684[[#This Row],[IMPORTE NETO]]*0.21</f>
        <v>4338.8436000000002</v>
      </c>
      <c r="J958" s="64"/>
      <c r="K958" s="64"/>
      <c r="L958" s="64">
        <f>SUM(ventas_b_mes684[[#This Row],[IMPORTE NETO]:[EXENTO]])</f>
        <v>25000.0036</v>
      </c>
      <c r="M958" s="59"/>
    </row>
    <row r="959" spans="2:13">
      <c r="B959" s="40" t="s">
        <v>2308</v>
      </c>
      <c r="C959" s="41">
        <v>6</v>
      </c>
      <c r="D959" s="42">
        <v>15</v>
      </c>
      <c r="E959" s="43">
        <v>13208</v>
      </c>
      <c r="F959" s="44">
        <v>45881541</v>
      </c>
      <c r="G959" s="1" t="str">
        <f>IFERROR(IF(ventas_b_mes684[[#This Row],[CUIT]]="","-",VLOOKUP(ventas_b_mes684[[#This Row],[CUIT]],Lista_CUIT[#All],2,0)),"CUIT NO CARGADO")</f>
        <v>CUIT NO CARGADO</v>
      </c>
      <c r="H959" s="64">
        <v>20661.16</v>
      </c>
      <c r="I959" s="64">
        <f>ventas_b_mes684[[#This Row],[IMPORTE NETO]]*0.21</f>
        <v>4338.8436000000002</v>
      </c>
      <c r="J959" s="64"/>
      <c r="K959" s="64"/>
      <c r="L959" s="64">
        <f>SUM(ventas_b_mes684[[#This Row],[IMPORTE NETO]:[EXENTO]])</f>
        <v>25000.0036</v>
      </c>
      <c r="M959" s="59"/>
    </row>
    <row r="960" spans="2:13">
      <c r="B960" s="40" t="s">
        <v>2308</v>
      </c>
      <c r="C960" s="41">
        <v>6</v>
      </c>
      <c r="D960" s="42">
        <v>15</v>
      </c>
      <c r="E960" s="43">
        <v>13209</v>
      </c>
      <c r="F960" s="44">
        <v>36329304</v>
      </c>
      <c r="G960" s="1" t="str">
        <f>IFERROR(IF(ventas_b_mes684[[#This Row],[CUIT]]="","-",VLOOKUP(ventas_b_mes684[[#This Row],[CUIT]],Lista_CUIT[#All],2,0)),"CUIT NO CARGADO")</f>
        <v>CUIT NO CARGADO</v>
      </c>
      <c r="H960" s="64">
        <v>8264.4599999999991</v>
      </c>
      <c r="I960" s="64">
        <f>ventas_b_mes684[[#This Row],[IMPORTE NETO]]*0.21</f>
        <v>1735.5365999999997</v>
      </c>
      <c r="J960" s="64"/>
      <c r="K960" s="64"/>
      <c r="L960" s="64">
        <f>SUM(ventas_b_mes684[[#This Row],[IMPORTE NETO]:[EXENTO]])</f>
        <v>9999.9965999999986</v>
      </c>
      <c r="M960" s="59"/>
    </row>
    <row r="961" spans="2:13">
      <c r="B961" s="40" t="s">
        <v>2308</v>
      </c>
      <c r="C961" s="41">
        <v>6</v>
      </c>
      <c r="D961" s="42">
        <v>13</v>
      </c>
      <c r="E961" s="43">
        <v>32463</v>
      </c>
      <c r="F961" s="44">
        <v>20560897</v>
      </c>
      <c r="G961" s="1" t="str">
        <f>IFERROR(IF(ventas_b_mes684[[#This Row],[CUIT]]="","-",VLOOKUP(ventas_b_mes684[[#This Row],[CUIT]],Lista_CUIT[#All],2,0)),"CUIT NO CARGADO")</f>
        <v>CUIT NO CARGADO</v>
      </c>
      <c r="H961" s="64">
        <v>3421.49</v>
      </c>
      <c r="I961" s="64">
        <f>ventas_b_mes684[[#This Row],[IMPORTE NETO]]*0.21</f>
        <v>718.51289999999995</v>
      </c>
      <c r="J961" s="64"/>
      <c r="K961" s="64"/>
      <c r="L961" s="64">
        <f>SUM(ventas_b_mes684[[#This Row],[IMPORTE NETO]:[EXENTO]])</f>
        <v>4140.0028999999995</v>
      </c>
      <c r="M961" s="59"/>
    </row>
    <row r="962" spans="2:13">
      <c r="B962" s="40" t="s">
        <v>2308</v>
      </c>
      <c r="C962" s="41">
        <v>6</v>
      </c>
      <c r="D962" s="42">
        <v>12</v>
      </c>
      <c r="E962" s="43">
        <v>29653</v>
      </c>
      <c r="F962" s="44">
        <v>39698784</v>
      </c>
      <c r="G962" s="1" t="str">
        <f>IFERROR(IF(ventas_b_mes684[[#This Row],[CUIT]]="","-",VLOOKUP(ventas_b_mes684[[#This Row],[CUIT]],Lista_CUIT[#All],2,0)),"CUIT NO CARGADO")</f>
        <v>CUIT NO CARGADO</v>
      </c>
      <c r="H962" s="64">
        <v>20661.16</v>
      </c>
      <c r="I962" s="64">
        <f>ventas_b_mes684[[#This Row],[IMPORTE NETO]]*0.21</f>
        <v>4338.8436000000002</v>
      </c>
      <c r="J962" s="64"/>
      <c r="K962" s="64"/>
      <c r="L962" s="64">
        <f>SUM(ventas_b_mes684[[#This Row],[IMPORTE NETO]:[EXENTO]])</f>
        <v>25000.0036</v>
      </c>
      <c r="M962" s="59"/>
    </row>
    <row r="963" spans="2:13">
      <c r="B963" s="40" t="s">
        <v>2308</v>
      </c>
      <c r="C963" s="41">
        <v>8</v>
      </c>
      <c r="D963" s="42">
        <v>11</v>
      </c>
      <c r="E963" s="43">
        <v>1034</v>
      </c>
      <c r="F963" s="44">
        <v>16398689</v>
      </c>
      <c r="G963" s="1" t="str">
        <f>IFERROR(IF(ventas_b_mes684[[#This Row],[CUIT]]="","-",VLOOKUP(ventas_b_mes684[[#This Row],[CUIT]],Lista_CUIT[#All],2,0)),"CUIT NO CARGADO")</f>
        <v>CUIT NO CARGADO</v>
      </c>
      <c r="H963" s="64">
        <v>-38140.49</v>
      </c>
      <c r="I963" s="64">
        <f>ventas_b_mes684[[#This Row],[IMPORTE NETO]]*0.21</f>
        <v>-8009.5028999999995</v>
      </c>
      <c r="J963" s="64"/>
      <c r="K963" s="64"/>
      <c r="L963" s="64">
        <f>SUM(ventas_b_mes684[[#This Row],[IMPORTE NETO]:[EXENTO]])</f>
        <v>-46149.992899999997</v>
      </c>
      <c r="M963" s="59"/>
    </row>
    <row r="964" spans="2:13">
      <c r="B964" s="40" t="s">
        <v>2309</v>
      </c>
      <c r="C964" s="41">
        <v>6</v>
      </c>
      <c r="D964" s="42">
        <v>12</v>
      </c>
      <c r="E964" s="43">
        <v>29660</v>
      </c>
      <c r="F964" s="44">
        <v>18552671</v>
      </c>
      <c r="G964" s="1" t="str">
        <f>IFERROR(IF(ventas_b_mes684[[#This Row],[CUIT]]="","-",VLOOKUP(ventas_b_mes684[[#This Row],[CUIT]],Lista_CUIT[#All],2,0)),"CUIT NO CARGADO")</f>
        <v>CUIT NO CARGADO</v>
      </c>
      <c r="H964" s="64">
        <v>23057.85</v>
      </c>
      <c r="I964" s="64">
        <f>ventas_b_mes684[[#This Row],[IMPORTE NETO]]*0.21</f>
        <v>4842.1484999999993</v>
      </c>
      <c r="J964" s="64"/>
      <c r="K964" s="64"/>
      <c r="L964" s="64">
        <f>SUM(ventas_b_mes684[[#This Row],[IMPORTE NETO]:[EXENTO]])</f>
        <v>27899.998499999998</v>
      </c>
      <c r="M964" s="59"/>
    </row>
    <row r="965" spans="2:13">
      <c r="B965" s="40" t="s">
        <v>2309</v>
      </c>
      <c r="C965" s="41">
        <v>6</v>
      </c>
      <c r="D965" s="42">
        <v>15</v>
      </c>
      <c r="E965" s="43">
        <v>13229</v>
      </c>
      <c r="F965" s="44">
        <v>43420651</v>
      </c>
      <c r="G965" s="1" t="str">
        <f>IFERROR(IF(ventas_b_mes684[[#This Row],[CUIT]]="","-",VLOOKUP(ventas_b_mes684[[#This Row],[CUIT]],Lista_CUIT[#All],2,0)),"CUIT NO CARGADO")</f>
        <v>CUIT NO CARGADO</v>
      </c>
      <c r="H965" s="64">
        <v>17979.34</v>
      </c>
      <c r="I965" s="64">
        <f>ventas_b_mes684[[#This Row],[IMPORTE NETO]]*0.21</f>
        <v>3775.6614</v>
      </c>
      <c r="J965" s="64"/>
      <c r="K965" s="64"/>
      <c r="L965" s="64">
        <f>SUM(ventas_b_mes684[[#This Row],[IMPORTE NETO]:[EXENTO]])</f>
        <v>21755.001400000001</v>
      </c>
      <c r="M965" s="59"/>
    </row>
    <row r="966" spans="2:13">
      <c r="B966" s="40" t="s">
        <v>2309</v>
      </c>
      <c r="C966" s="41">
        <v>6</v>
      </c>
      <c r="D966" s="42">
        <v>12</v>
      </c>
      <c r="E966" s="43">
        <v>29657</v>
      </c>
      <c r="F966" s="44">
        <v>94018712</v>
      </c>
      <c r="G966" s="1" t="str">
        <f>IFERROR(IF(ventas_b_mes684[[#This Row],[CUIT]]="","-",VLOOKUP(ventas_b_mes684[[#This Row],[CUIT]],Lista_CUIT[#All],2,0)),"CUIT NO CARGADO")</f>
        <v>CUIT NO CARGADO</v>
      </c>
      <c r="H966" s="64">
        <v>20661.16</v>
      </c>
      <c r="I966" s="64">
        <f>ventas_b_mes684[[#This Row],[IMPORTE NETO]]*0.21</f>
        <v>4338.8436000000002</v>
      </c>
      <c r="J966" s="64"/>
      <c r="K966" s="64"/>
      <c r="L966" s="64">
        <f>SUM(ventas_b_mes684[[#This Row],[IMPORTE NETO]:[EXENTO]])</f>
        <v>25000.0036</v>
      </c>
      <c r="M966" s="59"/>
    </row>
    <row r="967" spans="2:13">
      <c r="B967" s="40" t="s">
        <v>2309</v>
      </c>
      <c r="C967" s="41">
        <v>6</v>
      </c>
      <c r="D967" s="42">
        <v>15</v>
      </c>
      <c r="E967" s="43">
        <v>13236</v>
      </c>
      <c r="F967" s="44">
        <v>12760724</v>
      </c>
      <c r="G967" s="1" t="str">
        <f>IFERROR(IF(ventas_b_mes684[[#This Row],[CUIT]]="","-",VLOOKUP(ventas_b_mes684[[#This Row],[CUIT]],Lista_CUIT[#All],2,0)),"CUIT NO CARGADO")</f>
        <v>ROMAN BLANCA NOEMI</v>
      </c>
      <c r="H967" s="64">
        <v>15770.66</v>
      </c>
      <c r="I967" s="64">
        <f>ventas_b_mes684[[#This Row],[IMPORTE NETO]]*0.21</f>
        <v>3311.8386</v>
      </c>
      <c r="J967" s="64"/>
      <c r="K967" s="64"/>
      <c r="L967" s="64">
        <f>SUM(ventas_b_mes684[[#This Row],[IMPORTE NETO]:[EXENTO]])</f>
        <v>19082.498599999999</v>
      </c>
      <c r="M967" s="59"/>
    </row>
    <row r="968" spans="2:13">
      <c r="B968" s="40" t="s">
        <v>2309</v>
      </c>
      <c r="C968" s="41">
        <v>6</v>
      </c>
      <c r="D968" s="42">
        <v>13</v>
      </c>
      <c r="E968" s="43">
        <v>32484</v>
      </c>
      <c r="F968" s="44">
        <v>1111111</v>
      </c>
      <c r="G968" s="1" t="str">
        <f>IFERROR(IF(ventas_b_mes684[[#This Row],[CUIT]]="","-",VLOOKUP(ventas_b_mes684[[#This Row],[CUIT]],Lista_CUIT[#All],2,0)),"CUIT NO CARGADO")</f>
        <v>CUIT NO CARGADO</v>
      </c>
      <c r="H968" s="64">
        <v>15123.97</v>
      </c>
      <c r="I968" s="64">
        <f>ventas_b_mes684[[#This Row],[IMPORTE NETO]]*0.21</f>
        <v>3176.0337</v>
      </c>
      <c r="J968" s="64"/>
      <c r="K968" s="64"/>
      <c r="L968" s="64">
        <f>SUM(ventas_b_mes684[[#This Row],[IMPORTE NETO]:[EXENTO]])</f>
        <v>18300.003700000001</v>
      </c>
      <c r="M968" s="59"/>
    </row>
    <row r="969" spans="2:13">
      <c r="B969" s="40" t="s">
        <v>2309</v>
      </c>
      <c r="C969" s="41">
        <v>6</v>
      </c>
      <c r="D969" s="42">
        <v>13</v>
      </c>
      <c r="E969" s="43">
        <v>32485</v>
      </c>
      <c r="F969" s="44">
        <v>1111</v>
      </c>
      <c r="G969" s="1" t="str">
        <f>IFERROR(IF(ventas_b_mes684[[#This Row],[CUIT]]="","-",VLOOKUP(ventas_b_mes684[[#This Row],[CUIT]],Lista_CUIT[#All],2,0)),"CUIT NO CARGADO")</f>
        <v>CUIT NO CARGADO</v>
      </c>
      <c r="H969" s="64">
        <v>48966.9</v>
      </c>
      <c r="I969" s="64">
        <f>ventas_b_mes684[[#This Row],[IMPORTE NETO]]*0.21</f>
        <v>10283.048999999999</v>
      </c>
      <c r="J969" s="64"/>
      <c r="K969" s="64"/>
      <c r="L969" s="64">
        <f>SUM(ventas_b_mes684[[#This Row],[IMPORTE NETO]:[EXENTO]])</f>
        <v>59249.949000000001</v>
      </c>
      <c r="M969" s="59"/>
    </row>
    <row r="970" spans="2:13">
      <c r="B970" s="40" t="s">
        <v>2309</v>
      </c>
      <c r="C970" s="41">
        <v>6</v>
      </c>
      <c r="D970" s="42">
        <v>15</v>
      </c>
      <c r="E970" s="43">
        <v>13254</v>
      </c>
      <c r="F970" s="44">
        <v>42622446</v>
      </c>
      <c r="G970" s="1" t="str">
        <f>IFERROR(IF(ventas_b_mes684[[#This Row],[CUIT]]="","-",VLOOKUP(ventas_b_mes684[[#This Row],[CUIT]],Lista_CUIT[#All],2,0)),"CUIT NO CARGADO")</f>
        <v>SORIA, AYLEN CAMILA (ALUMNA)</v>
      </c>
      <c r="H970" s="64">
        <v>20545.45</v>
      </c>
      <c r="I970" s="64">
        <f>ventas_b_mes684[[#This Row],[IMPORTE NETO]]*0.21</f>
        <v>4314.5445</v>
      </c>
      <c r="J970" s="64"/>
      <c r="K970" s="64"/>
      <c r="L970" s="64">
        <f>SUM(ventas_b_mes684[[#This Row],[IMPORTE NETO]:[EXENTO]])</f>
        <v>24859.994500000001</v>
      </c>
      <c r="M970" s="59"/>
    </row>
    <row r="971" spans="2:13">
      <c r="B971" s="40" t="s">
        <v>2309</v>
      </c>
      <c r="C971" s="41">
        <v>6</v>
      </c>
      <c r="D971" s="42">
        <v>12</v>
      </c>
      <c r="E971" s="43">
        <v>29662</v>
      </c>
      <c r="F971" s="44">
        <v>6043840</v>
      </c>
      <c r="G971" s="1" t="str">
        <f>IFERROR(IF(ventas_b_mes684[[#This Row],[CUIT]]="","-",VLOOKUP(ventas_b_mes684[[#This Row],[CUIT]],Lista_CUIT[#All],2,0)),"CUIT NO CARGADO")</f>
        <v>CUIT NO CARGADO</v>
      </c>
      <c r="H971" s="64">
        <v>6611.57</v>
      </c>
      <c r="I971" s="64">
        <f>ventas_b_mes684[[#This Row],[IMPORTE NETO]]*0.21</f>
        <v>1388.4296999999999</v>
      </c>
      <c r="J971" s="64"/>
      <c r="K971" s="64"/>
      <c r="L971" s="64">
        <f>SUM(ventas_b_mes684[[#This Row],[IMPORTE NETO]:[EXENTO]])</f>
        <v>7999.9996999999994</v>
      </c>
      <c r="M971" s="59"/>
    </row>
    <row r="972" spans="2:13">
      <c r="B972" s="40" t="s">
        <v>2309</v>
      </c>
      <c r="C972" s="41">
        <v>6</v>
      </c>
      <c r="D972" s="42">
        <v>15</v>
      </c>
      <c r="E972" s="43">
        <v>13237</v>
      </c>
      <c r="F972" s="44">
        <v>32323705</v>
      </c>
      <c r="G972" s="1" t="str">
        <f>IFERROR(IF(ventas_b_mes684[[#This Row],[CUIT]]="","-",VLOOKUP(ventas_b_mes684[[#This Row],[CUIT]],Lista_CUIT[#All],2,0)),"CUIT NO CARGADO")</f>
        <v>CUIT NO CARGADO</v>
      </c>
      <c r="H972" s="64">
        <v>13223.14</v>
      </c>
      <c r="I972" s="64">
        <f>ventas_b_mes684[[#This Row],[IMPORTE NETO]]*0.21</f>
        <v>2776.8593999999998</v>
      </c>
      <c r="J972" s="64"/>
      <c r="K972" s="64"/>
      <c r="L972" s="64">
        <f>SUM(ventas_b_mes684[[#This Row],[IMPORTE NETO]:[EXENTO]])</f>
        <v>15999.999399999999</v>
      </c>
      <c r="M972" s="59"/>
    </row>
    <row r="973" spans="2:13">
      <c r="B973" s="40" t="s">
        <v>2309</v>
      </c>
      <c r="C973" s="41">
        <v>6</v>
      </c>
      <c r="D973" s="42">
        <v>15</v>
      </c>
      <c r="E973" s="43">
        <v>13248</v>
      </c>
      <c r="F973" s="44">
        <v>23085723</v>
      </c>
      <c r="G973" s="1" t="str">
        <f>IFERROR(IF(ventas_b_mes684[[#This Row],[CUIT]]="","-",VLOOKUP(ventas_b_mes684[[#This Row],[CUIT]],Lista_CUIT[#All],2,0)),"CUIT NO CARGADO")</f>
        <v>CUIT NO CARGADO</v>
      </c>
      <c r="H973" s="64">
        <v>8966.94</v>
      </c>
      <c r="I973" s="64">
        <f>ventas_b_mes684[[#This Row],[IMPORTE NETO]]*0.21</f>
        <v>1883.0574000000001</v>
      </c>
      <c r="J973" s="64"/>
      <c r="K973" s="64"/>
      <c r="L973" s="64">
        <f>SUM(ventas_b_mes684[[#This Row],[IMPORTE NETO]:[EXENTO]])</f>
        <v>10849.9974</v>
      </c>
      <c r="M973" s="59"/>
    </row>
    <row r="974" spans="2:13">
      <c r="B974" s="40" t="s">
        <v>2309</v>
      </c>
      <c r="C974" s="41">
        <v>6</v>
      </c>
      <c r="D974" s="42">
        <v>12</v>
      </c>
      <c r="E974" s="43">
        <v>29668</v>
      </c>
      <c r="F974" s="44">
        <v>35190282</v>
      </c>
      <c r="G974" s="1" t="str">
        <f>IFERROR(IF(ventas_b_mes684[[#This Row],[CUIT]]="","-",VLOOKUP(ventas_b_mes684[[#This Row],[CUIT]],Lista_CUIT[#All],2,0)),"CUIT NO CARGADO")</f>
        <v>CUIT NO CARGADO</v>
      </c>
      <c r="H974" s="64">
        <v>8140.5</v>
      </c>
      <c r="I974" s="64">
        <f>ventas_b_mes684[[#This Row],[IMPORTE NETO]]*0.21</f>
        <v>1709.5049999999999</v>
      </c>
      <c r="J974" s="64"/>
      <c r="K974" s="64"/>
      <c r="L974" s="64">
        <f>SUM(ventas_b_mes684[[#This Row],[IMPORTE NETO]:[EXENTO]])</f>
        <v>9850.0049999999992</v>
      </c>
      <c r="M974" s="59"/>
    </row>
    <row r="975" spans="2:13">
      <c r="B975" s="40" t="s">
        <v>2309</v>
      </c>
      <c r="C975" s="41">
        <v>6</v>
      </c>
      <c r="D975" s="42">
        <v>12</v>
      </c>
      <c r="E975" s="43">
        <v>29674</v>
      </c>
      <c r="F975" s="44">
        <v>43442785</v>
      </c>
      <c r="G975" s="1" t="str">
        <f>IFERROR(IF(ventas_b_mes684[[#This Row],[CUIT]]="","-",VLOOKUP(ventas_b_mes684[[#This Row],[CUIT]],Lista_CUIT[#All],2,0)),"CUIT NO CARGADO")</f>
        <v>CUIT NO CARGADO</v>
      </c>
      <c r="H975" s="64">
        <v>20661.16</v>
      </c>
      <c r="I975" s="64">
        <f>ventas_b_mes684[[#This Row],[IMPORTE NETO]]*0.21</f>
        <v>4338.8436000000002</v>
      </c>
      <c r="J975" s="64"/>
      <c r="K975" s="64"/>
      <c r="L975" s="64">
        <f>SUM(ventas_b_mes684[[#This Row],[IMPORTE NETO]:[EXENTO]])</f>
        <v>25000.0036</v>
      </c>
      <c r="M975" s="59"/>
    </row>
    <row r="976" spans="2:13">
      <c r="B976" s="40" t="s">
        <v>2309</v>
      </c>
      <c r="C976" s="41">
        <v>6</v>
      </c>
      <c r="D976" s="42">
        <v>12</v>
      </c>
      <c r="E976" s="43">
        <v>29676</v>
      </c>
      <c r="F976" s="44">
        <v>28112929</v>
      </c>
      <c r="G976" s="1" t="str">
        <f>IFERROR(IF(ventas_b_mes684[[#This Row],[CUIT]]="","-",VLOOKUP(ventas_b_mes684[[#This Row],[CUIT]],Lista_CUIT[#All],2,0)),"CUIT NO CARGADO")</f>
        <v>CUIT NO CARGADO</v>
      </c>
      <c r="H976" s="64">
        <v>16272.73</v>
      </c>
      <c r="I976" s="64">
        <f>ventas_b_mes684[[#This Row],[IMPORTE NETO]]*0.21</f>
        <v>3417.2732999999998</v>
      </c>
      <c r="J976" s="64"/>
      <c r="K976" s="64"/>
      <c r="L976" s="64">
        <f>SUM(ventas_b_mes684[[#This Row],[IMPORTE NETO]:[EXENTO]])</f>
        <v>19690.0033</v>
      </c>
      <c r="M976" s="59"/>
    </row>
    <row r="977" spans="2:13">
      <c r="B977" s="40" t="s">
        <v>2309</v>
      </c>
      <c r="C977" s="41">
        <v>6</v>
      </c>
      <c r="D977" s="42">
        <v>12</v>
      </c>
      <c r="E977" s="43">
        <v>29675</v>
      </c>
      <c r="F977" s="44">
        <v>23804320</v>
      </c>
      <c r="G977" s="1" t="str">
        <f>IFERROR(IF(ventas_b_mes684[[#This Row],[CUIT]]="","-",VLOOKUP(ventas_b_mes684[[#This Row],[CUIT]],Lista_CUIT[#All],2,0)),"CUIT NO CARGADO")</f>
        <v>CUIT NO CARGADO</v>
      </c>
      <c r="H977" s="64">
        <v>35644.629999999997</v>
      </c>
      <c r="I977" s="64">
        <f>ventas_b_mes684[[#This Row],[IMPORTE NETO]]*0.21</f>
        <v>7485.3722999999991</v>
      </c>
      <c r="J977" s="64"/>
      <c r="K977" s="64"/>
      <c r="L977" s="64">
        <f>SUM(ventas_b_mes684[[#This Row],[IMPORTE NETO]:[EXENTO]])</f>
        <v>43130.002299999993</v>
      </c>
      <c r="M977" s="59"/>
    </row>
    <row r="978" spans="2:13">
      <c r="B978" s="40" t="s">
        <v>2309</v>
      </c>
      <c r="C978" s="41">
        <v>6</v>
      </c>
      <c r="D978" s="42">
        <v>10</v>
      </c>
      <c r="E978" s="43">
        <v>54463</v>
      </c>
      <c r="F978" s="44">
        <v>95590960</v>
      </c>
      <c r="G978" s="1" t="str">
        <f>IFERROR(IF(ventas_b_mes684[[#This Row],[CUIT]]="","-",VLOOKUP(ventas_b_mes684[[#This Row],[CUIT]],Lista_CUIT[#All],2,0)),"CUIT NO CARGADO")</f>
        <v>CUIT NO CARGADO</v>
      </c>
      <c r="H978" s="64">
        <v>10041.32</v>
      </c>
      <c r="I978" s="64">
        <f>ventas_b_mes684[[#This Row],[IMPORTE NETO]]*0.21</f>
        <v>2108.6772000000001</v>
      </c>
      <c r="J978" s="64"/>
      <c r="K978" s="64"/>
      <c r="L978" s="64">
        <f>SUM(ventas_b_mes684[[#This Row],[IMPORTE NETO]:[EXENTO]])</f>
        <v>12149.9972</v>
      </c>
      <c r="M978" s="59"/>
    </row>
    <row r="979" spans="2:13">
      <c r="B979" s="40" t="s">
        <v>2309</v>
      </c>
      <c r="C979" s="41">
        <v>6</v>
      </c>
      <c r="D979" s="42">
        <v>12</v>
      </c>
      <c r="E979" s="43">
        <v>29655</v>
      </c>
      <c r="F979" s="44">
        <v>25340074</v>
      </c>
      <c r="G979" s="1" t="str">
        <f>IFERROR(IF(ventas_b_mes684[[#This Row],[CUIT]]="","-",VLOOKUP(ventas_b_mes684[[#This Row],[CUIT]],Lista_CUIT[#All],2,0)),"CUIT NO CARGADO")</f>
        <v>CUIT NO CARGADO</v>
      </c>
      <c r="H979" s="64">
        <v>58892.57</v>
      </c>
      <c r="I979" s="64">
        <f>ventas_b_mes684[[#This Row],[IMPORTE NETO]]*0.21</f>
        <v>12367.439699999999</v>
      </c>
      <c r="J979" s="64"/>
      <c r="K979" s="64"/>
      <c r="L979" s="64">
        <f>SUM(ventas_b_mes684[[#This Row],[IMPORTE NETO]:[EXENTO]])</f>
        <v>71260.009699999995</v>
      </c>
      <c r="M979" s="59"/>
    </row>
    <row r="980" spans="2:13">
      <c r="B980" s="40" t="s">
        <v>2309</v>
      </c>
      <c r="C980" s="41">
        <v>6</v>
      </c>
      <c r="D980" s="42">
        <v>10</v>
      </c>
      <c r="E980" s="43">
        <v>54454</v>
      </c>
      <c r="F980" s="44">
        <v>93902266</v>
      </c>
      <c r="G980" s="1" t="str">
        <f>IFERROR(IF(ventas_b_mes684[[#This Row],[CUIT]]="","-",VLOOKUP(ventas_b_mes684[[#This Row],[CUIT]],Lista_CUIT[#All],2,0)),"CUIT NO CARGADO")</f>
        <v>CUIT NO CARGADO</v>
      </c>
      <c r="H980" s="64">
        <v>14876.03</v>
      </c>
      <c r="I980" s="64">
        <f>ventas_b_mes684[[#This Row],[IMPORTE NETO]]*0.21</f>
        <v>3123.9663</v>
      </c>
      <c r="J980" s="64"/>
      <c r="K980" s="64"/>
      <c r="L980" s="64">
        <f>SUM(ventas_b_mes684[[#This Row],[IMPORTE NETO]:[EXENTO]])</f>
        <v>17999.996299999999</v>
      </c>
      <c r="M980" s="59"/>
    </row>
    <row r="981" spans="2:13">
      <c r="B981" s="40" t="s">
        <v>2309</v>
      </c>
      <c r="C981" s="41">
        <v>6</v>
      </c>
      <c r="D981" s="42">
        <v>15</v>
      </c>
      <c r="E981" s="43">
        <v>13227</v>
      </c>
      <c r="F981" s="44">
        <v>11001660</v>
      </c>
      <c r="G981" s="1" t="str">
        <f>IFERROR(IF(ventas_b_mes684[[#This Row],[CUIT]]="","-",VLOOKUP(ventas_b_mes684[[#This Row],[CUIT]],Lista_CUIT[#All],2,0)),"CUIT NO CARGADO")</f>
        <v>GONZALEZ, MABEL</v>
      </c>
      <c r="H981" s="64">
        <v>17148.759999999998</v>
      </c>
      <c r="I981" s="64">
        <f>ventas_b_mes684[[#This Row],[IMPORTE NETO]]*0.21</f>
        <v>3601.2395999999994</v>
      </c>
      <c r="J981" s="64"/>
      <c r="K981" s="64"/>
      <c r="L981" s="64">
        <f>SUM(ventas_b_mes684[[#This Row],[IMPORTE NETO]:[EXENTO]])</f>
        <v>20749.999599999999</v>
      </c>
      <c r="M981" s="59"/>
    </row>
    <row r="982" spans="2:13">
      <c r="B982" s="40" t="s">
        <v>2309</v>
      </c>
      <c r="C982" s="41">
        <v>6</v>
      </c>
      <c r="D982" s="42">
        <v>11</v>
      </c>
      <c r="E982" s="43">
        <v>38120</v>
      </c>
      <c r="F982" s="44">
        <v>21837932</v>
      </c>
      <c r="G982" s="1" t="str">
        <f>IFERROR(IF(ventas_b_mes684[[#This Row],[CUIT]]="","-",VLOOKUP(ventas_b_mes684[[#This Row],[CUIT]],Lista_CUIT[#All],2,0)),"CUIT NO CARGADO")</f>
        <v>CUIT NO CARGADO</v>
      </c>
      <c r="H982" s="64">
        <v>37685.949999999997</v>
      </c>
      <c r="I982" s="64">
        <f>ventas_b_mes684[[#This Row],[IMPORTE NETO]]*0.21</f>
        <v>7914.0494999999992</v>
      </c>
      <c r="J982" s="64"/>
      <c r="K982" s="64"/>
      <c r="L982" s="64">
        <f>SUM(ventas_b_mes684[[#This Row],[IMPORTE NETO]:[EXENTO]])</f>
        <v>45599.999499999998</v>
      </c>
      <c r="M982" s="59"/>
    </row>
    <row r="983" spans="2:13">
      <c r="B983" s="40" t="s">
        <v>2309</v>
      </c>
      <c r="C983" s="41">
        <v>6</v>
      </c>
      <c r="D983" s="42">
        <v>15</v>
      </c>
      <c r="E983" s="43">
        <v>13256</v>
      </c>
      <c r="F983" s="44">
        <v>22879235</v>
      </c>
      <c r="G983" s="1" t="str">
        <f>IFERROR(IF(ventas_b_mes684[[#This Row],[CUIT]]="","-",VLOOKUP(ventas_b_mes684[[#This Row],[CUIT]],Lista_CUIT[#All],2,0)),"CUIT NO CARGADO")</f>
        <v>CUIT NO CARGADO</v>
      </c>
      <c r="H983" s="64">
        <v>73504.960000000006</v>
      </c>
      <c r="I983" s="64">
        <f>ventas_b_mes684[[#This Row],[IMPORTE NETO]]*0.21</f>
        <v>15436.0416</v>
      </c>
      <c r="J983" s="64"/>
      <c r="K983" s="64"/>
      <c r="L983" s="64">
        <f>SUM(ventas_b_mes684[[#This Row],[IMPORTE NETO]:[EXENTO]])</f>
        <v>88941.001600000003</v>
      </c>
      <c r="M983" s="59"/>
    </row>
    <row r="984" spans="2:13">
      <c r="B984" s="40" t="s">
        <v>2309</v>
      </c>
      <c r="C984" s="41">
        <v>6</v>
      </c>
      <c r="D984" s="42">
        <v>12</v>
      </c>
      <c r="E984" s="43">
        <v>29667</v>
      </c>
      <c r="F984" s="44">
        <v>25376481</v>
      </c>
      <c r="G984" s="1" t="str">
        <f>IFERROR(IF(ventas_b_mes684[[#This Row],[CUIT]]="","-",VLOOKUP(ventas_b_mes684[[#This Row],[CUIT]],Lista_CUIT[#All],2,0)),"CUIT NO CARGADO")</f>
        <v>CUIT NO CARGADO</v>
      </c>
      <c r="H984" s="64">
        <v>5950.41</v>
      </c>
      <c r="I984" s="64">
        <f>ventas_b_mes684[[#This Row],[IMPORTE NETO]]*0.21</f>
        <v>1249.5861</v>
      </c>
      <c r="J984" s="64"/>
      <c r="K984" s="64"/>
      <c r="L984" s="64">
        <f>SUM(ventas_b_mes684[[#This Row],[IMPORTE NETO]:[EXENTO]])</f>
        <v>7199.9961000000003</v>
      </c>
      <c r="M984" s="59"/>
    </row>
    <row r="985" spans="2:13">
      <c r="B985" s="40" t="s">
        <v>2309</v>
      </c>
      <c r="C985" s="41">
        <v>6</v>
      </c>
      <c r="D985" s="42">
        <v>15</v>
      </c>
      <c r="E985" s="43">
        <v>13240</v>
      </c>
      <c r="F985" s="44">
        <v>41737843</v>
      </c>
      <c r="G985" s="1" t="str">
        <f>IFERROR(IF(ventas_b_mes684[[#This Row],[CUIT]]="","-",VLOOKUP(ventas_b_mes684[[#This Row],[CUIT]],Lista_CUIT[#All],2,0)),"CUIT NO CARGADO")</f>
        <v>MUÑOZ, ROCIO</v>
      </c>
      <c r="H985" s="64">
        <v>25371.9</v>
      </c>
      <c r="I985" s="64">
        <f>ventas_b_mes684[[#This Row],[IMPORTE NETO]]*0.21</f>
        <v>5328.0990000000002</v>
      </c>
      <c r="J985" s="64"/>
      <c r="K985" s="64"/>
      <c r="L985" s="64">
        <f>SUM(ventas_b_mes684[[#This Row],[IMPORTE NETO]:[EXENTO]])</f>
        <v>30699.999000000003</v>
      </c>
      <c r="M985" s="59"/>
    </row>
    <row r="986" spans="2:13">
      <c r="B986" s="40" t="s">
        <v>2309</v>
      </c>
      <c r="C986" s="41">
        <v>6</v>
      </c>
      <c r="D986" s="42">
        <v>13</v>
      </c>
      <c r="E986" s="43">
        <v>32480</v>
      </c>
      <c r="F986" s="44">
        <v>20560897</v>
      </c>
      <c r="G986" s="1" t="str">
        <f>IFERROR(IF(ventas_b_mes684[[#This Row],[CUIT]]="","-",VLOOKUP(ventas_b_mes684[[#This Row],[CUIT]],Lista_CUIT[#All],2,0)),"CUIT NO CARGADO")</f>
        <v>CUIT NO CARGADO</v>
      </c>
      <c r="H986" s="64">
        <v>36942.15</v>
      </c>
      <c r="I986" s="64">
        <f>ventas_b_mes684[[#This Row],[IMPORTE NETO]]*0.21</f>
        <v>7757.8514999999998</v>
      </c>
      <c r="J986" s="64"/>
      <c r="K986" s="64"/>
      <c r="L986" s="64">
        <f>SUM(ventas_b_mes684[[#This Row],[IMPORTE NETO]:[EXENTO]])</f>
        <v>44700.001499999998</v>
      </c>
      <c r="M986" s="59"/>
    </row>
    <row r="987" spans="2:13">
      <c r="B987" s="40" t="s">
        <v>2309</v>
      </c>
      <c r="C987" s="41">
        <v>6</v>
      </c>
      <c r="D987" s="42">
        <v>12</v>
      </c>
      <c r="E987" s="43">
        <v>29656</v>
      </c>
      <c r="F987" s="44">
        <v>21796306</v>
      </c>
      <c r="G987" s="1" t="str">
        <f>IFERROR(IF(ventas_b_mes684[[#This Row],[CUIT]]="","-",VLOOKUP(ventas_b_mes684[[#This Row],[CUIT]],Lista_CUIT[#All],2,0)),"CUIT NO CARGADO")</f>
        <v>CUIT NO CARGADO</v>
      </c>
      <c r="H987" s="64">
        <v>20661.16</v>
      </c>
      <c r="I987" s="64">
        <f>ventas_b_mes684[[#This Row],[IMPORTE NETO]]*0.21</f>
        <v>4338.8436000000002</v>
      </c>
      <c r="J987" s="64"/>
      <c r="K987" s="64"/>
      <c r="L987" s="64">
        <f>SUM(ventas_b_mes684[[#This Row],[IMPORTE NETO]:[EXENTO]])</f>
        <v>25000.0036</v>
      </c>
      <c r="M987" s="59"/>
    </row>
    <row r="988" spans="2:13">
      <c r="B988" s="40" t="s">
        <v>2309</v>
      </c>
      <c r="C988" s="41">
        <v>6</v>
      </c>
      <c r="D988" s="42">
        <v>10</v>
      </c>
      <c r="E988" s="43">
        <v>54448</v>
      </c>
      <c r="F988" s="44">
        <v>23453780</v>
      </c>
      <c r="G988" s="1" t="str">
        <f>IFERROR(IF(ventas_b_mes684[[#This Row],[CUIT]]="","-",VLOOKUP(ventas_b_mes684[[#This Row],[CUIT]],Lista_CUIT[#All],2,0)),"CUIT NO CARGADO")</f>
        <v>CUIT NO CARGADO</v>
      </c>
      <c r="H988" s="64">
        <v>8264.4599999999991</v>
      </c>
      <c r="I988" s="64">
        <f>ventas_b_mes684[[#This Row],[IMPORTE NETO]]*0.21</f>
        <v>1735.5365999999997</v>
      </c>
      <c r="J988" s="64"/>
      <c r="K988" s="64"/>
      <c r="L988" s="64">
        <f>SUM(ventas_b_mes684[[#This Row],[IMPORTE NETO]:[EXENTO]])</f>
        <v>9999.9965999999986</v>
      </c>
      <c r="M988" s="59"/>
    </row>
    <row r="989" spans="2:13">
      <c r="B989" s="40" t="s">
        <v>2309</v>
      </c>
      <c r="C989" s="41">
        <v>6</v>
      </c>
      <c r="D989" s="42">
        <v>15</v>
      </c>
      <c r="E989" s="43">
        <v>13225</v>
      </c>
      <c r="F989" s="44">
        <v>35892018</v>
      </c>
      <c r="G989" s="1" t="str">
        <f>IFERROR(IF(ventas_b_mes684[[#This Row],[CUIT]]="","-",VLOOKUP(ventas_b_mes684[[#This Row],[CUIT]],Lista_CUIT[#All],2,0)),"CUIT NO CARGADO")</f>
        <v>CUIT NO CARGADO</v>
      </c>
      <c r="H989" s="64">
        <v>20661.16</v>
      </c>
      <c r="I989" s="64">
        <f>ventas_b_mes684[[#This Row],[IMPORTE NETO]]*0.21</f>
        <v>4338.8436000000002</v>
      </c>
      <c r="J989" s="64"/>
      <c r="K989" s="64"/>
      <c r="L989" s="64">
        <f>SUM(ventas_b_mes684[[#This Row],[IMPORTE NETO]:[EXENTO]])</f>
        <v>25000.0036</v>
      </c>
      <c r="M989" s="59"/>
    </row>
    <row r="990" spans="2:13">
      <c r="B990" s="40" t="s">
        <v>2309</v>
      </c>
      <c r="C990" s="41">
        <v>6</v>
      </c>
      <c r="D990" s="42">
        <v>15</v>
      </c>
      <c r="E990" s="43">
        <v>13243</v>
      </c>
      <c r="F990" s="44">
        <v>40305790</v>
      </c>
      <c r="G990" s="1" t="str">
        <f>IFERROR(IF(ventas_b_mes684[[#This Row],[CUIT]]="","-",VLOOKUP(ventas_b_mes684[[#This Row],[CUIT]],Lista_CUIT[#All],2,0)),"CUIT NO CARGADO")</f>
        <v>CUIT NO CARGADO</v>
      </c>
      <c r="H990" s="64">
        <v>20661.16</v>
      </c>
      <c r="I990" s="64">
        <f>ventas_b_mes684[[#This Row],[IMPORTE NETO]]*0.21</f>
        <v>4338.8436000000002</v>
      </c>
      <c r="J990" s="64"/>
      <c r="K990" s="64"/>
      <c r="L990" s="64">
        <f>SUM(ventas_b_mes684[[#This Row],[IMPORTE NETO]:[EXENTO]])</f>
        <v>25000.0036</v>
      </c>
      <c r="M990" s="59"/>
    </row>
    <row r="991" spans="2:13">
      <c r="B991" s="40" t="s">
        <v>2309</v>
      </c>
      <c r="C991" s="41">
        <v>6</v>
      </c>
      <c r="D991" s="42">
        <v>13</v>
      </c>
      <c r="E991" s="43">
        <v>32476</v>
      </c>
      <c r="F991" s="44">
        <v>19077399</v>
      </c>
      <c r="G991" s="1" t="str">
        <f>IFERROR(IF(ventas_b_mes684[[#This Row],[CUIT]]="","-",VLOOKUP(ventas_b_mes684[[#This Row],[CUIT]],Lista_CUIT[#All],2,0)),"CUIT NO CARGADO")</f>
        <v>CUIT NO CARGADO</v>
      </c>
      <c r="H991" s="64">
        <v>22644.63</v>
      </c>
      <c r="I991" s="64">
        <f>ventas_b_mes684[[#This Row],[IMPORTE NETO]]*0.21</f>
        <v>4755.3723</v>
      </c>
      <c r="J991" s="64"/>
      <c r="K991" s="64"/>
      <c r="L991" s="64">
        <f>SUM(ventas_b_mes684[[#This Row],[IMPORTE NETO]:[EXENTO]])</f>
        <v>27400.0023</v>
      </c>
      <c r="M991" s="59"/>
    </row>
    <row r="992" spans="2:13">
      <c r="B992" s="40" t="s">
        <v>2309</v>
      </c>
      <c r="C992" s="41">
        <v>6</v>
      </c>
      <c r="D992" s="42">
        <v>11</v>
      </c>
      <c r="E992" s="43">
        <v>38115</v>
      </c>
      <c r="F992" s="44">
        <v>33587963</v>
      </c>
      <c r="G992" s="1" t="str">
        <f>IFERROR(IF(ventas_b_mes684[[#This Row],[CUIT]]="","-",VLOOKUP(ventas_b_mes684[[#This Row],[CUIT]],Lista_CUIT[#All],2,0)),"CUIT NO CARGADO")</f>
        <v>CUIT NO CARGADO</v>
      </c>
      <c r="H992" s="64">
        <v>13181.82</v>
      </c>
      <c r="I992" s="64">
        <f>ventas_b_mes684[[#This Row],[IMPORTE NETO]]*0.21</f>
        <v>2768.1821999999997</v>
      </c>
      <c r="J992" s="64"/>
      <c r="K992" s="64"/>
      <c r="L992" s="64">
        <f>SUM(ventas_b_mes684[[#This Row],[IMPORTE NETO]:[EXENTO]])</f>
        <v>15950.002199999999</v>
      </c>
      <c r="M992" s="59"/>
    </row>
    <row r="993" spans="2:13">
      <c r="B993" s="40" t="s">
        <v>2309</v>
      </c>
      <c r="C993" s="41">
        <v>6</v>
      </c>
      <c r="D993" s="42">
        <v>12</v>
      </c>
      <c r="E993" s="43">
        <v>29665</v>
      </c>
      <c r="F993" s="44">
        <v>25538119</v>
      </c>
      <c r="G993" s="1" t="str">
        <f>IFERROR(IF(ventas_b_mes684[[#This Row],[CUIT]]="","-",VLOOKUP(ventas_b_mes684[[#This Row],[CUIT]],Lista_CUIT[#All],2,0)),"CUIT NO CARGADO")</f>
        <v>CUIT NO CARGADO</v>
      </c>
      <c r="H993" s="64">
        <v>55165.29</v>
      </c>
      <c r="I993" s="64">
        <f>ventas_b_mes684[[#This Row],[IMPORTE NETO]]*0.21</f>
        <v>11584.7109</v>
      </c>
      <c r="J993" s="64"/>
      <c r="K993" s="64"/>
      <c r="L993" s="64">
        <f>SUM(ventas_b_mes684[[#This Row],[IMPORTE NETO]:[EXENTO]])</f>
        <v>66750.000899999999</v>
      </c>
      <c r="M993" s="59"/>
    </row>
    <row r="994" spans="2:13">
      <c r="B994" s="40" t="s">
        <v>2309</v>
      </c>
      <c r="C994" s="41">
        <v>6</v>
      </c>
      <c r="D994" s="42">
        <v>15</v>
      </c>
      <c r="E994" s="43">
        <v>13224</v>
      </c>
      <c r="F994" s="44">
        <v>34898833</v>
      </c>
      <c r="G994" s="1" t="str">
        <f>IFERROR(IF(ventas_b_mes684[[#This Row],[CUIT]]="","-",VLOOKUP(ventas_b_mes684[[#This Row],[CUIT]],Lista_CUIT[#All],2,0)),"CUIT NO CARGADO")</f>
        <v>CUIT NO CARGADO</v>
      </c>
      <c r="H994" s="64">
        <v>6537.19</v>
      </c>
      <c r="I994" s="64">
        <f>ventas_b_mes684[[#This Row],[IMPORTE NETO]]*0.21</f>
        <v>1372.8099</v>
      </c>
      <c r="J994" s="64"/>
      <c r="K994" s="64"/>
      <c r="L994" s="64">
        <f>SUM(ventas_b_mes684[[#This Row],[IMPORTE NETO]:[EXENTO]])</f>
        <v>7909.9998999999998</v>
      </c>
      <c r="M994" s="59"/>
    </row>
    <row r="995" spans="2:13">
      <c r="B995" s="40" t="s">
        <v>2309</v>
      </c>
      <c r="C995" s="41">
        <v>6</v>
      </c>
      <c r="D995" s="42">
        <v>11</v>
      </c>
      <c r="E995" s="43">
        <v>38110</v>
      </c>
      <c r="F995" s="44">
        <v>91355478</v>
      </c>
      <c r="G995" s="1" t="str">
        <f>IFERROR(IF(ventas_b_mes684[[#This Row],[CUIT]]="","-",VLOOKUP(ventas_b_mes684[[#This Row],[CUIT]],Lista_CUIT[#All],2,0)),"CUIT NO CARGADO")</f>
        <v>CUIT NO CARGADO</v>
      </c>
      <c r="H995" s="64">
        <v>30942.15</v>
      </c>
      <c r="I995" s="64">
        <f>ventas_b_mes684[[#This Row],[IMPORTE NETO]]*0.21</f>
        <v>6497.8514999999998</v>
      </c>
      <c r="J995" s="64"/>
      <c r="K995" s="64"/>
      <c r="L995" s="64">
        <f>SUM(ventas_b_mes684[[#This Row],[IMPORTE NETO]:[EXENTO]])</f>
        <v>37440.001499999998</v>
      </c>
      <c r="M995" s="59"/>
    </row>
    <row r="996" spans="2:13">
      <c r="B996" s="40" t="s">
        <v>2309</v>
      </c>
      <c r="C996" s="41">
        <v>6</v>
      </c>
      <c r="D996" s="42">
        <v>12</v>
      </c>
      <c r="E996" s="43">
        <v>29670</v>
      </c>
      <c r="F996" s="44">
        <v>44832394</v>
      </c>
      <c r="G996" s="1" t="str">
        <f>IFERROR(IF(ventas_b_mes684[[#This Row],[CUIT]]="","-",VLOOKUP(ventas_b_mes684[[#This Row],[CUIT]],Lista_CUIT[#All],2,0)),"CUIT NO CARGADO")</f>
        <v>CUIT NO CARGADO</v>
      </c>
      <c r="H996" s="64">
        <v>20661.16</v>
      </c>
      <c r="I996" s="64">
        <f>ventas_b_mes684[[#This Row],[IMPORTE NETO]]*0.21</f>
        <v>4338.8436000000002</v>
      </c>
      <c r="J996" s="64"/>
      <c r="K996" s="64"/>
      <c r="L996" s="64">
        <f>SUM(ventas_b_mes684[[#This Row],[IMPORTE NETO]:[EXENTO]])</f>
        <v>25000.0036</v>
      </c>
      <c r="M996" s="59"/>
    </row>
    <row r="997" spans="2:13">
      <c r="B997" s="40" t="s">
        <v>2309</v>
      </c>
      <c r="C997" s="41">
        <v>6</v>
      </c>
      <c r="D997" s="42">
        <v>10</v>
      </c>
      <c r="E997" s="43">
        <v>54459</v>
      </c>
      <c r="F997" s="44">
        <v>96284308</v>
      </c>
      <c r="G997" s="1" t="str">
        <f>IFERROR(IF(ventas_b_mes684[[#This Row],[CUIT]]="","-",VLOOKUP(ventas_b_mes684[[#This Row],[CUIT]],Lista_CUIT[#All],2,0)),"CUIT NO CARGADO")</f>
        <v>CUIT NO CARGADO</v>
      </c>
      <c r="H997" s="64">
        <v>14132.23</v>
      </c>
      <c r="I997" s="64">
        <f>ventas_b_mes684[[#This Row],[IMPORTE NETO]]*0.21</f>
        <v>2967.7682999999997</v>
      </c>
      <c r="J997" s="64"/>
      <c r="K997" s="64"/>
      <c r="L997" s="64">
        <f>SUM(ventas_b_mes684[[#This Row],[IMPORTE NETO]:[EXENTO]])</f>
        <v>17099.998299999999</v>
      </c>
      <c r="M997" s="59"/>
    </row>
    <row r="998" spans="2:13">
      <c r="B998" s="40" t="s">
        <v>2309</v>
      </c>
      <c r="C998" s="41">
        <v>6</v>
      </c>
      <c r="D998" s="42">
        <v>15</v>
      </c>
      <c r="E998" s="43">
        <v>13247</v>
      </c>
      <c r="F998" s="44">
        <v>25974224</v>
      </c>
      <c r="G998" s="1" t="str">
        <f>IFERROR(IF(ventas_b_mes684[[#This Row],[CUIT]]="","-",VLOOKUP(ventas_b_mes684[[#This Row],[CUIT]],Lista_CUIT[#All],2,0)),"CUIT NO CARGADO")</f>
        <v>CUIT NO CARGADO</v>
      </c>
      <c r="H998" s="64">
        <v>3198.35</v>
      </c>
      <c r="I998" s="64">
        <f>ventas_b_mes684[[#This Row],[IMPORTE NETO]]*0.21</f>
        <v>671.65350000000001</v>
      </c>
      <c r="J998" s="64"/>
      <c r="K998" s="64"/>
      <c r="L998" s="64">
        <f>SUM(ventas_b_mes684[[#This Row],[IMPORTE NETO]:[EXENTO]])</f>
        <v>3870.0034999999998</v>
      </c>
      <c r="M998" s="59"/>
    </row>
    <row r="999" spans="2:13">
      <c r="B999" s="40" t="s">
        <v>2309</v>
      </c>
      <c r="C999" s="41">
        <v>6</v>
      </c>
      <c r="D999" s="42">
        <v>13</v>
      </c>
      <c r="E999" s="43">
        <v>32479</v>
      </c>
      <c r="F999" s="44">
        <v>45151255</v>
      </c>
      <c r="G999" s="1" t="str">
        <f>IFERROR(IF(ventas_b_mes684[[#This Row],[CUIT]]="","-",VLOOKUP(ventas_b_mes684[[#This Row],[CUIT]],Lista_CUIT[#All],2,0)),"CUIT NO CARGADO")</f>
        <v>CUIT NO CARGADO</v>
      </c>
      <c r="H999" s="64">
        <v>10909.09</v>
      </c>
      <c r="I999" s="64">
        <f>ventas_b_mes684[[#This Row],[IMPORTE NETO]]*0.21</f>
        <v>2290.9088999999999</v>
      </c>
      <c r="J999" s="64"/>
      <c r="K999" s="64"/>
      <c r="L999" s="64">
        <f>SUM(ventas_b_mes684[[#This Row],[IMPORTE NETO]:[EXENTO]])</f>
        <v>13199.998900000001</v>
      </c>
      <c r="M999" s="59"/>
    </row>
    <row r="1000" spans="2:13">
      <c r="B1000" s="40" t="s">
        <v>2309</v>
      </c>
      <c r="C1000" s="41">
        <v>6</v>
      </c>
      <c r="D1000" s="42">
        <v>12</v>
      </c>
      <c r="E1000" s="43">
        <v>29678</v>
      </c>
      <c r="F1000" s="44">
        <v>17200791</v>
      </c>
      <c r="G1000" s="1" t="str">
        <f>IFERROR(IF(ventas_b_mes684[[#This Row],[CUIT]]="","-",VLOOKUP(ventas_b_mes684[[#This Row],[CUIT]],Lista_CUIT[#All],2,0)),"CUIT NO CARGADO")</f>
        <v>CUIT NO CARGADO</v>
      </c>
      <c r="H1000" s="64">
        <v>33140.5</v>
      </c>
      <c r="I1000" s="64">
        <f>ventas_b_mes684[[#This Row],[IMPORTE NETO]]*0.21</f>
        <v>6959.5050000000001</v>
      </c>
      <c r="J1000" s="64"/>
      <c r="K1000" s="64"/>
      <c r="L1000" s="64">
        <f>SUM(ventas_b_mes684[[#This Row],[IMPORTE NETO]:[EXENTO]])</f>
        <v>40100.004999999997</v>
      </c>
      <c r="M1000" s="59"/>
    </row>
    <row r="1001" spans="2:13">
      <c r="B1001" s="40" t="s">
        <v>2309</v>
      </c>
      <c r="C1001" s="41">
        <v>6</v>
      </c>
      <c r="D1001" s="42">
        <v>13</v>
      </c>
      <c r="E1001" s="43">
        <v>32483</v>
      </c>
      <c r="F1001" s="44">
        <v>40894046</v>
      </c>
      <c r="G1001" s="1" t="str">
        <f>IFERROR(IF(ventas_b_mes684[[#This Row],[CUIT]]="","-",VLOOKUP(ventas_b_mes684[[#This Row],[CUIT]],Lista_CUIT[#All],2,0)),"CUIT NO CARGADO")</f>
        <v>CUIT NO CARGADO</v>
      </c>
      <c r="H1001" s="64">
        <v>9421.49</v>
      </c>
      <c r="I1001" s="64">
        <f>ventas_b_mes684[[#This Row],[IMPORTE NETO]]*0.21</f>
        <v>1978.5128999999999</v>
      </c>
      <c r="J1001" s="64"/>
      <c r="K1001" s="64"/>
      <c r="L1001" s="64">
        <f>SUM(ventas_b_mes684[[#This Row],[IMPORTE NETO]:[EXENTO]])</f>
        <v>11400.002899999999</v>
      </c>
      <c r="M1001" s="59"/>
    </row>
    <row r="1002" spans="2:13">
      <c r="B1002" s="40" t="s">
        <v>2309</v>
      </c>
      <c r="C1002" s="41">
        <v>6</v>
      </c>
      <c r="D1002" s="42">
        <v>15</v>
      </c>
      <c r="E1002" s="43">
        <v>13255</v>
      </c>
      <c r="F1002" s="44">
        <v>27816221</v>
      </c>
      <c r="G1002" s="1" t="str">
        <f>IFERROR(IF(ventas_b_mes684[[#This Row],[CUIT]]="","-",VLOOKUP(ventas_b_mes684[[#This Row],[CUIT]],Lista_CUIT[#All],2,0)),"CUIT NO CARGADO")</f>
        <v>ARELLIANO,MAGALI</v>
      </c>
      <c r="H1002" s="64">
        <v>70826.45</v>
      </c>
      <c r="I1002" s="64">
        <f>ventas_b_mes684[[#This Row],[IMPORTE NETO]]*0.21</f>
        <v>14873.554499999998</v>
      </c>
      <c r="J1002" s="64"/>
      <c r="K1002" s="64"/>
      <c r="L1002" s="64">
        <f>SUM(ventas_b_mes684[[#This Row],[IMPORTE NETO]:[EXENTO]])</f>
        <v>85700.004499999995</v>
      </c>
      <c r="M1002" s="59"/>
    </row>
    <row r="1003" spans="2:13">
      <c r="B1003" s="40" t="s">
        <v>2309</v>
      </c>
      <c r="C1003" s="41">
        <v>6</v>
      </c>
      <c r="D1003" s="42">
        <v>10</v>
      </c>
      <c r="E1003" s="43">
        <v>54451</v>
      </c>
      <c r="F1003" s="44">
        <v>27230340213</v>
      </c>
      <c r="G1003" s="1" t="str">
        <f>IFERROR(IF(ventas_b_mes684[[#This Row],[CUIT]]="","-",VLOOKUP(ventas_b_mes684[[#This Row],[CUIT]],Lista_CUIT[#All],2,0)),"CUIT NO CARGADO")</f>
        <v>CUIT NO CARGADO</v>
      </c>
      <c r="H1003" s="64">
        <v>233637.19</v>
      </c>
      <c r="I1003" s="64">
        <f>ventas_b_mes684[[#This Row],[IMPORTE NETO]]*0.21</f>
        <v>49063.8099</v>
      </c>
      <c r="J1003" s="64"/>
      <c r="K1003" s="64"/>
      <c r="L1003" s="64">
        <f>SUM(ventas_b_mes684[[#This Row],[IMPORTE NETO]:[EXENTO]])</f>
        <v>282700.9999</v>
      </c>
      <c r="M1003" s="59"/>
    </row>
    <row r="1004" spans="2:13">
      <c r="B1004" s="40" t="s">
        <v>2309</v>
      </c>
      <c r="C1004" s="41">
        <v>6</v>
      </c>
      <c r="D1004" s="42">
        <v>10</v>
      </c>
      <c r="E1004" s="43">
        <v>54456</v>
      </c>
      <c r="F1004" s="44">
        <v>23073695</v>
      </c>
      <c r="G1004" s="1" t="str">
        <f>IFERROR(IF(ventas_b_mes684[[#This Row],[CUIT]]="","-",VLOOKUP(ventas_b_mes684[[#This Row],[CUIT]],Lista_CUIT[#All],2,0)),"CUIT NO CARGADO")</f>
        <v>CUIT NO CARGADO</v>
      </c>
      <c r="H1004" s="64">
        <v>9446.2800000000007</v>
      </c>
      <c r="I1004" s="64">
        <f>ventas_b_mes684[[#This Row],[IMPORTE NETO]]*0.21</f>
        <v>1983.7188000000001</v>
      </c>
      <c r="J1004" s="64"/>
      <c r="K1004" s="64"/>
      <c r="L1004" s="64">
        <f>SUM(ventas_b_mes684[[#This Row],[IMPORTE NETO]:[EXENTO]])</f>
        <v>11429.998800000001</v>
      </c>
      <c r="M1004" s="59"/>
    </row>
    <row r="1005" spans="2:13">
      <c r="B1005" s="40" t="s">
        <v>2309</v>
      </c>
      <c r="C1005" s="41">
        <v>6</v>
      </c>
      <c r="D1005" s="42">
        <v>11</v>
      </c>
      <c r="E1005" s="43">
        <v>38121</v>
      </c>
      <c r="F1005" s="44">
        <v>6436196</v>
      </c>
      <c r="G1005" s="1" t="str">
        <f>IFERROR(IF(ventas_b_mes684[[#This Row],[CUIT]]="","-",VLOOKUP(ventas_b_mes684[[#This Row],[CUIT]],Lista_CUIT[#All],2,0)),"CUIT NO CARGADO")</f>
        <v>CUIT NO CARGADO</v>
      </c>
      <c r="H1005" s="64">
        <v>11074.4</v>
      </c>
      <c r="I1005" s="64">
        <f>ventas_b_mes684[[#This Row],[IMPORTE NETO]]*0.21</f>
        <v>2325.6239999999998</v>
      </c>
      <c r="J1005" s="64"/>
      <c r="K1005" s="64"/>
      <c r="L1005" s="64">
        <f>SUM(ventas_b_mes684[[#This Row],[IMPORTE NETO]:[EXENTO]])</f>
        <v>13400.023999999999</v>
      </c>
      <c r="M1005" s="59"/>
    </row>
    <row r="1006" spans="2:13">
      <c r="B1006" s="40" t="s">
        <v>2309</v>
      </c>
      <c r="C1006" s="41">
        <v>6</v>
      </c>
      <c r="D1006" s="42">
        <v>11</v>
      </c>
      <c r="E1006" s="43">
        <v>38118</v>
      </c>
      <c r="F1006" s="44">
        <v>14869789</v>
      </c>
      <c r="G1006" s="1" t="str">
        <f>IFERROR(IF(ventas_b_mes684[[#This Row],[CUIT]]="","-",VLOOKUP(ventas_b_mes684[[#This Row],[CUIT]],Lista_CUIT[#All],2,0)),"CUIT NO CARGADO")</f>
        <v>CUIT NO CARGADO</v>
      </c>
      <c r="H1006" s="64">
        <v>14421.49</v>
      </c>
      <c r="I1006" s="64">
        <f>ventas_b_mes684[[#This Row],[IMPORTE NETO]]*0.21</f>
        <v>3028.5128999999997</v>
      </c>
      <c r="J1006" s="64"/>
      <c r="K1006" s="64"/>
      <c r="L1006" s="64">
        <f>SUM(ventas_b_mes684[[#This Row],[IMPORTE NETO]:[EXENTO]])</f>
        <v>17450.002899999999</v>
      </c>
      <c r="M1006" s="59"/>
    </row>
    <row r="1007" spans="2:13">
      <c r="B1007" s="40" t="s">
        <v>2309</v>
      </c>
      <c r="C1007" s="41">
        <v>6</v>
      </c>
      <c r="D1007" s="42">
        <v>15</v>
      </c>
      <c r="E1007" s="43">
        <v>13253</v>
      </c>
      <c r="F1007" s="44">
        <v>16708728</v>
      </c>
      <c r="G1007" s="1" t="str">
        <f>IFERROR(IF(ventas_b_mes684[[#This Row],[CUIT]]="","-",VLOOKUP(ventas_b_mes684[[#This Row],[CUIT]],Lista_CUIT[#All],2,0)),"CUIT NO CARGADO")</f>
        <v>CUIT NO CARGADO</v>
      </c>
      <c r="H1007" s="64">
        <v>24049.59</v>
      </c>
      <c r="I1007" s="64">
        <f>ventas_b_mes684[[#This Row],[IMPORTE NETO]]*0.21</f>
        <v>5050.4138999999996</v>
      </c>
      <c r="J1007" s="64"/>
      <c r="K1007" s="64"/>
      <c r="L1007" s="64">
        <f>SUM(ventas_b_mes684[[#This Row],[IMPORTE NETO]:[EXENTO]])</f>
        <v>29100.0039</v>
      </c>
      <c r="M1007" s="59"/>
    </row>
    <row r="1008" spans="2:13">
      <c r="B1008" s="40" t="s">
        <v>2309</v>
      </c>
      <c r="C1008" s="41">
        <v>6</v>
      </c>
      <c r="D1008" s="42">
        <v>10</v>
      </c>
      <c r="E1008" s="43">
        <v>54457</v>
      </c>
      <c r="F1008" s="44">
        <v>27162659273</v>
      </c>
      <c r="G1008" s="1" t="str">
        <f>IFERROR(IF(ventas_b_mes684[[#This Row],[CUIT]]="","-",VLOOKUP(ventas_b_mes684[[#This Row],[CUIT]],Lista_CUIT[#All],2,0)),"CUIT NO CARGADO")</f>
        <v>CUIT NO CARGADO</v>
      </c>
      <c r="H1008" s="64">
        <v>53553.72</v>
      </c>
      <c r="I1008" s="64">
        <f>ventas_b_mes684[[#This Row],[IMPORTE NETO]]*0.21</f>
        <v>11246.281199999999</v>
      </c>
      <c r="J1008" s="64"/>
      <c r="K1008" s="64"/>
      <c r="L1008" s="64">
        <f>SUM(ventas_b_mes684[[#This Row],[IMPORTE NETO]:[EXENTO]])</f>
        <v>64800.001199999999</v>
      </c>
      <c r="M1008" s="59"/>
    </row>
    <row r="1009" spans="2:13">
      <c r="B1009" s="40" t="s">
        <v>2309</v>
      </c>
      <c r="C1009" s="41">
        <v>6</v>
      </c>
      <c r="D1009" s="42">
        <v>13</v>
      </c>
      <c r="E1009" s="43">
        <v>32482</v>
      </c>
      <c r="F1009" s="44">
        <v>23277110</v>
      </c>
      <c r="G1009" s="1" t="str">
        <f>IFERROR(IF(ventas_b_mes684[[#This Row],[CUIT]]="","-",VLOOKUP(ventas_b_mes684[[#This Row],[CUIT]],Lista_CUIT[#All],2,0)),"CUIT NO CARGADO")</f>
        <v>CUIT NO CARGADO</v>
      </c>
      <c r="H1009" s="64">
        <v>9628.1</v>
      </c>
      <c r="I1009" s="64">
        <f>ventas_b_mes684[[#This Row],[IMPORTE NETO]]*0.21</f>
        <v>2021.9010000000001</v>
      </c>
      <c r="J1009" s="64"/>
      <c r="K1009" s="64"/>
      <c r="L1009" s="64">
        <f>SUM(ventas_b_mes684[[#This Row],[IMPORTE NETO]:[EXENTO]])</f>
        <v>11650.001</v>
      </c>
      <c r="M1009" s="59"/>
    </row>
    <row r="1010" spans="2:13">
      <c r="B1010" s="40" t="s">
        <v>2309</v>
      </c>
      <c r="C1010" s="41">
        <v>6</v>
      </c>
      <c r="D1010" s="42">
        <v>10</v>
      </c>
      <c r="E1010" s="43">
        <v>54462</v>
      </c>
      <c r="F1010" s="44">
        <v>93671317</v>
      </c>
      <c r="G1010" s="1" t="str">
        <f>IFERROR(IF(ventas_b_mes684[[#This Row],[CUIT]]="","-",VLOOKUP(ventas_b_mes684[[#This Row],[CUIT]],Lista_CUIT[#All],2,0)),"CUIT NO CARGADO")</f>
        <v>CUIT NO CARGADO</v>
      </c>
      <c r="H1010" s="64">
        <v>20661.16</v>
      </c>
      <c r="I1010" s="64">
        <f>ventas_b_mes684[[#This Row],[IMPORTE NETO]]*0.21</f>
        <v>4338.8436000000002</v>
      </c>
      <c r="J1010" s="64"/>
      <c r="K1010" s="64"/>
      <c r="L1010" s="64">
        <f>SUM(ventas_b_mes684[[#This Row],[IMPORTE NETO]:[EXENTO]])</f>
        <v>25000.0036</v>
      </c>
      <c r="M1010" s="59"/>
    </row>
    <row r="1011" spans="2:13">
      <c r="B1011" s="40" t="s">
        <v>2309</v>
      </c>
      <c r="C1011" s="41">
        <v>6</v>
      </c>
      <c r="D1011" s="42">
        <v>13</v>
      </c>
      <c r="E1011" s="43">
        <v>32481</v>
      </c>
      <c r="F1011" s="44">
        <v>23277110</v>
      </c>
      <c r="G1011" s="1" t="str">
        <f>IFERROR(IF(ventas_b_mes684[[#This Row],[CUIT]]="","-",VLOOKUP(ventas_b_mes684[[#This Row],[CUIT]],Lista_CUIT[#All],2,0)),"CUIT NO CARGADO")</f>
        <v>CUIT NO CARGADO</v>
      </c>
      <c r="H1011" s="64">
        <v>30942.15</v>
      </c>
      <c r="I1011" s="64">
        <f>ventas_b_mes684[[#This Row],[IMPORTE NETO]]*0.21</f>
        <v>6497.8514999999998</v>
      </c>
      <c r="J1011" s="64"/>
      <c r="K1011" s="64"/>
      <c r="L1011" s="64">
        <f>SUM(ventas_b_mes684[[#This Row],[IMPORTE NETO]:[EXENTO]])</f>
        <v>37440.001499999998</v>
      </c>
      <c r="M1011" s="59"/>
    </row>
    <row r="1012" spans="2:13">
      <c r="B1012" s="40" t="s">
        <v>2309</v>
      </c>
      <c r="C1012" s="41">
        <v>6</v>
      </c>
      <c r="D1012" s="42">
        <v>12</v>
      </c>
      <c r="E1012" s="43">
        <v>29659</v>
      </c>
      <c r="F1012" s="44">
        <v>31206631</v>
      </c>
      <c r="G1012" s="1" t="str">
        <f>IFERROR(IF(ventas_b_mes684[[#This Row],[CUIT]]="","-",VLOOKUP(ventas_b_mes684[[#This Row],[CUIT]],Lista_CUIT[#All],2,0)),"CUIT NO CARGADO")</f>
        <v>CUIT NO CARGADO</v>
      </c>
      <c r="H1012" s="64">
        <v>20661.16</v>
      </c>
      <c r="I1012" s="64">
        <f>ventas_b_mes684[[#This Row],[IMPORTE NETO]]*0.21</f>
        <v>4338.8436000000002</v>
      </c>
      <c r="J1012" s="64"/>
      <c r="K1012" s="64"/>
      <c r="L1012" s="64">
        <f>SUM(ventas_b_mes684[[#This Row],[IMPORTE NETO]:[EXENTO]])</f>
        <v>25000.0036</v>
      </c>
      <c r="M1012" s="59"/>
    </row>
    <row r="1013" spans="2:13">
      <c r="B1013" s="40" t="s">
        <v>2309</v>
      </c>
      <c r="C1013" s="41">
        <v>6</v>
      </c>
      <c r="D1013" s="42">
        <v>12</v>
      </c>
      <c r="E1013" s="43">
        <v>29663</v>
      </c>
      <c r="F1013" s="44">
        <v>20213391</v>
      </c>
      <c r="G1013" s="1" t="str">
        <f>IFERROR(IF(ventas_b_mes684[[#This Row],[CUIT]]="","-",VLOOKUP(ventas_b_mes684[[#This Row],[CUIT]],Lista_CUIT[#All],2,0)),"CUIT NO CARGADO")</f>
        <v>CUIT NO CARGADO</v>
      </c>
      <c r="H1013" s="64">
        <v>20661.16</v>
      </c>
      <c r="I1013" s="64">
        <f>ventas_b_mes684[[#This Row],[IMPORTE NETO]]*0.21</f>
        <v>4338.8436000000002</v>
      </c>
      <c r="J1013" s="64"/>
      <c r="K1013" s="64"/>
      <c r="L1013" s="64">
        <f>SUM(ventas_b_mes684[[#This Row],[IMPORTE NETO]:[EXENTO]])</f>
        <v>25000.0036</v>
      </c>
      <c r="M1013" s="59"/>
    </row>
    <row r="1014" spans="2:13">
      <c r="B1014" s="40" t="s">
        <v>2309</v>
      </c>
      <c r="C1014" s="41">
        <v>6</v>
      </c>
      <c r="D1014" s="42">
        <v>11</v>
      </c>
      <c r="E1014" s="43">
        <v>38117</v>
      </c>
      <c r="F1014" s="44">
        <v>19087283</v>
      </c>
      <c r="G1014" s="1" t="str">
        <f>IFERROR(IF(ventas_b_mes684[[#This Row],[CUIT]]="","-",VLOOKUP(ventas_b_mes684[[#This Row],[CUIT]],Lista_CUIT[#All],2,0)),"CUIT NO CARGADO")</f>
        <v>CUIT NO CARGADO</v>
      </c>
      <c r="H1014" s="64">
        <v>25289.26</v>
      </c>
      <c r="I1014" s="64">
        <f>ventas_b_mes684[[#This Row],[IMPORTE NETO]]*0.21</f>
        <v>5310.7445999999991</v>
      </c>
      <c r="J1014" s="64"/>
      <c r="K1014" s="64"/>
      <c r="L1014" s="64">
        <f>SUM(ventas_b_mes684[[#This Row],[IMPORTE NETO]:[EXENTO]])</f>
        <v>30600.004599999997</v>
      </c>
      <c r="M1014" s="59"/>
    </row>
    <row r="1015" spans="2:13">
      <c r="B1015" s="40" t="s">
        <v>2309</v>
      </c>
      <c r="C1015" s="41">
        <v>6</v>
      </c>
      <c r="D1015" s="42">
        <v>15</v>
      </c>
      <c r="E1015" s="43">
        <v>13235</v>
      </c>
      <c r="F1015" s="44">
        <v>20537189</v>
      </c>
      <c r="G1015" s="1" t="str">
        <f>IFERROR(IF(ventas_b_mes684[[#This Row],[CUIT]]="","-",VLOOKUP(ventas_b_mes684[[#This Row],[CUIT]],Lista_CUIT[#All],2,0)),"CUIT NO CARGADO")</f>
        <v>CUIT NO CARGADO</v>
      </c>
      <c r="H1015" s="64">
        <v>20661.16</v>
      </c>
      <c r="I1015" s="64">
        <f>ventas_b_mes684[[#This Row],[IMPORTE NETO]]*0.21</f>
        <v>4338.8436000000002</v>
      </c>
      <c r="J1015" s="64"/>
      <c r="K1015" s="64"/>
      <c r="L1015" s="64">
        <f>SUM(ventas_b_mes684[[#This Row],[IMPORTE NETO]:[EXENTO]])</f>
        <v>25000.0036</v>
      </c>
      <c r="M1015" s="59"/>
    </row>
    <row r="1016" spans="2:13">
      <c r="B1016" s="40" t="s">
        <v>2309</v>
      </c>
      <c r="C1016" s="41">
        <v>6</v>
      </c>
      <c r="D1016" s="42">
        <v>15</v>
      </c>
      <c r="E1016" s="43">
        <v>13231</v>
      </c>
      <c r="F1016" s="44">
        <v>38694684</v>
      </c>
      <c r="G1016" s="1" t="str">
        <f>IFERROR(IF(ventas_b_mes684[[#This Row],[CUIT]]="","-",VLOOKUP(ventas_b_mes684[[#This Row],[CUIT]],Lista_CUIT[#All],2,0)),"CUIT NO CARGADO")</f>
        <v>CUIT NO CARGADO</v>
      </c>
      <c r="H1016" s="64">
        <v>20661.16</v>
      </c>
      <c r="I1016" s="64">
        <f>ventas_b_mes684[[#This Row],[IMPORTE NETO]]*0.21</f>
        <v>4338.8436000000002</v>
      </c>
      <c r="J1016" s="64"/>
      <c r="K1016" s="64"/>
      <c r="L1016" s="64">
        <f>SUM(ventas_b_mes684[[#This Row],[IMPORTE NETO]:[EXENTO]])</f>
        <v>25000.0036</v>
      </c>
      <c r="M1016" s="59"/>
    </row>
    <row r="1017" spans="2:13">
      <c r="B1017" s="40" t="s">
        <v>2309</v>
      </c>
      <c r="C1017" s="41">
        <v>6</v>
      </c>
      <c r="D1017" s="42">
        <v>13</v>
      </c>
      <c r="E1017" s="43">
        <v>32477</v>
      </c>
      <c r="F1017" s="44">
        <v>14133671</v>
      </c>
      <c r="G1017" s="1" t="str">
        <f>IFERROR(IF(ventas_b_mes684[[#This Row],[CUIT]]="","-",VLOOKUP(ventas_b_mes684[[#This Row],[CUIT]],Lista_CUIT[#All],2,0)),"CUIT NO CARGADO")</f>
        <v>CUIT NO CARGADO</v>
      </c>
      <c r="H1017" s="64">
        <v>10661.16</v>
      </c>
      <c r="I1017" s="64">
        <f>ventas_b_mes684[[#This Row],[IMPORTE NETO]]*0.21</f>
        <v>2238.8435999999997</v>
      </c>
      <c r="J1017" s="64"/>
      <c r="K1017" s="64"/>
      <c r="L1017" s="64">
        <f>SUM(ventas_b_mes684[[#This Row],[IMPORTE NETO]:[EXENTO]])</f>
        <v>12900.0036</v>
      </c>
      <c r="M1017" s="59"/>
    </row>
    <row r="1018" spans="2:13">
      <c r="B1018" s="40" t="s">
        <v>2309</v>
      </c>
      <c r="C1018" s="41">
        <v>6</v>
      </c>
      <c r="D1018" s="42">
        <v>10</v>
      </c>
      <c r="E1018" s="43">
        <v>54449</v>
      </c>
      <c r="F1018" s="44">
        <v>16095341</v>
      </c>
      <c r="G1018" s="1" t="str">
        <f>IFERROR(IF(ventas_b_mes684[[#This Row],[CUIT]]="","-",VLOOKUP(ventas_b_mes684[[#This Row],[CUIT]],Lista_CUIT[#All],2,0)),"CUIT NO CARGADO")</f>
        <v>CUIT NO CARGADO</v>
      </c>
      <c r="H1018" s="64">
        <v>37471.07</v>
      </c>
      <c r="I1018" s="64">
        <f>ventas_b_mes684[[#This Row],[IMPORTE NETO]]*0.21</f>
        <v>7868.9246999999996</v>
      </c>
      <c r="J1018" s="64"/>
      <c r="K1018" s="64"/>
      <c r="L1018" s="64">
        <f>SUM(ventas_b_mes684[[#This Row],[IMPORTE NETO]:[EXENTO]])</f>
        <v>45339.994699999996</v>
      </c>
      <c r="M1018" s="59"/>
    </row>
    <row r="1019" spans="2:13">
      <c r="B1019" s="40" t="s">
        <v>2309</v>
      </c>
      <c r="C1019" s="41">
        <v>6</v>
      </c>
      <c r="D1019" s="42">
        <v>12</v>
      </c>
      <c r="E1019" s="43">
        <v>29666</v>
      </c>
      <c r="F1019" s="44">
        <v>43913552</v>
      </c>
      <c r="G1019" s="1" t="str">
        <f>IFERROR(IF(ventas_b_mes684[[#This Row],[CUIT]]="","-",VLOOKUP(ventas_b_mes684[[#This Row],[CUIT]],Lista_CUIT[#All],2,0)),"CUIT NO CARGADO")</f>
        <v>CUIT NO CARGADO</v>
      </c>
      <c r="H1019" s="64">
        <v>8264.4599999999991</v>
      </c>
      <c r="I1019" s="64">
        <f>ventas_b_mes684[[#This Row],[IMPORTE NETO]]*0.21</f>
        <v>1735.5365999999997</v>
      </c>
      <c r="J1019" s="64"/>
      <c r="K1019" s="64"/>
      <c r="L1019" s="64">
        <f>SUM(ventas_b_mes684[[#This Row],[IMPORTE NETO]:[EXENTO]])</f>
        <v>9999.9965999999986</v>
      </c>
      <c r="M1019" s="59"/>
    </row>
    <row r="1020" spans="2:13">
      <c r="B1020" s="40" t="s">
        <v>2309</v>
      </c>
      <c r="C1020" s="41">
        <v>6</v>
      </c>
      <c r="D1020" s="42">
        <v>15</v>
      </c>
      <c r="E1020" s="43">
        <v>13238</v>
      </c>
      <c r="F1020" s="44">
        <v>32323705</v>
      </c>
      <c r="G1020" s="1" t="str">
        <f>IFERROR(IF(ventas_b_mes684[[#This Row],[CUIT]]="","-",VLOOKUP(ventas_b_mes684[[#This Row],[CUIT]],Lista_CUIT[#All],2,0)),"CUIT NO CARGADO")</f>
        <v>CUIT NO CARGADO</v>
      </c>
      <c r="H1020" s="64">
        <v>16958.68</v>
      </c>
      <c r="I1020" s="64">
        <f>ventas_b_mes684[[#This Row],[IMPORTE NETO]]*0.21</f>
        <v>3561.3227999999999</v>
      </c>
      <c r="J1020" s="64"/>
      <c r="K1020" s="64"/>
      <c r="L1020" s="64">
        <f>SUM(ventas_b_mes684[[#This Row],[IMPORTE NETO]:[EXENTO]])</f>
        <v>20520.002800000002</v>
      </c>
      <c r="M1020" s="59"/>
    </row>
    <row r="1021" spans="2:13">
      <c r="B1021" s="40" t="s">
        <v>2309</v>
      </c>
      <c r="C1021" s="41">
        <v>6</v>
      </c>
      <c r="D1021" s="42">
        <v>11</v>
      </c>
      <c r="E1021" s="43">
        <v>38116</v>
      </c>
      <c r="F1021" s="44">
        <v>94622772</v>
      </c>
      <c r="G1021" s="1" t="str">
        <f>IFERROR(IF(ventas_b_mes684[[#This Row],[CUIT]]="","-",VLOOKUP(ventas_b_mes684[[#This Row],[CUIT]],Lista_CUIT[#All],2,0)),"CUIT NO CARGADO")</f>
        <v>CUIT NO CARGADO</v>
      </c>
      <c r="H1021" s="64">
        <v>18884.3</v>
      </c>
      <c r="I1021" s="64">
        <f>ventas_b_mes684[[#This Row],[IMPORTE NETO]]*0.21</f>
        <v>3965.7029999999995</v>
      </c>
      <c r="J1021" s="64"/>
      <c r="K1021" s="64"/>
      <c r="L1021" s="64">
        <f>SUM(ventas_b_mes684[[#This Row],[IMPORTE NETO]:[EXENTO]])</f>
        <v>22850.002999999997</v>
      </c>
      <c r="M1021" s="59"/>
    </row>
    <row r="1022" spans="2:13">
      <c r="B1022" s="40" t="s">
        <v>2309</v>
      </c>
      <c r="C1022" s="41">
        <v>6</v>
      </c>
      <c r="D1022" s="42">
        <v>15</v>
      </c>
      <c r="E1022" s="43">
        <v>13246</v>
      </c>
      <c r="F1022" s="44">
        <v>14434879</v>
      </c>
      <c r="G1022" s="1" t="str">
        <f>IFERROR(IF(ventas_b_mes684[[#This Row],[CUIT]]="","-",VLOOKUP(ventas_b_mes684[[#This Row],[CUIT]],Lista_CUIT[#All],2,0)),"CUIT NO CARGADO")</f>
        <v>CUIT NO CARGADO</v>
      </c>
      <c r="H1022" s="64">
        <v>19504.13</v>
      </c>
      <c r="I1022" s="64">
        <f>ventas_b_mes684[[#This Row],[IMPORTE NETO]]*0.21</f>
        <v>4095.8672999999999</v>
      </c>
      <c r="J1022" s="64"/>
      <c r="K1022" s="64"/>
      <c r="L1022" s="64">
        <f>SUM(ventas_b_mes684[[#This Row],[IMPORTE NETO]:[EXENTO]])</f>
        <v>23599.997300000003</v>
      </c>
      <c r="M1022" s="59"/>
    </row>
    <row r="1023" spans="2:13">
      <c r="B1023" s="40" t="s">
        <v>2309</v>
      </c>
      <c r="C1023" s="41">
        <v>6</v>
      </c>
      <c r="D1023" s="42">
        <v>15</v>
      </c>
      <c r="E1023" s="43">
        <v>13245</v>
      </c>
      <c r="F1023" s="44">
        <v>24001053</v>
      </c>
      <c r="G1023" s="1" t="str">
        <f>IFERROR(IF(ventas_b_mes684[[#This Row],[CUIT]]="","-",VLOOKUP(ventas_b_mes684[[#This Row],[CUIT]],Lista_CUIT[#All],2,0)),"CUIT NO CARGADO")</f>
        <v>CUIT NO CARGADO</v>
      </c>
      <c r="H1023" s="64">
        <v>20661.16</v>
      </c>
      <c r="I1023" s="64">
        <f>ventas_b_mes684[[#This Row],[IMPORTE NETO]]*0.21</f>
        <v>4338.8436000000002</v>
      </c>
      <c r="J1023" s="64"/>
      <c r="K1023" s="64"/>
      <c r="L1023" s="64">
        <f>SUM(ventas_b_mes684[[#This Row],[IMPORTE NETO]:[EXENTO]])</f>
        <v>25000.0036</v>
      </c>
      <c r="M1023" s="59"/>
    </row>
    <row r="1024" spans="2:13">
      <c r="B1024" s="40" t="s">
        <v>2309</v>
      </c>
      <c r="C1024" s="41">
        <v>6</v>
      </c>
      <c r="D1024" s="42">
        <v>15</v>
      </c>
      <c r="E1024" s="43">
        <v>13226</v>
      </c>
      <c r="F1024" s="44">
        <v>35892018</v>
      </c>
      <c r="G1024" s="1" t="str">
        <f>IFERROR(IF(ventas_b_mes684[[#This Row],[CUIT]]="","-",VLOOKUP(ventas_b_mes684[[#This Row],[CUIT]],Lista_CUIT[#All],2,0)),"CUIT NO CARGADO")</f>
        <v>CUIT NO CARGADO</v>
      </c>
      <c r="H1024" s="64">
        <v>17979.34</v>
      </c>
      <c r="I1024" s="64">
        <f>ventas_b_mes684[[#This Row],[IMPORTE NETO]]*0.21</f>
        <v>3775.6614</v>
      </c>
      <c r="J1024" s="64"/>
      <c r="K1024" s="64"/>
      <c r="L1024" s="64">
        <f>SUM(ventas_b_mes684[[#This Row],[IMPORTE NETO]:[EXENTO]])</f>
        <v>21755.001400000001</v>
      </c>
      <c r="M1024" s="59"/>
    </row>
    <row r="1025" spans="2:13">
      <c r="B1025" s="40" t="s">
        <v>2309</v>
      </c>
      <c r="C1025" s="41">
        <v>6</v>
      </c>
      <c r="D1025" s="42">
        <v>12</v>
      </c>
      <c r="E1025" s="43">
        <v>29669</v>
      </c>
      <c r="F1025" s="44">
        <v>28112929</v>
      </c>
      <c r="G1025" s="1" t="str">
        <f>IFERROR(IF(ventas_b_mes684[[#This Row],[CUIT]]="","-",VLOOKUP(ventas_b_mes684[[#This Row],[CUIT]],Lista_CUIT[#All],2,0)),"CUIT NO CARGADO")</f>
        <v>CUIT NO CARGADO</v>
      </c>
      <c r="H1025" s="64">
        <v>20661.16</v>
      </c>
      <c r="I1025" s="64">
        <f>ventas_b_mes684[[#This Row],[IMPORTE NETO]]*0.21</f>
        <v>4338.8436000000002</v>
      </c>
      <c r="J1025" s="64"/>
      <c r="K1025" s="64"/>
      <c r="L1025" s="64">
        <f>SUM(ventas_b_mes684[[#This Row],[IMPORTE NETO]:[EXENTO]])</f>
        <v>25000.0036</v>
      </c>
      <c r="M1025" s="59"/>
    </row>
    <row r="1026" spans="2:13">
      <c r="B1026" s="40" t="s">
        <v>2309</v>
      </c>
      <c r="C1026" s="41">
        <v>6</v>
      </c>
      <c r="D1026" s="42">
        <v>12</v>
      </c>
      <c r="E1026" s="43">
        <v>29671</v>
      </c>
      <c r="F1026" s="44">
        <v>35238331</v>
      </c>
      <c r="G1026" s="1" t="str">
        <f>IFERROR(IF(ventas_b_mes684[[#This Row],[CUIT]]="","-",VLOOKUP(ventas_b_mes684[[#This Row],[CUIT]],Lista_CUIT[#All],2,0)),"CUIT NO CARGADO")</f>
        <v>CUIT NO CARGADO</v>
      </c>
      <c r="H1026" s="64">
        <v>8595.0400000000009</v>
      </c>
      <c r="I1026" s="64">
        <f>ventas_b_mes684[[#This Row],[IMPORTE NETO]]*0.21</f>
        <v>1804.9584000000002</v>
      </c>
      <c r="J1026" s="64"/>
      <c r="K1026" s="64"/>
      <c r="L1026" s="64">
        <f>SUM(ventas_b_mes684[[#This Row],[IMPORTE NETO]:[EXENTO]])</f>
        <v>10399.9984</v>
      </c>
      <c r="M1026" s="59"/>
    </row>
    <row r="1027" spans="2:13">
      <c r="B1027" s="40" t="s">
        <v>2309</v>
      </c>
      <c r="C1027" s="41">
        <v>6</v>
      </c>
      <c r="D1027" s="42">
        <v>12</v>
      </c>
      <c r="E1027" s="43">
        <v>29677</v>
      </c>
      <c r="F1027" s="44">
        <v>23748041</v>
      </c>
      <c r="G1027" s="1" t="str">
        <f>IFERROR(IF(ventas_b_mes684[[#This Row],[CUIT]]="","-",VLOOKUP(ventas_b_mes684[[#This Row],[CUIT]],Lista_CUIT[#All],2,0)),"CUIT NO CARGADO")</f>
        <v>CUIT NO CARGADO</v>
      </c>
      <c r="H1027" s="64">
        <v>64975.21</v>
      </c>
      <c r="I1027" s="64">
        <f>ventas_b_mes684[[#This Row],[IMPORTE NETO]]*0.21</f>
        <v>13644.794099999999</v>
      </c>
      <c r="J1027" s="64"/>
      <c r="K1027" s="64"/>
      <c r="L1027" s="64">
        <f>SUM(ventas_b_mes684[[#This Row],[IMPORTE NETO]:[EXENTO]])</f>
        <v>78620.004099999991</v>
      </c>
      <c r="M1027" s="59"/>
    </row>
    <row r="1028" spans="2:13">
      <c r="B1028" s="40" t="s">
        <v>2309</v>
      </c>
      <c r="C1028" s="41">
        <v>6</v>
      </c>
      <c r="D1028" s="42">
        <v>10</v>
      </c>
      <c r="E1028" s="43">
        <v>54461</v>
      </c>
      <c r="F1028" s="44">
        <v>95590960</v>
      </c>
      <c r="G1028" s="1" t="str">
        <f>IFERROR(IF(ventas_b_mes684[[#This Row],[CUIT]]="","-",VLOOKUP(ventas_b_mes684[[#This Row],[CUIT]],Lista_CUIT[#All],2,0)),"CUIT NO CARGADO")</f>
        <v>CUIT NO CARGADO</v>
      </c>
      <c r="H1028" s="64">
        <v>20661.16</v>
      </c>
      <c r="I1028" s="64">
        <f>ventas_b_mes684[[#This Row],[IMPORTE NETO]]*0.21</f>
        <v>4338.8436000000002</v>
      </c>
      <c r="J1028" s="64"/>
      <c r="K1028" s="64"/>
      <c r="L1028" s="64">
        <f>SUM(ventas_b_mes684[[#This Row],[IMPORTE NETO]:[EXENTO]])</f>
        <v>25000.0036</v>
      </c>
      <c r="M1028" s="59"/>
    </row>
    <row r="1029" spans="2:13">
      <c r="B1029" s="40" t="s">
        <v>2309</v>
      </c>
      <c r="C1029" s="41">
        <v>6</v>
      </c>
      <c r="D1029" s="42">
        <v>12</v>
      </c>
      <c r="E1029" s="43">
        <v>29672</v>
      </c>
      <c r="F1029" s="44">
        <v>37837202</v>
      </c>
      <c r="G1029" s="1" t="str">
        <f>IFERROR(IF(ventas_b_mes684[[#This Row],[CUIT]]="","-",VLOOKUP(ventas_b_mes684[[#This Row],[CUIT]],Lista_CUIT[#All],2,0)),"CUIT NO CARGADO")</f>
        <v>CUIT NO CARGADO</v>
      </c>
      <c r="H1029" s="64">
        <v>25123.97</v>
      </c>
      <c r="I1029" s="64">
        <f>ventas_b_mes684[[#This Row],[IMPORTE NETO]]*0.21</f>
        <v>5276.0337</v>
      </c>
      <c r="J1029" s="64"/>
      <c r="K1029" s="64"/>
      <c r="L1029" s="64">
        <f>SUM(ventas_b_mes684[[#This Row],[IMPORTE NETO]:[EXENTO]])</f>
        <v>30400.003700000001</v>
      </c>
      <c r="M1029" s="59"/>
    </row>
    <row r="1030" spans="2:13">
      <c r="B1030" s="40" t="s">
        <v>2309</v>
      </c>
      <c r="C1030" s="41">
        <v>6</v>
      </c>
      <c r="D1030" s="42">
        <v>13</v>
      </c>
      <c r="E1030" s="43">
        <v>32478</v>
      </c>
      <c r="F1030" s="44">
        <v>20560897</v>
      </c>
      <c r="G1030" s="1" t="str">
        <f>IFERROR(IF(ventas_b_mes684[[#This Row],[CUIT]]="","-",VLOOKUP(ventas_b_mes684[[#This Row],[CUIT]],Lista_CUIT[#All],2,0)),"CUIT NO CARGADO")</f>
        <v>CUIT NO CARGADO</v>
      </c>
      <c r="H1030" s="64">
        <v>9123.9699999999993</v>
      </c>
      <c r="I1030" s="64">
        <f>ventas_b_mes684[[#This Row],[IMPORTE NETO]]*0.21</f>
        <v>1916.0336999999997</v>
      </c>
      <c r="J1030" s="64"/>
      <c r="K1030" s="64"/>
      <c r="L1030" s="64">
        <f>SUM(ventas_b_mes684[[#This Row],[IMPORTE NETO]:[EXENTO]])</f>
        <v>11040.003699999999</v>
      </c>
      <c r="M1030" s="59"/>
    </row>
    <row r="1031" spans="2:13">
      <c r="B1031" s="40" t="s">
        <v>2309</v>
      </c>
      <c r="C1031" s="41">
        <v>6</v>
      </c>
      <c r="D1031" s="42">
        <v>11</v>
      </c>
      <c r="E1031" s="43">
        <v>38112</v>
      </c>
      <c r="F1031" s="44">
        <v>25433642</v>
      </c>
      <c r="G1031" s="1" t="str">
        <f>IFERROR(IF(ventas_b_mes684[[#This Row],[CUIT]]="","-",VLOOKUP(ventas_b_mes684[[#This Row],[CUIT]],Lista_CUIT[#All],2,0)),"CUIT NO CARGADO")</f>
        <v>CUIT NO CARGADO</v>
      </c>
      <c r="H1031" s="64">
        <v>203925.54</v>
      </c>
      <c r="I1031" s="64">
        <f>ventas_b_mes684[[#This Row],[IMPORTE NETO]]*0.21</f>
        <v>42824.363400000002</v>
      </c>
      <c r="J1031" s="64"/>
      <c r="K1031" s="64"/>
      <c r="L1031" s="64">
        <f>SUM(ventas_b_mes684[[#This Row],[IMPORTE NETO]:[EXENTO]])</f>
        <v>246749.90340000001</v>
      </c>
      <c r="M1031" s="59"/>
    </row>
    <row r="1032" spans="2:13">
      <c r="B1032" s="40" t="s">
        <v>2309</v>
      </c>
      <c r="C1032" s="41">
        <v>6</v>
      </c>
      <c r="D1032" s="42">
        <v>10</v>
      </c>
      <c r="E1032" s="43">
        <v>54458</v>
      </c>
      <c r="F1032" s="44">
        <v>95860409</v>
      </c>
      <c r="G1032" s="1" t="str">
        <f>IFERROR(IF(ventas_b_mes684[[#This Row],[CUIT]]="","-",VLOOKUP(ventas_b_mes684[[#This Row],[CUIT]],Lista_CUIT[#All],2,0)),"CUIT NO CARGADO")</f>
        <v>CUIT NO CARGADO</v>
      </c>
      <c r="H1032" s="64">
        <v>12644.63</v>
      </c>
      <c r="I1032" s="64">
        <f>ventas_b_mes684[[#This Row],[IMPORTE NETO]]*0.21</f>
        <v>2655.3722999999995</v>
      </c>
      <c r="J1032" s="64"/>
      <c r="K1032" s="64"/>
      <c r="L1032" s="64">
        <f>SUM(ventas_b_mes684[[#This Row],[IMPORTE NETO]:[EXENTO]])</f>
        <v>15300.002299999998</v>
      </c>
      <c r="M1032" s="59"/>
    </row>
    <row r="1033" spans="2:13">
      <c r="B1033" s="40" t="s">
        <v>2309</v>
      </c>
      <c r="C1033" s="41">
        <v>6</v>
      </c>
      <c r="D1033" s="42">
        <v>12</v>
      </c>
      <c r="E1033" s="43">
        <v>29680</v>
      </c>
      <c r="F1033" s="44">
        <v>21820798</v>
      </c>
      <c r="G1033" s="1" t="str">
        <f>IFERROR(IF(ventas_b_mes684[[#This Row],[CUIT]]="","-",VLOOKUP(ventas_b_mes684[[#This Row],[CUIT]],Lista_CUIT[#All],2,0)),"CUIT NO CARGADO")</f>
        <v>CUIT NO CARGADO</v>
      </c>
      <c r="H1033" s="64">
        <v>65396.69</v>
      </c>
      <c r="I1033" s="64">
        <f>ventas_b_mes684[[#This Row],[IMPORTE NETO]]*0.21</f>
        <v>13733.304899999999</v>
      </c>
      <c r="J1033" s="64"/>
      <c r="K1033" s="64"/>
      <c r="L1033" s="64">
        <f>SUM(ventas_b_mes684[[#This Row],[IMPORTE NETO]:[EXENTO]])</f>
        <v>79129.994900000005</v>
      </c>
      <c r="M1033" s="59"/>
    </row>
    <row r="1034" spans="2:13">
      <c r="B1034" s="40" t="s">
        <v>2309</v>
      </c>
      <c r="C1034" s="41">
        <v>6</v>
      </c>
      <c r="D1034" s="42">
        <v>12</v>
      </c>
      <c r="E1034" s="43">
        <v>29673</v>
      </c>
      <c r="F1034" s="44">
        <v>45022973</v>
      </c>
      <c r="G1034" s="1" t="str">
        <f>IFERROR(IF(ventas_b_mes684[[#This Row],[CUIT]]="","-",VLOOKUP(ventas_b_mes684[[#This Row],[CUIT]],Lista_CUIT[#All],2,0)),"CUIT NO CARGADO")</f>
        <v>CUIT NO CARGADO</v>
      </c>
      <c r="H1034" s="64">
        <v>20661.16</v>
      </c>
      <c r="I1034" s="64">
        <f>ventas_b_mes684[[#This Row],[IMPORTE NETO]]*0.21</f>
        <v>4338.8436000000002</v>
      </c>
      <c r="J1034" s="64"/>
      <c r="K1034" s="64"/>
      <c r="L1034" s="64">
        <f>SUM(ventas_b_mes684[[#This Row],[IMPORTE NETO]:[EXENTO]])</f>
        <v>25000.0036</v>
      </c>
      <c r="M1034" s="59"/>
    </row>
    <row r="1035" spans="2:13">
      <c r="B1035" s="40" t="s">
        <v>2309</v>
      </c>
      <c r="C1035" s="41">
        <v>6</v>
      </c>
      <c r="D1035" s="42">
        <v>15</v>
      </c>
      <c r="E1035" s="43">
        <v>13228</v>
      </c>
      <c r="F1035" s="44">
        <v>43726466</v>
      </c>
      <c r="G1035" s="1" t="str">
        <f>IFERROR(IF(ventas_b_mes684[[#This Row],[CUIT]]="","-",VLOOKUP(ventas_b_mes684[[#This Row],[CUIT]],Lista_CUIT[#All],2,0)),"CUIT NO CARGADO")</f>
        <v>CUIT NO CARGADO</v>
      </c>
      <c r="H1035" s="64">
        <v>20661.16</v>
      </c>
      <c r="I1035" s="64">
        <f>ventas_b_mes684[[#This Row],[IMPORTE NETO]]*0.21</f>
        <v>4338.8436000000002</v>
      </c>
      <c r="J1035" s="64"/>
      <c r="K1035" s="64"/>
      <c r="L1035" s="64">
        <f>SUM(ventas_b_mes684[[#This Row],[IMPORTE NETO]:[EXENTO]])</f>
        <v>25000.0036</v>
      </c>
      <c r="M1035" s="59"/>
    </row>
    <row r="1036" spans="2:13">
      <c r="B1036" s="40" t="s">
        <v>2309</v>
      </c>
      <c r="C1036" s="41">
        <v>6</v>
      </c>
      <c r="D1036" s="42">
        <v>15</v>
      </c>
      <c r="E1036" s="43">
        <v>13242</v>
      </c>
      <c r="F1036" s="44">
        <v>25282690</v>
      </c>
      <c r="G1036" s="1" t="str">
        <f>IFERROR(IF(ventas_b_mes684[[#This Row],[CUIT]]="","-",VLOOKUP(ventas_b_mes684[[#This Row],[CUIT]],Lista_CUIT[#All],2,0)),"CUIT NO CARGADO")</f>
        <v>CUIT NO CARGADO</v>
      </c>
      <c r="H1036" s="64">
        <v>20661.16</v>
      </c>
      <c r="I1036" s="64">
        <f>ventas_b_mes684[[#This Row],[IMPORTE NETO]]*0.21</f>
        <v>4338.8436000000002</v>
      </c>
      <c r="J1036" s="64"/>
      <c r="K1036" s="64"/>
      <c r="L1036" s="64">
        <f>SUM(ventas_b_mes684[[#This Row],[IMPORTE NETO]:[EXENTO]])</f>
        <v>25000.0036</v>
      </c>
      <c r="M1036" s="59"/>
    </row>
    <row r="1037" spans="2:13">
      <c r="B1037" s="40" t="s">
        <v>2309</v>
      </c>
      <c r="C1037" s="41">
        <v>6</v>
      </c>
      <c r="D1037" s="42">
        <v>15</v>
      </c>
      <c r="E1037" s="43">
        <v>13223</v>
      </c>
      <c r="F1037" s="44">
        <v>34898833</v>
      </c>
      <c r="G1037" s="1" t="str">
        <f>IFERROR(IF(ventas_b_mes684[[#This Row],[CUIT]]="","-",VLOOKUP(ventas_b_mes684[[#This Row],[CUIT]],Lista_CUIT[#All],2,0)),"CUIT NO CARGADO")</f>
        <v>CUIT NO CARGADO</v>
      </c>
      <c r="H1037" s="64">
        <v>20661.16</v>
      </c>
      <c r="I1037" s="64">
        <f>ventas_b_mes684[[#This Row],[IMPORTE NETO]]*0.21</f>
        <v>4338.8436000000002</v>
      </c>
      <c r="J1037" s="64"/>
      <c r="K1037" s="64"/>
      <c r="L1037" s="64">
        <f>SUM(ventas_b_mes684[[#This Row],[IMPORTE NETO]:[EXENTO]])</f>
        <v>25000.0036</v>
      </c>
      <c r="M1037" s="59"/>
    </row>
    <row r="1038" spans="2:13">
      <c r="B1038" s="40" t="s">
        <v>2309</v>
      </c>
      <c r="C1038" s="41">
        <v>6</v>
      </c>
      <c r="D1038" s="42">
        <v>12</v>
      </c>
      <c r="E1038" s="43">
        <v>29658</v>
      </c>
      <c r="F1038" s="44">
        <v>21820798</v>
      </c>
      <c r="G1038" s="1" t="str">
        <f>IFERROR(IF(ventas_b_mes684[[#This Row],[CUIT]]="","-",VLOOKUP(ventas_b_mes684[[#This Row],[CUIT]],Lista_CUIT[#All],2,0)),"CUIT NO CARGADO")</f>
        <v>CUIT NO CARGADO</v>
      </c>
      <c r="H1038" s="64">
        <v>65396.69</v>
      </c>
      <c r="I1038" s="64">
        <f>ventas_b_mes684[[#This Row],[IMPORTE NETO]]*0.21</f>
        <v>13733.304899999999</v>
      </c>
      <c r="J1038" s="64"/>
      <c r="K1038" s="64"/>
      <c r="L1038" s="64">
        <f>SUM(ventas_b_mes684[[#This Row],[IMPORTE NETO]:[EXENTO]])</f>
        <v>79129.994900000005</v>
      </c>
      <c r="M1038" s="59"/>
    </row>
    <row r="1039" spans="2:13">
      <c r="B1039" s="40" t="s">
        <v>2309</v>
      </c>
      <c r="C1039" s="41">
        <v>6</v>
      </c>
      <c r="D1039" s="42">
        <v>13</v>
      </c>
      <c r="E1039" s="43">
        <v>32475</v>
      </c>
      <c r="F1039" s="44">
        <v>20560897</v>
      </c>
      <c r="G1039" s="1" t="str">
        <f>IFERROR(IF(ventas_b_mes684[[#This Row],[CUIT]]="","-",VLOOKUP(ventas_b_mes684[[#This Row],[CUIT]],Lista_CUIT[#All],2,0)),"CUIT NO CARGADO")</f>
        <v>CUIT NO CARGADO</v>
      </c>
      <c r="H1039" s="64">
        <v>17355.37</v>
      </c>
      <c r="I1039" s="64">
        <f>ventas_b_mes684[[#This Row],[IMPORTE NETO]]*0.21</f>
        <v>3644.6276999999995</v>
      </c>
      <c r="J1039" s="64"/>
      <c r="K1039" s="64"/>
      <c r="L1039" s="64">
        <f>SUM(ventas_b_mes684[[#This Row],[IMPORTE NETO]:[EXENTO]])</f>
        <v>20999.9977</v>
      </c>
      <c r="M1039" s="59"/>
    </row>
    <row r="1040" spans="2:13">
      <c r="B1040" s="40" t="s">
        <v>2309</v>
      </c>
      <c r="C1040" s="41">
        <v>6</v>
      </c>
      <c r="D1040" s="42">
        <v>15</v>
      </c>
      <c r="E1040" s="43">
        <v>13233</v>
      </c>
      <c r="F1040" s="44">
        <v>39428300</v>
      </c>
      <c r="G1040" s="1" t="str">
        <f>IFERROR(IF(ventas_b_mes684[[#This Row],[CUIT]]="","-",VLOOKUP(ventas_b_mes684[[#This Row],[CUIT]],Lista_CUIT[#All],2,0)),"CUIT NO CARGADO")</f>
        <v>CUIT NO CARGADO</v>
      </c>
      <c r="H1040" s="64">
        <v>6537.19</v>
      </c>
      <c r="I1040" s="64">
        <f>ventas_b_mes684[[#This Row],[IMPORTE NETO]]*0.21</f>
        <v>1372.8099</v>
      </c>
      <c r="J1040" s="64"/>
      <c r="K1040" s="64"/>
      <c r="L1040" s="64">
        <f>SUM(ventas_b_mes684[[#This Row],[IMPORTE NETO]:[EXENTO]])</f>
        <v>7909.9998999999998</v>
      </c>
      <c r="M1040" s="59"/>
    </row>
    <row r="1041" spans="2:13">
      <c r="B1041" s="40" t="s">
        <v>2309</v>
      </c>
      <c r="C1041" s="41">
        <v>6</v>
      </c>
      <c r="D1041" s="42">
        <v>15</v>
      </c>
      <c r="E1041" s="43">
        <v>13251</v>
      </c>
      <c r="F1041" s="44">
        <v>38694684</v>
      </c>
      <c r="G1041" s="1" t="str">
        <f>IFERROR(IF(ventas_b_mes684[[#This Row],[CUIT]]="","-",VLOOKUP(ventas_b_mes684[[#This Row],[CUIT]],Lista_CUIT[#All],2,0)),"CUIT NO CARGADO")</f>
        <v>CUIT NO CARGADO</v>
      </c>
      <c r="H1041" s="64">
        <v>20661.16</v>
      </c>
      <c r="I1041" s="64">
        <f>ventas_b_mes684[[#This Row],[IMPORTE NETO]]*0.21</f>
        <v>4338.8436000000002</v>
      </c>
      <c r="J1041" s="64"/>
      <c r="K1041" s="64"/>
      <c r="L1041" s="64">
        <f>SUM(ventas_b_mes684[[#This Row],[IMPORTE NETO]:[EXENTO]])</f>
        <v>25000.0036</v>
      </c>
      <c r="M1041" s="59"/>
    </row>
    <row r="1042" spans="2:13">
      <c r="B1042" s="40" t="s">
        <v>2309</v>
      </c>
      <c r="C1042" s="41">
        <v>6</v>
      </c>
      <c r="D1042" s="42">
        <v>10</v>
      </c>
      <c r="E1042" s="43">
        <v>54460</v>
      </c>
      <c r="F1042" s="44">
        <v>28049002</v>
      </c>
      <c r="G1042" s="1" t="str">
        <f>IFERROR(IF(ventas_b_mes684[[#This Row],[CUIT]]="","-",VLOOKUP(ventas_b_mes684[[#This Row],[CUIT]],Lista_CUIT[#All],2,0)),"CUIT NO CARGADO")</f>
        <v>CUIT NO CARGADO</v>
      </c>
      <c r="H1042" s="64">
        <v>12495.87</v>
      </c>
      <c r="I1042" s="64">
        <f>ventas_b_mes684[[#This Row],[IMPORTE NETO]]*0.21</f>
        <v>2624.1327000000001</v>
      </c>
      <c r="J1042" s="64"/>
      <c r="K1042" s="64"/>
      <c r="L1042" s="64">
        <f>SUM(ventas_b_mes684[[#This Row],[IMPORTE NETO]:[EXENTO]])</f>
        <v>15120.002700000001</v>
      </c>
      <c r="M1042" s="59"/>
    </row>
    <row r="1043" spans="2:13">
      <c r="B1043" s="40" t="s">
        <v>2309</v>
      </c>
      <c r="C1043" s="41">
        <v>6</v>
      </c>
      <c r="D1043" s="42">
        <v>15</v>
      </c>
      <c r="E1043" s="43">
        <v>13249</v>
      </c>
      <c r="F1043" s="44">
        <v>39428300</v>
      </c>
      <c r="G1043" s="1" t="str">
        <f>IFERROR(IF(ventas_b_mes684[[#This Row],[CUIT]]="","-",VLOOKUP(ventas_b_mes684[[#This Row],[CUIT]],Lista_CUIT[#All],2,0)),"CUIT NO CARGADO")</f>
        <v>CUIT NO CARGADO</v>
      </c>
      <c r="H1043" s="64">
        <v>11454.55</v>
      </c>
      <c r="I1043" s="64">
        <f>ventas_b_mes684[[#This Row],[IMPORTE NETO]]*0.21</f>
        <v>2405.4554999999996</v>
      </c>
      <c r="J1043" s="64"/>
      <c r="K1043" s="64"/>
      <c r="L1043" s="64">
        <f>SUM(ventas_b_mes684[[#This Row],[IMPORTE NETO]:[EXENTO]])</f>
        <v>13860.005499999999</v>
      </c>
      <c r="M1043" s="59"/>
    </row>
    <row r="1044" spans="2:13">
      <c r="B1044" s="40" t="s">
        <v>2309</v>
      </c>
      <c r="C1044" s="41">
        <v>6</v>
      </c>
      <c r="D1044" s="42">
        <v>15</v>
      </c>
      <c r="E1044" s="43">
        <v>13250</v>
      </c>
      <c r="F1044" s="44">
        <v>38694684</v>
      </c>
      <c r="G1044" s="1" t="str">
        <f>IFERROR(IF(ventas_b_mes684[[#This Row],[CUIT]]="","-",VLOOKUP(ventas_b_mes684[[#This Row],[CUIT]],Lista_CUIT[#All],2,0)),"CUIT NO CARGADO")</f>
        <v>CUIT NO CARGADO</v>
      </c>
      <c r="H1044" s="64">
        <v>7611.57</v>
      </c>
      <c r="I1044" s="64">
        <f>ventas_b_mes684[[#This Row],[IMPORTE NETO]]*0.21</f>
        <v>1598.4296999999999</v>
      </c>
      <c r="J1044" s="64"/>
      <c r="K1044" s="64"/>
      <c r="L1044" s="64">
        <f>SUM(ventas_b_mes684[[#This Row],[IMPORTE NETO]:[EXENTO]])</f>
        <v>9209.9997000000003</v>
      </c>
      <c r="M1044" s="59"/>
    </row>
    <row r="1045" spans="2:13">
      <c r="B1045" s="40" t="s">
        <v>2309</v>
      </c>
      <c r="C1045" s="41">
        <v>6</v>
      </c>
      <c r="D1045" s="42">
        <v>15</v>
      </c>
      <c r="E1045" s="43">
        <v>13234</v>
      </c>
      <c r="F1045" s="44">
        <v>17594061</v>
      </c>
      <c r="G1045" s="1" t="str">
        <f>IFERROR(IF(ventas_b_mes684[[#This Row],[CUIT]]="","-",VLOOKUP(ventas_b_mes684[[#This Row],[CUIT]],Lista_CUIT[#All],2,0)),"CUIT NO CARGADO")</f>
        <v>CUIT NO CARGADO</v>
      </c>
      <c r="H1045" s="64">
        <v>20661.16</v>
      </c>
      <c r="I1045" s="64">
        <f>ventas_b_mes684[[#This Row],[IMPORTE NETO]]*0.21</f>
        <v>4338.8436000000002</v>
      </c>
      <c r="J1045" s="64"/>
      <c r="K1045" s="64"/>
      <c r="L1045" s="64">
        <f>SUM(ventas_b_mes684[[#This Row],[IMPORTE NETO]:[EXENTO]])</f>
        <v>25000.0036</v>
      </c>
      <c r="M1045" s="59"/>
    </row>
    <row r="1046" spans="2:13">
      <c r="B1046" s="40" t="s">
        <v>2309</v>
      </c>
      <c r="C1046" s="41">
        <v>6</v>
      </c>
      <c r="D1046" s="42">
        <v>10</v>
      </c>
      <c r="E1046" s="43">
        <v>54447</v>
      </c>
      <c r="F1046" s="44">
        <v>0</v>
      </c>
      <c r="G1046" s="1" t="str">
        <f>IFERROR(IF(ventas_b_mes684[[#This Row],[CUIT]]="","-",VLOOKUP(ventas_b_mes684[[#This Row],[CUIT]],Lista_CUIT[#All],2,0)),"CUIT NO CARGADO")</f>
        <v>CUIT NO CARGADO</v>
      </c>
      <c r="H1046" s="64">
        <v>5008.26</v>
      </c>
      <c r="I1046" s="64">
        <f>ventas_b_mes684[[#This Row],[IMPORTE NETO]]*0.21</f>
        <v>1051.7346</v>
      </c>
      <c r="J1046" s="64"/>
      <c r="K1046" s="64"/>
      <c r="L1046" s="64">
        <f>SUM(ventas_b_mes684[[#This Row],[IMPORTE NETO]:[EXENTO]])</f>
        <v>6059.9946</v>
      </c>
      <c r="M1046" s="59"/>
    </row>
    <row r="1047" spans="2:13">
      <c r="B1047" s="40" t="s">
        <v>2309</v>
      </c>
      <c r="C1047" s="41">
        <v>6</v>
      </c>
      <c r="D1047" s="42">
        <v>11</v>
      </c>
      <c r="E1047" s="43">
        <v>38113</v>
      </c>
      <c r="F1047" s="44">
        <v>22347515</v>
      </c>
      <c r="G1047" s="1" t="str">
        <f>IFERROR(IF(ventas_b_mes684[[#This Row],[CUIT]]="","-",VLOOKUP(ventas_b_mes684[[#This Row],[CUIT]],Lista_CUIT[#All],2,0)),"CUIT NO CARGADO")</f>
        <v>CUIT NO CARGADO</v>
      </c>
      <c r="H1047" s="64">
        <v>52585.54</v>
      </c>
      <c r="I1047" s="64">
        <f>ventas_b_mes684[[#This Row],[IMPORTE NETO]]*0.21</f>
        <v>11042.963400000001</v>
      </c>
      <c r="J1047" s="64"/>
      <c r="K1047" s="64"/>
      <c r="L1047" s="64">
        <f>SUM(ventas_b_mes684[[#This Row],[IMPORTE NETO]:[EXENTO]])</f>
        <v>63628.503400000001</v>
      </c>
      <c r="M1047" s="59"/>
    </row>
    <row r="1048" spans="2:13">
      <c r="B1048" s="40" t="s">
        <v>2309</v>
      </c>
      <c r="C1048" s="41">
        <v>6</v>
      </c>
      <c r="D1048" s="42">
        <v>15</v>
      </c>
      <c r="E1048" s="43">
        <v>13222</v>
      </c>
      <c r="F1048" s="44">
        <v>30040191</v>
      </c>
      <c r="G1048" s="1" t="str">
        <f>IFERROR(IF(ventas_b_mes684[[#This Row],[CUIT]]="","-",VLOOKUP(ventas_b_mes684[[#This Row],[CUIT]],Lista_CUIT[#All],2,0)),"CUIT NO CARGADO")</f>
        <v>CUIT NO CARGADO</v>
      </c>
      <c r="H1048" s="64">
        <v>44735.54</v>
      </c>
      <c r="I1048" s="64">
        <f>ventas_b_mes684[[#This Row],[IMPORTE NETO]]*0.21</f>
        <v>9394.4634000000005</v>
      </c>
      <c r="J1048" s="64"/>
      <c r="K1048" s="64"/>
      <c r="L1048" s="64">
        <f>SUM(ventas_b_mes684[[#This Row],[IMPORTE NETO]:[EXENTO]])</f>
        <v>54130.003400000001</v>
      </c>
      <c r="M1048" s="59"/>
    </row>
    <row r="1049" spans="2:13">
      <c r="B1049" s="40" t="s">
        <v>2309</v>
      </c>
      <c r="C1049" s="41">
        <v>6</v>
      </c>
      <c r="D1049" s="42">
        <v>10</v>
      </c>
      <c r="E1049" s="43">
        <v>54452</v>
      </c>
      <c r="F1049" s="44">
        <v>33042822</v>
      </c>
      <c r="G1049" s="1" t="str">
        <f>IFERROR(IF(ventas_b_mes684[[#This Row],[CUIT]]="","-",VLOOKUP(ventas_b_mes684[[#This Row],[CUIT]],Lista_CUIT[#All],2,0)),"CUIT NO CARGADO")</f>
        <v>CUIT NO CARGADO</v>
      </c>
      <c r="H1049" s="64">
        <v>90334.75</v>
      </c>
      <c r="I1049" s="64">
        <f>ventas_b_mes684[[#This Row],[IMPORTE NETO]]*0.21</f>
        <v>18970.297500000001</v>
      </c>
      <c r="J1049" s="64"/>
      <c r="K1049" s="64"/>
      <c r="L1049" s="64">
        <f>SUM(ventas_b_mes684[[#This Row],[IMPORTE NETO]:[EXENTO]])</f>
        <v>109305.0475</v>
      </c>
      <c r="M1049" s="59"/>
    </row>
    <row r="1050" spans="2:13">
      <c r="B1050" s="40" t="s">
        <v>2309</v>
      </c>
      <c r="C1050" s="41">
        <v>6</v>
      </c>
      <c r="D1050" s="42">
        <v>12</v>
      </c>
      <c r="E1050" s="43">
        <v>29661</v>
      </c>
      <c r="F1050" s="44">
        <v>31272302</v>
      </c>
      <c r="G1050" s="1" t="str">
        <f>IFERROR(IF(ventas_b_mes684[[#This Row],[CUIT]]="","-",VLOOKUP(ventas_b_mes684[[#This Row],[CUIT]],Lista_CUIT[#All],2,0)),"CUIT NO CARGADO")</f>
        <v>CUIT NO CARGADO</v>
      </c>
      <c r="H1050" s="64">
        <v>20661.16</v>
      </c>
      <c r="I1050" s="64">
        <f>ventas_b_mes684[[#This Row],[IMPORTE NETO]]*0.21</f>
        <v>4338.8436000000002</v>
      </c>
      <c r="J1050" s="64"/>
      <c r="K1050" s="64"/>
      <c r="L1050" s="64">
        <f>SUM(ventas_b_mes684[[#This Row],[IMPORTE NETO]:[EXENTO]])</f>
        <v>25000.0036</v>
      </c>
      <c r="M1050" s="59"/>
    </row>
    <row r="1051" spans="2:13">
      <c r="B1051" s="40" t="s">
        <v>2309</v>
      </c>
      <c r="C1051" s="41">
        <v>6</v>
      </c>
      <c r="D1051" s="42">
        <v>15</v>
      </c>
      <c r="E1051" s="43">
        <v>13230</v>
      </c>
      <c r="F1051" s="44">
        <v>43420651</v>
      </c>
      <c r="G1051" s="1" t="str">
        <f>IFERROR(IF(ventas_b_mes684[[#This Row],[CUIT]]="","-",VLOOKUP(ventas_b_mes684[[#This Row],[CUIT]],Lista_CUIT[#All],2,0)),"CUIT NO CARGADO")</f>
        <v>CUIT NO CARGADO</v>
      </c>
      <c r="H1051" s="64">
        <v>20661.16</v>
      </c>
      <c r="I1051" s="64">
        <f>ventas_b_mes684[[#This Row],[IMPORTE NETO]]*0.21</f>
        <v>4338.8436000000002</v>
      </c>
      <c r="J1051" s="64"/>
      <c r="K1051" s="64"/>
      <c r="L1051" s="64">
        <f>SUM(ventas_b_mes684[[#This Row],[IMPORTE NETO]:[EXENTO]])</f>
        <v>25000.0036</v>
      </c>
      <c r="M1051" s="59"/>
    </row>
    <row r="1052" spans="2:13">
      <c r="B1052" s="40" t="s">
        <v>2309</v>
      </c>
      <c r="C1052" s="41">
        <v>6</v>
      </c>
      <c r="D1052" s="42">
        <v>15</v>
      </c>
      <c r="E1052" s="43">
        <v>13232</v>
      </c>
      <c r="F1052" s="44">
        <v>39428300</v>
      </c>
      <c r="G1052" s="1" t="str">
        <f>IFERROR(IF(ventas_b_mes684[[#This Row],[CUIT]]="","-",VLOOKUP(ventas_b_mes684[[#This Row],[CUIT]],Lista_CUIT[#All],2,0)),"CUIT NO CARGADO")</f>
        <v>CUIT NO CARGADO</v>
      </c>
      <c r="H1052" s="64">
        <v>20661.16</v>
      </c>
      <c r="I1052" s="64">
        <f>ventas_b_mes684[[#This Row],[IMPORTE NETO]]*0.21</f>
        <v>4338.8436000000002</v>
      </c>
      <c r="J1052" s="64"/>
      <c r="K1052" s="64"/>
      <c r="L1052" s="64">
        <f>SUM(ventas_b_mes684[[#This Row],[IMPORTE NETO]:[EXENTO]])</f>
        <v>25000.0036</v>
      </c>
      <c r="M1052" s="59"/>
    </row>
    <row r="1053" spans="2:13">
      <c r="B1053" s="40" t="s">
        <v>2309</v>
      </c>
      <c r="C1053" s="41">
        <v>6</v>
      </c>
      <c r="D1053" s="42">
        <v>11</v>
      </c>
      <c r="E1053" s="43">
        <v>38114</v>
      </c>
      <c r="F1053" s="44">
        <v>33587963</v>
      </c>
      <c r="G1053" s="1" t="str">
        <f>IFERROR(IF(ventas_b_mes684[[#This Row],[CUIT]]="","-",VLOOKUP(ventas_b_mes684[[#This Row],[CUIT]],Lista_CUIT[#All],2,0)),"CUIT NO CARGADO")</f>
        <v>CUIT NO CARGADO</v>
      </c>
      <c r="H1053" s="64">
        <v>49669.43</v>
      </c>
      <c r="I1053" s="64">
        <f>ventas_b_mes684[[#This Row],[IMPORTE NETO]]*0.21</f>
        <v>10430.5803</v>
      </c>
      <c r="J1053" s="64"/>
      <c r="K1053" s="64"/>
      <c r="L1053" s="64">
        <f>SUM(ventas_b_mes684[[#This Row],[IMPORTE NETO]:[EXENTO]])</f>
        <v>60100.010300000002</v>
      </c>
      <c r="M1053" s="59"/>
    </row>
    <row r="1054" spans="2:13">
      <c r="B1054" s="40" t="s">
        <v>2309</v>
      </c>
      <c r="C1054" s="41">
        <v>6</v>
      </c>
      <c r="D1054" s="42">
        <v>13</v>
      </c>
      <c r="E1054" s="43">
        <v>32474</v>
      </c>
      <c r="F1054" s="44">
        <v>10551305</v>
      </c>
      <c r="G1054" s="1" t="str">
        <f>IFERROR(IF(ventas_b_mes684[[#This Row],[CUIT]]="","-",VLOOKUP(ventas_b_mes684[[#This Row],[CUIT]],Lista_CUIT[#All],2,0)),"CUIT NO CARGADO")</f>
        <v>CUIT NO CARGADO</v>
      </c>
      <c r="H1054" s="64">
        <v>39504.129999999997</v>
      </c>
      <c r="I1054" s="64">
        <f>ventas_b_mes684[[#This Row],[IMPORTE NETO]]*0.21</f>
        <v>8295.8672999999999</v>
      </c>
      <c r="J1054" s="64"/>
      <c r="K1054" s="64"/>
      <c r="L1054" s="64">
        <f>SUM(ventas_b_mes684[[#This Row],[IMPORTE NETO]:[EXENTO]])</f>
        <v>47799.997299999995</v>
      </c>
      <c r="M1054" s="59"/>
    </row>
    <row r="1055" spans="2:13">
      <c r="B1055" s="40" t="s">
        <v>2309</v>
      </c>
      <c r="C1055" s="41">
        <v>6</v>
      </c>
      <c r="D1055" s="42">
        <v>11</v>
      </c>
      <c r="E1055" s="43">
        <v>38111</v>
      </c>
      <c r="F1055" s="44">
        <v>32478966</v>
      </c>
      <c r="G1055" s="1" t="str">
        <f>IFERROR(IF(ventas_b_mes684[[#This Row],[CUIT]]="","-",VLOOKUP(ventas_b_mes684[[#This Row],[CUIT]],Lista_CUIT[#All],2,0)),"CUIT NO CARGADO")</f>
        <v>CUIT NO CARGADO</v>
      </c>
      <c r="H1055" s="64">
        <v>35376.03</v>
      </c>
      <c r="I1055" s="64">
        <f>ventas_b_mes684[[#This Row],[IMPORTE NETO]]*0.21</f>
        <v>7428.9662999999991</v>
      </c>
      <c r="J1055" s="64"/>
      <c r="K1055" s="64"/>
      <c r="L1055" s="64">
        <f>SUM(ventas_b_mes684[[#This Row],[IMPORTE NETO]:[EXENTO]])</f>
        <v>42804.996299999999</v>
      </c>
      <c r="M1055" s="59"/>
    </row>
    <row r="1056" spans="2:13">
      <c r="B1056" s="40" t="s">
        <v>2309</v>
      </c>
      <c r="C1056" s="41">
        <v>6</v>
      </c>
      <c r="D1056" s="42">
        <v>12</v>
      </c>
      <c r="E1056" s="43">
        <v>29679</v>
      </c>
      <c r="F1056" s="44">
        <v>28112929</v>
      </c>
      <c r="G1056" s="1" t="str">
        <f>IFERROR(IF(ventas_b_mes684[[#This Row],[CUIT]]="","-",VLOOKUP(ventas_b_mes684[[#This Row],[CUIT]],Lista_CUIT[#All],2,0)),"CUIT NO CARGADO")</f>
        <v>CUIT NO CARGADO</v>
      </c>
      <c r="H1056" s="64">
        <v>14570.25</v>
      </c>
      <c r="I1056" s="64">
        <f>ventas_b_mes684[[#This Row],[IMPORTE NETO]]*0.21</f>
        <v>3059.7525000000001</v>
      </c>
      <c r="J1056" s="64"/>
      <c r="K1056" s="64"/>
      <c r="L1056" s="64">
        <f>SUM(ventas_b_mes684[[#This Row],[IMPORTE NETO]:[EXENTO]])</f>
        <v>17630.002499999999</v>
      </c>
      <c r="M1056" s="59"/>
    </row>
    <row r="1057" spans="2:13">
      <c r="B1057" s="40" t="s">
        <v>2309</v>
      </c>
      <c r="C1057" s="41">
        <v>6</v>
      </c>
      <c r="D1057" s="42">
        <v>15</v>
      </c>
      <c r="E1057" s="43">
        <v>13241</v>
      </c>
      <c r="F1057" s="44">
        <v>32465742</v>
      </c>
      <c r="G1057" s="1" t="str">
        <f>IFERROR(IF(ventas_b_mes684[[#This Row],[CUIT]]="","-",VLOOKUP(ventas_b_mes684[[#This Row],[CUIT]],Lista_CUIT[#All],2,0)),"CUIT NO CARGADO")</f>
        <v>CUIT NO CARGADO</v>
      </c>
      <c r="H1057" s="64">
        <v>20661.16</v>
      </c>
      <c r="I1057" s="64">
        <f>ventas_b_mes684[[#This Row],[IMPORTE NETO]]*0.21</f>
        <v>4338.8436000000002</v>
      </c>
      <c r="J1057" s="64"/>
      <c r="K1057" s="64"/>
      <c r="L1057" s="64">
        <f>SUM(ventas_b_mes684[[#This Row],[IMPORTE NETO]:[EXENTO]])</f>
        <v>25000.0036</v>
      </c>
      <c r="M1057" s="59"/>
    </row>
    <row r="1058" spans="2:13">
      <c r="B1058" s="40" t="s">
        <v>2309</v>
      </c>
      <c r="C1058" s="41">
        <v>6</v>
      </c>
      <c r="D1058" s="42">
        <v>13</v>
      </c>
      <c r="E1058" s="43">
        <v>32473</v>
      </c>
      <c r="F1058" s="44">
        <v>0</v>
      </c>
      <c r="G1058" s="1" t="str">
        <f>IFERROR(IF(ventas_b_mes684[[#This Row],[CUIT]]="","-",VLOOKUP(ventas_b_mes684[[#This Row],[CUIT]],Lista_CUIT[#All],2,0)),"CUIT NO CARGADO")</f>
        <v>CUIT NO CARGADO</v>
      </c>
      <c r="H1058" s="64">
        <v>6006.2</v>
      </c>
      <c r="I1058" s="64">
        <f>ventas_b_mes684[[#This Row],[IMPORTE NETO]]*0.21</f>
        <v>1261.3019999999999</v>
      </c>
      <c r="J1058" s="64"/>
      <c r="K1058" s="64"/>
      <c r="L1058" s="64">
        <f>SUM(ventas_b_mes684[[#This Row],[IMPORTE NETO]:[EXENTO]])</f>
        <v>7267.5019999999995</v>
      </c>
      <c r="M1058" s="59"/>
    </row>
    <row r="1059" spans="2:13">
      <c r="B1059" s="40" t="s">
        <v>2309</v>
      </c>
      <c r="C1059" s="41">
        <v>6</v>
      </c>
      <c r="D1059" s="42">
        <v>15</v>
      </c>
      <c r="E1059" s="43">
        <v>13244</v>
      </c>
      <c r="F1059" s="44">
        <v>21066432</v>
      </c>
      <c r="G1059" s="1" t="str">
        <f>IFERROR(IF(ventas_b_mes684[[#This Row],[CUIT]]="","-",VLOOKUP(ventas_b_mes684[[#This Row],[CUIT]],Lista_CUIT[#All],2,0)),"CUIT NO CARGADO")</f>
        <v>CUIT NO CARGADO</v>
      </c>
      <c r="H1059" s="64">
        <v>9801.65</v>
      </c>
      <c r="I1059" s="64">
        <f>ventas_b_mes684[[#This Row],[IMPORTE NETO]]*0.21</f>
        <v>2058.3464999999997</v>
      </c>
      <c r="J1059" s="64"/>
      <c r="K1059" s="64"/>
      <c r="L1059" s="64">
        <f>SUM(ventas_b_mes684[[#This Row],[IMPORTE NETO]:[EXENTO]])</f>
        <v>11859.996499999999</v>
      </c>
      <c r="M1059" s="59"/>
    </row>
    <row r="1060" spans="2:13">
      <c r="B1060" s="40" t="s">
        <v>2309</v>
      </c>
      <c r="C1060" s="41">
        <v>6</v>
      </c>
      <c r="D1060" s="42">
        <v>10</v>
      </c>
      <c r="E1060" s="43">
        <v>54453</v>
      </c>
      <c r="F1060" s="44">
        <v>28049002</v>
      </c>
      <c r="G1060" s="1" t="str">
        <f>IFERROR(IF(ventas_b_mes684[[#This Row],[CUIT]]="","-",VLOOKUP(ventas_b_mes684[[#This Row],[CUIT]],Lista_CUIT[#All],2,0)),"CUIT NO CARGADO")</f>
        <v>CUIT NO CARGADO</v>
      </c>
      <c r="H1060" s="64">
        <v>47900.83</v>
      </c>
      <c r="I1060" s="64">
        <f>ventas_b_mes684[[#This Row],[IMPORTE NETO]]*0.21</f>
        <v>10059.174300000001</v>
      </c>
      <c r="J1060" s="64"/>
      <c r="K1060" s="64"/>
      <c r="L1060" s="64">
        <f>SUM(ventas_b_mes684[[#This Row],[IMPORTE NETO]:[EXENTO]])</f>
        <v>57960.004300000001</v>
      </c>
      <c r="M1060" s="59"/>
    </row>
    <row r="1061" spans="2:13">
      <c r="B1061" s="40" t="s">
        <v>2309</v>
      </c>
      <c r="C1061" s="41">
        <v>6</v>
      </c>
      <c r="D1061" s="42">
        <v>10</v>
      </c>
      <c r="E1061" s="43">
        <v>54455</v>
      </c>
      <c r="F1061" s="44">
        <v>93902266</v>
      </c>
      <c r="G1061" s="1" t="str">
        <f>IFERROR(IF(ventas_b_mes684[[#This Row],[CUIT]]="","-",VLOOKUP(ventas_b_mes684[[#This Row],[CUIT]],Lista_CUIT[#All],2,0)),"CUIT NO CARGADO")</f>
        <v>CUIT NO CARGADO</v>
      </c>
      <c r="H1061" s="64">
        <v>54892.56</v>
      </c>
      <c r="I1061" s="64">
        <f>ventas_b_mes684[[#This Row],[IMPORTE NETO]]*0.21</f>
        <v>11527.437599999999</v>
      </c>
      <c r="J1061" s="64"/>
      <c r="K1061" s="64"/>
      <c r="L1061" s="64">
        <f>SUM(ventas_b_mes684[[#This Row],[IMPORTE NETO]:[EXENTO]])</f>
        <v>66419.997600000002</v>
      </c>
      <c r="M1061" s="59"/>
    </row>
    <row r="1062" spans="2:13">
      <c r="B1062" s="40" t="s">
        <v>2309</v>
      </c>
      <c r="C1062" s="41">
        <v>6</v>
      </c>
      <c r="D1062" s="42">
        <v>15</v>
      </c>
      <c r="E1062" s="43">
        <v>13252</v>
      </c>
      <c r="F1062" s="44">
        <v>23815158</v>
      </c>
      <c r="G1062" s="1" t="str">
        <f>IFERROR(IF(ventas_b_mes684[[#This Row],[CUIT]]="","-",VLOOKUP(ventas_b_mes684[[#This Row],[CUIT]],Lista_CUIT[#All],2,0)),"CUIT NO CARGADO")</f>
        <v>CUIT NO CARGADO</v>
      </c>
      <c r="H1062" s="64">
        <v>20661.16</v>
      </c>
      <c r="I1062" s="64">
        <f>ventas_b_mes684[[#This Row],[IMPORTE NETO]]*0.21</f>
        <v>4338.8436000000002</v>
      </c>
      <c r="J1062" s="64"/>
      <c r="K1062" s="64"/>
      <c r="L1062" s="64">
        <f>SUM(ventas_b_mes684[[#This Row],[IMPORTE NETO]:[EXENTO]])</f>
        <v>25000.0036</v>
      </c>
      <c r="M1062" s="59"/>
    </row>
    <row r="1063" spans="2:13">
      <c r="B1063" s="40" t="s">
        <v>2309</v>
      </c>
      <c r="C1063" s="41">
        <v>6</v>
      </c>
      <c r="D1063" s="42">
        <v>12</v>
      </c>
      <c r="E1063" s="43">
        <v>29664</v>
      </c>
      <c r="F1063" s="44">
        <v>27421603</v>
      </c>
      <c r="G1063" s="1" t="str">
        <f>IFERROR(IF(ventas_b_mes684[[#This Row],[CUIT]]="","-",VLOOKUP(ventas_b_mes684[[#This Row],[CUIT]],Lista_CUIT[#All],2,0)),"CUIT NO CARGADO")</f>
        <v>CUIT NO CARGADO</v>
      </c>
      <c r="H1063" s="64">
        <v>25702.48</v>
      </c>
      <c r="I1063" s="64">
        <f>ventas_b_mes684[[#This Row],[IMPORTE NETO]]*0.21</f>
        <v>5397.5207999999993</v>
      </c>
      <c r="J1063" s="64"/>
      <c r="K1063" s="64"/>
      <c r="L1063" s="64">
        <f>SUM(ventas_b_mes684[[#This Row],[IMPORTE NETO]:[EXENTO]])</f>
        <v>31100.000799999998</v>
      </c>
      <c r="M1063" s="59"/>
    </row>
    <row r="1064" spans="2:13">
      <c r="B1064" s="40" t="s">
        <v>2309</v>
      </c>
      <c r="C1064" s="41">
        <v>6</v>
      </c>
      <c r="D1064" s="42">
        <v>11</v>
      </c>
      <c r="E1064" s="43">
        <v>38122</v>
      </c>
      <c r="F1064" s="44">
        <v>5931848</v>
      </c>
      <c r="G1064" s="1" t="str">
        <f>IFERROR(IF(ventas_b_mes684[[#This Row],[CUIT]]="","-",VLOOKUP(ventas_b_mes684[[#This Row],[CUIT]],Lista_CUIT[#All],2,0)),"CUIT NO CARGADO")</f>
        <v>CUIT NO CARGADO</v>
      </c>
      <c r="H1064" s="64">
        <v>23305.79</v>
      </c>
      <c r="I1064" s="64">
        <f>ventas_b_mes684[[#This Row],[IMPORTE NETO]]*0.21</f>
        <v>4894.2159000000001</v>
      </c>
      <c r="J1064" s="64"/>
      <c r="K1064" s="64"/>
      <c r="L1064" s="64">
        <f>SUM(ventas_b_mes684[[#This Row],[IMPORTE NETO]:[EXENTO]])</f>
        <v>28200.0059</v>
      </c>
      <c r="M1064" s="59"/>
    </row>
    <row r="1065" spans="2:13">
      <c r="B1065" s="40" t="s">
        <v>2309</v>
      </c>
      <c r="C1065" s="41">
        <v>6</v>
      </c>
      <c r="D1065" s="42">
        <v>15</v>
      </c>
      <c r="E1065" s="43">
        <v>13239</v>
      </c>
      <c r="F1065" s="44">
        <v>17417087</v>
      </c>
      <c r="G1065" s="1" t="str">
        <f>IFERROR(IF(ventas_b_mes684[[#This Row],[CUIT]]="","-",VLOOKUP(ventas_b_mes684[[#This Row],[CUIT]],Lista_CUIT[#All],2,0)),"CUIT NO CARGADO")</f>
        <v>CUIT NO CARGADO</v>
      </c>
      <c r="H1065" s="64">
        <v>20661.16</v>
      </c>
      <c r="I1065" s="64">
        <f>ventas_b_mes684[[#This Row],[IMPORTE NETO]]*0.21</f>
        <v>4338.8436000000002</v>
      </c>
      <c r="J1065" s="64"/>
      <c r="K1065" s="64"/>
      <c r="L1065" s="64">
        <f>SUM(ventas_b_mes684[[#This Row],[IMPORTE NETO]:[EXENTO]])</f>
        <v>25000.0036</v>
      </c>
      <c r="M1065" s="59"/>
    </row>
    <row r="1066" spans="2:13">
      <c r="B1066" s="40" t="s">
        <v>2309</v>
      </c>
      <c r="C1066" s="41">
        <v>6</v>
      </c>
      <c r="D1066" s="42">
        <v>10</v>
      </c>
      <c r="E1066" s="43">
        <v>54450</v>
      </c>
      <c r="F1066" s="44">
        <v>45041334</v>
      </c>
      <c r="G1066" s="1" t="str">
        <f>IFERROR(IF(ventas_b_mes684[[#This Row],[CUIT]]="","-",VLOOKUP(ventas_b_mes684[[#This Row],[CUIT]],Lista_CUIT[#All],2,0)),"CUIT NO CARGADO")</f>
        <v>CUIT NO CARGADO</v>
      </c>
      <c r="H1066" s="64">
        <v>20603.310000000001</v>
      </c>
      <c r="I1066" s="64">
        <f>ventas_b_mes684[[#This Row],[IMPORTE NETO]]*0.21</f>
        <v>4326.6950999999999</v>
      </c>
      <c r="J1066" s="64"/>
      <c r="K1066" s="64"/>
      <c r="L1066" s="64">
        <f>SUM(ventas_b_mes684[[#This Row],[IMPORTE NETO]:[EXENTO]])</f>
        <v>24930.005100000002</v>
      </c>
      <c r="M1066" s="59"/>
    </row>
    <row r="1067" spans="2:13">
      <c r="B1067" s="40" t="s">
        <v>2309</v>
      </c>
      <c r="C1067" s="41">
        <v>6</v>
      </c>
      <c r="D1067" s="42">
        <v>11</v>
      </c>
      <c r="E1067" s="43">
        <v>38119</v>
      </c>
      <c r="F1067" s="44">
        <v>14869789</v>
      </c>
      <c r="G1067" s="1" t="str">
        <f>IFERROR(IF(ventas_b_mes684[[#This Row],[CUIT]]="","-",VLOOKUP(ventas_b_mes684[[#This Row],[CUIT]],Lista_CUIT[#All],2,0)),"CUIT NO CARGADO")</f>
        <v>CUIT NO CARGADO</v>
      </c>
      <c r="H1067" s="64">
        <v>194338.84</v>
      </c>
      <c r="I1067" s="64">
        <f>ventas_b_mes684[[#This Row],[IMPORTE NETO]]*0.21</f>
        <v>40811.1564</v>
      </c>
      <c r="J1067" s="64"/>
      <c r="K1067" s="64"/>
      <c r="L1067" s="64">
        <f>SUM(ventas_b_mes684[[#This Row],[IMPORTE NETO]:[EXENTO]])</f>
        <v>235149.9964</v>
      </c>
      <c r="M1067" s="59"/>
    </row>
    <row r="1068" spans="2:13">
      <c r="B1068" s="40" t="s">
        <v>2309</v>
      </c>
      <c r="C1068" s="41">
        <v>8</v>
      </c>
      <c r="D1068" s="42">
        <v>12</v>
      </c>
      <c r="E1068" s="43">
        <v>910</v>
      </c>
      <c r="F1068" s="44">
        <v>21820798</v>
      </c>
      <c r="G1068" s="1" t="str">
        <f>IFERROR(IF(ventas_b_mes684[[#This Row],[CUIT]]="","-",VLOOKUP(ventas_b_mes684[[#This Row],[CUIT]],Lista_CUIT[#All],2,0)),"CUIT NO CARGADO")</f>
        <v>CUIT NO CARGADO</v>
      </c>
      <c r="H1068" s="64">
        <v>-65396.69</v>
      </c>
      <c r="I1068" s="64">
        <f>ventas_b_mes684[[#This Row],[IMPORTE NETO]]*0.21</f>
        <v>-13733.304899999999</v>
      </c>
      <c r="J1068" s="64"/>
      <c r="K1068" s="64"/>
      <c r="L1068" s="64">
        <f>SUM(ventas_b_mes684[[#This Row],[IMPORTE NETO]:[EXENTO]])</f>
        <v>-79129.994900000005</v>
      </c>
      <c r="M1068" s="59"/>
    </row>
    <row r="1069" spans="2:13">
      <c r="B1069" s="40" t="s">
        <v>2309</v>
      </c>
      <c r="C1069" s="41">
        <v>8</v>
      </c>
      <c r="D1069" s="42">
        <v>13</v>
      </c>
      <c r="E1069" s="43">
        <v>830</v>
      </c>
      <c r="F1069" s="44">
        <v>23277110</v>
      </c>
      <c r="G1069" s="1" t="str">
        <f>IFERROR(IF(ventas_b_mes684[[#This Row],[CUIT]]="","-",VLOOKUP(ventas_b_mes684[[#This Row],[CUIT]],Lista_CUIT[#All],2,0)),"CUIT NO CARGADO")</f>
        <v>CUIT NO CARGADO</v>
      </c>
      <c r="H1069" s="64">
        <v>-40909.089999999997</v>
      </c>
      <c r="I1069" s="64">
        <f>ventas_b_mes684[[#This Row],[IMPORTE NETO]]*0.21</f>
        <v>-8590.9088999999985</v>
      </c>
      <c r="J1069" s="64"/>
      <c r="K1069" s="64"/>
      <c r="L1069" s="64">
        <f>SUM(ventas_b_mes684[[#This Row],[IMPORTE NETO]:[EXENTO]])</f>
        <v>-49499.998899999991</v>
      </c>
      <c r="M1069" s="59"/>
    </row>
    <row r="1070" spans="2:13">
      <c r="B1070" s="40" t="s">
        <v>2310</v>
      </c>
      <c r="C1070" s="41">
        <v>6</v>
      </c>
      <c r="D1070" s="42">
        <v>15</v>
      </c>
      <c r="E1070" s="43">
        <v>13276</v>
      </c>
      <c r="F1070" s="44">
        <v>34584657</v>
      </c>
      <c r="G1070" s="1" t="str">
        <f>IFERROR(IF(ventas_b_mes684[[#This Row],[CUIT]]="","-",VLOOKUP(ventas_b_mes684[[#This Row],[CUIT]],Lista_CUIT[#All],2,0)),"CUIT NO CARGADO")</f>
        <v>CUIT NO CARGADO</v>
      </c>
      <c r="H1070" s="64">
        <v>132842.98000000001</v>
      </c>
      <c r="I1070" s="64">
        <f>ventas_b_mes684[[#This Row],[IMPORTE NETO]]*0.21</f>
        <v>27897.025799999999</v>
      </c>
      <c r="J1070" s="64"/>
      <c r="K1070" s="64"/>
      <c r="L1070" s="64">
        <f>SUM(ventas_b_mes684[[#This Row],[IMPORTE NETO]:[EXENTO]])</f>
        <v>160740.00580000001</v>
      </c>
      <c r="M1070" s="59"/>
    </row>
    <row r="1071" spans="2:13">
      <c r="B1071" s="40" t="s">
        <v>2310</v>
      </c>
      <c r="C1071" s="41">
        <v>6</v>
      </c>
      <c r="D1071" s="42">
        <v>11</v>
      </c>
      <c r="E1071" s="43">
        <v>38127</v>
      </c>
      <c r="F1071" s="44">
        <v>96077120</v>
      </c>
      <c r="G1071" s="1" t="str">
        <f>IFERROR(IF(ventas_b_mes684[[#This Row],[CUIT]]="","-",VLOOKUP(ventas_b_mes684[[#This Row],[CUIT]],Lista_CUIT[#All],2,0)),"CUIT NO CARGADO")</f>
        <v>CUIT NO CARGADO</v>
      </c>
      <c r="H1071" s="64">
        <v>20661.16</v>
      </c>
      <c r="I1071" s="64">
        <f>ventas_b_mes684[[#This Row],[IMPORTE NETO]]*0.21</f>
        <v>4338.8436000000002</v>
      </c>
      <c r="J1071" s="64"/>
      <c r="K1071" s="64"/>
      <c r="L1071" s="64">
        <f>SUM(ventas_b_mes684[[#This Row],[IMPORTE NETO]:[EXENTO]])</f>
        <v>25000.0036</v>
      </c>
      <c r="M1071" s="59"/>
    </row>
    <row r="1072" spans="2:13">
      <c r="B1072" s="40" t="s">
        <v>2310</v>
      </c>
      <c r="C1072" s="41">
        <v>6</v>
      </c>
      <c r="D1072" s="42">
        <v>11</v>
      </c>
      <c r="E1072" s="43">
        <v>38129</v>
      </c>
      <c r="F1072" s="44">
        <v>20572305</v>
      </c>
      <c r="G1072" s="1" t="str">
        <f>IFERROR(IF(ventas_b_mes684[[#This Row],[CUIT]]="","-",VLOOKUP(ventas_b_mes684[[#This Row],[CUIT]],Lista_CUIT[#All],2,0)),"CUIT NO CARGADO")</f>
        <v>CUIT NO CARGADO</v>
      </c>
      <c r="H1072" s="64">
        <v>20661.16</v>
      </c>
      <c r="I1072" s="64">
        <f>ventas_b_mes684[[#This Row],[IMPORTE NETO]]*0.21</f>
        <v>4338.8436000000002</v>
      </c>
      <c r="J1072" s="64"/>
      <c r="K1072" s="64"/>
      <c r="L1072" s="64">
        <f>SUM(ventas_b_mes684[[#This Row],[IMPORTE NETO]:[EXENTO]])</f>
        <v>25000.0036</v>
      </c>
      <c r="M1072" s="59"/>
    </row>
    <row r="1073" spans="2:13">
      <c r="B1073" s="40" t="s">
        <v>2310</v>
      </c>
      <c r="C1073" s="41">
        <v>6</v>
      </c>
      <c r="D1073" s="42">
        <v>15</v>
      </c>
      <c r="E1073" s="43">
        <v>13266</v>
      </c>
      <c r="F1073" s="44">
        <v>40808377</v>
      </c>
      <c r="G1073" s="1" t="str">
        <f>IFERROR(IF(ventas_b_mes684[[#This Row],[CUIT]]="","-",VLOOKUP(ventas_b_mes684[[#This Row],[CUIT]],Lista_CUIT[#All],2,0)),"CUIT NO CARGADO")</f>
        <v>CUIT NO CARGADO</v>
      </c>
      <c r="H1073" s="64">
        <v>20661.16</v>
      </c>
      <c r="I1073" s="64">
        <f>ventas_b_mes684[[#This Row],[IMPORTE NETO]]*0.21</f>
        <v>4338.8436000000002</v>
      </c>
      <c r="J1073" s="64"/>
      <c r="K1073" s="64"/>
      <c r="L1073" s="64">
        <f>SUM(ventas_b_mes684[[#This Row],[IMPORTE NETO]:[EXENTO]])</f>
        <v>25000.0036</v>
      </c>
      <c r="M1073" s="59"/>
    </row>
    <row r="1074" spans="2:13">
      <c r="B1074" s="40" t="s">
        <v>2310</v>
      </c>
      <c r="C1074" s="41">
        <v>6</v>
      </c>
      <c r="D1074" s="42">
        <v>15</v>
      </c>
      <c r="E1074" s="43">
        <v>13265</v>
      </c>
      <c r="F1074" s="44">
        <v>29561469</v>
      </c>
      <c r="G1074" s="1" t="str">
        <f>IFERROR(IF(ventas_b_mes684[[#This Row],[CUIT]]="","-",VLOOKUP(ventas_b_mes684[[#This Row],[CUIT]],Lista_CUIT[#All],2,0)),"CUIT NO CARGADO")</f>
        <v>CUIT NO CARGADO</v>
      </c>
      <c r="H1074" s="64">
        <v>20661.16</v>
      </c>
      <c r="I1074" s="64">
        <f>ventas_b_mes684[[#This Row],[IMPORTE NETO]]*0.21</f>
        <v>4338.8436000000002</v>
      </c>
      <c r="J1074" s="64"/>
      <c r="K1074" s="64"/>
      <c r="L1074" s="64">
        <f>SUM(ventas_b_mes684[[#This Row],[IMPORTE NETO]:[EXENTO]])</f>
        <v>25000.0036</v>
      </c>
      <c r="M1074" s="59"/>
    </row>
    <row r="1075" spans="2:13">
      <c r="B1075" s="40" t="s">
        <v>2310</v>
      </c>
      <c r="C1075" s="41">
        <v>6</v>
      </c>
      <c r="D1075" s="42">
        <v>10</v>
      </c>
      <c r="E1075" s="43">
        <v>54478</v>
      </c>
      <c r="F1075" s="44">
        <v>95840615</v>
      </c>
      <c r="G1075" s="1" t="str">
        <f>IFERROR(IF(ventas_b_mes684[[#This Row],[CUIT]]="","-",VLOOKUP(ventas_b_mes684[[#This Row],[CUIT]],Lista_CUIT[#All],2,0)),"CUIT NO CARGADO")</f>
        <v>CUIT NO CARGADO</v>
      </c>
      <c r="H1075" s="64">
        <v>18685.95</v>
      </c>
      <c r="I1075" s="64">
        <f>ventas_b_mes684[[#This Row],[IMPORTE NETO]]*0.21</f>
        <v>3924.0495000000001</v>
      </c>
      <c r="J1075" s="64"/>
      <c r="K1075" s="64"/>
      <c r="L1075" s="64">
        <f>SUM(ventas_b_mes684[[#This Row],[IMPORTE NETO]:[EXENTO]])</f>
        <v>22609.999500000002</v>
      </c>
      <c r="M1075" s="59"/>
    </row>
    <row r="1076" spans="2:13">
      <c r="B1076" s="40" t="s">
        <v>2310</v>
      </c>
      <c r="C1076" s="41">
        <v>6</v>
      </c>
      <c r="D1076" s="42">
        <v>13</v>
      </c>
      <c r="E1076" s="43">
        <v>32495</v>
      </c>
      <c r="F1076" s="44">
        <v>20209481</v>
      </c>
      <c r="G1076" s="1" t="str">
        <f>IFERROR(IF(ventas_b_mes684[[#This Row],[CUIT]]="","-",VLOOKUP(ventas_b_mes684[[#This Row],[CUIT]],Lista_CUIT[#All],2,0)),"CUIT NO CARGADO")</f>
        <v>CUIT NO CARGADO</v>
      </c>
      <c r="H1076" s="64">
        <v>37462.81</v>
      </c>
      <c r="I1076" s="64">
        <f>ventas_b_mes684[[#This Row],[IMPORTE NETO]]*0.21</f>
        <v>7867.1900999999989</v>
      </c>
      <c r="J1076" s="64"/>
      <c r="K1076" s="64"/>
      <c r="L1076" s="64">
        <f>SUM(ventas_b_mes684[[#This Row],[IMPORTE NETO]:[EXENTO]])</f>
        <v>45330.000099999997</v>
      </c>
      <c r="M1076" s="59"/>
    </row>
    <row r="1077" spans="2:13">
      <c r="B1077" s="40" t="s">
        <v>2310</v>
      </c>
      <c r="C1077" s="41">
        <v>6</v>
      </c>
      <c r="D1077" s="42">
        <v>13</v>
      </c>
      <c r="E1077" s="43">
        <v>32494</v>
      </c>
      <c r="F1077" s="44">
        <v>36444012</v>
      </c>
      <c r="G1077" s="1" t="str">
        <f>IFERROR(IF(ventas_b_mes684[[#This Row],[CUIT]]="","-",VLOOKUP(ventas_b_mes684[[#This Row],[CUIT]],Lista_CUIT[#All],2,0)),"CUIT NO CARGADO")</f>
        <v>CUIT NO CARGADO</v>
      </c>
      <c r="H1077" s="64">
        <v>37458.68</v>
      </c>
      <c r="I1077" s="64">
        <f>ventas_b_mes684[[#This Row],[IMPORTE NETO]]*0.21</f>
        <v>7866.3227999999999</v>
      </c>
      <c r="J1077" s="64"/>
      <c r="K1077" s="64"/>
      <c r="L1077" s="64">
        <f>SUM(ventas_b_mes684[[#This Row],[IMPORTE NETO]:[EXENTO]])</f>
        <v>45325.002800000002</v>
      </c>
      <c r="M1077" s="59"/>
    </row>
    <row r="1078" spans="2:13">
      <c r="B1078" s="40" t="s">
        <v>2310</v>
      </c>
      <c r="C1078" s="41">
        <v>6</v>
      </c>
      <c r="D1078" s="42">
        <v>10</v>
      </c>
      <c r="E1078" s="43">
        <v>54465</v>
      </c>
      <c r="F1078" s="44">
        <v>94263928</v>
      </c>
      <c r="G1078" s="1" t="str">
        <f>IFERROR(IF(ventas_b_mes684[[#This Row],[CUIT]]="","-",VLOOKUP(ventas_b_mes684[[#This Row],[CUIT]],Lista_CUIT[#All],2,0)),"CUIT NO CARGADO")</f>
        <v>CUIT NO CARGADO</v>
      </c>
      <c r="H1078" s="64">
        <v>9446.2800000000007</v>
      </c>
      <c r="I1078" s="64">
        <f>ventas_b_mes684[[#This Row],[IMPORTE NETO]]*0.21</f>
        <v>1983.7188000000001</v>
      </c>
      <c r="J1078" s="64"/>
      <c r="K1078" s="64"/>
      <c r="L1078" s="64">
        <f>SUM(ventas_b_mes684[[#This Row],[IMPORTE NETO]:[EXENTO]])</f>
        <v>11429.998800000001</v>
      </c>
      <c r="M1078" s="59"/>
    </row>
    <row r="1079" spans="2:13">
      <c r="B1079" s="40" t="s">
        <v>2310</v>
      </c>
      <c r="C1079" s="41">
        <v>6</v>
      </c>
      <c r="D1079" s="42">
        <v>10</v>
      </c>
      <c r="E1079" s="43">
        <v>54464</v>
      </c>
      <c r="F1079" s="44">
        <v>9605006</v>
      </c>
      <c r="G1079" s="1" t="str">
        <f>IFERROR(IF(ventas_b_mes684[[#This Row],[CUIT]]="","-",VLOOKUP(ventas_b_mes684[[#This Row],[CUIT]],Lista_CUIT[#All],2,0)),"CUIT NO CARGADO")</f>
        <v>CUIT NO CARGADO</v>
      </c>
      <c r="H1079" s="64">
        <v>20661.16</v>
      </c>
      <c r="I1079" s="64">
        <f>ventas_b_mes684[[#This Row],[IMPORTE NETO]]*0.21</f>
        <v>4338.8436000000002</v>
      </c>
      <c r="J1079" s="64"/>
      <c r="K1079" s="64"/>
      <c r="L1079" s="64">
        <f>SUM(ventas_b_mes684[[#This Row],[IMPORTE NETO]:[EXENTO]])</f>
        <v>25000.0036</v>
      </c>
      <c r="M1079" s="59"/>
    </row>
    <row r="1080" spans="2:13">
      <c r="B1080" s="40" t="s">
        <v>2310</v>
      </c>
      <c r="C1080" s="41">
        <v>6</v>
      </c>
      <c r="D1080" s="42">
        <v>15</v>
      </c>
      <c r="E1080" s="43">
        <v>13270</v>
      </c>
      <c r="F1080" s="44">
        <v>20426900</v>
      </c>
      <c r="G1080" s="1" t="str">
        <f>IFERROR(IF(ventas_b_mes684[[#This Row],[CUIT]]="","-",VLOOKUP(ventas_b_mes684[[#This Row],[CUIT]],Lista_CUIT[#All],2,0)),"CUIT NO CARGADO")</f>
        <v>CUIT NO CARGADO</v>
      </c>
      <c r="H1080" s="64">
        <v>26363.64</v>
      </c>
      <c r="I1080" s="64">
        <f>ventas_b_mes684[[#This Row],[IMPORTE NETO]]*0.21</f>
        <v>5536.3643999999995</v>
      </c>
      <c r="J1080" s="64"/>
      <c r="K1080" s="64"/>
      <c r="L1080" s="64">
        <f>SUM(ventas_b_mes684[[#This Row],[IMPORTE NETO]:[EXENTO]])</f>
        <v>31900.004399999998</v>
      </c>
      <c r="M1080" s="59"/>
    </row>
    <row r="1081" spans="2:13">
      <c r="B1081" s="40" t="s">
        <v>2310</v>
      </c>
      <c r="C1081" s="41">
        <v>6</v>
      </c>
      <c r="D1081" s="42">
        <v>15</v>
      </c>
      <c r="E1081" s="43">
        <v>13269</v>
      </c>
      <c r="F1081" s="44">
        <v>28231056</v>
      </c>
      <c r="G1081" s="1" t="str">
        <f>IFERROR(IF(ventas_b_mes684[[#This Row],[CUIT]]="","-",VLOOKUP(ventas_b_mes684[[#This Row],[CUIT]],Lista_CUIT[#All],2,0)),"CUIT NO CARGADO")</f>
        <v>CUIT NO CARGADO</v>
      </c>
      <c r="H1081" s="64">
        <v>20661.16</v>
      </c>
      <c r="I1081" s="64">
        <f>ventas_b_mes684[[#This Row],[IMPORTE NETO]]*0.21</f>
        <v>4338.8436000000002</v>
      </c>
      <c r="J1081" s="64"/>
      <c r="K1081" s="64"/>
      <c r="L1081" s="64">
        <f>SUM(ventas_b_mes684[[#This Row],[IMPORTE NETO]:[EXENTO]])</f>
        <v>25000.0036</v>
      </c>
      <c r="M1081" s="59"/>
    </row>
    <row r="1082" spans="2:13">
      <c r="B1082" s="40" t="s">
        <v>2310</v>
      </c>
      <c r="C1082" s="41">
        <v>6</v>
      </c>
      <c r="D1082" s="42">
        <v>10</v>
      </c>
      <c r="E1082" s="43">
        <v>54473</v>
      </c>
      <c r="F1082" s="44">
        <v>95008053</v>
      </c>
      <c r="G1082" s="1" t="str">
        <f>IFERROR(IF(ventas_b_mes684[[#This Row],[CUIT]]="","-",VLOOKUP(ventas_b_mes684[[#This Row],[CUIT]],Lista_CUIT[#All],2,0)),"CUIT NO CARGADO")</f>
        <v>CUIT NO CARGADO</v>
      </c>
      <c r="H1082" s="64">
        <v>2586.7800000000002</v>
      </c>
      <c r="I1082" s="64">
        <f>ventas_b_mes684[[#This Row],[IMPORTE NETO]]*0.21</f>
        <v>543.22379999999998</v>
      </c>
      <c r="J1082" s="64"/>
      <c r="K1082" s="64"/>
      <c r="L1082" s="64">
        <f>SUM(ventas_b_mes684[[#This Row],[IMPORTE NETO]:[EXENTO]])</f>
        <v>3130.0038000000004</v>
      </c>
      <c r="M1082" s="59"/>
    </row>
    <row r="1083" spans="2:13">
      <c r="B1083" s="40" t="s">
        <v>2310</v>
      </c>
      <c r="C1083" s="41">
        <v>6</v>
      </c>
      <c r="D1083" s="42">
        <v>10</v>
      </c>
      <c r="E1083" s="43">
        <v>54476</v>
      </c>
      <c r="F1083" s="44">
        <v>32617875</v>
      </c>
      <c r="G1083" s="1" t="str">
        <f>IFERROR(IF(ventas_b_mes684[[#This Row],[CUIT]]="","-",VLOOKUP(ventas_b_mes684[[#This Row],[CUIT]],Lista_CUIT[#All],2,0)),"CUIT NO CARGADO")</f>
        <v>CUIT NO CARGADO</v>
      </c>
      <c r="H1083" s="64">
        <v>24462.81</v>
      </c>
      <c r="I1083" s="64">
        <f>ventas_b_mes684[[#This Row],[IMPORTE NETO]]*0.21</f>
        <v>5137.1900999999998</v>
      </c>
      <c r="J1083" s="64"/>
      <c r="K1083" s="64"/>
      <c r="L1083" s="64">
        <f>SUM(ventas_b_mes684[[#This Row],[IMPORTE NETO]:[EXENTO]])</f>
        <v>29600.000100000001</v>
      </c>
      <c r="M1083" s="59"/>
    </row>
    <row r="1084" spans="2:13">
      <c r="B1084" s="40" t="s">
        <v>2310</v>
      </c>
      <c r="C1084" s="41">
        <v>6</v>
      </c>
      <c r="D1084" s="42">
        <v>11</v>
      </c>
      <c r="E1084" s="43">
        <v>38131</v>
      </c>
      <c r="F1084" s="44">
        <v>18398933</v>
      </c>
      <c r="G1084" s="1" t="str">
        <f>IFERROR(IF(ventas_b_mes684[[#This Row],[CUIT]]="","-",VLOOKUP(ventas_b_mes684[[#This Row],[CUIT]],Lista_CUIT[#All],2,0)),"CUIT NO CARGADO")</f>
        <v>CUIT NO CARGADO</v>
      </c>
      <c r="H1084" s="64">
        <v>1.65</v>
      </c>
      <c r="I1084" s="64">
        <f>ventas_b_mes684[[#This Row],[IMPORTE NETO]]*0.21</f>
        <v>0.34649999999999997</v>
      </c>
      <c r="J1084" s="64"/>
      <c r="K1084" s="64"/>
      <c r="L1084" s="64">
        <f>SUM(ventas_b_mes684[[#This Row],[IMPORTE NETO]:[EXENTO]])</f>
        <v>1.9964999999999999</v>
      </c>
      <c r="M1084" s="59"/>
    </row>
    <row r="1085" spans="2:13">
      <c r="B1085" s="40" t="s">
        <v>2310</v>
      </c>
      <c r="C1085" s="41">
        <v>6</v>
      </c>
      <c r="D1085" s="42">
        <v>15</v>
      </c>
      <c r="E1085" s="43">
        <v>13268</v>
      </c>
      <c r="F1085" s="44">
        <v>11368071</v>
      </c>
      <c r="G1085" s="1" t="str">
        <f>IFERROR(IF(ventas_b_mes684[[#This Row],[CUIT]]="","-",VLOOKUP(ventas_b_mes684[[#This Row],[CUIT]],Lista_CUIT[#All],2,0)),"CUIT NO CARGADO")</f>
        <v>BURSIK,Norma</v>
      </c>
      <c r="H1085" s="64">
        <v>17264.46</v>
      </c>
      <c r="I1085" s="64">
        <f>ventas_b_mes684[[#This Row],[IMPORTE NETO]]*0.21</f>
        <v>3625.5365999999999</v>
      </c>
      <c r="J1085" s="64"/>
      <c r="K1085" s="64"/>
      <c r="L1085" s="64">
        <f>SUM(ventas_b_mes684[[#This Row],[IMPORTE NETO]:[EXENTO]])</f>
        <v>20889.996599999999</v>
      </c>
      <c r="M1085" s="59"/>
    </row>
    <row r="1086" spans="2:13">
      <c r="B1086" s="40" t="s">
        <v>2310</v>
      </c>
      <c r="C1086" s="41">
        <v>6</v>
      </c>
      <c r="D1086" s="42">
        <v>11</v>
      </c>
      <c r="E1086" s="43">
        <v>38132</v>
      </c>
      <c r="F1086" s="44">
        <v>31510366</v>
      </c>
      <c r="G1086" s="1" t="str">
        <f>IFERROR(IF(ventas_b_mes684[[#This Row],[CUIT]]="","-",VLOOKUP(ventas_b_mes684[[#This Row],[CUIT]],Lista_CUIT[#All],2,0)),"CUIT NO CARGADO")</f>
        <v>CUIT NO CARGADO</v>
      </c>
      <c r="H1086" s="64">
        <v>87880.17</v>
      </c>
      <c r="I1086" s="64">
        <f>ventas_b_mes684[[#This Row],[IMPORTE NETO]]*0.21</f>
        <v>18454.8357</v>
      </c>
      <c r="J1086" s="64"/>
      <c r="K1086" s="64"/>
      <c r="L1086" s="64">
        <f>SUM(ventas_b_mes684[[#This Row],[IMPORTE NETO]:[EXENTO]])</f>
        <v>106335.00569999999</v>
      </c>
      <c r="M1086" s="59"/>
    </row>
    <row r="1087" spans="2:13">
      <c r="B1087" s="40" t="s">
        <v>2310</v>
      </c>
      <c r="C1087" s="41">
        <v>6</v>
      </c>
      <c r="D1087" s="42">
        <v>15</v>
      </c>
      <c r="E1087" s="43">
        <v>13283</v>
      </c>
      <c r="F1087" s="44">
        <v>23722687</v>
      </c>
      <c r="G1087" s="1" t="str">
        <f>IFERROR(IF(ventas_b_mes684[[#This Row],[CUIT]]="","-",VLOOKUP(ventas_b_mes684[[#This Row],[CUIT]],Lista_CUIT[#All],2,0)),"CUIT NO CARGADO")</f>
        <v>CUIT NO CARGADO</v>
      </c>
      <c r="H1087" s="64">
        <v>11768.6</v>
      </c>
      <c r="I1087" s="64">
        <f>ventas_b_mes684[[#This Row],[IMPORTE NETO]]*0.21</f>
        <v>2471.4059999999999</v>
      </c>
      <c r="J1087" s="64"/>
      <c r="K1087" s="64"/>
      <c r="L1087" s="64">
        <f>SUM(ventas_b_mes684[[#This Row],[IMPORTE NETO]:[EXENTO]])</f>
        <v>14240.006000000001</v>
      </c>
      <c r="M1087" s="59"/>
    </row>
    <row r="1088" spans="2:13">
      <c r="B1088" s="40" t="s">
        <v>2310</v>
      </c>
      <c r="C1088" s="41">
        <v>6</v>
      </c>
      <c r="D1088" s="42">
        <v>15</v>
      </c>
      <c r="E1088" s="43">
        <v>13284</v>
      </c>
      <c r="F1088" s="44">
        <v>28231056</v>
      </c>
      <c r="G1088" s="1" t="str">
        <f>IFERROR(IF(ventas_b_mes684[[#This Row],[CUIT]]="","-",VLOOKUP(ventas_b_mes684[[#This Row],[CUIT]],Lista_CUIT[#All],2,0)),"CUIT NO CARGADO")</f>
        <v>CUIT NO CARGADO</v>
      </c>
      <c r="H1088" s="64">
        <v>46958.68</v>
      </c>
      <c r="I1088" s="64">
        <f>ventas_b_mes684[[#This Row],[IMPORTE NETO]]*0.21</f>
        <v>9861.3227999999999</v>
      </c>
      <c r="J1088" s="64"/>
      <c r="K1088" s="64"/>
      <c r="L1088" s="64">
        <f>SUM(ventas_b_mes684[[#This Row],[IMPORTE NETO]:[EXENTO]])</f>
        <v>56820.002800000002</v>
      </c>
      <c r="M1088" s="59"/>
    </row>
    <row r="1089" spans="2:13">
      <c r="B1089" s="40" t="s">
        <v>2310</v>
      </c>
      <c r="C1089" s="41">
        <v>6</v>
      </c>
      <c r="D1089" s="42">
        <v>15</v>
      </c>
      <c r="E1089" s="43">
        <v>13285</v>
      </c>
      <c r="F1089" s="44">
        <v>23722687</v>
      </c>
      <c r="G1089" s="1" t="str">
        <f>IFERROR(IF(ventas_b_mes684[[#This Row],[CUIT]]="","-",VLOOKUP(ventas_b_mes684[[#This Row],[CUIT]],Lista_CUIT[#All],2,0)),"CUIT NO CARGADO")</f>
        <v>CUIT NO CARGADO</v>
      </c>
      <c r="H1089" s="64">
        <v>20661.16</v>
      </c>
      <c r="I1089" s="64">
        <f>ventas_b_mes684[[#This Row],[IMPORTE NETO]]*0.21</f>
        <v>4338.8436000000002</v>
      </c>
      <c r="J1089" s="64"/>
      <c r="K1089" s="64"/>
      <c r="L1089" s="64">
        <f>SUM(ventas_b_mes684[[#This Row],[IMPORTE NETO]:[EXENTO]])</f>
        <v>25000.0036</v>
      </c>
      <c r="M1089" s="59"/>
    </row>
    <row r="1090" spans="2:13">
      <c r="B1090" s="40" t="s">
        <v>2310</v>
      </c>
      <c r="C1090" s="41">
        <v>6</v>
      </c>
      <c r="D1090" s="42">
        <v>12</v>
      </c>
      <c r="E1090" s="43">
        <v>29683</v>
      </c>
      <c r="F1090" s="44">
        <v>44194181</v>
      </c>
      <c r="G1090" s="1" t="str">
        <f>IFERROR(IF(ventas_b_mes684[[#This Row],[CUIT]]="","-",VLOOKUP(ventas_b_mes684[[#This Row],[CUIT]],Lista_CUIT[#All],2,0)),"CUIT NO CARGADO")</f>
        <v>CUIT NO CARGADO</v>
      </c>
      <c r="H1090" s="64">
        <v>161851.24</v>
      </c>
      <c r="I1090" s="64">
        <f>ventas_b_mes684[[#This Row],[IMPORTE NETO]]*0.21</f>
        <v>33988.760399999999</v>
      </c>
      <c r="J1090" s="64"/>
      <c r="K1090" s="64"/>
      <c r="L1090" s="64">
        <f>SUM(ventas_b_mes684[[#This Row],[IMPORTE NETO]:[EXENTO]])</f>
        <v>195840.00039999999</v>
      </c>
      <c r="M1090" s="59"/>
    </row>
    <row r="1091" spans="2:13">
      <c r="B1091" s="40" t="s">
        <v>2310</v>
      </c>
      <c r="C1091" s="41">
        <v>6</v>
      </c>
      <c r="D1091" s="42">
        <v>13</v>
      </c>
      <c r="E1091" s="43">
        <v>32492</v>
      </c>
      <c r="F1091" s="44">
        <v>24790047</v>
      </c>
      <c r="G1091" s="1" t="str">
        <f>IFERROR(IF(ventas_b_mes684[[#This Row],[CUIT]]="","-",VLOOKUP(ventas_b_mes684[[#This Row],[CUIT]],Lista_CUIT[#All],2,0)),"CUIT NO CARGADO")</f>
        <v>CUIT NO CARGADO</v>
      </c>
      <c r="H1091" s="64">
        <v>23871.9</v>
      </c>
      <c r="I1091" s="64">
        <f>ventas_b_mes684[[#This Row],[IMPORTE NETO]]*0.21</f>
        <v>5013.0990000000002</v>
      </c>
      <c r="J1091" s="64"/>
      <c r="K1091" s="64"/>
      <c r="L1091" s="64">
        <f>SUM(ventas_b_mes684[[#This Row],[IMPORTE NETO]:[EXENTO]])</f>
        <v>28884.999000000003</v>
      </c>
      <c r="M1091" s="59"/>
    </row>
    <row r="1092" spans="2:13">
      <c r="B1092" s="40" t="s">
        <v>2310</v>
      </c>
      <c r="C1092" s="41">
        <v>6</v>
      </c>
      <c r="D1092" s="42">
        <v>12</v>
      </c>
      <c r="E1092" s="43">
        <v>29691</v>
      </c>
      <c r="F1092" s="44">
        <v>26626528</v>
      </c>
      <c r="G1092" s="1" t="str">
        <f>IFERROR(IF(ventas_b_mes684[[#This Row],[CUIT]]="","-",VLOOKUP(ventas_b_mes684[[#This Row],[CUIT]],Lista_CUIT[#All],2,0)),"CUIT NO CARGADO")</f>
        <v>CUIT NO CARGADO</v>
      </c>
      <c r="H1092" s="64">
        <v>28280.99</v>
      </c>
      <c r="I1092" s="64">
        <f>ventas_b_mes684[[#This Row],[IMPORTE NETO]]*0.21</f>
        <v>5939.0079000000005</v>
      </c>
      <c r="J1092" s="64"/>
      <c r="K1092" s="64"/>
      <c r="L1092" s="64">
        <f>SUM(ventas_b_mes684[[#This Row],[IMPORTE NETO]:[EXENTO]])</f>
        <v>34219.997900000002</v>
      </c>
      <c r="M1092" s="59"/>
    </row>
    <row r="1093" spans="2:13">
      <c r="B1093" s="40" t="s">
        <v>2310</v>
      </c>
      <c r="C1093" s="41">
        <v>6</v>
      </c>
      <c r="D1093" s="42">
        <v>12</v>
      </c>
      <c r="E1093" s="43">
        <v>29689</v>
      </c>
      <c r="F1093" s="44">
        <v>11569458</v>
      </c>
      <c r="G1093" s="1" t="str">
        <f>IFERROR(IF(ventas_b_mes684[[#This Row],[CUIT]]="","-",VLOOKUP(ventas_b_mes684[[#This Row],[CUIT]],Lista_CUIT[#All],2,0)),"CUIT NO CARGADO")</f>
        <v>CUIT NO CARGADO</v>
      </c>
      <c r="H1093" s="64">
        <v>17190.080000000002</v>
      </c>
      <c r="I1093" s="64">
        <f>ventas_b_mes684[[#This Row],[IMPORTE NETO]]*0.21</f>
        <v>3609.9168000000004</v>
      </c>
      <c r="J1093" s="64"/>
      <c r="K1093" s="64"/>
      <c r="L1093" s="64">
        <f>SUM(ventas_b_mes684[[#This Row],[IMPORTE NETO]:[EXENTO]])</f>
        <v>20799.996800000001</v>
      </c>
      <c r="M1093" s="59"/>
    </row>
    <row r="1094" spans="2:13">
      <c r="B1094" s="40" t="s">
        <v>2310</v>
      </c>
      <c r="C1094" s="41">
        <v>6</v>
      </c>
      <c r="D1094" s="42">
        <v>10</v>
      </c>
      <c r="E1094" s="43">
        <v>54470</v>
      </c>
      <c r="F1094" s="44">
        <v>27220670878</v>
      </c>
      <c r="G1094" s="1" t="str">
        <f>IFERROR(IF(ventas_b_mes684[[#This Row],[CUIT]]="","-",VLOOKUP(ventas_b_mes684[[#This Row],[CUIT]],Lista_CUIT[#All],2,0)),"CUIT NO CARGADO")</f>
        <v>SOSA KARINA ERICA</v>
      </c>
      <c r="H1094" s="64">
        <v>74586.78</v>
      </c>
      <c r="I1094" s="64">
        <f>ventas_b_mes684[[#This Row],[IMPORTE NETO]]*0.21</f>
        <v>15663.2238</v>
      </c>
      <c r="J1094" s="64"/>
      <c r="K1094" s="64"/>
      <c r="L1094" s="64">
        <f>SUM(ventas_b_mes684[[#This Row],[IMPORTE NETO]:[EXENTO]])</f>
        <v>90250.003800000006</v>
      </c>
      <c r="M1094" s="59"/>
    </row>
    <row r="1095" spans="2:13">
      <c r="B1095" s="40" t="s">
        <v>2310</v>
      </c>
      <c r="C1095" s="41">
        <v>6</v>
      </c>
      <c r="D1095" s="42">
        <v>15</v>
      </c>
      <c r="E1095" s="43">
        <v>13282</v>
      </c>
      <c r="F1095" s="44">
        <v>17951227</v>
      </c>
      <c r="G1095" s="1" t="str">
        <f>IFERROR(IF(ventas_b_mes684[[#This Row],[CUIT]]="","-",VLOOKUP(ventas_b_mes684[[#This Row],[CUIT]],Lista_CUIT[#All],2,0)),"CUIT NO CARGADO")</f>
        <v>CUIT NO CARGADO</v>
      </c>
      <c r="H1095" s="64">
        <v>6694.21</v>
      </c>
      <c r="I1095" s="64">
        <f>ventas_b_mes684[[#This Row],[IMPORTE NETO]]*0.21</f>
        <v>1405.7840999999999</v>
      </c>
      <c r="J1095" s="64"/>
      <c r="K1095" s="64"/>
      <c r="L1095" s="64">
        <f>SUM(ventas_b_mes684[[#This Row],[IMPORTE NETO]:[EXENTO]])</f>
        <v>8099.9940999999999</v>
      </c>
      <c r="M1095" s="59"/>
    </row>
    <row r="1096" spans="2:13">
      <c r="B1096" s="40" t="s">
        <v>2310</v>
      </c>
      <c r="C1096" s="41">
        <v>6</v>
      </c>
      <c r="D1096" s="42">
        <v>11</v>
      </c>
      <c r="E1096" s="43">
        <v>38126</v>
      </c>
      <c r="F1096" s="44">
        <v>26724779</v>
      </c>
      <c r="G1096" s="1" t="str">
        <f>IFERROR(IF(ventas_b_mes684[[#This Row],[CUIT]]="","-",VLOOKUP(ventas_b_mes684[[#This Row],[CUIT]],Lista_CUIT[#All],2,0)),"CUIT NO CARGADO")</f>
        <v>CUIT NO CARGADO</v>
      </c>
      <c r="H1096" s="64">
        <v>24404.959999999999</v>
      </c>
      <c r="I1096" s="64">
        <f>ventas_b_mes684[[#This Row],[IMPORTE NETO]]*0.21</f>
        <v>5125.0415999999996</v>
      </c>
      <c r="J1096" s="64"/>
      <c r="K1096" s="64"/>
      <c r="L1096" s="64">
        <f>SUM(ventas_b_mes684[[#This Row],[IMPORTE NETO]:[EXENTO]])</f>
        <v>29530.0016</v>
      </c>
      <c r="M1096" s="59"/>
    </row>
    <row r="1097" spans="2:13">
      <c r="B1097" s="40" t="s">
        <v>2310</v>
      </c>
      <c r="C1097" s="41">
        <v>6</v>
      </c>
      <c r="D1097" s="42">
        <v>11</v>
      </c>
      <c r="E1097" s="43">
        <v>38125</v>
      </c>
      <c r="F1097" s="44">
        <v>27127289684</v>
      </c>
      <c r="G1097" s="1" t="str">
        <f>IFERROR(IF(ventas_b_mes684[[#This Row],[CUIT]]="","-",VLOOKUP(ventas_b_mes684[[#This Row],[CUIT]],Lista_CUIT[#All],2,0)),"CUIT NO CARGADO")</f>
        <v>CUIT NO CARGADO</v>
      </c>
      <c r="H1097" s="64">
        <v>40413.22</v>
      </c>
      <c r="I1097" s="64">
        <f>ventas_b_mes684[[#This Row],[IMPORTE NETO]]*0.21</f>
        <v>8486.7762000000002</v>
      </c>
      <c r="J1097" s="64"/>
      <c r="K1097" s="64"/>
      <c r="L1097" s="64">
        <f>SUM(ventas_b_mes684[[#This Row],[IMPORTE NETO]:[EXENTO]])</f>
        <v>48899.996200000001</v>
      </c>
      <c r="M1097" s="59"/>
    </row>
    <row r="1098" spans="2:13">
      <c r="B1098" s="40" t="s">
        <v>2310</v>
      </c>
      <c r="C1098" s="41">
        <v>6</v>
      </c>
      <c r="D1098" s="42">
        <v>11</v>
      </c>
      <c r="E1098" s="43">
        <v>38124</v>
      </c>
      <c r="F1098" s="44">
        <v>26724779</v>
      </c>
      <c r="G1098" s="1" t="str">
        <f>IFERROR(IF(ventas_b_mes684[[#This Row],[CUIT]]="","-",VLOOKUP(ventas_b_mes684[[#This Row],[CUIT]],Lista_CUIT[#All],2,0)),"CUIT NO CARGADO")</f>
        <v>CUIT NO CARGADO</v>
      </c>
      <c r="H1098" s="64">
        <v>93429.75</v>
      </c>
      <c r="I1098" s="64">
        <f>ventas_b_mes684[[#This Row],[IMPORTE NETO]]*0.21</f>
        <v>19620.247499999998</v>
      </c>
      <c r="J1098" s="64"/>
      <c r="K1098" s="64"/>
      <c r="L1098" s="64">
        <f>SUM(ventas_b_mes684[[#This Row],[IMPORTE NETO]:[EXENTO]])</f>
        <v>113049.9975</v>
      </c>
      <c r="M1098" s="59"/>
    </row>
    <row r="1099" spans="2:13">
      <c r="B1099" s="40" t="s">
        <v>2310</v>
      </c>
      <c r="C1099" s="41">
        <v>6</v>
      </c>
      <c r="D1099" s="42">
        <v>10</v>
      </c>
      <c r="E1099" s="43">
        <v>54475</v>
      </c>
      <c r="F1099" s="44">
        <v>30220472</v>
      </c>
      <c r="G1099" s="1" t="str">
        <f>IFERROR(IF(ventas_b_mes684[[#This Row],[CUIT]]="","-",VLOOKUP(ventas_b_mes684[[#This Row],[CUIT]],Lista_CUIT[#All],2,0)),"CUIT NO CARGADO")</f>
        <v>CUIT NO CARGADO</v>
      </c>
      <c r="H1099" s="64">
        <v>22975.21</v>
      </c>
      <c r="I1099" s="64">
        <f>ventas_b_mes684[[#This Row],[IMPORTE NETO]]*0.21</f>
        <v>4824.7941000000001</v>
      </c>
      <c r="J1099" s="64"/>
      <c r="K1099" s="64"/>
      <c r="L1099" s="64">
        <f>SUM(ventas_b_mes684[[#This Row],[IMPORTE NETO]:[EXENTO]])</f>
        <v>27800.004099999998</v>
      </c>
      <c r="M1099" s="59"/>
    </row>
    <row r="1100" spans="2:13">
      <c r="B1100" s="40" t="s">
        <v>2310</v>
      </c>
      <c r="C1100" s="41">
        <v>6</v>
      </c>
      <c r="D1100" s="42">
        <v>13</v>
      </c>
      <c r="E1100" s="43">
        <v>32489</v>
      </c>
      <c r="F1100" s="44">
        <v>14369013</v>
      </c>
      <c r="G1100" s="1" t="str">
        <f>IFERROR(IF(ventas_b_mes684[[#This Row],[CUIT]]="","-",VLOOKUP(ventas_b_mes684[[#This Row],[CUIT]],Lista_CUIT[#All],2,0)),"CUIT NO CARGADO")</f>
        <v>CUIT NO CARGADO</v>
      </c>
      <c r="H1100" s="64">
        <v>61900.83</v>
      </c>
      <c r="I1100" s="64">
        <f>ventas_b_mes684[[#This Row],[IMPORTE NETO]]*0.21</f>
        <v>12999.174300000001</v>
      </c>
      <c r="J1100" s="64"/>
      <c r="K1100" s="64"/>
      <c r="L1100" s="64">
        <f>SUM(ventas_b_mes684[[#This Row],[IMPORTE NETO]:[EXENTO]])</f>
        <v>74900.004300000001</v>
      </c>
      <c r="M1100" s="59"/>
    </row>
    <row r="1101" spans="2:13">
      <c r="B1101" s="40" t="s">
        <v>2310</v>
      </c>
      <c r="C1101" s="41">
        <v>6</v>
      </c>
      <c r="D1101" s="42">
        <v>12</v>
      </c>
      <c r="E1101" s="43">
        <v>29688</v>
      </c>
      <c r="F1101" s="44">
        <v>35647206</v>
      </c>
      <c r="G1101" s="1" t="str">
        <f>IFERROR(IF(ventas_b_mes684[[#This Row],[CUIT]]="","-",VLOOKUP(ventas_b_mes684[[#This Row],[CUIT]],Lista_CUIT[#All],2,0)),"CUIT NO CARGADO")</f>
        <v>CUIT NO CARGADO</v>
      </c>
      <c r="H1101" s="64">
        <v>1190.08</v>
      </c>
      <c r="I1101" s="64">
        <f>ventas_b_mes684[[#This Row],[IMPORTE NETO]]*0.21</f>
        <v>249.91679999999997</v>
      </c>
      <c r="J1101" s="64"/>
      <c r="K1101" s="64"/>
      <c r="L1101" s="64">
        <f>SUM(ventas_b_mes684[[#This Row],[IMPORTE NETO]:[EXENTO]])</f>
        <v>1439.9967999999999</v>
      </c>
      <c r="M1101" s="59"/>
    </row>
    <row r="1102" spans="2:13">
      <c r="B1102" s="40" t="s">
        <v>2310</v>
      </c>
      <c r="C1102" s="41">
        <v>6</v>
      </c>
      <c r="D1102" s="42">
        <v>15</v>
      </c>
      <c r="E1102" s="43">
        <v>13273</v>
      </c>
      <c r="F1102" s="44">
        <v>38585628</v>
      </c>
      <c r="G1102" s="1" t="str">
        <f>IFERROR(IF(ventas_b_mes684[[#This Row],[CUIT]]="","-",VLOOKUP(ventas_b_mes684[[#This Row],[CUIT]],Lista_CUIT[#All],2,0)),"CUIT NO CARGADO")</f>
        <v>CUIT NO CARGADO</v>
      </c>
      <c r="H1102" s="64">
        <v>20661.16</v>
      </c>
      <c r="I1102" s="64">
        <f>ventas_b_mes684[[#This Row],[IMPORTE NETO]]*0.21</f>
        <v>4338.8436000000002</v>
      </c>
      <c r="J1102" s="64"/>
      <c r="K1102" s="64"/>
      <c r="L1102" s="64">
        <f>SUM(ventas_b_mes684[[#This Row],[IMPORTE NETO]:[EXENTO]])</f>
        <v>25000.0036</v>
      </c>
      <c r="M1102" s="59"/>
    </row>
    <row r="1103" spans="2:13">
      <c r="B1103" s="40" t="s">
        <v>2310</v>
      </c>
      <c r="C1103" s="41">
        <v>6</v>
      </c>
      <c r="D1103" s="42">
        <v>12</v>
      </c>
      <c r="E1103" s="43">
        <v>29686</v>
      </c>
      <c r="F1103" s="44">
        <v>94741515</v>
      </c>
      <c r="G1103" s="1" t="str">
        <f>IFERROR(IF(ventas_b_mes684[[#This Row],[CUIT]]="","-",VLOOKUP(ventas_b_mes684[[#This Row],[CUIT]],Lista_CUIT[#All],2,0)),"CUIT NO CARGADO")</f>
        <v>CUIT NO CARGADO</v>
      </c>
      <c r="H1103" s="64">
        <v>16115.7</v>
      </c>
      <c r="I1103" s="64">
        <f>ventas_b_mes684[[#This Row],[IMPORTE NETO]]*0.21</f>
        <v>3384.297</v>
      </c>
      <c r="J1103" s="64"/>
      <c r="K1103" s="64"/>
      <c r="L1103" s="64">
        <f>SUM(ventas_b_mes684[[#This Row],[IMPORTE NETO]:[EXENTO]])</f>
        <v>19499.996999999999</v>
      </c>
      <c r="M1103" s="59"/>
    </row>
    <row r="1104" spans="2:13">
      <c r="B1104" s="40" t="s">
        <v>2310</v>
      </c>
      <c r="C1104" s="41">
        <v>6</v>
      </c>
      <c r="D1104" s="42">
        <v>10</v>
      </c>
      <c r="E1104" s="43">
        <v>54468</v>
      </c>
      <c r="F1104" s="44">
        <v>21977181</v>
      </c>
      <c r="G1104" s="1" t="str">
        <f>IFERROR(IF(ventas_b_mes684[[#This Row],[CUIT]]="","-",VLOOKUP(ventas_b_mes684[[#This Row],[CUIT]],Lista_CUIT[#All],2,0)),"CUIT NO CARGADO")</f>
        <v>CUIT NO CARGADO</v>
      </c>
      <c r="H1104" s="64">
        <v>8033.06</v>
      </c>
      <c r="I1104" s="64">
        <f>ventas_b_mes684[[#This Row],[IMPORTE NETO]]*0.21</f>
        <v>1686.9426000000001</v>
      </c>
      <c r="J1104" s="64"/>
      <c r="K1104" s="64"/>
      <c r="L1104" s="64">
        <f>SUM(ventas_b_mes684[[#This Row],[IMPORTE NETO]:[EXENTO]])</f>
        <v>9720.0025999999998</v>
      </c>
      <c r="M1104" s="59"/>
    </row>
    <row r="1105" spans="2:13">
      <c r="B1105" s="40" t="s">
        <v>2310</v>
      </c>
      <c r="C1105" s="41">
        <v>6</v>
      </c>
      <c r="D1105" s="42">
        <v>15</v>
      </c>
      <c r="E1105" s="43">
        <v>13263</v>
      </c>
      <c r="F1105" s="44">
        <v>29064867</v>
      </c>
      <c r="G1105" s="1" t="str">
        <f>IFERROR(IF(ventas_b_mes684[[#This Row],[CUIT]]="","-",VLOOKUP(ventas_b_mes684[[#This Row],[CUIT]],Lista_CUIT[#All],2,0)),"CUIT NO CARGADO")</f>
        <v>CUIT NO CARGADO</v>
      </c>
      <c r="H1105" s="64">
        <v>20661.16</v>
      </c>
      <c r="I1105" s="64">
        <f>ventas_b_mes684[[#This Row],[IMPORTE NETO]]*0.21</f>
        <v>4338.8436000000002</v>
      </c>
      <c r="J1105" s="64"/>
      <c r="K1105" s="64"/>
      <c r="L1105" s="64">
        <f>SUM(ventas_b_mes684[[#This Row],[IMPORTE NETO]:[EXENTO]])</f>
        <v>25000.0036</v>
      </c>
      <c r="M1105" s="59"/>
    </row>
    <row r="1106" spans="2:13">
      <c r="B1106" s="40" t="s">
        <v>2310</v>
      </c>
      <c r="C1106" s="41">
        <v>6</v>
      </c>
      <c r="D1106" s="42">
        <v>15</v>
      </c>
      <c r="E1106" s="43">
        <v>13262</v>
      </c>
      <c r="F1106" s="44">
        <v>47012089</v>
      </c>
      <c r="G1106" s="1" t="str">
        <f>IFERROR(IF(ventas_b_mes684[[#This Row],[CUIT]]="","-",VLOOKUP(ventas_b_mes684[[#This Row],[CUIT]],Lista_CUIT[#All],2,0)),"CUIT NO CARGADO")</f>
        <v>CUIT NO CARGADO</v>
      </c>
      <c r="H1106" s="64">
        <v>20661.16</v>
      </c>
      <c r="I1106" s="64">
        <f>ventas_b_mes684[[#This Row],[IMPORTE NETO]]*0.21</f>
        <v>4338.8436000000002</v>
      </c>
      <c r="J1106" s="64"/>
      <c r="K1106" s="64"/>
      <c r="L1106" s="64">
        <f>SUM(ventas_b_mes684[[#This Row],[IMPORTE NETO]:[EXENTO]])</f>
        <v>25000.0036</v>
      </c>
      <c r="M1106" s="59"/>
    </row>
    <row r="1107" spans="2:13">
      <c r="B1107" s="40" t="s">
        <v>2310</v>
      </c>
      <c r="C1107" s="41">
        <v>6</v>
      </c>
      <c r="D1107" s="42">
        <v>10</v>
      </c>
      <c r="E1107" s="43">
        <v>54467</v>
      </c>
      <c r="F1107" s="44">
        <v>21977181</v>
      </c>
      <c r="G1107" s="1" t="str">
        <f>IFERROR(IF(ventas_b_mes684[[#This Row],[CUIT]]="","-",VLOOKUP(ventas_b_mes684[[#This Row],[CUIT]],Lista_CUIT[#All],2,0)),"CUIT NO CARGADO")</f>
        <v>CUIT NO CARGADO</v>
      </c>
      <c r="H1107" s="64">
        <v>9595.0400000000009</v>
      </c>
      <c r="I1107" s="64">
        <f>ventas_b_mes684[[#This Row],[IMPORTE NETO]]*0.21</f>
        <v>2014.9584000000002</v>
      </c>
      <c r="J1107" s="64"/>
      <c r="K1107" s="64"/>
      <c r="L1107" s="64">
        <f>SUM(ventas_b_mes684[[#This Row],[IMPORTE NETO]:[EXENTO]])</f>
        <v>11609.9984</v>
      </c>
      <c r="M1107" s="59"/>
    </row>
    <row r="1108" spans="2:13">
      <c r="B1108" s="40" t="s">
        <v>2310</v>
      </c>
      <c r="C1108" s="41">
        <v>6</v>
      </c>
      <c r="D1108" s="42">
        <v>10</v>
      </c>
      <c r="E1108" s="43">
        <v>54471</v>
      </c>
      <c r="F1108" s="44">
        <v>9605006</v>
      </c>
      <c r="G1108" s="1" t="str">
        <f>IFERROR(IF(ventas_b_mes684[[#This Row],[CUIT]]="","-",VLOOKUP(ventas_b_mes684[[#This Row],[CUIT]],Lista_CUIT[#All],2,0)),"CUIT NO CARGADO")</f>
        <v>CUIT NO CARGADO</v>
      </c>
      <c r="H1108" s="64">
        <v>14206.61</v>
      </c>
      <c r="I1108" s="64">
        <f>ventas_b_mes684[[#This Row],[IMPORTE NETO]]*0.21</f>
        <v>2983.3881000000001</v>
      </c>
      <c r="J1108" s="64"/>
      <c r="K1108" s="64"/>
      <c r="L1108" s="64">
        <f>SUM(ventas_b_mes684[[#This Row],[IMPORTE NETO]:[EXENTO]])</f>
        <v>17189.998100000001</v>
      </c>
      <c r="M1108" s="59"/>
    </row>
    <row r="1109" spans="2:13">
      <c r="B1109" s="40" t="s">
        <v>2310</v>
      </c>
      <c r="C1109" s="41">
        <v>6</v>
      </c>
      <c r="D1109" s="42">
        <v>13</v>
      </c>
      <c r="E1109" s="43">
        <v>32488</v>
      </c>
      <c r="F1109" s="44">
        <v>16243515</v>
      </c>
      <c r="G1109" s="1" t="str">
        <f>IFERROR(IF(ventas_b_mes684[[#This Row],[CUIT]]="","-",VLOOKUP(ventas_b_mes684[[#This Row],[CUIT]],Lista_CUIT[#All],2,0)),"CUIT NO CARGADO")</f>
        <v>CUIT NO CARGADO</v>
      </c>
      <c r="H1109" s="64">
        <v>8264.4599999999991</v>
      </c>
      <c r="I1109" s="64">
        <f>ventas_b_mes684[[#This Row],[IMPORTE NETO]]*0.21</f>
        <v>1735.5365999999997</v>
      </c>
      <c r="J1109" s="64"/>
      <c r="K1109" s="64"/>
      <c r="L1109" s="64">
        <f>SUM(ventas_b_mes684[[#This Row],[IMPORTE NETO]:[EXENTO]])</f>
        <v>9999.9965999999986</v>
      </c>
      <c r="M1109" s="59"/>
    </row>
    <row r="1110" spans="2:13">
      <c r="B1110" s="40" t="s">
        <v>2310</v>
      </c>
      <c r="C1110" s="41">
        <v>6</v>
      </c>
      <c r="D1110" s="42">
        <v>10</v>
      </c>
      <c r="E1110" s="43">
        <v>54480</v>
      </c>
      <c r="F1110" s="44">
        <v>18577043</v>
      </c>
      <c r="G1110" s="1" t="str">
        <f>IFERROR(IF(ventas_b_mes684[[#This Row],[CUIT]]="","-",VLOOKUP(ventas_b_mes684[[#This Row],[CUIT]],Lista_CUIT[#All],2,0)),"CUIT NO CARGADO")</f>
        <v>CUIT NO CARGADO</v>
      </c>
      <c r="H1110" s="64">
        <v>20661.16</v>
      </c>
      <c r="I1110" s="64">
        <f>ventas_b_mes684[[#This Row],[IMPORTE NETO]]*0.21</f>
        <v>4338.8436000000002</v>
      </c>
      <c r="J1110" s="64"/>
      <c r="K1110" s="64"/>
      <c r="L1110" s="64">
        <f>SUM(ventas_b_mes684[[#This Row],[IMPORTE NETO]:[EXENTO]])</f>
        <v>25000.0036</v>
      </c>
      <c r="M1110" s="59"/>
    </row>
    <row r="1111" spans="2:13">
      <c r="B1111" s="40" t="s">
        <v>2310</v>
      </c>
      <c r="C1111" s="41">
        <v>6</v>
      </c>
      <c r="D1111" s="42">
        <v>15</v>
      </c>
      <c r="E1111" s="43">
        <v>13281</v>
      </c>
      <c r="F1111" s="44">
        <v>30642523</v>
      </c>
      <c r="G1111" s="1" t="str">
        <f>IFERROR(IF(ventas_b_mes684[[#This Row],[CUIT]]="","-",VLOOKUP(ventas_b_mes684[[#This Row],[CUIT]],Lista_CUIT[#All],2,0)),"CUIT NO CARGADO")</f>
        <v>CUIT NO CARGADO</v>
      </c>
      <c r="H1111" s="64">
        <v>19280.990000000002</v>
      </c>
      <c r="I1111" s="64">
        <f>ventas_b_mes684[[#This Row],[IMPORTE NETO]]*0.21</f>
        <v>4049.0079000000001</v>
      </c>
      <c r="J1111" s="64"/>
      <c r="K1111" s="64"/>
      <c r="L1111" s="64">
        <f>SUM(ventas_b_mes684[[#This Row],[IMPORTE NETO]:[EXENTO]])</f>
        <v>23329.997900000002</v>
      </c>
      <c r="M1111" s="59"/>
    </row>
    <row r="1112" spans="2:13">
      <c r="B1112" s="40" t="s">
        <v>2310</v>
      </c>
      <c r="C1112" s="41">
        <v>6</v>
      </c>
      <c r="D1112" s="42">
        <v>10</v>
      </c>
      <c r="E1112" s="43">
        <v>54479</v>
      </c>
      <c r="F1112" s="44">
        <v>18577043</v>
      </c>
      <c r="G1112" s="1" t="str">
        <f>IFERROR(IF(ventas_b_mes684[[#This Row],[CUIT]]="","-",VLOOKUP(ventas_b_mes684[[#This Row],[CUIT]],Lista_CUIT[#All],2,0)),"CUIT NO CARGADO")</f>
        <v>CUIT NO CARGADO</v>
      </c>
      <c r="H1112" s="64">
        <v>26033.06</v>
      </c>
      <c r="I1112" s="64">
        <f>ventas_b_mes684[[#This Row],[IMPORTE NETO]]*0.21</f>
        <v>5466.9426000000003</v>
      </c>
      <c r="J1112" s="64"/>
      <c r="K1112" s="64"/>
      <c r="L1112" s="64">
        <f>SUM(ventas_b_mes684[[#This Row],[IMPORTE NETO]:[EXENTO]])</f>
        <v>31500.0026</v>
      </c>
      <c r="M1112" s="59"/>
    </row>
    <row r="1113" spans="2:13">
      <c r="B1113" s="40" t="s">
        <v>2310</v>
      </c>
      <c r="C1113" s="41">
        <v>6</v>
      </c>
      <c r="D1113" s="42">
        <v>15</v>
      </c>
      <c r="E1113" s="43">
        <v>13272</v>
      </c>
      <c r="F1113" s="44">
        <v>17282007</v>
      </c>
      <c r="G1113" s="1" t="str">
        <f>IFERROR(IF(ventas_b_mes684[[#This Row],[CUIT]]="","-",VLOOKUP(ventas_b_mes684[[#This Row],[CUIT]],Lista_CUIT[#All],2,0)),"CUIT NO CARGADO")</f>
        <v>FRANCK,maria elena</v>
      </c>
      <c r="H1113" s="64">
        <v>43305.79</v>
      </c>
      <c r="I1113" s="64">
        <f>ventas_b_mes684[[#This Row],[IMPORTE NETO]]*0.21</f>
        <v>9094.2158999999992</v>
      </c>
      <c r="J1113" s="64"/>
      <c r="K1113" s="64"/>
      <c r="L1113" s="64">
        <f>SUM(ventas_b_mes684[[#This Row],[IMPORTE NETO]:[EXENTO]])</f>
        <v>52400.005900000004</v>
      </c>
      <c r="M1113" s="59"/>
    </row>
    <row r="1114" spans="2:13">
      <c r="B1114" s="40" t="s">
        <v>2310</v>
      </c>
      <c r="C1114" s="41">
        <v>6</v>
      </c>
      <c r="D1114" s="42">
        <v>12</v>
      </c>
      <c r="E1114" s="43">
        <v>29687</v>
      </c>
      <c r="F1114" s="44">
        <v>92781276</v>
      </c>
      <c r="G1114" s="1" t="str">
        <f>IFERROR(IF(ventas_b_mes684[[#This Row],[CUIT]]="","-",VLOOKUP(ventas_b_mes684[[#This Row],[CUIT]],Lista_CUIT[#All],2,0)),"CUIT NO CARGADO")</f>
        <v>CUIT NO CARGADO</v>
      </c>
      <c r="H1114" s="64">
        <v>13776.86</v>
      </c>
      <c r="I1114" s="64">
        <f>ventas_b_mes684[[#This Row],[IMPORTE NETO]]*0.21</f>
        <v>2893.1406000000002</v>
      </c>
      <c r="J1114" s="64"/>
      <c r="K1114" s="64"/>
      <c r="L1114" s="64">
        <f>SUM(ventas_b_mes684[[#This Row],[IMPORTE NETO]:[EXENTO]])</f>
        <v>16670.000599999999</v>
      </c>
      <c r="M1114" s="59"/>
    </row>
    <row r="1115" spans="2:13">
      <c r="B1115" s="40" t="s">
        <v>2310</v>
      </c>
      <c r="C1115" s="41">
        <v>6</v>
      </c>
      <c r="D1115" s="42">
        <v>15</v>
      </c>
      <c r="E1115" s="43">
        <v>13271</v>
      </c>
      <c r="F1115" s="44">
        <v>33086577</v>
      </c>
      <c r="G1115" s="1" t="str">
        <f>IFERROR(IF(ventas_b_mes684[[#This Row],[CUIT]]="","-",VLOOKUP(ventas_b_mes684[[#This Row],[CUIT]],Lista_CUIT[#All],2,0)),"CUIT NO CARGADO")</f>
        <v>CUIT NO CARGADO</v>
      </c>
      <c r="H1115" s="64">
        <v>62479.34</v>
      </c>
      <c r="I1115" s="64">
        <f>ventas_b_mes684[[#This Row],[IMPORTE NETO]]*0.21</f>
        <v>13120.661399999999</v>
      </c>
      <c r="J1115" s="64"/>
      <c r="K1115" s="64"/>
      <c r="L1115" s="64">
        <f>SUM(ventas_b_mes684[[#This Row],[IMPORTE NETO]:[EXENTO]])</f>
        <v>75600.001399999994</v>
      </c>
      <c r="M1115" s="59"/>
    </row>
    <row r="1116" spans="2:13">
      <c r="B1116" s="40" t="s">
        <v>2310</v>
      </c>
      <c r="C1116" s="41">
        <v>6</v>
      </c>
      <c r="D1116" s="42">
        <v>11</v>
      </c>
      <c r="E1116" s="43">
        <v>38130</v>
      </c>
      <c r="F1116" s="44">
        <v>96314358</v>
      </c>
      <c r="G1116" s="1" t="str">
        <f>IFERROR(IF(ventas_b_mes684[[#This Row],[CUIT]]="","-",VLOOKUP(ventas_b_mes684[[#This Row],[CUIT]],Lista_CUIT[#All],2,0)),"CUIT NO CARGADO")</f>
        <v>CUIT NO CARGADO</v>
      </c>
      <c r="H1116" s="64">
        <v>18440.080000000002</v>
      </c>
      <c r="I1116" s="64">
        <f>ventas_b_mes684[[#This Row],[IMPORTE NETO]]*0.21</f>
        <v>3872.4168000000004</v>
      </c>
      <c r="J1116" s="64"/>
      <c r="K1116" s="64"/>
      <c r="L1116" s="64">
        <f>SUM(ventas_b_mes684[[#This Row],[IMPORTE NETO]:[EXENTO]])</f>
        <v>22312.496800000001</v>
      </c>
      <c r="M1116" s="59"/>
    </row>
    <row r="1117" spans="2:13">
      <c r="B1117" s="40" t="s">
        <v>2310</v>
      </c>
      <c r="C1117" s="41">
        <v>6</v>
      </c>
      <c r="D1117" s="42">
        <v>15</v>
      </c>
      <c r="E1117" s="43">
        <v>13280</v>
      </c>
      <c r="F1117" s="44">
        <v>17951227</v>
      </c>
      <c r="G1117" s="1" t="str">
        <f>IFERROR(IF(ventas_b_mes684[[#This Row],[CUIT]]="","-",VLOOKUP(ventas_b_mes684[[#This Row],[CUIT]],Lista_CUIT[#All],2,0)),"CUIT NO CARGADO")</f>
        <v>CUIT NO CARGADO</v>
      </c>
      <c r="H1117" s="64">
        <v>11768.6</v>
      </c>
      <c r="I1117" s="64">
        <f>ventas_b_mes684[[#This Row],[IMPORTE NETO]]*0.21</f>
        <v>2471.4059999999999</v>
      </c>
      <c r="J1117" s="64"/>
      <c r="K1117" s="64"/>
      <c r="L1117" s="64">
        <f>SUM(ventas_b_mes684[[#This Row],[IMPORTE NETO]:[EXENTO]])</f>
        <v>14240.006000000001</v>
      </c>
      <c r="M1117" s="59"/>
    </row>
    <row r="1118" spans="2:13">
      <c r="B1118" s="40" t="s">
        <v>2310</v>
      </c>
      <c r="C1118" s="41">
        <v>6</v>
      </c>
      <c r="D1118" s="42">
        <v>12</v>
      </c>
      <c r="E1118" s="43">
        <v>29690</v>
      </c>
      <c r="F1118" s="44">
        <v>92414646</v>
      </c>
      <c r="G1118" s="1" t="str">
        <f>IFERROR(IF(ventas_b_mes684[[#This Row],[CUIT]]="","-",VLOOKUP(ventas_b_mes684[[#This Row],[CUIT]],Lista_CUIT[#All],2,0)),"CUIT NO CARGADO")</f>
        <v>CUIT NO CARGADO</v>
      </c>
      <c r="H1118" s="64">
        <v>20661.16</v>
      </c>
      <c r="I1118" s="64">
        <f>ventas_b_mes684[[#This Row],[IMPORTE NETO]]*0.21</f>
        <v>4338.8436000000002</v>
      </c>
      <c r="J1118" s="64"/>
      <c r="K1118" s="64"/>
      <c r="L1118" s="64">
        <f>SUM(ventas_b_mes684[[#This Row],[IMPORTE NETO]:[EXENTO]])</f>
        <v>25000.0036</v>
      </c>
      <c r="M1118" s="59"/>
    </row>
    <row r="1119" spans="2:13">
      <c r="B1119" s="40" t="s">
        <v>2310</v>
      </c>
      <c r="C1119" s="41">
        <v>6</v>
      </c>
      <c r="D1119" s="42">
        <v>15</v>
      </c>
      <c r="E1119" s="43">
        <v>13275</v>
      </c>
      <c r="F1119" s="44">
        <v>27687487</v>
      </c>
      <c r="G1119" s="1" t="str">
        <f>IFERROR(IF(ventas_b_mes684[[#This Row],[CUIT]]="","-",VLOOKUP(ventas_b_mes684[[#This Row],[CUIT]],Lista_CUIT[#All],2,0)),"CUIT NO CARGADO")</f>
        <v>CUIT NO CARGADO</v>
      </c>
      <c r="H1119" s="64">
        <v>25661.16</v>
      </c>
      <c r="I1119" s="64">
        <f>ventas_b_mes684[[#This Row],[IMPORTE NETO]]*0.21</f>
        <v>5388.8436000000002</v>
      </c>
      <c r="J1119" s="64"/>
      <c r="K1119" s="64"/>
      <c r="L1119" s="64">
        <f>SUM(ventas_b_mes684[[#This Row],[IMPORTE NETO]:[EXENTO]])</f>
        <v>31050.0036</v>
      </c>
      <c r="M1119" s="59"/>
    </row>
    <row r="1120" spans="2:13">
      <c r="B1120" s="40" t="s">
        <v>2310</v>
      </c>
      <c r="C1120" s="41">
        <v>6</v>
      </c>
      <c r="D1120" s="42">
        <v>15</v>
      </c>
      <c r="E1120" s="43">
        <v>13278</v>
      </c>
      <c r="F1120" s="44">
        <v>17951227</v>
      </c>
      <c r="G1120" s="1" t="str">
        <f>IFERROR(IF(ventas_b_mes684[[#This Row],[CUIT]]="","-",VLOOKUP(ventas_b_mes684[[#This Row],[CUIT]],Lista_CUIT[#All],2,0)),"CUIT NO CARGADO")</f>
        <v>CUIT NO CARGADO</v>
      </c>
      <c r="H1120" s="64">
        <v>4090.91</v>
      </c>
      <c r="I1120" s="64">
        <f>ventas_b_mes684[[#This Row],[IMPORTE NETO]]*0.21</f>
        <v>859.09109999999998</v>
      </c>
      <c r="J1120" s="64"/>
      <c r="K1120" s="64"/>
      <c r="L1120" s="64">
        <f>SUM(ventas_b_mes684[[#This Row],[IMPORTE NETO]:[EXENTO]])</f>
        <v>4950.0010999999995</v>
      </c>
      <c r="M1120" s="59"/>
    </row>
    <row r="1121" spans="2:13">
      <c r="B1121" s="40" t="s">
        <v>2310</v>
      </c>
      <c r="C1121" s="41">
        <v>6</v>
      </c>
      <c r="D1121" s="42">
        <v>15</v>
      </c>
      <c r="E1121" s="43">
        <v>13279</v>
      </c>
      <c r="F1121" s="44">
        <v>17951227</v>
      </c>
      <c r="G1121" s="1" t="str">
        <f>IFERROR(IF(ventas_b_mes684[[#This Row],[CUIT]]="","-",VLOOKUP(ventas_b_mes684[[#This Row],[CUIT]],Lista_CUIT[#All],2,0)),"CUIT NO CARGADO")</f>
        <v>CUIT NO CARGADO</v>
      </c>
      <c r="H1121" s="64">
        <v>20661.16</v>
      </c>
      <c r="I1121" s="64">
        <f>ventas_b_mes684[[#This Row],[IMPORTE NETO]]*0.21</f>
        <v>4338.8436000000002</v>
      </c>
      <c r="J1121" s="64"/>
      <c r="K1121" s="64"/>
      <c r="L1121" s="64">
        <f>SUM(ventas_b_mes684[[#This Row],[IMPORTE NETO]:[EXENTO]])</f>
        <v>25000.0036</v>
      </c>
      <c r="M1121" s="59"/>
    </row>
    <row r="1122" spans="2:13">
      <c r="B1122" s="40" t="s">
        <v>2310</v>
      </c>
      <c r="C1122" s="41">
        <v>6</v>
      </c>
      <c r="D1122" s="42">
        <v>12</v>
      </c>
      <c r="E1122" s="43">
        <v>29682</v>
      </c>
      <c r="F1122" s="44">
        <v>26626528</v>
      </c>
      <c r="G1122" s="1" t="str">
        <f>IFERROR(IF(ventas_b_mes684[[#This Row],[CUIT]]="","-",VLOOKUP(ventas_b_mes684[[#This Row],[CUIT]],Lista_CUIT[#All],2,0)),"CUIT NO CARGADO")</f>
        <v>CUIT NO CARGADO</v>
      </c>
      <c r="H1122" s="64">
        <v>3628.1</v>
      </c>
      <c r="I1122" s="64">
        <f>ventas_b_mes684[[#This Row],[IMPORTE NETO]]*0.21</f>
        <v>761.90099999999995</v>
      </c>
      <c r="J1122" s="64"/>
      <c r="K1122" s="64"/>
      <c r="L1122" s="64">
        <f>SUM(ventas_b_mes684[[#This Row],[IMPORTE NETO]:[EXENTO]])</f>
        <v>4390.0010000000002</v>
      </c>
      <c r="M1122" s="59"/>
    </row>
    <row r="1123" spans="2:13">
      <c r="B1123" s="40" t="s">
        <v>2310</v>
      </c>
      <c r="C1123" s="41">
        <v>6</v>
      </c>
      <c r="D1123" s="42">
        <v>15</v>
      </c>
      <c r="E1123" s="43">
        <v>13261</v>
      </c>
      <c r="F1123" s="44">
        <v>30642523</v>
      </c>
      <c r="G1123" s="1" t="str">
        <f>IFERROR(IF(ventas_b_mes684[[#This Row],[CUIT]]="","-",VLOOKUP(ventas_b_mes684[[#This Row],[CUIT]],Lista_CUIT[#All],2,0)),"CUIT NO CARGADO")</f>
        <v>CUIT NO CARGADO</v>
      </c>
      <c r="H1123" s="64">
        <v>20661.16</v>
      </c>
      <c r="I1123" s="64">
        <f>ventas_b_mes684[[#This Row],[IMPORTE NETO]]*0.21</f>
        <v>4338.8436000000002</v>
      </c>
      <c r="J1123" s="64"/>
      <c r="K1123" s="64"/>
      <c r="L1123" s="64">
        <f>SUM(ventas_b_mes684[[#This Row],[IMPORTE NETO]:[EXENTO]])</f>
        <v>25000.0036</v>
      </c>
      <c r="M1123" s="59"/>
    </row>
    <row r="1124" spans="2:13">
      <c r="B1124" s="40" t="s">
        <v>2310</v>
      </c>
      <c r="C1124" s="41">
        <v>6</v>
      </c>
      <c r="D1124" s="42">
        <v>13</v>
      </c>
      <c r="E1124" s="43">
        <v>32486</v>
      </c>
      <c r="F1124" s="44">
        <v>23319067</v>
      </c>
      <c r="G1124" s="1" t="str">
        <f>IFERROR(IF(ventas_b_mes684[[#This Row],[CUIT]]="","-",VLOOKUP(ventas_b_mes684[[#This Row],[CUIT]],Lista_CUIT[#All],2,0)),"CUIT NO CARGADO")</f>
        <v>CUIT NO CARGADO</v>
      </c>
      <c r="H1124" s="64">
        <v>20661.16</v>
      </c>
      <c r="I1124" s="64">
        <f>ventas_b_mes684[[#This Row],[IMPORTE NETO]]*0.21</f>
        <v>4338.8436000000002</v>
      </c>
      <c r="J1124" s="64"/>
      <c r="K1124" s="64"/>
      <c r="L1124" s="64">
        <f>SUM(ventas_b_mes684[[#This Row],[IMPORTE NETO]:[EXENTO]])</f>
        <v>25000.0036</v>
      </c>
      <c r="M1124" s="59"/>
    </row>
    <row r="1125" spans="2:13">
      <c r="B1125" s="40" t="s">
        <v>2310</v>
      </c>
      <c r="C1125" s="41">
        <v>6</v>
      </c>
      <c r="D1125" s="42">
        <v>11</v>
      </c>
      <c r="E1125" s="43">
        <v>38133</v>
      </c>
      <c r="F1125" s="44">
        <v>28664336</v>
      </c>
      <c r="G1125" s="1" t="str">
        <f>IFERROR(IF(ventas_b_mes684[[#This Row],[CUIT]]="","-",VLOOKUP(ventas_b_mes684[[#This Row],[CUIT]],Lista_CUIT[#All],2,0)),"CUIT NO CARGADO")</f>
        <v>CUIT NO CARGADO</v>
      </c>
      <c r="H1125" s="64">
        <v>10487.6</v>
      </c>
      <c r="I1125" s="64">
        <f>ventas_b_mes684[[#This Row],[IMPORTE NETO]]*0.21</f>
        <v>2202.3960000000002</v>
      </c>
      <c r="J1125" s="64"/>
      <c r="K1125" s="64"/>
      <c r="L1125" s="64">
        <f>SUM(ventas_b_mes684[[#This Row],[IMPORTE NETO]:[EXENTO]])</f>
        <v>12689.996000000001</v>
      </c>
      <c r="M1125" s="59"/>
    </row>
    <row r="1126" spans="2:13">
      <c r="B1126" s="40" t="s">
        <v>2310</v>
      </c>
      <c r="C1126" s="41">
        <v>6</v>
      </c>
      <c r="D1126" s="42">
        <v>12</v>
      </c>
      <c r="E1126" s="43">
        <v>29692</v>
      </c>
      <c r="F1126" s="44">
        <v>38901435</v>
      </c>
      <c r="G1126" s="1" t="str">
        <f>IFERROR(IF(ventas_b_mes684[[#This Row],[CUIT]]="","-",VLOOKUP(ventas_b_mes684[[#This Row],[CUIT]],Lista_CUIT[#All],2,0)),"CUIT NO CARGADO")</f>
        <v>CUIT NO CARGADO</v>
      </c>
      <c r="H1126" s="64">
        <v>35537.19</v>
      </c>
      <c r="I1126" s="64">
        <f>ventas_b_mes684[[#This Row],[IMPORTE NETO]]*0.21</f>
        <v>7462.8099000000002</v>
      </c>
      <c r="J1126" s="64"/>
      <c r="K1126" s="64"/>
      <c r="L1126" s="64">
        <f>SUM(ventas_b_mes684[[#This Row],[IMPORTE NETO]:[EXENTO]])</f>
        <v>42999.999900000003</v>
      </c>
      <c r="M1126" s="59"/>
    </row>
    <row r="1127" spans="2:13">
      <c r="B1127" s="40" t="s">
        <v>2310</v>
      </c>
      <c r="C1127" s="41">
        <v>6</v>
      </c>
      <c r="D1127" s="42">
        <v>10</v>
      </c>
      <c r="E1127" s="43">
        <v>54477</v>
      </c>
      <c r="F1127" s="44">
        <v>95840615</v>
      </c>
      <c r="G1127" s="1" t="str">
        <f>IFERROR(IF(ventas_b_mes684[[#This Row],[CUIT]]="","-",VLOOKUP(ventas_b_mes684[[#This Row],[CUIT]],Lista_CUIT[#All],2,0)),"CUIT NO CARGADO")</f>
        <v>CUIT NO CARGADO</v>
      </c>
      <c r="H1127" s="64">
        <v>20661.16</v>
      </c>
      <c r="I1127" s="64">
        <f>ventas_b_mes684[[#This Row],[IMPORTE NETO]]*0.21</f>
        <v>4338.8436000000002</v>
      </c>
      <c r="J1127" s="64"/>
      <c r="K1127" s="64"/>
      <c r="L1127" s="64">
        <f>SUM(ventas_b_mes684[[#This Row],[IMPORTE NETO]:[EXENTO]])</f>
        <v>25000.0036</v>
      </c>
      <c r="M1127" s="59"/>
    </row>
    <row r="1128" spans="2:13">
      <c r="B1128" s="40" t="s">
        <v>2310</v>
      </c>
      <c r="C1128" s="41">
        <v>6</v>
      </c>
      <c r="D1128" s="42">
        <v>13</v>
      </c>
      <c r="E1128" s="43">
        <v>32491</v>
      </c>
      <c r="F1128" s="44">
        <v>20560897</v>
      </c>
      <c r="G1128" s="1" t="str">
        <f>IFERROR(IF(ventas_b_mes684[[#This Row],[CUIT]]="","-",VLOOKUP(ventas_b_mes684[[#This Row],[CUIT]],Lista_CUIT[#All],2,0)),"CUIT NO CARGADO")</f>
        <v>CUIT NO CARGADO</v>
      </c>
      <c r="H1128" s="64">
        <v>34644.629999999997</v>
      </c>
      <c r="I1128" s="64">
        <f>ventas_b_mes684[[#This Row],[IMPORTE NETO]]*0.21</f>
        <v>7275.3722999999991</v>
      </c>
      <c r="J1128" s="64"/>
      <c r="K1128" s="64"/>
      <c r="L1128" s="64">
        <f>SUM(ventas_b_mes684[[#This Row],[IMPORTE NETO]:[EXENTO]])</f>
        <v>41920.002299999993</v>
      </c>
      <c r="M1128" s="59"/>
    </row>
    <row r="1129" spans="2:13">
      <c r="B1129" s="40" t="s">
        <v>2310</v>
      </c>
      <c r="C1129" s="41">
        <v>6</v>
      </c>
      <c r="D1129" s="42">
        <v>15</v>
      </c>
      <c r="E1129" s="43">
        <v>13264</v>
      </c>
      <c r="F1129" s="44">
        <v>17978118</v>
      </c>
      <c r="G1129" s="1" t="str">
        <f>IFERROR(IF(ventas_b_mes684[[#This Row],[CUIT]]="","-",VLOOKUP(ventas_b_mes684[[#This Row],[CUIT]],Lista_CUIT[#All],2,0)),"CUIT NO CARGADO")</f>
        <v>CUIT NO CARGADO</v>
      </c>
      <c r="H1129" s="64">
        <v>57512.4</v>
      </c>
      <c r="I1129" s="64">
        <f>ventas_b_mes684[[#This Row],[IMPORTE NETO]]*0.21</f>
        <v>12077.603999999999</v>
      </c>
      <c r="J1129" s="64"/>
      <c r="K1129" s="64"/>
      <c r="L1129" s="64">
        <f>SUM(ventas_b_mes684[[#This Row],[IMPORTE NETO]:[EXENTO]])</f>
        <v>69590.004000000001</v>
      </c>
      <c r="M1129" s="59"/>
    </row>
    <row r="1130" spans="2:13">
      <c r="B1130" s="40" t="s">
        <v>2310</v>
      </c>
      <c r="C1130" s="41">
        <v>6</v>
      </c>
      <c r="D1130" s="42">
        <v>15</v>
      </c>
      <c r="E1130" s="43">
        <v>13260</v>
      </c>
      <c r="F1130" s="44">
        <v>43460663</v>
      </c>
      <c r="G1130" s="1" t="str">
        <f>IFERROR(IF(ventas_b_mes684[[#This Row],[CUIT]]="","-",VLOOKUP(ventas_b_mes684[[#This Row],[CUIT]],Lista_CUIT[#All],2,0)),"CUIT NO CARGADO")</f>
        <v>CUIT NO CARGADO</v>
      </c>
      <c r="H1130" s="64">
        <v>20661.16</v>
      </c>
      <c r="I1130" s="64">
        <f>ventas_b_mes684[[#This Row],[IMPORTE NETO]]*0.21</f>
        <v>4338.8436000000002</v>
      </c>
      <c r="J1130" s="64"/>
      <c r="K1130" s="64"/>
      <c r="L1130" s="64">
        <f>SUM(ventas_b_mes684[[#This Row],[IMPORTE NETO]:[EXENTO]])</f>
        <v>25000.0036</v>
      </c>
      <c r="M1130" s="59"/>
    </row>
    <row r="1131" spans="2:13">
      <c r="B1131" s="40" t="s">
        <v>2310</v>
      </c>
      <c r="C1131" s="41">
        <v>6</v>
      </c>
      <c r="D1131" s="42">
        <v>11</v>
      </c>
      <c r="E1131" s="43">
        <v>38123</v>
      </c>
      <c r="F1131" s="44">
        <v>95854288</v>
      </c>
      <c r="G1131" s="1" t="str">
        <f>IFERROR(IF(ventas_b_mes684[[#This Row],[CUIT]]="","-",VLOOKUP(ventas_b_mes684[[#This Row],[CUIT]],Lista_CUIT[#All],2,0)),"CUIT NO CARGADO")</f>
        <v>CUIT NO CARGADO</v>
      </c>
      <c r="H1131" s="64">
        <v>11442.15</v>
      </c>
      <c r="I1131" s="64">
        <f>ventas_b_mes684[[#This Row],[IMPORTE NETO]]*0.21</f>
        <v>2402.8514999999998</v>
      </c>
      <c r="J1131" s="64"/>
      <c r="K1131" s="64"/>
      <c r="L1131" s="64">
        <f>SUM(ventas_b_mes684[[#This Row],[IMPORTE NETO]:[EXENTO]])</f>
        <v>13845.001499999998</v>
      </c>
      <c r="M1131" s="59"/>
    </row>
    <row r="1132" spans="2:13">
      <c r="B1132" s="40" t="s">
        <v>2310</v>
      </c>
      <c r="C1132" s="41">
        <v>6</v>
      </c>
      <c r="D1132" s="42">
        <v>12</v>
      </c>
      <c r="E1132" s="43">
        <v>29681</v>
      </c>
      <c r="F1132" s="44">
        <v>35647206</v>
      </c>
      <c r="G1132" s="1" t="str">
        <f>IFERROR(IF(ventas_b_mes684[[#This Row],[CUIT]]="","-",VLOOKUP(ventas_b_mes684[[#This Row],[CUIT]],Lista_CUIT[#All],2,0)),"CUIT NO CARGADO")</f>
        <v>CUIT NO CARGADO</v>
      </c>
      <c r="H1132" s="64">
        <v>5801.65</v>
      </c>
      <c r="I1132" s="64">
        <f>ventas_b_mes684[[#This Row],[IMPORTE NETO]]*0.21</f>
        <v>1218.3464999999999</v>
      </c>
      <c r="J1132" s="64"/>
      <c r="K1132" s="64"/>
      <c r="L1132" s="64">
        <f>SUM(ventas_b_mes684[[#This Row],[IMPORTE NETO]:[EXENTO]])</f>
        <v>7019.9964999999993</v>
      </c>
      <c r="M1132" s="59"/>
    </row>
    <row r="1133" spans="2:13">
      <c r="B1133" s="40" t="s">
        <v>2310</v>
      </c>
      <c r="C1133" s="41">
        <v>6</v>
      </c>
      <c r="D1133" s="42">
        <v>10</v>
      </c>
      <c r="E1133" s="43">
        <v>54466</v>
      </c>
      <c r="F1133" s="44">
        <v>47953224</v>
      </c>
      <c r="G1133" s="1" t="str">
        <f>IFERROR(IF(ventas_b_mes684[[#This Row],[CUIT]]="","-",VLOOKUP(ventas_b_mes684[[#This Row],[CUIT]],Lista_CUIT[#All],2,0)),"CUIT NO CARGADO")</f>
        <v>CUIT NO CARGADO</v>
      </c>
      <c r="H1133" s="64">
        <v>20661.16</v>
      </c>
      <c r="I1133" s="64">
        <f>ventas_b_mes684[[#This Row],[IMPORTE NETO]]*0.21</f>
        <v>4338.8436000000002</v>
      </c>
      <c r="J1133" s="64"/>
      <c r="K1133" s="64"/>
      <c r="L1133" s="64">
        <f>SUM(ventas_b_mes684[[#This Row],[IMPORTE NETO]:[EXENTO]])</f>
        <v>25000.0036</v>
      </c>
      <c r="M1133" s="59"/>
    </row>
    <row r="1134" spans="2:13">
      <c r="B1134" s="40" t="s">
        <v>2310</v>
      </c>
      <c r="C1134" s="41">
        <v>6</v>
      </c>
      <c r="D1134" s="42">
        <v>15</v>
      </c>
      <c r="E1134" s="43">
        <v>13258</v>
      </c>
      <c r="F1134" s="44">
        <v>25974327</v>
      </c>
      <c r="G1134" s="1" t="str">
        <f>IFERROR(IF(ventas_b_mes684[[#This Row],[CUIT]]="","-",VLOOKUP(ventas_b_mes684[[#This Row],[CUIT]],Lista_CUIT[#All],2,0)),"CUIT NO CARGADO")</f>
        <v>CUIT NO CARGADO</v>
      </c>
      <c r="H1134" s="64">
        <v>61669.42</v>
      </c>
      <c r="I1134" s="64">
        <f>ventas_b_mes684[[#This Row],[IMPORTE NETO]]*0.21</f>
        <v>12950.5782</v>
      </c>
      <c r="J1134" s="64"/>
      <c r="K1134" s="64"/>
      <c r="L1134" s="64">
        <f>SUM(ventas_b_mes684[[#This Row],[IMPORTE NETO]:[EXENTO]])</f>
        <v>74619.998200000002</v>
      </c>
      <c r="M1134" s="59"/>
    </row>
    <row r="1135" spans="2:13">
      <c r="B1135" s="40" t="s">
        <v>2310</v>
      </c>
      <c r="C1135" s="41">
        <v>6</v>
      </c>
      <c r="D1135" s="42">
        <v>15</v>
      </c>
      <c r="E1135" s="43">
        <v>13259</v>
      </c>
      <c r="F1135" s="44">
        <v>23251656</v>
      </c>
      <c r="G1135" s="1" t="str">
        <f>IFERROR(IF(ventas_b_mes684[[#This Row],[CUIT]]="","-",VLOOKUP(ventas_b_mes684[[#This Row],[CUIT]],Lista_CUIT[#All],2,0)),"CUIT NO CARGADO")</f>
        <v>CUIT NO CARGADO</v>
      </c>
      <c r="H1135" s="64">
        <v>20661.16</v>
      </c>
      <c r="I1135" s="64">
        <f>ventas_b_mes684[[#This Row],[IMPORTE NETO]]*0.21</f>
        <v>4338.8436000000002</v>
      </c>
      <c r="J1135" s="64"/>
      <c r="K1135" s="64"/>
      <c r="L1135" s="64">
        <f>SUM(ventas_b_mes684[[#This Row],[IMPORTE NETO]:[EXENTO]])</f>
        <v>25000.0036</v>
      </c>
      <c r="M1135" s="59"/>
    </row>
    <row r="1136" spans="2:13">
      <c r="B1136" s="40" t="s">
        <v>2310</v>
      </c>
      <c r="C1136" s="41">
        <v>6</v>
      </c>
      <c r="D1136" s="42">
        <v>12</v>
      </c>
      <c r="E1136" s="43">
        <v>29684</v>
      </c>
      <c r="F1136" s="44">
        <v>32696144</v>
      </c>
      <c r="G1136" s="1" t="str">
        <f>IFERROR(IF(ventas_b_mes684[[#This Row],[CUIT]]="","-",VLOOKUP(ventas_b_mes684[[#This Row],[CUIT]],Lista_CUIT[#All],2,0)),"CUIT NO CARGADO")</f>
        <v>CUIT NO CARGADO</v>
      </c>
      <c r="H1136" s="64">
        <v>20661.16</v>
      </c>
      <c r="I1136" s="64">
        <f>ventas_b_mes684[[#This Row],[IMPORTE NETO]]*0.21</f>
        <v>4338.8436000000002</v>
      </c>
      <c r="J1136" s="64"/>
      <c r="K1136" s="64"/>
      <c r="L1136" s="64">
        <f>SUM(ventas_b_mes684[[#This Row],[IMPORTE NETO]:[EXENTO]])</f>
        <v>25000.0036</v>
      </c>
      <c r="M1136" s="59"/>
    </row>
    <row r="1137" spans="2:13">
      <c r="B1137" s="40" t="s">
        <v>2310</v>
      </c>
      <c r="C1137" s="41">
        <v>6</v>
      </c>
      <c r="D1137" s="42">
        <v>13</v>
      </c>
      <c r="E1137" s="43">
        <v>32487</v>
      </c>
      <c r="F1137" s="44">
        <v>10313563</v>
      </c>
      <c r="G1137" s="1" t="str">
        <f>IFERROR(IF(ventas_b_mes684[[#This Row],[CUIT]]="","-",VLOOKUP(ventas_b_mes684[[#This Row],[CUIT]],Lista_CUIT[#All],2,0)),"CUIT NO CARGADO")</f>
        <v>CUIT NO CARGADO</v>
      </c>
      <c r="H1137" s="64">
        <v>34132.230000000003</v>
      </c>
      <c r="I1137" s="64">
        <f>ventas_b_mes684[[#This Row],[IMPORTE NETO]]*0.21</f>
        <v>7167.7683000000006</v>
      </c>
      <c r="J1137" s="64"/>
      <c r="K1137" s="64"/>
      <c r="L1137" s="64">
        <f>SUM(ventas_b_mes684[[#This Row],[IMPORTE NETO]:[EXENTO]])</f>
        <v>41299.998300000007</v>
      </c>
      <c r="M1137" s="59"/>
    </row>
    <row r="1138" spans="2:13">
      <c r="B1138" s="40" t="s">
        <v>2310</v>
      </c>
      <c r="C1138" s="41">
        <v>6</v>
      </c>
      <c r="D1138" s="42">
        <v>15</v>
      </c>
      <c r="E1138" s="43">
        <v>13267</v>
      </c>
      <c r="F1138" s="44">
        <v>26843489</v>
      </c>
      <c r="G1138" s="1" t="str">
        <f>IFERROR(IF(ventas_b_mes684[[#This Row],[CUIT]]="","-",VLOOKUP(ventas_b_mes684[[#This Row],[CUIT]],Lista_CUIT[#All],2,0)),"CUIT NO CARGADO")</f>
        <v>CAMPO, CECILIA (ALUMNA)</v>
      </c>
      <c r="H1138" s="64">
        <v>30082.639999999999</v>
      </c>
      <c r="I1138" s="64">
        <f>ventas_b_mes684[[#This Row],[IMPORTE NETO]]*0.21</f>
        <v>6317.3543999999993</v>
      </c>
      <c r="J1138" s="64"/>
      <c r="K1138" s="64"/>
      <c r="L1138" s="64">
        <f>SUM(ventas_b_mes684[[#This Row],[IMPORTE NETO]:[EXENTO]])</f>
        <v>36399.994399999996</v>
      </c>
      <c r="M1138" s="59"/>
    </row>
    <row r="1139" spans="2:13">
      <c r="B1139" s="40" t="s">
        <v>2310</v>
      </c>
      <c r="C1139" s="41">
        <v>6</v>
      </c>
      <c r="D1139" s="42">
        <v>10</v>
      </c>
      <c r="E1139" s="43">
        <v>54469</v>
      </c>
      <c r="F1139" s="44">
        <v>17546717</v>
      </c>
      <c r="G1139" s="1" t="str">
        <f>IFERROR(IF(ventas_b_mes684[[#This Row],[CUIT]]="","-",VLOOKUP(ventas_b_mes684[[#This Row],[CUIT]],Lista_CUIT[#All],2,0)),"CUIT NO CARGADO")</f>
        <v>CUIT NO CARGADO</v>
      </c>
      <c r="H1139" s="64">
        <v>11570.25</v>
      </c>
      <c r="I1139" s="64">
        <f>ventas_b_mes684[[#This Row],[IMPORTE NETO]]*0.21</f>
        <v>2429.7525000000001</v>
      </c>
      <c r="J1139" s="64"/>
      <c r="K1139" s="64"/>
      <c r="L1139" s="64">
        <f>SUM(ventas_b_mes684[[#This Row],[IMPORTE NETO]:[EXENTO]])</f>
        <v>14000.002500000001</v>
      </c>
      <c r="M1139" s="59"/>
    </row>
    <row r="1140" spans="2:13">
      <c r="B1140" s="40" t="s">
        <v>2310</v>
      </c>
      <c r="C1140" s="41">
        <v>6</v>
      </c>
      <c r="D1140" s="42">
        <v>11</v>
      </c>
      <c r="E1140" s="43">
        <v>38128</v>
      </c>
      <c r="F1140" s="44">
        <v>43625296</v>
      </c>
      <c r="G1140" s="1" t="str">
        <f>IFERROR(IF(ventas_b_mes684[[#This Row],[CUIT]]="","-",VLOOKUP(ventas_b_mes684[[#This Row],[CUIT]],Lista_CUIT[#All],2,0)),"CUIT NO CARGADO")</f>
        <v>CUIT NO CARGADO</v>
      </c>
      <c r="H1140" s="64">
        <v>20661.16</v>
      </c>
      <c r="I1140" s="64">
        <f>ventas_b_mes684[[#This Row],[IMPORTE NETO]]*0.21</f>
        <v>4338.8436000000002</v>
      </c>
      <c r="J1140" s="64"/>
      <c r="K1140" s="64"/>
      <c r="L1140" s="64">
        <f>SUM(ventas_b_mes684[[#This Row],[IMPORTE NETO]:[EXENTO]])</f>
        <v>25000.0036</v>
      </c>
      <c r="M1140" s="59"/>
    </row>
    <row r="1141" spans="2:13">
      <c r="B1141" s="40" t="s">
        <v>2310</v>
      </c>
      <c r="C1141" s="41">
        <v>6</v>
      </c>
      <c r="D1141" s="42">
        <v>15</v>
      </c>
      <c r="E1141" s="43">
        <v>13277</v>
      </c>
      <c r="F1141" s="44">
        <v>30040939</v>
      </c>
      <c r="G1141" s="1" t="str">
        <f>IFERROR(IF(ventas_b_mes684[[#This Row],[CUIT]]="","-",VLOOKUP(ventas_b_mes684[[#This Row],[CUIT]],Lista_CUIT[#All],2,0)),"CUIT NO CARGADO")</f>
        <v>CUIT NO CARGADO</v>
      </c>
      <c r="H1141" s="64">
        <v>20661.16</v>
      </c>
      <c r="I1141" s="64">
        <f>ventas_b_mes684[[#This Row],[IMPORTE NETO]]*0.21</f>
        <v>4338.8436000000002</v>
      </c>
      <c r="J1141" s="64"/>
      <c r="K1141" s="64"/>
      <c r="L1141" s="64">
        <f>SUM(ventas_b_mes684[[#This Row],[IMPORTE NETO]:[EXENTO]])</f>
        <v>25000.0036</v>
      </c>
      <c r="M1141" s="59"/>
    </row>
    <row r="1142" spans="2:13">
      <c r="B1142" s="40" t="s">
        <v>2310</v>
      </c>
      <c r="C1142" s="41">
        <v>6</v>
      </c>
      <c r="D1142" s="42">
        <v>10</v>
      </c>
      <c r="E1142" s="43">
        <v>54472</v>
      </c>
      <c r="F1142" s="44">
        <v>35321318</v>
      </c>
      <c r="G1142" s="1" t="str">
        <f>IFERROR(IF(ventas_b_mes684[[#This Row],[CUIT]]="","-",VLOOKUP(ventas_b_mes684[[#This Row],[CUIT]],Lista_CUIT[#All],2,0)),"CUIT NO CARGADO")</f>
        <v>CUIT NO CARGADO</v>
      </c>
      <c r="H1142" s="64">
        <v>19619.830000000002</v>
      </c>
      <c r="I1142" s="64">
        <f>ventas_b_mes684[[#This Row],[IMPORTE NETO]]*0.21</f>
        <v>4120.1643000000004</v>
      </c>
      <c r="J1142" s="64"/>
      <c r="K1142" s="64"/>
      <c r="L1142" s="64">
        <f>SUM(ventas_b_mes684[[#This Row],[IMPORTE NETO]:[EXENTO]])</f>
        <v>23739.994300000002</v>
      </c>
      <c r="M1142" s="59"/>
    </row>
    <row r="1143" spans="2:13">
      <c r="B1143" s="40" t="s">
        <v>2310</v>
      </c>
      <c r="C1143" s="41">
        <v>6</v>
      </c>
      <c r="D1143" s="42">
        <v>12</v>
      </c>
      <c r="E1143" s="43">
        <v>29685</v>
      </c>
      <c r="F1143" s="44">
        <v>35647206</v>
      </c>
      <c r="G1143" s="1" t="str">
        <f>IFERROR(IF(ventas_b_mes684[[#This Row],[CUIT]]="","-",VLOOKUP(ventas_b_mes684[[#This Row],[CUIT]],Lista_CUIT[#All],2,0)),"CUIT NO CARGADO")</f>
        <v>CUIT NO CARGADO</v>
      </c>
      <c r="H1143" s="64">
        <v>9520.66</v>
      </c>
      <c r="I1143" s="64">
        <f>ventas_b_mes684[[#This Row],[IMPORTE NETO]]*0.21</f>
        <v>1999.3385999999998</v>
      </c>
      <c r="J1143" s="64"/>
      <c r="K1143" s="64"/>
      <c r="L1143" s="64">
        <f>SUM(ventas_b_mes684[[#This Row],[IMPORTE NETO]:[EXENTO]])</f>
        <v>11519.998599999999</v>
      </c>
      <c r="M1143" s="59"/>
    </row>
    <row r="1144" spans="2:13">
      <c r="B1144" s="40" t="s">
        <v>2310</v>
      </c>
      <c r="C1144" s="41">
        <v>6</v>
      </c>
      <c r="D1144" s="42">
        <v>10</v>
      </c>
      <c r="E1144" s="43">
        <v>54474</v>
      </c>
      <c r="F1144" s="44">
        <v>43574161</v>
      </c>
      <c r="G1144" s="1" t="str">
        <f>IFERROR(IF(ventas_b_mes684[[#This Row],[CUIT]]="","-",VLOOKUP(ventas_b_mes684[[#This Row],[CUIT]],Lista_CUIT[#All],2,0)),"CUIT NO CARGADO")</f>
        <v>CUIT NO CARGADO</v>
      </c>
      <c r="H1144" s="64">
        <v>20661.16</v>
      </c>
      <c r="I1144" s="64">
        <f>ventas_b_mes684[[#This Row],[IMPORTE NETO]]*0.21</f>
        <v>4338.8436000000002</v>
      </c>
      <c r="J1144" s="64"/>
      <c r="K1144" s="64"/>
      <c r="L1144" s="64">
        <f>SUM(ventas_b_mes684[[#This Row],[IMPORTE NETO]:[EXENTO]])</f>
        <v>25000.0036</v>
      </c>
      <c r="M1144" s="59"/>
    </row>
    <row r="1145" spans="2:13">
      <c r="B1145" s="40" t="s">
        <v>2310</v>
      </c>
      <c r="C1145" s="41">
        <v>6</v>
      </c>
      <c r="D1145" s="42">
        <v>13</v>
      </c>
      <c r="E1145" s="43">
        <v>32490</v>
      </c>
      <c r="F1145" s="44">
        <v>31943613</v>
      </c>
      <c r="G1145" s="1" t="str">
        <f>IFERROR(IF(ventas_b_mes684[[#This Row],[CUIT]]="","-",VLOOKUP(ventas_b_mes684[[#This Row],[CUIT]],Lista_CUIT[#All],2,0)),"CUIT NO CARGADO")</f>
        <v>CUIT NO CARGADO</v>
      </c>
      <c r="H1145" s="64">
        <v>33636.36</v>
      </c>
      <c r="I1145" s="64">
        <f>ventas_b_mes684[[#This Row],[IMPORTE NETO]]*0.21</f>
        <v>7063.6355999999996</v>
      </c>
      <c r="J1145" s="64"/>
      <c r="K1145" s="64"/>
      <c r="L1145" s="64">
        <f>SUM(ventas_b_mes684[[#This Row],[IMPORTE NETO]:[EXENTO]])</f>
        <v>40699.995600000002</v>
      </c>
      <c r="M1145" s="59"/>
    </row>
    <row r="1146" spans="2:13">
      <c r="B1146" s="40" t="s">
        <v>2310</v>
      </c>
      <c r="C1146" s="41">
        <v>6</v>
      </c>
      <c r="D1146" s="42">
        <v>13</v>
      </c>
      <c r="E1146" s="43">
        <v>32493</v>
      </c>
      <c r="F1146" s="44">
        <v>944408921</v>
      </c>
      <c r="G1146" s="1" t="str">
        <f>IFERROR(IF(ventas_b_mes684[[#This Row],[CUIT]]="","-",VLOOKUP(ventas_b_mes684[[#This Row],[CUIT]],Lista_CUIT[#All],2,0)),"CUIT NO CARGADO")</f>
        <v>CUIT NO CARGADO</v>
      </c>
      <c r="H1146" s="64">
        <v>11677.69</v>
      </c>
      <c r="I1146" s="64">
        <f>ventas_b_mes684[[#This Row],[IMPORTE NETO]]*0.21</f>
        <v>2452.3148999999999</v>
      </c>
      <c r="J1146" s="64"/>
      <c r="K1146" s="64"/>
      <c r="L1146" s="64">
        <f>SUM(ventas_b_mes684[[#This Row],[IMPORTE NETO]:[EXENTO]])</f>
        <v>14130.0049</v>
      </c>
      <c r="M1146" s="59"/>
    </row>
    <row r="1147" spans="2:13">
      <c r="B1147" s="40" t="s">
        <v>2310</v>
      </c>
      <c r="C1147" s="41">
        <v>6</v>
      </c>
      <c r="D1147" s="42">
        <v>15</v>
      </c>
      <c r="E1147" s="43">
        <v>13257</v>
      </c>
      <c r="F1147" s="44">
        <v>41851400</v>
      </c>
      <c r="G1147" s="1" t="str">
        <f>IFERROR(IF(ventas_b_mes684[[#This Row],[CUIT]]="","-",VLOOKUP(ventas_b_mes684[[#This Row],[CUIT]],Lista_CUIT[#All],2,0)),"CUIT NO CARGADO")</f>
        <v>CUIT NO CARGADO</v>
      </c>
      <c r="H1147" s="64">
        <v>20661.16</v>
      </c>
      <c r="I1147" s="64">
        <f>ventas_b_mes684[[#This Row],[IMPORTE NETO]]*0.21</f>
        <v>4338.8436000000002</v>
      </c>
      <c r="J1147" s="64"/>
      <c r="K1147" s="64"/>
      <c r="L1147" s="64">
        <f>SUM(ventas_b_mes684[[#This Row],[IMPORTE NETO]:[EXENTO]])</f>
        <v>25000.0036</v>
      </c>
      <c r="M1147" s="59"/>
    </row>
    <row r="1148" spans="2:13">
      <c r="B1148" s="40" t="s">
        <v>2310</v>
      </c>
      <c r="C1148" s="41">
        <v>6</v>
      </c>
      <c r="D1148" s="42">
        <v>15</v>
      </c>
      <c r="E1148" s="43">
        <v>13274</v>
      </c>
      <c r="F1148" s="44">
        <v>95496585</v>
      </c>
      <c r="G1148" s="1" t="str">
        <f>IFERROR(IF(ventas_b_mes684[[#This Row],[CUIT]]="","-",VLOOKUP(ventas_b_mes684[[#This Row],[CUIT]],Lista_CUIT[#All],2,0)),"CUIT NO CARGADO")</f>
        <v>CUIT NO CARGADO</v>
      </c>
      <c r="H1148" s="64">
        <v>11768.6</v>
      </c>
      <c r="I1148" s="64">
        <f>ventas_b_mes684[[#This Row],[IMPORTE NETO]]*0.21</f>
        <v>2471.4059999999999</v>
      </c>
      <c r="J1148" s="64"/>
      <c r="K1148" s="64"/>
      <c r="L1148" s="64">
        <f>SUM(ventas_b_mes684[[#This Row],[IMPORTE NETO]:[EXENTO]])</f>
        <v>14240.006000000001</v>
      </c>
      <c r="M1148" s="59"/>
    </row>
    <row r="1149" spans="2:13">
      <c r="B1149" s="40" t="s">
        <v>2311</v>
      </c>
      <c r="C1149" s="41">
        <v>6</v>
      </c>
      <c r="D1149" s="42">
        <v>10</v>
      </c>
      <c r="E1149" s="43">
        <v>54485</v>
      </c>
      <c r="F1149" s="44">
        <v>95881305</v>
      </c>
      <c r="G1149" s="1" t="str">
        <f>IFERROR(IF(ventas_b_mes684[[#This Row],[CUIT]]="","-",VLOOKUP(ventas_b_mes684[[#This Row],[CUIT]],Lista_CUIT[#All],2,0)),"CUIT NO CARGADO")</f>
        <v>CUIT NO CARGADO</v>
      </c>
      <c r="H1149" s="64">
        <v>20661.16</v>
      </c>
      <c r="I1149" s="64">
        <f>ventas_b_mes684[[#This Row],[IMPORTE NETO]]*0.21</f>
        <v>4338.8436000000002</v>
      </c>
      <c r="J1149" s="64"/>
      <c r="K1149" s="64"/>
      <c r="L1149" s="64">
        <f>SUM(ventas_b_mes684[[#This Row],[IMPORTE NETO]:[EXENTO]])</f>
        <v>25000.0036</v>
      </c>
      <c r="M1149" s="59"/>
    </row>
    <row r="1150" spans="2:13">
      <c r="B1150" s="40" t="s">
        <v>2311</v>
      </c>
      <c r="C1150" s="41">
        <v>6</v>
      </c>
      <c r="D1150" s="42">
        <v>12</v>
      </c>
      <c r="E1150" s="43">
        <v>29716</v>
      </c>
      <c r="F1150" s="44">
        <v>16019062</v>
      </c>
      <c r="G1150" s="1" t="str">
        <f>IFERROR(IF(ventas_b_mes684[[#This Row],[CUIT]]="","-",VLOOKUP(ventas_b_mes684[[#This Row],[CUIT]],Lista_CUIT[#All],2,0)),"CUIT NO CARGADO")</f>
        <v>CUIT NO CARGADO</v>
      </c>
      <c r="H1150" s="64">
        <v>13719.01</v>
      </c>
      <c r="I1150" s="64">
        <f>ventas_b_mes684[[#This Row],[IMPORTE NETO]]*0.21</f>
        <v>2880.9920999999999</v>
      </c>
      <c r="J1150" s="64"/>
      <c r="K1150" s="64"/>
      <c r="L1150" s="64">
        <f>SUM(ventas_b_mes684[[#This Row],[IMPORTE NETO]:[EXENTO]])</f>
        <v>16600.002100000002</v>
      </c>
      <c r="M1150" s="59"/>
    </row>
    <row r="1151" spans="2:13">
      <c r="B1151" s="40" t="s">
        <v>2311</v>
      </c>
      <c r="C1151" s="41">
        <v>6</v>
      </c>
      <c r="D1151" s="42">
        <v>11</v>
      </c>
      <c r="E1151" s="43">
        <v>38149</v>
      </c>
      <c r="F1151" s="44">
        <v>25174784</v>
      </c>
      <c r="G1151" s="1" t="str">
        <f>IFERROR(IF(ventas_b_mes684[[#This Row],[CUIT]]="","-",VLOOKUP(ventas_b_mes684[[#This Row],[CUIT]],Lista_CUIT[#All],2,0)),"CUIT NO CARGADO")</f>
        <v>CUIT NO CARGADO</v>
      </c>
      <c r="H1151" s="64">
        <v>96487.6</v>
      </c>
      <c r="I1151" s="64">
        <f>ventas_b_mes684[[#This Row],[IMPORTE NETO]]*0.21</f>
        <v>20262.396000000001</v>
      </c>
      <c r="J1151" s="64"/>
      <c r="K1151" s="64"/>
      <c r="L1151" s="64">
        <f>SUM(ventas_b_mes684[[#This Row],[IMPORTE NETO]:[EXENTO]])</f>
        <v>116749.99600000001</v>
      </c>
      <c r="M1151" s="59"/>
    </row>
    <row r="1152" spans="2:13">
      <c r="B1152" s="40" t="s">
        <v>2311</v>
      </c>
      <c r="C1152" s="41">
        <v>6</v>
      </c>
      <c r="D1152" s="42">
        <v>10</v>
      </c>
      <c r="E1152" s="43">
        <v>54488</v>
      </c>
      <c r="F1152" s="44">
        <v>17854312</v>
      </c>
      <c r="G1152" s="1" t="str">
        <f>IFERROR(IF(ventas_b_mes684[[#This Row],[CUIT]]="","-",VLOOKUP(ventas_b_mes684[[#This Row],[CUIT]],Lista_CUIT[#All],2,0)),"CUIT NO CARGADO")</f>
        <v>CUIT NO CARGADO</v>
      </c>
      <c r="H1152" s="64">
        <v>31322.31</v>
      </c>
      <c r="I1152" s="64">
        <f>ventas_b_mes684[[#This Row],[IMPORTE NETO]]*0.21</f>
        <v>6577.6850999999997</v>
      </c>
      <c r="J1152" s="64"/>
      <c r="K1152" s="64"/>
      <c r="L1152" s="64">
        <f>SUM(ventas_b_mes684[[#This Row],[IMPORTE NETO]:[EXENTO]])</f>
        <v>37899.9951</v>
      </c>
      <c r="M1152" s="59"/>
    </row>
    <row r="1153" spans="2:13">
      <c r="B1153" s="40" t="s">
        <v>2311</v>
      </c>
      <c r="C1153" s="41">
        <v>6</v>
      </c>
      <c r="D1153" s="42">
        <v>15</v>
      </c>
      <c r="E1153" s="43">
        <v>13307</v>
      </c>
      <c r="F1153" s="44">
        <v>45309736</v>
      </c>
      <c r="G1153" s="1" t="str">
        <f>IFERROR(IF(ventas_b_mes684[[#This Row],[CUIT]]="","-",VLOOKUP(ventas_b_mes684[[#This Row],[CUIT]],Lista_CUIT[#All],2,0)),"CUIT NO CARGADO")</f>
        <v>CUIT NO CARGADO</v>
      </c>
      <c r="H1153" s="64">
        <v>20661.16</v>
      </c>
      <c r="I1153" s="64">
        <f>ventas_b_mes684[[#This Row],[IMPORTE NETO]]*0.21</f>
        <v>4338.8436000000002</v>
      </c>
      <c r="J1153" s="64"/>
      <c r="K1153" s="64"/>
      <c r="L1153" s="64">
        <f>SUM(ventas_b_mes684[[#This Row],[IMPORTE NETO]:[EXENTO]])</f>
        <v>25000.0036</v>
      </c>
      <c r="M1153" s="59"/>
    </row>
    <row r="1154" spans="2:13">
      <c r="B1154" s="40" t="s">
        <v>2311</v>
      </c>
      <c r="C1154" s="41">
        <v>6</v>
      </c>
      <c r="D1154" s="42">
        <v>15</v>
      </c>
      <c r="E1154" s="43">
        <v>13314</v>
      </c>
      <c r="F1154" s="44">
        <v>92650983</v>
      </c>
      <c r="G1154" s="1" t="str">
        <f>IFERROR(IF(ventas_b_mes684[[#This Row],[CUIT]]="","-",VLOOKUP(ventas_b_mes684[[#This Row],[CUIT]],Lista_CUIT[#All],2,0)),"CUIT NO CARGADO")</f>
        <v>CUIT NO CARGADO</v>
      </c>
      <c r="H1154" s="64">
        <v>20661.16</v>
      </c>
      <c r="I1154" s="64">
        <f>ventas_b_mes684[[#This Row],[IMPORTE NETO]]*0.21</f>
        <v>4338.8436000000002</v>
      </c>
      <c r="J1154" s="64"/>
      <c r="K1154" s="64"/>
      <c r="L1154" s="64">
        <f>SUM(ventas_b_mes684[[#This Row],[IMPORTE NETO]:[EXENTO]])</f>
        <v>25000.0036</v>
      </c>
      <c r="M1154" s="59"/>
    </row>
    <row r="1155" spans="2:13">
      <c r="B1155" s="40" t="s">
        <v>2311</v>
      </c>
      <c r="C1155" s="41">
        <v>6</v>
      </c>
      <c r="D1155" s="42">
        <v>10</v>
      </c>
      <c r="E1155" s="43">
        <v>54499</v>
      </c>
      <c r="F1155" s="44">
        <v>28231546</v>
      </c>
      <c r="G1155" s="1" t="str">
        <f>IFERROR(IF(ventas_b_mes684[[#This Row],[CUIT]]="","-",VLOOKUP(ventas_b_mes684[[#This Row],[CUIT]],Lista_CUIT[#All],2,0)),"CUIT NO CARGADO")</f>
        <v>CUIT NO CARGADO</v>
      </c>
      <c r="H1155" s="64">
        <v>20661.16</v>
      </c>
      <c r="I1155" s="64">
        <f>ventas_b_mes684[[#This Row],[IMPORTE NETO]]*0.21</f>
        <v>4338.8436000000002</v>
      </c>
      <c r="J1155" s="64"/>
      <c r="K1155" s="64"/>
      <c r="L1155" s="64">
        <f>SUM(ventas_b_mes684[[#This Row],[IMPORTE NETO]:[EXENTO]])</f>
        <v>25000.0036</v>
      </c>
      <c r="M1155" s="59"/>
    </row>
    <row r="1156" spans="2:13">
      <c r="B1156" s="40" t="s">
        <v>2311</v>
      </c>
      <c r="C1156" s="41">
        <v>6</v>
      </c>
      <c r="D1156" s="42">
        <v>10</v>
      </c>
      <c r="E1156" s="43">
        <v>54504</v>
      </c>
      <c r="F1156" s="44">
        <v>40006325</v>
      </c>
      <c r="G1156" s="1" t="str">
        <f>IFERROR(IF(ventas_b_mes684[[#This Row],[CUIT]]="","-",VLOOKUP(ventas_b_mes684[[#This Row],[CUIT]],Lista_CUIT[#All],2,0)),"CUIT NO CARGADO")</f>
        <v>CUIT NO CARGADO</v>
      </c>
      <c r="H1156" s="64">
        <v>20661.16</v>
      </c>
      <c r="I1156" s="64">
        <f>ventas_b_mes684[[#This Row],[IMPORTE NETO]]*0.21</f>
        <v>4338.8436000000002</v>
      </c>
      <c r="J1156" s="64"/>
      <c r="K1156" s="64"/>
      <c r="L1156" s="64">
        <f>SUM(ventas_b_mes684[[#This Row],[IMPORTE NETO]:[EXENTO]])</f>
        <v>25000.0036</v>
      </c>
      <c r="M1156" s="59"/>
    </row>
    <row r="1157" spans="2:13">
      <c r="B1157" s="40" t="s">
        <v>2311</v>
      </c>
      <c r="C1157" s="41">
        <v>6</v>
      </c>
      <c r="D1157" s="42">
        <v>10</v>
      </c>
      <c r="E1157" s="43">
        <v>54497</v>
      </c>
      <c r="F1157" s="44">
        <v>23447892</v>
      </c>
      <c r="G1157" s="1" t="str">
        <f>IFERROR(IF(ventas_b_mes684[[#This Row],[CUIT]]="","-",VLOOKUP(ventas_b_mes684[[#This Row],[CUIT]],Lista_CUIT[#All],2,0)),"CUIT NO CARGADO")</f>
        <v>CUIT NO CARGADO</v>
      </c>
      <c r="H1157" s="64">
        <v>27066.12</v>
      </c>
      <c r="I1157" s="64">
        <f>ventas_b_mes684[[#This Row],[IMPORTE NETO]]*0.21</f>
        <v>5683.8851999999997</v>
      </c>
      <c r="J1157" s="64"/>
      <c r="K1157" s="64"/>
      <c r="L1157" s="64">
        <f>SUM(ventas_b_mes684[[#This Row],[IMPORTE NETO]:[EXENTO]])</f>
        <v>32750.0052</v>
      </c>
      <c r="M1157" s="59"/>
    </row>
    <row r="1158" spans="2:13">
      <c r="B1158" s="40" t="s">
        <v>2311</v>
      </c>
      <c r="C1158" s="41">
        <v>6</v>
      </c>
      <c r="D1158" s="42">
        <v>11</v>
      </c>
      <c r="E1158" s="43">
        <v>38141</v>
      </c>
      <c r="F1158" s="44">
        <v>95646957</v>
      </c>
      <c r="G1158" s="1" t="str">
        <f>IFERROR(IF(ventas_b_mes684[[#This Row],[CUIT]]="","-",VLOOKUP(ventas_b_mes684[[#This Row],[CUIT]],Lista_CUIT[#All],2,0)),"CUIT NO CARGADO")</f>
        <v>CUIT NO CARGADO</v>
      </c>
      <c r="H1158" s="64">
        <v>20661.16</v>
      </c>
      <c r="I1158" s="64">
        <f>ventas_b_mes684[[#This Row],[IMPORTE NETO]]*0.21</f>
        <v>4338.8436000000002</v>
      </c>
      <c r="J1158" s="64"/>
      <c r="K1158" s="64"/>
      <c r="L1158" s="64">
        <f>SUM(ventas_b_mes684[[#This Row],[IMPORTE NETO]:[EXENTO]])</f>
        <v>25000.0036</v>
      </c>
      <c r="M1158" s="59"/>
    </row>
    <row r="1159" spans="2:13">
      <c r="B1159" s="40" t="s">
        <v>2311</v>
      </c>
      <c r="C1159" s="41">
        <v>6</v>
      </c>
      <c r="D1159" s="42">
        <v>10</v>
      </c>
      <c r="E1159" s="43">
        <v>54495</v>
      </c>
      <c r="F1159" s="44">
        <v>25869848</v>
      </c>
      <c r="G1159" s="1" t="str">
        <f>IFERROR(IF(ventas_b_mes684[[#This Row],[CUIT]]="","-",VLOOKUP(ventas_b_mes684[[#This Row],[CUIT]],Lista_CUIT[#All],2,0)),"CUIT NO CARGADO")</f>
        <v>SAJAMA EVANGELINA PATRICIA</v>
      </c>
      <c r="H1159" s="64">
        <v>45661.16</v>
      </c>
      <c r="I1159" s="64">
        <f>ventas_b_mes684[[#This Row],[IMPORTE NETO]]*0.21</f>
        <v>9588.8436000000002</v>
      </c>
      <c r="J1159" s="64"/>
      <c r="K1159" s="64"/>
      <c r="L1159" s="64">
        <f>SUM(ventas_b_mes684[[#This Row],[IMPORTE NETO]:[EXENTO]])</f>
        <v>55250.003600000004</v>
      </c>
      <c r="M1159" s="59"/>
    </row>
    <row r="1160" spans="2:13">
      <c r="B1160" s="40" t="s">
        <v>2311</v>
      </c>
      <c r="C1160" s="41">
        <v>6</v>
      </c>
      <c r="D1160" s="42">
        <v>12</v>
      </c>
      <c r="E1160" s="43">
        <v>29701</v>
      </c>
      <c r="F1160" s="44">
        <v>40910686</v>
      </c>
      <c r="G1160" s="1" t="str">
        <f>IFERROR(IF(ventas_b_mes684[[#This Row],[CUIT]]="","-",VLOOKUP(ventas_b_mes684[[#This Row],[CUIT]],Lista_CUIT[#All],2,0)),"CUIT NO CARGADO")</f>
        <v>CUIT NO CARGADO</v>
      </c>
      <c r="H1160" s="64">
        <v>6842.98</v>
      </c>
      <c r="I1160" s="64">
        <f>ventas_b_mes684[[#This Row],[IMPORTE NETO]]*0.21</f>
        <v>1437.0257999999999</v>
      </c>
      <c r="J1160" s="64"/>
      <c r="K1160" s="64"/>
      <c r="L1160" s="64">
        <f>SUM(ventas_b_mes684[[#This Row],[IMPORTE NETO]:[EXENTO]])</f>
        <v>8280.005799999999</v>
      </c>
      <c r="M1160" s="59"/>
    </row>
    <row r="1161" spans="2:13">
      <c r="B1161" s="40" t="s">
        <v>2311</v>
      </c>
      <c r="C1161" s="41">
        <v>6</v>
      </c>
      <c r="D1161" s="42">
        <v>11</v>
      </c>
      <c r="E1161" s="43">
        <v>38140</v>
      </c>
      <c r="F1161" s="44">
        <v>95646957</v>
      </c>
      <c r="G1161" s="1" t="str">
        <f>IFERROR(IF(ventas_b_mes684[[#This Row],[CUIT]]="","-",VLOOKUP(ventas_b_mes684[[#This Row],[CUIT]],Lista_CUIT[#All],2,0)),"CUIT NO CARGADO")</f>
        <v>CUIT NO CARGADO</v>
      </c>
      <c r="H1161" s="64">
        <v>6966.94</v>
      </c>
      <c r="I1161" s="64">
        <f>ventas_b_mes684[[#This Row],[IMPORTE NETO]]*0.21</f>
        <v>1463.0573999999999</v>
      </c>
      <c r="J1161" s="64"/>
      <c r="K1161" s="64"/>
      <c r="L1161" s="64">
        <f>SUM(ventas_b_mes684[[#This Row],[IMPORTE NETO]:[EXENTO]])</f>
        <v>8429.9974000000002</v>
      </c>
      <c r="M1161" s="59"/>
    </row>
    <row r="1162" spans="2:13">
      <c r="B1162" s="40" t="s">
        <v>2311</v>
      </c>
      <c r="C1162" s="41">
        <v>6</v>
      </c>
      <c r="D1162" s="42">
        <v>15</v>
      </c>
      <c r="E1162" s="43">
        <v>13313</v>
      </c>
      <c r="F1162" s="44">
        <v>30282961</v>
      </c>
      <c r="G1162" s="1" t="str">
        <f>IFERROR(IF(ventas_b_mes684[[#This Row],[CUIT]]="","-",VLOOKUP(ventas_b_mes684[[#This Row],[CUIT]],Lista_CUIT[#All],2,0)),"CUIT NO CARGADO")</f>
        <v>CUIT NO CARGADO</v>
      </c>
      <c r="H1162" s="64">
        <v>20661.16</v>
      </c>
      <c r="I1162" s="64">
        <f>ventas_b_mes684[[#This Row],[IMPORTE NETO]]*0.21</f>
        <v>4338.8436000000002</v>
      </c>
      <c r="J1162" s="64"/>
      <c r="K1162" s="64"/>
      <c r="L1162" s="64">
        <f>SUM(ventas_b_mes684[[#This Row],[IMPORTE NETO]:[EXENTO]])</f>
        <v>25000.0036</v>
      </c>
      <c r="M1162" s="59"/>
    </row>
    <row r="1163" spans="2:13">
      <c r="B1163" s="40" t="s">
        <v>2311</v>
      </c>
      <c r="C1163" s="41">
        <v>6</v>
      </c>
      <c r="D1163" s="42">
        <v>11</v>
      </c>
      <c r="E1163" s="43">
        <v>38145</v>
      </c>
      <c r="F1163" s="44">
        <v>20658578</v>
      </c>
      <c r="G1163" s="1" t="str">
        <f>IFERROR(IF(ventas_b_mes684[[#This Row],[CUIT]]="","-",VLOOKUP(ventas_b_mes684[[#This Row],[CUIT]],Lista_CUIT[#All],2,0)),"CUIT NO CARGADO")</f>
        <v>CUIT NO CARGADO</v>
      </c>
      <c r="H1163" s="64">
        <v>8107.44</v>
      </c>
      <c r="I1163" s="64">
        <f>ventas_b_mes684[[#This Row],[IMPORTE NETO]]*0.21</f>
        <v>1702.5623999999998</v>
      </c>
      <c r="J1163" s="64"/>
      <c r="K1163" s="64"/>
      <c r="L1163" s="64">
        <f>SUM(ventas_b_mes684[[#This Row],[IMPORTE NETO]:[EXENTO]])</f>
        <v>9810.0023999999994</v>
      </c>
      <c r="M1163" s="59"/>
    </row>
    <row r="1164" spans="2:13">
      <c r="B1164" s="40" t="s">
        <v>2311</v>
      </c>
      <c r="C1164" s="41">
        <v>6</v>
      </c>
      <c r="D1164" s="42">
        <v>11</v>
      </c>
      <c r="E1164" s="43">
        <v>38146</v>
      </c>
      <c r="F1164" s="44">
        <v>40007534</v>
      </c>
      <c r="G1164" s="1" t="str">
        <f>IFERROR(IF(ventas_b_mes684[[#This Row],[CUIT]]="","-",VLOOKUP(ventas_b_mes684[[#This Row],[CUIT]],Lista_CUIT[#All],2,0)),"CUIT NO CARGADO")</f>
        <v>CUIT NO CARGADO</v>
      </c>
      <c r="H1164" s="64">
        <v>11442.15</v>
      </c>
      <c r="I1164" s="64">
        <f>ventas_b_mes684[[#This Row],[IMPORTE NETO]]*0.21</f>
        <v>2402.8514999999998</v>
      </c>
      <c r="J1164" s="64"/>
      <c r="K1164" s="64"/>
      <c r="L1164" s="64">
        <f>SUM(ventas_b_mes684[[#This Row],[IMPORTE NETO]:[EXENTO]])</f>
        <v>13845.001499999998</v>
      </c>
      <c r="M1164" s="59"/>
    </row>
    <row r="1165" spans="2:13">
      <c r="B1165" s="40" t="s">
        <v>2311</v>
      </c>
      <c r="C1165" s="41">
        <v>6</v>
      </c>
      <c r="D1165" s="42">
        <v>12</v>
      </c>
      <c r="E1165" s="43">
        <v>29712</v>
      </c>
      <c r="F1165" s="44">
        <v>22859299</v>
      </c>
      <c r="G1165" s="1" t="str">
        <f>IFERROR(IF(ventas_b_mes684[[#This Row],[CUIT]]="","-",VLOOKUP(ventas_b_mes684[[#This Row],[CUIT]],Lista_CUIT[#All],2,0)),"CUIT NO CARGADO")</f>
        <v>CUIT NO CARGADO</v>
      </c>
      <c r="H1165" s="64">
        <v>8264.4599999999991</v>
      </c>
      <c r="I1165" s="64">
        <f>ventas_b_mes684[[#This Row],[IMPORTE NETO]]*0.21</f>
        <v>1735.5365999999997</v>
      </c>
      <c r="J1165" s="64"/>
      <c r="K1165" s="64"/>
      <c r="L1165" s="64">
        <f>SUM(ventas_b_mes684[[#This Row],[IMPORTE NETO]:[EXENTO]])</f>
        <v>9999.9965999999986</v>
      </c>
      <c r="M1165" s="59"/>
    </row>
    <row r="1166" spans="2:13">
      <c r="B1166" s="40" t="s">
        <v>2311</v>
      </c>
      <c r="C1166" s="41">
        <v>6</v>
      </c>
      <c r="D1166" s="42">
        <v>12</v>
      </c>
      <c r="E1166" s="43">
        <v>29697</v>
      </c>
      <c r="F1166" s="44">
        <v>22524572</v>
      </c>
      <c r="G1166" s="1" t="str">
        <f>IFERROR(IF(ventas_b_mes684[[#This Row],[CUIT]]="","-",VLOOKUP(ventas_b_mes684[[#This Row],[CUIT]],Lista_CUIT[#All],2,0)),"CUIT NO CARGADO")</f>
        <v>CUIT NO CARGADO</v>
      </c>
      <c r="H1166" s="64">
        <v>25289.26</v>
      </c>
      <c r="I1166" s="64">
        <f>ventas_b_mes684[[#This Row],[IMPORTE NETO]]*0.21</f>
        <v>5310.7445999999991</v>
      </c>
      <c r="J1166" s="64"/>
      <c r="K1166" s="64"/>
      <c r="L1166" s="64">
        <f>SUM(ventas_b_mes684[[#This Row],[IMPORTE NETO]:[EXENTO]])</f>
        <v>30600.004599999997</v>
      </c>
      <c r="M1166" s="59"/>
    </row>
    <row r="1167" spans="2:13">
      <c r="B1167" s="40" t="s">
        <v>2311</v>
      </c>
      <c r="C1167" s="41">
        <v>6</v>
      </c>
      <c r="D1167" s="42">
        <v>12</v>
      </c>
      <c r="E1167" s="43">
        <v>29693</v>
      </c>
      <c r="F1167" s="44">
        <v>47017973</v>
      </c>
      <c r="G1167" s="1" t="str">
        <f>IFERROR(IF(ventas_b_mes684[[#This Row],[CUIT]]="","-",VLOOKUP(ventas_b_mes684[[#This Row],[CUIT]],Lista_CUIT[#All],2,0)),"CUIT NO CARGADO")</f>
        <v>CUIT NO CARGADO</v>
      </c>
      <c r="H1167" s="64">
        <v>20661.16</v>
      </c>
      <c r="I1167" s="64">
        <f>ventas_b_mes684[[#This Row],[IMPORTE NETO]]*0.21</f>
        <v>4338.8436000000002</v>
      </c>
      <c r="J1167" s="64"/>
      <c r="K1167" s="64"/>
      <c r="L1167" s="64">
        <f>SUM(ventas_b_mes684[[#This Row],[IMPORTE NETO]:[EXENTO]])</f>
        <v>25000.0036</v>
      </c>
      <c r="M1167" s="59"/>
    </row>
    <row r="1168" spans="2:13">
      <c r="B1168" s="40" t="s">
        <v>2311</v>
      </c>
      <c r="C1168" s="41">
        <v>6</v>
      </c>
      <c r="D1168" s="42">
        <v>12</v>
      </c>
      <c r="E1168" s="43">
        <v>29702</v>
      </c>
      <c r="F1168" s="44">
        <v>36943395</v>
      </c>
      <c r="G1168" s="1" t="str">
        <f>IFERROR(IF(ventas_b_mes684[[#This Row],[CUIT]]="","-",VLOOKUP(ventas_b_mes684[[#This Row],[CUIT]],Lista_CUIT[#All],2,0)),"CUIT NO CARGADO")</f>
        <v>CUIT NO CARGADO</v>
      </c>
      <c r="H1168" s="64">
        <v>20661.16</v>
      </c>
      <c r="I1168" s="64">
        <f>ventas_b_mes684[[#This Row],[IMPORTE NETO]]*0.21</f>
        <v>4338.8436000000002</v>
      </c>
      <c r="J1168" s="64"/>
      <c r="K1168" s="64"/>
      <c r="L1168" s="64">
        <f>SUM(ventas_b_mes684[[#This Row],[IMPORTE NETO]:[EXENTO]])</f>
        <v>25000.0036</v>
      </c>
      <c r="M1168" s="59"/>
    </row>
    <row r="1169" spans="2:13">
      <c r="B1169" s="40" t="s">
        <v>2311</v>
      </c>
      <c r="C1169" s="41">
        <v>6</v>
      </c>
      <c r="D1169" s="42">
        <v>13</v>
      </c>
      <c r="E1169" s="43">
        <v>32509</v>
      </c>
      <c r="F1169" s="44">
        <v>93969085</v>
      </c>
      <c r="G1169" s="1" t="str">
        <f>IFERROR(IF(ventas_b_mes684[[#This Row],[CUIT]]="","-",VLOOKUP(ventas_b_mes684[[#This Row],[CUIT]],Lista_CUIT[#All],2,0)),"CUIT NO CARGADO")</f>
        <v>CUIT NO CARGADO</v>
      </c>
      <c r="H1169" s="64">
        <v>8264.4599999999991</v>
      </c>
      <c r="I1169" s="64">
        <f>ventas_b_mes684[[#This Row],[IMPORTE NETO]]*0.21</f>
        <v>1735.5365999999997</v>
      </c>
      <c r="J1169" s="64"/>
      <c r="K1169" s="64"/>
      <c r="L1169" s="64">
        <f>SUM(ventas_b_mes684[[#This Row],[IMPORTE NETO]:[EXENTO]])</f>
        <v>9999.9965999999986</v>
      </c>
      <c r="M1169" s="59"/>
    </row>
    <row r="1170" spans="2:13">
      <c r="B1170" s="40" t="s">
        <v>2311</v>
      </c>
      <c r="C1170" s="41">
        <v>6</v>
      </c>
      <c r="D1170" s="42">
        <v>15</v>
      </c>
      <c r="E1170" s="43">
        <v>13312</v>
      </c>
      <c r="F1170" s="44">
        <v>38404992</v>
      </c>
      <c r="G1170" s="1" t="str">
        <f>IFERROR(IF(ventas_b_mes684[[#This Row],[CUIT]]="","-",VLOOKUP(ventas_b_mes684[[#This Row],[CUIT]],Lista_CUIT[#All],2,0)),"CUIT NO CARGADO")</f>
        <v>CUIT NO CARGADO</v>
      </c>
      <c r="H1170" s="64">
        <v>20661.16</v>
      </c>
      <c r="I1170" s="64">
        <f>ventas_b_mes684[[#This Row],[IMPORTE NETO]]*0.21</f>
        <v>4338.8436000000002</v>
      </c>
      <c r="J1170" s="64"/>
      <c r="K1170" s="64"/>
      <c r="L1170" s="64">
        <f>SUM(ventas_b_mes684[[#This Row],[IMPORTE NETO]:[EXENTO]])</f>
        <v>25000.0036</v>
      </c>
      <c r="M1170" s="59"/>
    </row>
    <row r="1171" spans="2:13">
      <c r="B1171" s="40" t="s">
        <v>2311</v>
      </c>
      <c r="C1171" s="41">
        <v>6</v>
      </c>
      <c r="D1171" s="42">
        <v>15</v>
      </c>
      <c r="E1171" s="43">
        <v>13287</v>
      </c>
      <c r="F1171" s="44">
        <v>47144984</v>
      </c>
      <c r="G1171" s="1" t="str">
        <f>IFERROR(IF(ventas_b_mes684[[#This Row],[CUIT]]="","-",VLOOKUP(ventas_b_mes684[[#This Row],[CUIT]],Lista_CUIT[#All],2,0)),"CUIT NO CARGADO")</f>
        <v>CUIT NO CARGADO</v>
      </c>
      <c r="H1171" s="64">
        <v>20661.16</v>
      </c>
      <c r="I1171" s="64">
        <f>ventas_b_mes684[[#This Row],[IMPORTE NETO]]*0.21</f>
        <v>4338.8436000000002</v>
      </c>
      <c r="J1171" s="64"/>
      <c r="K1171" s="64"/>
      <c r="L1171" s="64">
        <f>SUM(ventas_b_mes684[[#This Row],[IMPORTE NETO]:[EXENTO]])</f>
        <v>25000.0036</v>
      </c>
      <c r="M1171" s="59"/>
    </row>
    <row r="1172" spans="2:13">
      <c r="B1172" s="40" t="s">
        <v>2311</v>
      </c>
      <c r="C1172" s="41">
        <v>6</v>
      </c>
      <c r="D1172" s="42">
        <v>12</v>
      </c>
      <c r="E1172" s="43">
        <v>29700</v>
      </c>
      <c r="F1172" s="44">
        <v>40910686</v>
      </c>
      <c r="G1172" s="1" t="str">
        <f>IFERROR(IF(ventas_b_mes684[[#This Row],[CUIT]]="","-",VLOOKUP(ventas_b_mes684[[#This Row],[CUIT]],Lista_CUIT[#All],2,0)),"CUIT NO CARGADO")</f>
        <v>CUIT NO CARGADO</v>
      </c>
      <c r="H1172" s="64">
        <v>20661.16</v>
      </c>
      <c r="I1172" s="64">
        <f>ventas_b_mes684[[#This Row],[IMPORTE NETO]]*0.21</f>
        <v>4338.8436000000002</v>
      </c>
      <c r="J1172" s="64"/>
      <c r="K1172" s="64"/>
      <c r="L1172" s="64">
        <f>SUM(ventas_b_mes684[[#This Row],[IMPORTE NETO]:[EXENTO]])</f>
        <v>25000.0036</v>
      </c>
      <c r="M1172" s="59"/>
    </row>
    <row r="1173" spans="2:13">
      <c r="B1173" s="40" t="s">
        <v>2311</v>
      </c>
      <c r="C1173" s="41">
        <v>6</v>
      </c>
      <c r="D1173" s="42">
        <v>13</v>
      </c>
      <c r="E1173" s="43">
        <v>32504</v>
      </c>
      <c r="F1173" s="44">
        <v>20560897</v>
      </c>
      <c r="G1173" s="1" t="str">
        <f>IFERROR(IF(ventas_b_mes684[[#This Row],[CUIT]]="","-",VLOOKUP(ventas_b_mes684[[#This Row],[CUIT]],Lista_CUIT[#All],2,0)),"CUIT NO CARGADO")</f>
        <v>CUIT NO CARGADO</v>
      </c>
      <c r="H1173" s="64">
        <v>17404.96</v>
      </c>
      <c r="I1173" s="64">
        <f>ventas_b_mes684[[#This Row],[IMPORTE NETO]]*0.21</f>
        <v>3655.0415999999996</v>
      </c>
      <c r="J1173" s="64"/>
      <c r="K1173" s="64"/>
      <c r="L1173" s="64">
        <f>SUM(ventas_b_mes684[[#This Row],[IMPORTE NETO]:[EXENTO]])</f>
        <v>21060.0016</v>
      </c>
      <c r="M1173" s="59"/>
    </row>
    <row r="1174" spans="2:13">
      <c r="B1174" s="40" t="s">
        <v>2311</v>
      </c>
      <c r="C1174" s="41">
        <v>6</v>
      </c>
      <c r="D1174" s="42">
        <v>13</v>
      </c>
      <c r="E1174" s="43">
        <v>32507</v>
      </c>
      <c r="F1174" s="44">
        <v>31270108</v>
      </c>
      <c r="G1174" s="1" t="str">
        <f>IFERROR(IF(ventas_b_mes684[[#This Row],[CUIT]]="","-",VLOOKUP(ventas_b_mes684[[#This Row],[CUIT]],Lista_CUIT[#All],2,0)),"CUIT NO CARGADO")</f>
        <v>CUIT NO CARGADO</v>
      </c>
      <c r="H1174" s="64">
        <v>9545.4500000000007</v>
      </c>
      <c r="I1174" s="64">
        <f>ventas_b_mes684[[#This Row],[IMPORTE NETO]]*0.21</f>
        <v>2004.5445</v>
      </c>
      <c r="J1174" s="64"/>
      <c r="K1174" s="64"/>
      <c r="L1174" s="64">
        <f>SUM(ventas_b_mes684[[#This Row],[IMPORTE NETO]:[EXENTO]])</f>
        <v>11549.994500000001</v>
      </c>
      <c r="M1174" s="59"/>
    </row>
    <row r="1175" spans="2:13">
      <c r="B1175" s="40" t="s">
        <v>2311</v>
      </c>
      <c r="C1175" s="41">
        <v>6</v>
      </c>
      <c r="D1175" s="42">
        <v>12</v>
      </c>
      <c r="E1175" s="43">
        <v>29715</v>
      </c>
      <c r="F1175" s="44">
        <v>92823505</v>
      </c>
      <c r="G1175" s="1" t="str">
        <f>IFERROR(IF(ventas_b_mes684[[#This Row],[CUIT]]="","-",VLOOKUP(ventas_b_mes684[[#This Row],[CUIT]],Lista_CUIT[#All],2,0)),"CUIT NO CARGADO")</f>
        <v>CUIT NO CARGADO</v>
      </c>
      <c r="H1175" s="64">
        <v>48595.040000000001</v>
      </c>
      <c r="I1175" s="64">
        <f>ventas_b_mes684[[#This Row],[IMPORTE NETO]]*0.21</f>
        <v>10204.9584</v>
      </c>
      <c r="J1175" s="64"/>
      <c r="K1175" s="64"/>
      <c r="L1175" s="64">
        <f>SUM(ventas_b_mes684[[#This Row],[IMPORTE NETO]:[EXENTO]])</f>
        <v>58799.998399999997</v>
      </c>
      <c r="M1175" s="59"/>
    </row>
    <row r="1176" spans="2:13">
      <c r="B1176" s="40" t="s">
        <v>2311</v>
      </c>
      <c r="C1176" s="41">
        <v>6</v>
      </c>
      <c r="D1176" s="42">
        <v>10</v>
      </c>
      <c r="E1176" s="43">
        <v>54486</v>
      </c>
      <c r="F1176" s="44">
        <v>35047200</v>
      </c>
      <c r="G1176" s="1" t="str">
        <f>IFERROR(IF(ventas_b_mes684[[#This Row],[CUIT]]="","-",VLOOKUP(ventas_b_mes684[[#This Row],[CUIT]],Lista_CUIT[#All],2,0)),"CUIT NO CARGADO")</f>
        <v>CUIT NO CARGADO</v>
      </c>
      <c r="H1176" s="64">
        <v>7438.02</v>
      </c>
      <c r="I1176" s="64">
        <f>ventas_b_mes684[[#This Row],[IMPORTE NETO]]*0.21</f>
        <v>1561.9842000000001</v>
      </c>
      <c r="J1176" s="64"/>
      <c r="K1176" s="64"/>
      <c r="L1176" s="64">
        <f>SUM(ventas_b_mes684[[#This Row],[IMPORTE NETO]:[EXENTO]])</f>
        <v>9000.0042000000012</v>
      </c>
      <c r="M1176" s="59"/>
    </row>
    <row r="1177" spans="2:13">
      <c r="B1177" s="40" t="s">
        <v>2311</v>
      </c>
      <c r="C1177" s="41">
        <v>6</v>
      </c>
      <c r="D1177" s="42">
        <v>15</v>
      </c>
      <c r="E1177" s="43">
        <v>13288</v>
      </c>
      <c r="F1177" s="44">
        <v>35401700</v>
      </c>
      <c r="G1177" s="1" t="str">
        <f>IFERROR(IF(ventas_b_mes684[[#This Row],[CUIT]]="","-",VLOOKUP(ventas_b_mes684[[#This Row],[CUIT]],Lista_CUIT[#All],2,0)),"CUIT NO CARGADO")</f>
        <v>CUIT NO CARGADO</v>
      </c>
      <c r="H1177" s="64">
        <v>20661.16</v>
      </c>
      <c r="I1177" s="64">
        <f>ventas_b_mes684[[#This Row],[IMPORTE NETO]]*0.21</f>
        <v>4338.8436000000002</v>
      </c>
      <c r="J1177" s="64"/>
      <c r="K1177" s="64"/>
      <c r="L1177" s="64">
        <f>SUM(ventas_b_mes684[[#This Row],[IMPORTE NETO]:[EXENTO]])</f>
        <v>25000.0036</v>
      </c>
      <c r="M1177" s="59"/>
    </row>
    <row r="1178" spans="2:13">
      <c r="B1178" s="40" t="s">
        <v>2311</v>
      </c>
      <c r="C1178" s="41">
        <v>6</v>
      </c>
      <c r="D1178" s="42">
        <v>15</v>
      </c>
      <c r="E1178" s="43">
        <v>13310</v>
      </c>
      <c r="F1178" s="44">
        <v>24288488</v>
      </c>
      <c r="G1178" s="1" t="str">
        <f>IFERROR(IF(ventas_b_mes684[[#This Row],[CUIT]]="","-",VLOOKUP(ventas_b_mes684[[#This Row],[CUIT]],Lista_CUIT[#All],2,0)),"CUIT NO CARGADO")</f>
        <v>CUIT NO CARGADO</v>
      </c>
      <c r="H1178" s="64">
        <v>20661.16</v>
      </c>
      <c r="I1178" s="64">
        <f>ventas_b_mes684[[#This Row],[IMPORTE NETO]]*0.21</f>
        <v>4338.8436000000002</v>
      </c>
      <c r="J1178" s="64"/>
      <c r="K1178" s="64"/>
      <c r="L1178" s="64">
        <f>SUM(ventas_b_mes684[[#This Row],[IMPORTE NETO]:[EXENTO]])</f>
        <v>25000.0036</v>
      </c>
      <c r="M1178" s="59"/>
    </row>
    <row r="1179" spans="2:13">
      <c r="B1179" s="40" t="s">
        <v>2311</v>
      </c>
      <c r="C1179" s="41">
        <v>6</v>
      </c>
      <c r="D1179" s="42">
        <v>10</v>
      </c>
      <c r="E1179" s="43">
        <v>54489</v>
      </c>
      <c r="F1179" s="44">
        <v>94876046</v>
      </c>
      <c r="G1179" s="1" t="str">
        <f>IFERROR(IF(ventas_b_mes684[[#This Row],[CUIT]]="","-",VLOOKUP(ventas_b_mes684[[#This Row],[CUIT]],Lista_CUIT[#All],2,0)),"CUIT NO CARGADO")</f>
        <v>CUIT NO CARGADO</v>
      </c>
      <c r="H1179" s="64">
        <v>4462.8100000000004</v>
      </c>
      <c r="I1179" s="64">
        <f>ventas_b_mes684[[#This Row],[IMPORTE NETO]]*0.21</f>
        <v>937.19010000000003</v>
      </c>
      <c r="J1179" s="64"/>
      <c r="K1179" s="64"/>
      <c r="L1179" s="64">
        <f>SUM(ventas_b_mes684[[#This Row],[IMPORTE NETO]:[EXENTO]])</f>
        <v>5400.0001000000002</v>
      </c>
      <c r="M1179" s="59"/>
    </row>
    <row r="1180" spans="2:13">
      <c r="B1180" s="40" t="s">
        <v>2311</v>
      </c>
      <c r="C1180" s="41">
        <v>6</v>
      </c>
      <c r="D1180" s="42">
        <v>12</v>
      </c>
      <c r="E1180" s="43">
        <v>29704</v>
      </c>
      <c r="F1180" s="44">
        <v>21218329</v>
      </c>
      <c r="G1180" s="1" t="str">
        <f>IFERROR(IF(ventas_b_mes684[[#This Row],[CUIT]]="","-",VLOOKUP(ventas_b_mes684[[#This Row],[CUIT]],Lista_CUIT[#All],2,0)),"CUIT NO CARGADO")</f>
        <v>CUIT NO CARGADO</v>
      </c>
      <c r="H1180" s="64">
        <v>32314.05</v>
      </c>
      <c r="I1180" s="64">
        <f>ventas_b_mes684[[#This Row],[IMPORTE NETO]]*0.21</f>
        <v>6785.9504999999999</v>
      </c>
      <c r="J1180" s="64"/>
      <c r="K1180" s="64"/>
      <c r="L1180" s="64">
        <f>SUM(ventas_b_mes684[[#This Row],[IMPORTE NETO]:[EXENTO]])</f>
        <v>39100.000500000002</v>
      </c>
      <c r="M1180" s="59"/>
    </row>
    <row r="1181" spans="2:13">
      <c r="B1181" s="40" t="s">
        <v>2311</v>
      </c>
      <c r="C1181" s="41">
        <v>6</v>
      </c>
      <c r="D1181" s="42">
        <v>15</v>
      </c>
      <c r="E1181" s="43">
        <v>13295</v>
      </c>
      <c r="F1181" s="44">
        <v>25665738</v>
      </c>
      <c r="G1181" s="1" t="str">
        <f>IFERROR(IF(ventas_b_mes684[[#This Row],[CUIT]]="","-",VLOOKUP(ventas_b_mes684[[#This Row],[CUIT]],Lista_CUIT[#All],2,0)),"CUIT NO CARGADO")</f>
        <v>CUIT NO CARGADO</v>
      </c>
      <c r="H1181" s="64">
        <v>61983.47</v>
      </c>
      <c r="I1181" s="64">
        <f>ventas_b_mes684[[#This Row],[IMPORTE NETO]]*0.21</f>
        <v>13016.528699999999</v>
      </c>
      <c r="J1181" s="64"/>
      <c r="K1181" s="64"/>
      <c r="L1181" s="64">
        <f>SUM(ventas_b_mes684[[#This Row],[IMPORTE NETO]:[EXENTO]])</f>
        <v>74999.998699999996</v>
      </c>
      <c r="M1181" s="59"/>
    </row>
    <row r="1182" spans="2:13">
      <c r="B1182" s="40" t="s">
        <v>2311</v>
      </c>
      <c r="C1182" s="41">
        <v>6</v>
      </c>
      <c r="D1182" s="42">
        <v>15</v>
      </c>
      <c r="E1182" s="43">
        <v>13294</v>
      </c>
      <c r="F1182" s="44">
        <v>23874501</v>
      </c>
      <c r="G1182" s="1" t="str">
        <f>IFERROR(IF(ventas_b_mes684[[#This Row],[CUIT]]="","-",VLOOKUP(ventas_b_mes684[[#This Row],[CUIT]],Lista_CUIT[#All],2,0)),"CUIT NO CARGADO")</f>
        <v>CUIT NO CARGADO</v>
      </c>
      <c r="H1182" s="64">
        <v>6611.57</v>
      </c>
      <c r="I1182" s="64">
        <f>ventas_b_mes684[[#This Row],[IMPORTE NETO]]*0.21</f>
        <v>1388.4296999999999</v>
      </c>
      <c r="J1182" s="64"/>
      <c r="K1182" s="64"/>
      <c r="L1182" s="64">
        <f>SUM(ventas_b_mes684[[#This Row],[IMPORTE NETO]:[EXENTO]])</f>
        <v>7999.9996999999994</v>
      </c>
      <c r="M1182" s="59"/>
    </row>
    <row r="1183" spans="2:13">
      <c r="B1183" s="40" t="s">
        <v>2311</v>
      </c>
      <c r="C1183" s="41">
        <v>6</v>
      </c>
      <c r="D1183" s="42">
        <v>13</v>
      </c>
      <c r="E1183" s="43">
        <v>32499</v>
      </c>
      <c r="F1183" s="44">
        <v>958336751</v>
      </c>
      <c r="G1183" s="1" t="str">
        <f>IFERROR(IF(ventas_b_mes684[[#This Row],[CUIT]]="","-",VLOOKUP(ventas_b_mes684[[#This Row],[CUIT]],Lista_CUIT[#All],2,0)),"CUIT NO CARGADO")</f>
        <v>CUIT NO CARGADO</v>
      </c>
      <c r="H1183" s="64">
        <v>27024.79</v>
      </c>
      <c r="I1183" s="64">
        <f>ventas_b_mes684[[#This Row],[IMPORTE NETO]]*0.21</f>
        <v>5675.2058999999999</v>
      </c>
      <c r="J1183" s="64"/>
      <c r="K1183" s="64"/>
      <c r="L1183" s="64">
        <f>SUM(ventas_b_mes684[[#This Row],[IMPORTE NETO]:[EXENTO]])</f>
        <v>32699.995900000002</v>
      </c>
      <c r="M1183" s="59"/>
    </row>
    <row r="1184" spans="2:13">
      <c r="B1184" s="40" t="s">
        <v>2311</v>
      </c>
      <c r="C1184" s="41">
        <v>6</v>
      </c>
      <c r="D1184" s="42">
        <v>15</v>
      </c>
      <c r="E1184" s="43">
        <v>13299</v>
      </c>
      <c r="F1184" s="44">
        <v>16708728</v>
      </c>
      <c r="G1184" s="1" t="str">
        <f>IFERROR(IF(ventas_b_mes684[[#This Row],[CUIT]]="","-",VLOOKUP(ventas_b_mes684[[#This Row],[CUIT]],Lista_CUIT[#All],2,0)),"CUIT NO CARGADO")</f>
        <v>CUIT NO CARGADO</v>
      </c>
      <c r="H1184" s="64">
        <v>24049.59</v>
      </c>
      <c r="I1184" s="64">
        <f>ventas_b_mes684[[#This Row],[IMPORTE NETO]]*0.21</f>
        <v>5050.4138999999996</v>
      </c>
      <c r="J1184" s="64"/>
      <c r="K1184" s="64"/>
      <c r="L1184" s="64">
        <f>SUM(ventas_b_mes684[[#This Row],[IMPORTE NETO]:[EXENTO]])</f>
        <v>29100.0039</v>
      </c>
      <c r="M1184" s="59"/>
    </row>
    <row r="1185" spans="2:13">
      <c r="B1185" s="40" t="s">
        <v>2311</v>
      </c>
      <c r="C1185" s="41">
        <v>6</v>
      </c>
      <c r="D1185" s="42">
        <v>15</v>
      </c>
      <c r="E1185" s="43">
        <v>13305</v>
      </c>
      <c r="F1185" s="44">
        <v>25024253</v>
      </c>
      <c r="G1185" s="1" t="str">
        <f>IFERROR(IF(ventas_b_mes684[[#This Row],[CUIT]]="","-",VLOOKUP(ventas_b_mes684[[#This Row],[CUIT]],Lista_CUIT[#All],2,0)),"CUIT NO CARGADO")</f>
        <v>TUNDIS , AIDA</v>
      </c>
      <c r="H1185" s="64">
        <v>8264.4599999999991</v>
      </c>
      <c r="I1185" s="64">
        <f>ventas_b_mes684[[#This Row],[IMPORTE NETO]]*0.21</f>
        <v>1735.5365999999997</v>
      </c>
      <c r="J1185" s="64"/>
      <c r="K1185" s="64"/>
      <c r="L1185" s="64">
        <f>SUM(ventas_b_mes684[[#This Row],[IMPORTE NETO]:[EXENTO]])</f>
        <v>9999.9965999999986</v>
      </c>
      <c r="M1185" s="59"/>
    </row>
    <row r="1186" spans="2:13">
      <c r="B1186" s="40" t="s">
        <v>2311</v>
      </c>
      <c r="C1186" s="41">
        <v>6</v>
      </c>
      <c r="D1186" s="42">
        <v>13</v>
      </c>
      <c r="E1186" s="43">
        <v>32508</v>
      </c>
      <c r="F1186" s="44">
        <v>21365987</v>
      </c>
      <c r="G1186" s="1" t="str">
        <f>IFERROR(IF(ventas_b_mes684[[#This Row],[CUIT]]="","-",VLOOKUP(ventas_b_mes684[[#This Row],[CUIT]],Lista_CUIT[#All],2,0)),"CUIT NO CARGADO")</f>
        <v>CUIT NO CARGADO</v>
      </c>
      <c r="H1186" s="64">
        <v>34438.019999999997</v>
      </c>
      <c r="I1186" s="64">
        <f>ventas_b_mes684[[#This Row],[IMPORTE NETO]]*0.21</f>
        <v>7231.984199999999</v>
      </c>
      <c r="J1186" s="64"/>
      <c r="K1186" s="64"/>
      <c r="L1186" s="64">
        <f>SUM(ventas_b_mes684[[#This Row],[IMPORTE NETO]:[EXENTO]])</f>
        <v>41670.004199999996</v>
      </c>
      <c r="M1186" s="59"/>
    </row>
    <row r="1187" spans="2:13">
      <c r="B1187" s="40" t="s">
        <v>2311</v>
      </c>
      <c r="C1187" s="41">
        <v>6</v>
      </c>
      <c r="D1187" s="42">
        <v>15</v>
      </c>
      <c r="E1187" s="43">
        <v>13304</v>
      </c>
      <c r="F1187" s="44">
        <v>44789649</v>
      </c>
      <c r="G1187" s="1" t="str">
        <f>IFERROR(IF(ventas_b_mes684[[#This Row],[CUIT]]="","-",VLOOKUP(ventas_b_mes684[[#This Row],[CUIT]],Lista_CUIT[#All],2,0)),"CUIT NO CARGADO")</f>
        <v>CUIT NO CARGADO</v>
      </c>
      <c r="H1187" s="64">
        <v>20661.16</v>
      </c>
      <c r="I1187" s="64">
        <f>ventas_b_mes684[[#This Row],[IMPORTE NETO]]*0.21</f>
        <v>4338.8436000000002</v>
      </c>
      <c r="J1187" s="64"/>
      <c r="K1187" s="64"/>
      <c r="L1187" s="64">
        <f>SUM(ventas_b_mes684[[#This Row],[IMPORTE NETO]:[EXENTO]])</f>
        <v>25000.0036</v>
      </c>
      <c r="M1187" s="59"/>
    </row>
    <row r="1188" spans="2:13">
      <c r="B1188" s="40" t="s">
        <v>2311</v>
      </c>
      <c r="C1188" s="41">
        <v>6</v>
      </c>
      <c r="D1188" s="42">
        <v>15</v>
      </c>
      <c r="E1188" s="43">
        <v>13306</v>
      </c>
      <c r="F1188" s="44">
        <v>94857226</v>
      </c>
      <c r="G1188" s="1" t="str">
        <f>IFERROR(IF(ventas_b_mes684[[#This Row],[CUIT]]="","-",VLOOKUP(ventas_b_mes684[[#This Row],[CUIT]],Lista_CUIT[#All],2,0)),"CUIT NO CARGADO")</f>
        <v>CUIT NO CARGADO</v>
      </c>
      <c r="H1188" s="64">
        <v>20661.16</v>
      </c>
      <c r="I1188" s="64">
        <f>ventas_b_mes684[[#This Row],[IMPORTE NETO]]*0.21</f>
        <v>4338.8436000000002</v>
      </c>
      <c r="J1188" s="64"/>
      <c r="K1188" s="64"/>
      <c r="L1188" s="64">
        <f>SUM(ventas_b_mes684[[#This Row],[IMPORTE NETO]:[EXENTO]])</f>
        <v>25000.0036</v>
      </c>
      <c r="M1188" s="59"/>
    </row>
    <row r="1189" spans="2:13">
      <c r="B1189" s="40" t="s">
        <v>2311</v>
      </c>
      <c r="C1189" s="41">
        <v>6</v>
      </c>
      <c r="D1189" s="42">
        <v>15</v>
      </c>
      <c r="E1189" s="43">
        <v>13302</v>
      </c>
      <c r="F1189" s="44">
        <v>94254945</v>
      </c>
      <c r="G1189" s="1" t="str">
        <f>IFERROR(IF(ventas_b_mes684[[#This Row],[CUIT]]="","-",VLOOKUP(ventas_b_mes684[[#This Row],[CUIT]],Lista_CUIT[#All],2,0)),"CUIT NO CARGADO")</f>
        <v>CUIT NO CARGADO</v>
      </c>
      <c r="H1189" s="64">
        <v>20661.16</v>
      </c>
      <c r="I1189" s="64">
        <f>ventas_b_mes684[[#This Row],[IMPORTE NETO]]*0.21</f>
        <v>4338.8436000000002</v>
      </c>
      <c r="J1189" s="64"/>
      <c r="K1189" s="64"/>
      <c r="L1189" s="64">
        <f>SUM(ventas_b_mes684[[#This Row],[IMPORTE NETO]:[EXENTO]])</f>
        <v>25000.0036</v>
      </c>
      <c r="M1189" s="59"/>
    </row>
    <row r="1190" spans="2:13">
      <c r="B1190" s="40" t="s">
        <v>2311</v>
      </c>
      <c r="C1190" s="41">
        <v>6</v>
      </c>
      <c r="D1190" s="42">
        <v>11</v>
      </c>
      <c r="E1190" s="43">
        <v>38148</v>
      </c>
      <c r="F1190" s="44">
        <v>22226793</v>
      </c>
      <c r="G1190" s="1" t="str">
        <f>IFERROR(IF(ventas_b_mes684[[#This Row],[CUIT]]="","-",VLOOKUP(ventas_b_mes684[[#This Row],[CUIT]],Lista_CUIT[#All],2,0)),"CUIT NO CARGADO")</f>
        <v>CUIT NO CARGADO</v>
      </c>
      <c r="H1190" s="64">
        <v>10561.98</v>
      </c>
      <c r="I1190" s="64">
        <f>ventas_b_mes684[[#This Row],[IMPORTE NETO]]*0.21</f>
        <v>2218.0157999999997</v>
      </c>
      <c r="J1190" s="64"/>
      <c r="K1190" s="64"/>
      <c r="L1190" s="64">
        <f>SUM(ventas_b_mes684[[#This Row],[IMPORTE NETO]:[EXENTO]])</f>
        <v>12779.995799999999</v>
      </c>
      <c r="M1190" s="59"/>
    </row>
    <row r="1191" spans="2:13">
      <c r="B1191" s="40" t="s">
        <v>2311</v>
      </c>
      <c r="C1191" s="41">
        <v>6</v>
      </c>
      <c r="D1191" s="42">
        <v>10</v>
      </c>
      <c r="E1191" s="43">
        <v>54481</v>
      </c>
      <c r="F1191" s="44">
        <v>29834636</v>
      </c>
      <c r="G1191" s="1" t="str">
        <f>IFERROR(IF(ventas_b_mes684[[#This Row],[CUIT]]="","-",VLOOKUP(ventas_b_mes684[[#This Row],[CUIT]],Lista_CUIT[#All],2,0)),"CUIT NO CARGADO")</f>
        <v>CUIT NO CARGADO</v>
      </c>
      <c r="H1191" s="64">
        <v>20661.16</v>
      </c>
      <c r="I1191" s="64">
        <f>ventas_b_mes684[[#This Row],[IMPORTE NETO]]*0.21</f>
        <v>4338.8436000000002</v>
      </c>
      <c r="J1191" s="64"/>
      <c r="K1191" s="64"/>
      <c r="L1191" s="64">
        <f>SUM(ventas_b_mes684[[#This Row],[IMPORTE NETO]:[EXENTO]])</f>
        <v>25000.0036</v>
      </c>
      <c r="M1191" s="59"/>
    </row>
    <row r="1192" spans="2:13">
      <c r="B1192" s="40" t="s">
        <v>2311</v>
      </c>
      <c r="C1192" s="41">
        <v>6</v>
      </c>
      <c r="D1192" s="42">
        <v>10</v>
      </c>
      <c r="E1192" s="43">
        <v>54490</v>
      </c>
      <c r="F1192" s="44">
        <v>20871799</v>
      </c>
      <c r="G1192" s="1" t="str">
        <f>IFERROR(IF(ventas_b_mes684[[#This Row],[CUIT]]="","-",VLOOKUP(ventas_b_mes684[[#This Row],[CUIT]],Lista_CUIT[#All],2,0)),"CUIT NO CARGADO")</f>
        <v>CUIT NO CARGADO</v>
      </c>
      <c r="H1192" s="64">
        <v>6611.57</v>
      </c>
      <c r="I1192" s="64">
        <f>ventas_b_mes684[[#This Row],[IMPORTE NETO]]*0.21</f>
        <v>1388.4296999999999</v>
      </c>
      <c r="J1192" s="64"/>
      <c r="K1192" s="64"/>
      <c r="L1192" s="64">
        <f>SUM(ventas_b_mes684[[#This Row],[IMPORTE NETO]:[EXENTO]])</f>
        <v>7999.9996999999994</v>
      </c>
      <c r="M1192" s="59"/>
    </row>
    <row r="1193" spans="2:13">
      <c r="B1193" s="40" t="s">
        <v>2311</v>
      </c>
      <c r="C1193" s="41">
        <v>6</v>
      </c>
      <c r="D1193" s="42">
        <v>12</v>
      </c>
      <c r="E1193" s="43">
        <v>29699</v>
      </c>
      <c r="F1193" s="44">
        <v>45786361</v>
      </c>
      <c r="G1193" s="1" t="str">
        <f>IFERROR(IF(ventas_b_mes684[[#This Row],[CUIT]]="","-",VLOOKUP(ventas_b_mes684[[#This Row],[CUIT]],Lista_CUIT[#All],2,0)),"CUIT NO CARGADO")</f>
        <v>CUIT NO CARGADO</v>
      </c>
      <c r="H1193" s="64">
        <v>9917.36</v>
      </c>
      <c r="I1193" s="64">
        <f>ventas_b_mes684[[#This Row],[IMPORTE NETO]]*0.21</f>
        <v>2082.6455999999998</v>
      </c>
      <c r="J1193" s="64"/>
      <c r="K1193" s="64"/>
      <c r="L1193" s="64">
        <f>SUM(ventas_b_mes684[[#This Row],[IMPORTE NETO]:[EXENTO]])</f>
        <v>12000.0056</v>
      </c>
      <c r="M1193" s="59"/>
    </row>
    <row r="1194" spans="2:13">
      <c r="B1194" s="40" t="s">
        <v>2311</v>
      </c>
      <c r="C1194" s="41">
        <v>6</v>
      </c>
      <c r="D1194" s="42">
        <v>12</v>
      </c>
      <c r="E1194" s="43">
        <v>29714</v>
      </c>
      <c r="F1194" s="44">
        <v>13722850</v>
      </c>
      <c r="G1194" s="1" t="str">
        <f>IFERROR(IF(ventas_b_mes684[[#This Row],[CUIT]]="","-",VLOOKUP(ventas_b_mes684[[#This Row],[CUIT]],Lista_CUIT[#All],2,0)),"CUIT NO CARGADO")</f>
        <v>CUIT NO CARGADO</v>
      </c>
      <c r="H1194" s="64">
        <v>28925.62</v>
      </c>
      <c r="I1194" s="64">
        <f>ventas_b_mes684[[#This Row],[IMPORTE NETO]]*0.21</f>
        <v>6074.3801999999996</v>
      </c>
      <c r="J1194" s="64"/>
      <c r="K1194" s="64"/>
      <c r="L1194" s="64">
        <f>SUM(ventas_b_mes684[[#This Row],[IMPORTE NETO]:[EXENTO]])</f>
        <v>35000.000199999995</v>
      </c>
      <c r="M1194" s="59"/>
    </row>
    <row r="1195" spans="2:13">
      <c r="B1195" s="40" t="s">
        <v>2311</v>
      </c>
      <c r="C1195" s="41">
        <v>6</v>
      </c>
      <c r="D1195" s="42">
        <v>10</v>
      </c>
      <c r="E1195" s="43">
        <v>54498</v>
      </c>
      <c r="F1195" s="44">
        <v>26737556</v>
      </c>
      <c r="G1195" s="1" t="str">
        <f>IFERROR(IF(ventas_b_mes684[[#This Row],[CUIT]]="","-",VLOOKUP(ventas_b_mes684[[#This Row],[CUIT]],Lista_CUIT[#All],2,0)),"CUIT NO CARGADO")</f>
        <v>CUIT NO CARGADO</v>
      </c>
      <c r="H1195" s="64">
        <v>20661.16</v>
      </c>
      <c r="I1195" s="64">
        <f>ventas_b_mes684[[#This Row],[IMPORTE NETO]]*0.21</f>
        <v>4338.8436000000002</v>
      </c>
      <c r="J1195" s="64"/>
      <c r="K1195" s="64"/>
      <c r="L1195" s="64">
        <f>SUM(ventas_b_mes684[[#This Row],[IMPORTE NETO]:[EXENTO]])</f>
        <v>25000.0036</v>
      </c>
      <c r="M1195" s="59"/>
    </row>
    <row r="1196" spans="2:13">
      <c r="B1196" s="40" t="s">
        <v>2311</v>
      </c>
      <c r="C1196" s="41">
        <v>6</v>
      </c>
      <c r="D1196" s="42">
        <v>15</v>
      </c>
      <c r="E1196" s="43">
        <v>13309</v>
      </c>
      <c r="F1196" s="44">
        <v>30638969</v>
      </c>
      <c r="G1196" s="1" t="str">
        <f>IFERROR(IF(ventas_b_mes684[[#This Row],[CUIT]]="","-",VLOOKUP(ventas_b_mes684[[#This Row],[CUIT]],Lista_CUIT[#All],2,0)),"CUIT NO CARGADO")</f>
        <v>GRADE, CARLA</v>
      </c>
      <c r="H1196" s="64">
        <v>20661.16</v>
      </c>
      <c r="I1196" s="64">
        <f>ventas_b_mes684[[#This Row],[IMPORTE NETO]]*0.21</f>
        <v>4338.8436000000002</v>
      </c>
      <c r="J1196" s="64"/>
      <c r="K1196" s="64"/>
      <c r="L1196" s="64">
        <f>SUM(ventas_b_mes684[[#This Row],[IMPORTE NETO]:[EXENTO]])</f>
        <v>25000.0036</v>
      </c>
      <c r="M1196" s="59"/>
    </row>
    <row r="1197" spans="2:13">
      <c r="B1197" s="40" t="s">
        <v>2311</v>
      </c>
      <c r="C1197" s="41">
        <v>6</v>
      </c>
      <c r="D1197" s="42">
        <v>13</v>
      </c>
      <c r="E1197" s="43">
        <v>32497</v>
      </c>
      <c r="F1197" s="44">
        <v>23277110</v>
      </c>
      <c r="G1197" s="1" t="str">
        <f>IFERROR(IF(ventas_b_mes684[[#This Row],[CUIT]]="","-",VLOOKUP(ventas_b_mes684[[#This Row],[CUIT]],Lista_CUIT[#All],2,0)),"CUIT NO CARGADO")</f>
        <v>CUIT NO CARGADO</v>
      </c>
      <c r="H1197" s="64">
        <v>40909.089999999997</v>
      </c>
      <c r="I1197" s="64">
        <f>ventas_b_mes684[[#This Row],[IMPORTE NETO]]*0.21</f>
        <v>8590.9088999999985</v>
      </c>
      <c r="J1197" s="64"/>
      <c r="K1197" s="64"/>
      <c r="L1197" s="64">
        <f>SUM(ventas_b_mes684[[#This Row],[IMPORTE NETO]:[EXENTO]])</f>
        <v>49499.998899999991</v>
      </c>
      <c r="M1197" s="59"/>
    </row>
    <row r="1198" spans="2:13">
      <c r="B1198" s="40" t="s">
        <v>2311</v>
      </c>
      <c r="C1198" s="41">
        <v>6</v>
      </c>
      <c r="D1198" s="42">
        <v>10</v>
      </c>
      <c r="E1198" s="43">
        <v>54484</v>
      </c>
      <c r="F1198" s="44">
        <v>22365569</v>
      </c>
      <c r="G1198" s="1" t="str">
        <f>IFERROR(IF(ventas_b_mes684[[#This Row],[CUIT]]="","-",VLOOKUP(ventas_b_mes684[[#This Row],[CUIT]],Lista_CUIT[#All],2,0)),"CUIT NO CARGADO")</f>
        <v>CUIT NO CARGADO</v>
      </c>
      <c r="H1198" s="64">
        <v>16119.83</v>
      </c>
      <c r="I1198" s="64">
        <f>ventas_b_mes684[[#This Row],[IMPORTE NETO]]*0.21</f>
        <v>3385.1642999999999</v>
      </c>
      <c r="J1198" s="64"/>
      <c r="K1198" s="64"/>
      <c r="L1198" s="64">
        <f>SUM(ventas_b_mes684[[#This Row],[IMPORTE NETO]:[EXENTO]])</f>
        <v>19504.994299999998</v>
      </c>
      <c r="M1198" s="59"/>
    </row>
    <row r="1199" spans="2:13">
      <c r="B1199" s="40" t="s">
        <v>2311</v>
      </c>
      <c r="C1199" s="41">
        <v>6</v>
      </c>
      <c r="D1199" s="42">
        <v>13</v>
      </c>
      <c r="E1199" s="43">
        <v>32502</v>
      </c>
      <c r="F1199" s="44">
        <v>20560897</v>
      </c>
      <c r="G1199" s="1" t="str">
        <f>IFERROR(IF(ventas_b_mes684[[#This Row],[CUIT]]="","-",VLOOKUP(ventas_b_mes684[[#This Row],[CUIT]],Lista_CUIT[#All],2,0)),"CUIT NO CARGADO")</f>
        <v>CUIT NO CARGADO</v>
      </c>
      <c r="H1199" s="64">
        <v>14214.88</v>
      </c>
      <c r="I1199" s="64">
        <f>ventas_b_mes684[[#This Row],[IMPORTE NETO]]*0.21</f>
        <v>2985.1247999999996</v>
      </c>
      <c r="J1199" s="64"/>
      <c r="K1199" s="64"/>
      <c r="L1199" s="64">
        <f>SUM(ventas_b_mes684[[#This Row],[IMPORTE NETO]:[EXENTO]])</f>
        <v>17200.004799999999</v>
      </c>
      <c r="M1199" s="59"/>
    </row>
    <row r="1200" spans="2:13">
      <c r="B1200" s="40" t="s">
        <v>2311</v>
      </c>
      <c r="C1200" s="41">
        <v>6</v>
      </c>
      <c r="D1200" s="42">
        <v>11</v>
      </c>
      <c r="E1200" s="43">
        <v>38150</v>
      </c>
      <c r="F1200" s="44">
        <v>25875176</v>
      </c>
      <c r="G1200" s="1" t="str">
        <f>IFERROR(IF(ventas_b_mes684[[#This Row],[CUIT]]="","-",VLOOKUP(ventas_b_mes684[[#This Row],[CUIT]],Lista_CUIT[#All],2,0)),"CUIT NO CARGADO")</f>
        <v>CUIT NO CARGADO</v>
      </c>
      <c r="H1200" s="64">
        <v>19252.07</v>
      </c>
      <c r="I1200" s="64">
        <f>ventas_b_mes684[[#This Row],[IMPORTE NETO]]*0.21</f>
        <v>4042.9346999999998</v>
      </c>
      <c r="J1200" s="64"/>
      <c r="K1200" s="64"/>
      <c r="L1200" s="64">
        <f>SUM(ventas_b_mes684[[#This Row],[IMPORTE NETO]:[EXENTO]])</f>
        <v>23295.004699999998</v>
      </c>
      <c r="M1200" s="59"/>
    </row>
    <row r="1201" spans="2:13">
      <c r="B1201" s="40" t="s">
        <v>2311</v>
      </c>
      <c r="C1201" s="41">
        <v>6</v>
      </c>
      <c r="D1201" s="42">
        <v>12</v>
      </c>
      <c r="E1201" s="43">
        <v>29703</v>
      </c>
      <c r="F1201" s="44">
        <v>22650937</v>
      </c>
      <c r="G1201" s="1" t="str">
        <f>IFERROR(IF(ventas_b_mes684[[#This Row],[CUIT]]="","-",VLOOKUP(ventas_b_mes684[[#This Row],[CUIT]],Lista_CUIT[#All],2,0)),"CUIT NO CARGADO")</f>
        <v>CUIT NO CARGADO</v>
      </c>
      <c r="H1201" s="64">
        <v>2247.9299999999998</v>
      </c>
      <c r="I1201" s="64">
        <f>ventas_b_mes684[[#This Row],[IMPORTE NETO]]*0.21</f>
        <v>472.06529999999992</v>
      </c>
      <c r="J1201" s="64"/>
      <c r="K1201" s="64"/>
      <c r="L1201" s="64">
        <f>SUM(ventas_b_mes684[[#This Row],[IMPORTE NETO]:[EXENTO]])</f>
        <v>2719.9952999999996</v>
      </c>
      <c r="M1201" s="59"/>
    </row>
    <row r="1202" spans="2:13">
      <c r="B1202" s="40" t="s">
        <v>2311</v>
      </c>
      <c r="C1202" s="41">
        <v>6</v>
      </c>
      <c r="D1202" s="42">
        <v>11</v>
      </c>
      <c r="E1202" s="43">
        <v>38155</v>
      </c>
      <c r="F1202" s="44">
        <v>27146248</v>
      </c>
      <c r="G1202" s="1" t="str">
        <f>IFERROR(IF(ventas_b_mes684[[#This Row],[CUIT]]="","-",VLOOKUP(ventas_b_mes684[[#This Row],[CUIT]],Lista_CUIT[#All],2,0)),"CUIT NO CARGADO")</f>
        <v>CUIT NO CARGADO</v>
      </c>
      <c r="H1202" s="64">
        <v>4462.8100000000004</v>
      </c>
      <c r="I1202" s="64">
        <f>ventas_b_mes684[[#This Row],[IMPORTE NETO]]*0.21</f>
        <v>937.19010000000003</v>
      </c>
      <c r="J1202" s="64"/>
      <c r="K1202" s="64"/>
      <c r="L1202" s="64">
        <f>SUM(ventas_b_mes684[[#This Row],[IMPORTE NETO]:[EXENTO]])</f>
        <v>5400.0001000000002</v>
      </c>
      <c r="M1202" s="59"/>
    </row>
    <row r="1203" spans="2:13">
      <c r="B1203" s="40" t="s">
        <v>2311</v>
      </c>
      <c r="C1203" s="41">
        <v>6</v>
      </c>
      <c r="D1203" s="42">
        <v>10</v>
      </c>
      <c r="E1203" s="43">
        <v>54500</v>
      </c>
      <c r="F1203" s="44">
        <v>34286200</v>
      </c>
      <c r="G1203" s="1" t="str">
        <f>IFERROR(IF(ventas_b_mes684[[#This Row],[CUIT]]="","-",VLOOKUP(ventas_b_mes684[[#This Row],[CUIT]],Lista_CUIT[#All],2,0)),"CUIT NO CARGADO")</f>
        <v>CUIT NO CARGADO</v>
      </c>
      <c r="H1203" s="64">
        <v>8107.44</v>
      </c>
      <c r="I1203" s="64">
        <f>ventas_b_mes684[[#This Row],[IMPORTE NETO]]*0.21</f>
        <v>1702.5623999999998</v>
      </c>
      <c r="J1203" s="64"/>
      <c r="K1203" s="64"/>
      <c r="L1203" s="64">
        <f>SUM(ventas_b_mes684[[#This Row],[IMPORTE NETO]:[EXENTO]])</f>
        <v>9810.0023999999994</v>
      </c>
      <c r="M1203" s="59"/>
    </row>
    <row r="1204" spans="2:13">
      <c r="B1204" s="40" t="s">
        <v>2311</v>
      </c>
      <c r="C1204" s="41">
        <v>6</v>
      </c>
      <c r="D1204" s="42">
        <v>10</v>
      </c>
      <c r="E1204" s="43">
        <v>54501</v>
      </c>
      <c r="F1204" s="44">
        <v>40006325</v>
      </c>
      <c r="G1204" s="1" t="str">
        <f>IFERROR(IF(ventas_b_mes684[[#This Row],[CUIT]]="","-",VLOOKUP(ventas_b_mes684[[#This Row],[CUIT]],Lista_CUIT[#All],2,0)),"CUIT NO CARGADO")</f>
        <v>CUIT NO CARGADO</v>
      </c>
      <c r="H1204" s="64">
        <v>20661.16</v>
      </c>
      <c r="I1204" s="64">
        <f>ventas_b_mes684[[#This Row],[IMPORTE NETO]]*0.21</f>
        <v>4338.8436000000002</v>
      </c>
      <c r="J1204" s="64"/>
      <c r="K1204" s="64"/>
      <c r="L1204" s="64">
        <f>SUM(ventas_b_mes684[[#This Row],[IMPORTE NETO]:[EXENTO]])</f>
        <v>25000.0036</v>
      </c>
      <c r="M1204" s="59"/>
    </row>
    <row r="1205" spans="2:13">
      <c r="B1205" s="40" t="s">
        <v>2311</v>
      </c>
      <c r="C1205" s="41">
        <v>6</v>
      </c>
      <c r="D1205" s="42">
        <v>10</v>
      </c>
      <c r="E1205" s="43">
        <v>54503</v>
      </c>
      <c r="F1205" s="44">
        <v>20351412</v>
      </c>
      <c r="G1205" s="1" t="str">
        <f>IFERROR(IF(ventas_b_mes684[[#This Row],[CUIT]]="","-",VLOOKUP(ventas_b_mes684[[#This Row],[CUIT]],Lista_CUIT[#All],2,0)),"CUIT NO CARGADO")</f>
        <v>CUIT NO CARGADO</v>
      </c>
      <c r="H1205" s="64">
        <v>20661.16</v>
      </c>
      <c r="I1205" s="64">
        <f>ventas_b_mes684[[#This Row],[IMPORTE NETO]]*0.21</f>
        <v>4338.8436000000002</v>
      </c>
      <c r="J1205" s="64"/>
      <c r="K1205" s="64"/>
      <c r="L1205" s="64">
        <f>SUM(ventas_b_mes684[[#This Row],[IMPORTE NETO]:[EXENTO]])</f>
        <v>25000.0036</v>
      </c>
      <c r="M1205" s="59"/>
    </row>
    <row r="1206" spans="2:13">
      <c r="B1206" s="40" t="s">
        <v>2311</v>
      </c>
      <c r="C1206" s="41">
        <v>6</v>
      </c>
      <c r="D1206" s="42">
        <v>11</v>
      </c>
      <c r="E1206" s="43">
        <v>38135</v>
      </c>
      <c r="F1206" s="44">
        <v>95573083</v>
      </c>
      <c r="G1206" s="1" t="str">
        <f>IFERROR(IF(ventas_b_mes684[[#This Row],[CUIT]]="","-",VLOOKUP(ventas_b_mes684[[#This Row],[CUIT]],Lista_CUIT[#All],2,0)),"CUIT NO CARGADO")</f>
        <v>CUIT NO CARGADO</v>
      </c>
      <c r="H1206" s="64">
        <v>14008.26</v>
      </c>
      <c r="I1206" s="64">
        <f>ventas_b_mes684[[#This Row],[IMPORTE NETO]]*0.21</f>
        <v>2941.7345999999998</v>
      </c>
      <c r="J1206" s="64"/>
      <c r="K1206" s="64"/>
      <c r="L1206" s="64">
        <f>SUM(ventas_b_mes684[[#This Row],[IMPORTE NETO]:[EXENTO]])</f>
        <v>16949.994599999998</v>
      </c>
      <c r="M1206" s="59"/>
    </row>
    <row r="1207" spans="2:13">
      <c r="B1207" s="40" t="s">
        <v>2311</v>
      </c>
      <c r="C1207" s="41">
        <v>6</v>
      </c>
      <c r="D1207" s="42">
        <v>13</v>
      </c>
      <c r="E1207" s="43">
        <v>32506</v>
      </c>
      <c r="F1207" s="44">
        <v>111</v>
      </c>
      <c r="G1207" s="1" t="str">
        <f>IFERROR(IF(ventas_b_mes684[[#This Row],[CUIT]]="","-",VLOOKUP(ventas_b_mes684[[#This Row],[CUIT]],Lista_CUIT[#All],2,0)),"CUIT NO CARGADO")</f>
        <v>LOPEZ,Sandra</v>
      </c>
      <c r="H1207" s="64">
        <v>12685.95</v>
      </c>
      <c r="I1207" s="64">
        <f>ventas_b_mes684[[#This Row],[IMPORTE NETO]]*0.21</f>
        <v>2664.0495000000001</v>
      </c>
      <c r="J1207" s="64"/>
      <c r="K1207" s="64"/>
      <c r="L1207" s="64">
        <f>SUM(ventas_b_mes684[[#This Row],[IMPORTE NETO]:[EXENTO]])</f>
        <v>15349.999500000002</v>
      </c>
      <c r="M1207" s="59"/>
    </row>
    <row r="1208" spans="2:13">
      <c r="B1208" s="40" t="s">
        <v>2311</v>
      </c>
      <c r="C1208" s="41">
        <v>6</v>
      </c>
      <c r="D1208" s="42">
        <v>12</v>
      </c>
      <c r="E1208" s="43">
        <v>29707</v>
      </c>
      <c r="F1208" s="44">
        <v>16019062</v>
      </c>
      <c r="G1208" s="1" t="str">
        <f>IFERROR(IF(ventas_b_mes684[[#This Row],[CUIT]]="","-",VLOOKUP(ventas_b_mes684[[#This Row],[CUIT]],Lista_CUIT[#All],2,0)),"CUIT NO CARGADO")</f>
        <v>CUIT NO CARGADO</v>
      </c>
      <c r="H1208" s="64">
        <v>4396.6899999999996</v>
      </c>
      <c r="I1208" s="64">
        <f>ventas_b_mes684[[#This Row],[IMPORTE NETO]]*0.21</f>
        <v>923.30489999999986</v>
      </c>
      <c r="J1208" s="64"/>
      <c r="K1208" s="64"/>
      <c r="L1208" s="64">
        <f>SUM(ventas_b_mes684[[#This Row],[IMPORTE NETO]:[EXENTO]])</f>
        <v>5319.9948999999997</v>
      </c>
      <c r="M1208" s="59"/>
    </row>
    <row r="1209" spans="2:13">
      <c r="B1209" s="40" t="s">
        <v>2311</v>
      </c>
      <c r="C1209" s="41">
        <v>6</v>
      </c>
      <c r="D1209" s="42">
        <v>11</v>
      </c>
      <c r="E1209" s="43">
        <v>38147</v>
      </c>
      <c r="F1209" s="44">
        <v>22226793</v>
      </c>
      <c r="G1209" s="1" t="str">
        <f>IFERROR(IF(ventas_b_mes684[[#This Row],[CUIT]]="","-",VLOOKUP(ventas_b_mes684[[#This Row],[CUIT]],Lista_CUIT[#All],2,0)),"CUIT NO CARGADO")</f>
        <v>CUIT NO CARGADO</v>
      </c>
      <c r="H1209" s="64">
        <v>35537.19</v>
      </c>
      <c r="I1209" s="64">
        <f>ventas_b_mes684[[#This Row],[IMPORTE NETO]]*0.21</f>
        <v>7462.8099000000002</v>
      </c>
      <c r="J1209" s="64"/>
      <c r="K1209" s="64"/>
      <c r="L1209" s="64">
        <f>SUM(ventas_b_mes684[[#This Row],[IMPORTE NETO]:[EXENTO]])</f>
        <v>42999.999900000003</v>
      </c>
      <c r="M1209" s="59"/>
    </row>
    <row r="1210" spans="2:13">
      <c r="B1210" s="40" t="s">
        <v>2311</v>
      </c>
      <c r="C1210" s="41">
        <v>6</v>
      </c>
      <c r="D1210" s="42">
        <v>15</v>
      </c>
      <c r="E1210" s="43">
        <v>13311</v>
      </c>
      <c r="F1210" s="44">
        <v>30308030</v>
      </c>
      <c r="G1210" s="1" t="str">
        <f>IFERROR(IF(ventas_b_mes684[[#This Row],[CUIT]]="","-",VLOOKUP(ventas_b_mes684[[#This Row],[CUIT]],Lista_CUIT[#All],2,0)),"CUIT NO CARGADO")</f>
        <v>ARENAS, VERONICA (alumna)</v>
      </c>
      <c r="H1210" s="64">
        <v>20661.16</v>
      </c>
      <c r="I1210" s="64">
        <f>ventas_b_mes684[[#This Row],[IMPORTE NETO]]*0.21</f>
        <v>4338.8436000000002</v>
      </c>
      <c r="J1210" s="64"/>
      <c r="K1210" s="64"/>
      <c r="L1210" s="64">
        <f>SUM(ventas_b_mes684[[#This Row],[IMPORTE NETO]:[EXENTO]])</f>
        <v>25000.0036</v>
      </c>
      <c r="M1210" s="59"/>
    </row>
    <row r="1211" spans="2:13">
      <c r="B1211" s="40" t="s">
        <v>2311</v>
      </c>
      <c r="C1211" s="41">
        <v>6</v>
      </c>
      <c r="D1211" s="42">
        <v>15</v>
      </c>
      <c r="E1211" s="43">
        <v>13315</v>
      </c>
      <c r="F1211" s="44">
        <v>42623294</v>
      </c>
      <c r="G1211" s="1" t="str">
        <f>IFERROR(IF(ventas_b_mes684[[#This Row],[CUIT]]="","-",VLOOKUP(ventas_b_mes684[[#This Row],[CUIT]],Lista_CUIT[#All],2,0)),"CUIT NO CARGADO")</f>
        <v>CUIT NO CARGADO</v>
      </c>
      <c r="H1211" s="64">
        <v>20661.16</v>
      </c>
      <c r="I1211" s="64">
        <f>ventas_b_mes684[[#This Row],[IMPORTE NETO]]*0.21</f>
        <v>4338.8436000000002</v>
      </c>
      <c r="J1211" s="64"/>
      <c r="K1211" s="64"/>
      <c r="L1211" s="64">
        <f>SUM(ventas_b_mes684[[#This Row],[IMPORTE NETO]:[EXENTO]])</f>
        <v>25000.0036</v>
      </c>
      <c r="M1211" s="59"/>
    </row>
    <row r="1212" spans="2:13">
      <c r="B1212" s="40" t="s">
        <v>2311</v>
      </c>
      <c r="C1212" s="41">
        <v>6</v>
      </c>
      <c r="D1212" s="42">
        <v>11</v>
      </c>
      <c r="E1212" s="43">
        <v>38154</v>
      </c>
      <c r="F1212" s="44">
        <v>30716672707</v>
      </c>
      <c r="G1212" s="1" t="str">
        <f>IFERROR(IF(ventas_b_mes684[[#This Row],[CUIT]]="","-",VLOOKUP(ventas_b_mes684[[#This Row],[CUIT]],Lista_CUIT[#All],2,0)),"CUIT NO CARGADO")</f>
        <v>CUIT NO CARGADO</v>
      </c>
      <c r="H1212" s="64">
        <v>24305.79</v>
      </c>
      <c r="I1212" s="64">
        <f>ventas_b_mes684[[#This Row],[IMPORTE NETO]]*0.21</f>
        <v>5104.2159000000001</v>
      </c>
      <c r="J1212" s="64"/>
      <c r="K1212" s="64"/>
      <c r="L1212" s="64">
        <f>SUM(ventas_b_mes684[[#This Row],[IMPORTE NETO]:[EXENTO]])</f>
        <v>29410.0059</v>
      </c>
      <c r="M1212" s="59"/>
    </row>
    <row r="1213" spans="2:13">
      <c r="B1213" s="40" t="s">
        <v>2311</v>
      </c>
      <c r="C1213" s="41">
        <v>6</v>
      </c>
      <c r="D1213" s="42">
        <v>15</v>
      </c>
      <c r="E1213" s="43">
        <v>13286</v>
      </c>
      <c r="F1213" s="44">
        <v>41929172</v>
      </c>
      <c r="G1213" s="1" t="str">
        <f>IFERROR(IF(ventas_b_mes684[[#This Row],[CUIT]]="","-",VLOOKUP(ventas_b_mes684[[#This Row],[CUIT]],Lista_CUIT[#All],2,0)),"CUIT NO CARGADO")</f>
        <v>CUIT NO CARGADO</v>
      </c>
      <c r="H1213" s="64">
        <v>20661.16</v>
      </c>
      <c r="I1213" s="64">
        <f>ventas_b_mes684[[#This Row],[IMPORTE NETO]]*0.21</f>
        <v>4338.8436000000002</v>
      </c>
      <c r="J1213" s="64"/>
      <c r="K1213" s="64"/>
      <c r="L1213" s="64">
        <f>SUM(ventas_b_mes684[[#This Row],[IMPORTE NETO]:[EXENTO]])</f>
        <v>25000.0036</v>
      </c>
      <c r="M1213" s="59"/>
    </row>
    <row r="1214" spans="2:13">
      <c r="B1214" s="40" t="s">
        <v>2311</v>
      </c>
      <c r="C1214" s="41">
        <v>6</v>
      </c>
      <c r="D1214" s="42">
        <v>15</v>
      </c>
      <c r="E1214" s="43">
        <v>13291</v>
      </c>
      <c r="F1214" s="44">
        <v>25361736</v>
      </c>
      <c r="G1214" s="1" t="str">
        <f>IFERROR(IF(ventas_b_mes684[[#This Row],[CUIT]]="","-",VLOOKUP(ventas_b_mes684[[#This Row],[CUIT]],Lista_CUIT[#All],2,0)),"CUIT NO CARGADO")</f>
        <v>CUIT NO CARGADO</v>
      </c>
      <c r="H1214" s="64">
        <v>20661.16</v>
      </c>
      <c r="I1214" s="64">
        <f>ventas_b_mes684[[#This Row],[IMPORTE NETO]]*0.21</f>
        <v>4338.8436000000002</v>
      </c>
      <c r="J1214" s="64"/>
      <c r="K1214" s="64"/>
      <c r="L1214" s="64">
        <f>SUM(ventas_b_mes684[[#This Row],[IMPORTE NETO]:[EXENTO]])</f>
        <v>25000.0036</v>
      </c>
      <c r="M1214" s="59"/>
    </row>
    <row r="1215" spans="2:13">
      <c r="B1215" s="40" t="s">
        <v>2311</v>
      </c>
      <c r="C1215" s="41">
        <v>6</v>
      </c>
      <c r="D1215" s="42">
        <v>15</v>
      </c>
      <c r="E1215" s="43">
        <v>13290</v>
      </c>
      <c r="F1215" s="44">
        <v>45300964</v>
      </c>
      <c r="G1215" s="1" t="str">
        <f>IFERROR(IF(ventas_b_mes684[[#This Row],[CUIT]]="","-",VLOOKUP(ventas_b_mes684[[#This Row],[CUIT]],Lista_CUIT[#All],2,0)),"CUIT NO CARGADO")</f>
        <v>CUIT NO CARGADO</v>
      </c>
      <c r="H1215" s="64">
        <v>20661.16</v>
      </c>
      <c r="I1215" s="64">
        <f>ventas_b_mes684[[#This Row],[IMPORTE NETO]]*0.21</f>
        <v>4338.8436000000002</v>
      </c>
      <c r="J1215" s="64"/>
      <c r="K1215" s="64"/>
      <c r="L1215" s="64">
        <f>SUM(ventas_b_mes684[[#This Row],[IMPORTE NETO]:[EXENTO]])</f>
        <v>25000.0036</v>
      </c>
      <c r="M1215" s="59"/>
    </row>
    <row r="1216" spans="2:13">
      <c r="B1216" s="40" t="s">
        <v>2311</v>
      </c>
      <c r="C1216" s="41">
        <v>6</v>
      </c>
      <c r="D1216" s="42">
        <v>13</v>
      </c>
      <c r="E1216" s="43">
        <v>32501</v>
      </c>
      <c r="F1216" s="44">
        <v>958336751</v>
      </c>
      <c r="G1216" s="1" t="str">
        <f>IFERROR(IF(ventas_b_mes684[[#This Row],[CUIT]]="","-",VLOOKUP(ventas_b_mes684[[#This Row],[CUIT]],Lista_CUIT[#All],2,0)),"CUIT NO CARGADO")</f>
        <v>CUIT NO CARGADO</v>
      </c>
      <c r="H1216" s="64">
        <v>6446.28</v>
      </c>
      <c r="I1216" s="64">
        <f>ventas_b_mes684[[#This Row],[IMPORTE NETO]]*0.21</f>
        <v>1353.7187999999999</v>
      </c>
      <c r="J1216" s="64"/>
      <c r="K1216" s="64"/>
      <c r="L1216" s="64">
        <f>SUM(ventas_b_mes684[[#This Row],[IMPORTE NETO]:[EXENTO]])</f>
        <v>7799.9987999999994</v>
      </c>
      <c r="M1216" s="59"/>
    </row>
    <row r="1217" spans="2:13">
      <c r="B1217" s="40" t="s">
        <v>2311</v>
      </c>
      <c r="C1217" s="41">
        <v>6</v>
      </c>
      <c r="D1217" s="42">
        <v>10</v>
      </c>
      <c r="E1217" s="43">
        <v>54487</v>
      </c>
      <c r="F1217" s="44">
        <v>24566315</v>
      </c>
      <c r="G1217" s="1" t="str">
        <f>IFERROR(IF(ventas_b_mes684[[#This Row],[CUIT]]="","-",VLOOKUP(ventas_b_mes684[[#This Row],[CUIT]],Lista_CUIT[#All],2,0)),"CUIT NO CARGADO")</f>
        <v>CUIT NO CARGADO</v>
      </c>
      <c r="H1217" s="64">
        <v>19421.490000000002</v>
      </c>
      <c r="I1217" s="64">
        <f>ventas_b_mes684[[#This Row],[IMPORTE NETO]]*0.21</f>
        <v>4078.5129000000002</v>
      </c>
      <c r="J1217" s="64"/>
      <c r="K1217" s="64"/>
      <c r="L1217" s="64">
        <f>SUM(ventas_b_mes684[[#This Row],[IMPORTE NETO]:[EXENTO]])</f>
        <v>23500.002900000003</v>
      </c>
      <c r="M1217" s="59"/>
    </row>
    <row r="1218" spans="2:13">
      <c r="B1218" s="40" t="s">
        <v>2311</v>
      </c>
      <c r="C1218" s="41">
        <v>6</v>
      </c>
      <c r="D1218" s="42">
        <v>12</v>
      </c>
      <c r="E1218" s="43">
        <v>29696</v>
      </c>
      <c r="F1218" s="44">
        <v>6512814</v>
      </c>
      <c r="G1218" s="1" t="str">
        <f>IFERROR(IF(ventas_b_mes684[[#This Row],[CUIT]]="","-",VLOOKUP(ventas_b_mes684[[#This Row],[CUIT]],Lista_CUIT[#All],2,0)),"CUIT NO CARGADO")</f>
        <v>CUIT NO CARGADO</v>
      </c>
      <c r="H1218" s="64">
        <v>11239.67</v>
      </c>
      <c r="I1218" s="64">
        <f>ventas_b_mes684[[#This Row],[IMPORTE NETO]]*0.21</f>
        <v>2360.3307</v>
      </c>
      <c r="J1218" s="64"/>
      <c r="K1218" s="64"/>
      <c r="L1218" s="64">
        <f>SUM(ventas_b_mes684[[#This Row],[IMPORTE NETO]:[EXENTO]])</f>
        <v>13600.000700000001</v>
      </c>
      <c r="M1218" s="59"/>
    </row>
    <row r="1219" spans="2:13">
      <c r="B1219" s="40" t="s">
        <v>2311</v>
      </c>
      <c r="C1219" s="41">
        <v>6</v>
      </c>
      <c r="D1219" s="42">
        <v>11</v>
      </c>
      <c r="E1219" s="43">
        <v>38137</v>
      </c>
      <c r="F1219" s="44">
        <v>95796989</v>
      </c>
      <c r="G1219" s="1" t="str">
        <f>IFERROR(IF(ventas_b_mes684[[#This Row],[CUIT]]="","-",VLOOKUP(ventas_b_mes684[[#This Row],[CUIT]],Lista_CUIT[#All],2,0)),"CUIT NO CARGADO")</f>
        <v>CUIT NO CARGADO</v>
      </c>
      <c r="H1219" s="64">
        <v>118181.82</v>
      </c>
      <c r="I1219" s="64">
        <f>ventas_b_mes684[[#This Row],[IMPORTE NETO]]*0.21</f>
        <v>24818.182199999999</v>
      </c>
      <c r="J1219" s="64"/>
      <c r="K1219" s="64"/>
      <c r="L1219" s="64">
        <f>SUM(ventas_b_mes684[[#This Row],[IMPORTE NETO]:[EXENTO]])</f>
        <v>143000.00220000002</v>
      </c>
      <c r="M1219" s="59"/>
    </row>
    <row r="1220" spans="2:13">
      <c r="B1220" s="40" t="s">
        <v>2311</v>
      </c>
      <c r="C1220" s="41">
        <v>6</v>
      </c>
      <c r="D1220" s="42">
        <v>11</v>
      </c>
      <c r="E1220" s="43">
        <v>38152</v>
      </c>
      <c r="F1220" s="44">
        <v>25174784</v>
      </c>
      <c r="G1220" s="1" t="str">
        <f>IFERROR(IF(ventas_b_mes684[[#This Row],[CUIT]]="","-",VLOOKUP(ventas_b_mes684[[#This Row],[CUIT]],Lista_CUIT[#All],2,0)),"CUIT NO CARGADO")</f>
        <v>CUIT NO CARGADO</v>
      </c>
      <c r="H1220" s="64">
        <v>96487.6</v>
      </c>
      <c r="I1220" s="64">
        <f>ventas_b_mes684[[#This Row],[IMPORTE NETO]]*0.21</f>
        <v>20262.396000000001</v>
      </c>
      <c r="J1220" s="64"/>
      <c r="K1220" s="64"/>
      <c r="L1220" s="64">
        <f>SUM(ventas_b_mes684[[#This Row],[IMPORTE NETO]:[EXENTO]])</f>
        <v>116749.99600000001</v>
      </c>
      <c r="M1220" s="59"/>
    </row>
    <row r="1221" spans="2:13">
      <c r="B1221" s="40" t="s">
        <v>2311</v>
      </c>
      <c r="C1221" s="41">
        <v>6</v>
      </c>
      <c r="D1221" s="42">
        <v>11</v>
      </c>
      <c r="E1221" s="43">
        <v>38144</v>
      </c>
      <c r="F1221" s="44">
        <v>40007534</v>
      </c>
      <c r="G1221" s="1" t="str">
        <f>IFERROR(IF(ventas_b_mes684[[#This Row],[CUIT]]="","-",VLOOKUP(ventas_b_mes684[[#This Row],[CUIT]],Lista_CUIT[#All],2,0)),"CUIT NO CARGADO")</f>
        <v>CUIT NO CARGADO</v>
      </c>
      <c r="H1221" s="64">
        <v>20661.16</v>
      </c>
      <c r="I1221" s="64">
        <f>ventas_b_mes684[[#This Row],[IMPORTE NETO]]*0.21</f>
        <v>4338.8436000000002</v>
      </c>
      <c r="J1221" s="64"/>
      <c r="K1221" s="64"/>
      <c r="L1221" s="64">
        <f>SUM(ventas_b_mes684[[#This Row],[IMPORTE NETO]:[EXENTO]])</f>
        <v>25000.0036</v>
      </c>
      <c r="M1221" s="59"/>
    </row>
    <row r="1222" spans="2:13">
      <c r="B1222" s="40" t="s">
        <v>2311</v>
      </c>
      <c r="C1222" s="41">
        <v>6</v>
      </c>
      <c r="D1222" s="42">
        <v>13</v>
      </c>
      <c r="E1222" s="43">
        <v>32496</v>
      </c>
      <c r="F1222" s="44">
        <v>18442283</v>
      </c>
      <c r="G1222" s="1" t="str">
        <f>IFERROR(IF(ventas_b_mes684[[#This Row],[CUIT]]="","-",VLOOKUP(ventas_b_mes684[[#This Row],[CUIT]],Lista_CUIT[#All],2,0)),"CUIT NO CARGADO")</f>
        <v>PONCE LETICIA EDITH</v>
      </c>
      <c r="H1222" s="64">
        <v>38933.879999999997</v>
      </c>
      <c r="I1222" s="64">
        <f>ventas_b_mes684[[#This Row],[IMPORTE NETO]]*0.21</f>
        <v>8176.1147999999994</v>
      </c>
      <c r="J1222" s="64"/>
      <c r="K1222" s="64"/>
      <c r="L1222" s="64">
        <f>SUM(ventas_b_mes684[[#This Row],[IMPORTE NETO]:[EXENTO]])</f>
        <v>47109.9948</v>
      </c>
      <c r="M1222" s="59"/>
    </row>
    <row r="1223" spans="2:13">
      <c r="B1223" s="40" t="s">
        <v>2311</v>
      </c>
      <c r="C1223" s="41">
        <v>6</v>
      </c>
      <c r="D1223" s="42">
        <v>11</v>
      </c>
      <c r="E1223" s="43">
        <v>38153</v>
      </c>
      <c r="F1223" s="44">
        <v>30716672707</v>
      </c>
      <c r="G1223" s="1" t="str">
        <f>IFERROR(IF(ventas_b_mes684[[#This Row],[CUIT]]="","-",VLOOKUP(ventas_b_mes684[[#This Row],[CUIT]],Lista_CUIT[#All],2,0)),"CUIT NO CARGADO")</f>
        <v>CUIT NO CARGADO</v>
      </c>
      <c r="H1223" s="64">
        <v>20933.88</v>
      </c>
      <c r="I1223" s="64">
        <f>ventas_b_mes684[[#This Row],[IMPORTE NETO]]*0.21</f>
        <v>4396.1148000000003</v>
      </c>
      <c r="J1223" s="64"/>
      <c r="K1223" s="64"/>
      <c r="L1223" s="64">
        <f>SUM(ventas_b_mes684[[#This Row],[IMPORTE NETO]:[EXENTO]])</f>
        <v>25329.9948</v>
      </c>
      <c r="M1223" s="59"/>
    </row>
    <row r="1224" spans="2:13">
      <c r="B1224" s="40" t="s">
        <v>2311</v>
      </c>
      <c r="C1224" s="41">
        <v>6</v>
      </c>
      <c r="D1224" s="42">
        <v>15</v>
      </c>
      <c r="E1224" s="43">
        <v>13292</v>
      </c>
      <c r="F1224" s="44">
        <v>13064512</v>
      </c>
      <c r="G1224" s="1" t="str">
        <f>IFERROR(IF(ventas_b_mes684[[#This Row],[CUIT]]="","-",VLOOKUP(ventas_b_mes684[[#This Row],[CUIT]],Lista_CUIT[#All],2,0)),"CUIT NO CARGADO")</f>
        <v>CUIT NO CARGADO</v>
      </c>
      <c r="H1224" s="64">
        <v>16206.61</v>
      </c>
      <c r="I1224" s="64">
        <f>ventas_b_mes684[[#This Row],[IMPORTE NETO]]*0.21</f>
        <v>3403.3881000000001</v>
      </c>
      <c r="J1224" s="64"/>
      <c r="K1224" s="64"/>
      <c r="L1224" s="64">
        <f>SUM(ventas_b_mes684[[#This Row],[IMPORTE NETO]:[EXENTO]])</f>
        <v>19609.998100000001</v>
      </c>
      <c r="M1224" s="59"/>
    </row>
    <row r="1225" spans="2:13">
      <c r="B1225" s="40" t="s">
        <v>2311</v>
      </c>
      <c r="C1225" s="41">
        <v>6</v>
      </c>
      <c r="D1225" s="42">
        <v>10</v>
      </c>
      <c r="E1225" s="43">
        <v>54491</v>
      </c>
      <c r="F1225" s="44">
        <v>27280955391</v>
      </c>
      <c r="G1225" s="1" t="str">
        <f>IFERROR(IF(ventas_b_mes684[[#This Row],[CUIT]]="","-",VLOOKUP(ventas_b_mes684[[#This Row],[CUIT]],Lista_CUIT[#All],2,0)),"CUIT NO CARGADO")</f>
        <v>CUIT NO CARGADO</v>
      </c>
      <c r="H1225" s="64">
        <v>222785.1</v>
      </c>
      <c r="I1225" s="64">
        <f>ventas_b_mes684[[#This Row],[IMPORTE NETO]]*0.21</f>
        <v>46784.870999999999</v>
      </c>
      <c r="J1225" s="64"/>
      <c r="K1225" s="64"/>
      <c r="L1225" s="64">
        <f>SUM(ventas_b_mes684[[#This Row],[IMPORTE NETO]:[EXENTO]])</f>
        <v>269569.97100000002</v>
      </c>
      <c r="M1225" s="59"/>
    </row>
    <row r="1226" spans="2:13">
      <c r="B1226" s="40" t="s">
        <v>2311</v>
      </c>
      <c r="C1226" s="41">
        <v>6</v>
      </c>
      <c r="D1226" s="42">
        <v>10</v>
      </c>
      <c r="E1226" s="43">
        <v>54492</v>
      </c>
      <c r="F1226" s="44">
        <v>27280955391</v>
      </c>
      <c r="G1226" s="1" t="str">
        <f>IFERROR(IF(ventas_b_mes684[[#This Row],[CUIT]]="","-",VLOOKUP(ventas_b_mes684[[#This Row],[CUIT]],Lista_CUIT[#All],2,0)),"CUIT NO CARGADO")</f>
        <v>CUIT NO CARGADO</v>
      </c>
      <c r="H1226" s="64">
        <v>54900.800000000003</v>
      </c>
      <c r="I1226" s="64">
        <f>ventas_b_mes684[[#This Row],[IMPORTE NETO]]*0.21</f>
        <v>11529.168</v>
      </c>
      <c r="J1226" s="64"/>
      <c r="K1226" s="64"/>
      <c r="L1226" s="64">
        <f>SUM(ventas_b_mes684[[#This Row],[IMPORTE NETO]:[EXENTO]])</f>
        <v>66429.968000000008</v>
      </c>
      <c r="M1226" s="59"/>
    </row>
    <row r="1227" spans="2:13">
      <c r="B1227" s="40" t="s">
        <v>2311</v>
      </c>
      <c r="C1227" s="41">
        <v>6</v>
      </c>
      <c r="D1227" s="42">
        <v>12</v>
      </c>
      <c r="E1227" s="43">
        <v>29711</v>
      </c>
      <c r="F1227" s="44">
        <v>33298973</v>
      </c>
      <c r="G1227" s="1" t="str">
        <f>IFERROR(IF(ventas_b_mes684[[#This Row],[CUIT]]="","-",VLOOKUP(ventas_b_mes684[[#This Row],[CUIT]],Lista_CUIT[#All],2,0)),"CUIT NO CARGADO")</f>
        <v>CUIT NO CARGADO</v>
      </c>
      <c r="H1227" s="64">
        <v>3495.87</v>
      </c>
      <c r="I1227" s="64">
        <f>ventas_b_mes684[[#This Row],[IMPORTE NETO]]*0.21</f>
        <v>734.1327</v>
      </c>
      <c r="J1227" s="64"/>
      <c r="K1227" s="64"/>
      <c r="L1227" s="64">
        <f>SUM(ventas_b_mes684[[#This Row],[IMPORTE NETO]:[EXENTO]])</f>
        <v>4230.0027</v>
      </c>
      <c r="M1227" s="59"/>
    </row>
    <row r="1228" spans="2:13">
      <c r="B1228" s="40" t="s">
        <v>2311</v>
      </c>
      <c r="C1228" s="41">
        <v>6</v>
      </c>
      <c r="D1228" s="42">
        <v>11</v>
      </c>
      <c r="E1228" s="43">
        <v>38151</v>
      </c>
      <c r="F1228" s="44">
        <v>20802193</v>
      </c>
      <c r="G1228" s="1" t="str">
        <f>IFERROR(IF(ventas_b_mes684[[#This Row],[CUIT]]="","-",VLOOKUP(ventas_b_mes684[[#This Row],[CUIT]],Lista_CUIT[#All],2,0)),"CUIT NO CARGADO")</f>
        <v>CUIT NO CARGADO</v>
      </c>
      <c r="H1228" s="64">
        <v>42685.95</v>
      </c>
      <c r="I1228" s="64">
        <f>ventas_b_mes684[[#This Row],[IMPORTE NETO]]*0.21</f>
        <v>8964.0494999999992</v>
      </c>
      <c r="J1228" s="64"/>
      <c r="K1228" s="64"/>
      <c r="L1228" s="64">
        <f>SUM(ventas_b_mes684[[#This Row],[IMPORTE NETO]:[EXENTO]])</f>
        <v>51649.999499999998</v>
      </c>
      <c r="M1228" s="59"/>
    </row>
    <row r="1229" spans="2:13">
      <c r="B1229" s="40" t="s">
        <v>2311</v>
      </c>
      <c r="C1229" s="41">
        <v>6</v>
      </c>
      <c r="D1229" s="42">
        <v>10</v>
      </c>
      <c r="E1229" s="43">
        <v>54493</v>
      </c>
      <c r="F1229" s="44">
        <v>27280955391</v>
      </c>
      <c r="G1229" s="1" t="str">
        <f>IFERROR(IF(ventas_b_mes684[[#This Row],[CUIT]]="","-",VLOOKUP(ventas_b_mes684[[#This Row],[CUIT]],Lista_CUIT[#All],2,0)),"CUIT NO CARGADO")</f>
        <v>CUIT NO CARGADO</v>
      </c>
      <c r="H1229" s="64">
        <v>24084.28</v>
      </c>
      <c r="I1229" s="64">
        <f>ventas_b_mes684[[#This Row],[IMPORTE NETO]]*0.21</f>
        <v>5057.6987999999992</v>
      </c>
      <c r="J1229" s="64"/>
      <c r="K1229" s="64"/>
      <c r="L1229" s="64">
        <f>SUM(ventas_b_mes684[[#This Row],[IMPORTE NETO]:[EXENTO]])</f>
        <v>29141.978799999997</v>
      </c>
      <c r="M1229" s="59"/>
    </row>
    <row r="1230" spans="2:13">
      <c r="B1230" s="40" t="s">
        <v>2311</v>
      </c>
      <c r="C1230" s="41">
        <v>6</v>
      </c>
      <c r="D1230" s="42">
        <v>13</v>
      </c>
      <c r="E1230" s="43">
        <v>32503</v>
      </c>
      <c r="F1230" s="44">
        <v>28972022</v>
      </c>
      <c r="G1230" s="1" t="str">
        <f>IFERROR(IF(ventas_b_mes684[[#This Row],[CUIT]]="","-",VLOOKUP(ventas_b_mes684[[#This Row],[CUIT]],Lista_CUIT[#All],2,0)),"CUIT NO CARGADO")</f>
        <v>CUIT NO CARGADO</v>
      </c>
      <c r="H1230" s="64">
        <v>35520.660000000003</v>
      </c>
      <c r="I1230" s="64">
        <f>ventas_b_mes684[[#This Row],[IMPORTE NETO]]*0.21</f>
        <v>7459.3386</v>
      </c>
      <c r="J1230" s="64"/>
      <c r="K1230" s="64"/>
      <c r="L1230" s="64">
        <f>SUM(ventas_b_mes684[[#This Row],[IMPORTE NETO]:[EXENTO]])</f>
        <v>42979.998600000006</v>
      </c>
      <c r="M1230" s="59"/>
    </row>
    <row r="1231" spans="2:13">
      <c r="B1231" s="40" t="s">
        <v>2311</v>
      </c>
      <c r="C1231" s="41">
        <v>6</v>
      </c>
      <c r="D1231" s="42">
        <v>15</v>
      </c>
      <c r="E1231" s="43">
        <v>13316</v>
      </c>
      <c r="F1231" s="44">
        <v>25178917</v>
      </c>
      <c r="G1231" s="1" t="str">
        <f>IFERROR(IF(ventas_b_mes684[[#This Row],[CUIT]]="","-",VLOOKUP(ventas_b_mes684[[#This Row],[CUIT]],Lista_CUIT[#All],2,0)),"CUIT NO CARGADO")</f>
        <v>CUIT NO CARGADO</v>
      </c>
      <c r="H1231" s="64">
        <v>8264.4599999999991</v>
      </c>
      <c r="I1231" s="64">
        <f>ventas_b_mes684[[#This Row],[IMPORTE NETO]]*0.21</f>
        <v>1735.5365999999997</v>
      </c>
      <c r="J1231" s="64"/>
      <c r="K1231" s="64"/>
      <c r="L1231" s="64">
        <f>SUM(ventas_b_mes684[[#This Row],[IMPORTE NETO]:[EXENTO]])</f>
        <v>9999.9965999999986</v>
      </c>
      <c r="M1231" s="59"/>
    </row>
    <row r="1232" spans="2:13">
      <c r="B1232" s="40" t="s">
        <v>2311</v>
      </c>
      <c r="C1232" s="41">
        <v>6</v>
      </c>
      <c r="D1232" s="42">
        <v>15</v>
      </c>
      <c r="E1232" s="43">
        <v>13289</v>
      </c>
      <c r="F1232" s="44">
        <v>35136813</v>
      </c>
      <c r="G1232" s="1" t="str">
        <f>IFERROR(IF(ventas_b_mes684[[#This Row],[CUIT]]="","-",VLOOKUP(ventas_b_mes684[[#This Row],[CUIT]],Lista_CUIT[#All],2,0)),"CUIT NO CARGADO")</f>
        <v>CUIT NO CARGADO</v>
      </c>
      <c r="H1232" s="64">
        <v>20661.16</v>
      </c>
      <c r="I1232" s="64">
        <f>ventas_b_mes684[[#This Row],[IMPORTE NETO]]*0.21</f>
        <v>4338.8436000000002</v>
      </c>
      <c r="J1232" s="64"/>
      <c r="K1232" s="64"/>
      <c r="L1232" s="64">
        <f>SUM(ventas_b_mes684[[#This Row],[IMPORTE NETO]:[EXENTO]])</f>
        <v>25000.0036</v>
      </c>
      <c r="M1232" s="59"/>
    </row>
    <row r="1233" spans="2:13">
      <c r="B1233" s="40" t="s">
        <v>2311</v>
      </c>
      <c r="C1233" s="41">
        <v>6</v>
      </c>
      <c r="D1233" s="42">
        <v>10</v>
      </c>
      <c r="E1233" s="43">
        <v>54482</v>
      </c>
      <c r="F1233" s="44">
        <v>23842399</v>
      </c>
      <c r="G1233" s="1" t="str">
        <f>IFERROR(IF(ventas_b_mes684[[#This Row],[CUIT]]="","-",VLOOKUP(ventas_b_mes684[[#This Row],[CUIT]],Lista_CUIT[#All],2,0)),"CUIT NO CARGADO")</f>
        <v>CUIT NO CARGADO</v>
      </c>
      <c r="H1233" s="64">
        <v>20661.16</v>
      </c>
      <c r="I1233" s="64">
        <f>ventas_b_mes684[[#This Row],[IMPORTE NETO]]*0.21</f>
        <v>4338.8436000000002</v>
      </c>
      <c r="J1233" s="64"/>
      <c r="K1233" s="64"/>
      <c r="L1233" s="64">
        <f>SUM(ventas_b_mes684[[#This Row],[IMPORTE NETO]:[EXENTO]])</f>
        <v>25000.0036</v>
      </c>
      <c r="M1233" s="59"/>
    </row>
    <row r="1234" spans="2:13">
      <c r="B1234" s="40" t="s">
        <v>2311</v>
      </c>
      <c r="C1234" s="41">
        <v>6</v>
      </c>
      <c r="D1234" s="42">
        <v>15</v>
      </c>
      <c r="E1234" s="43">
        <v>13296</v>
      </c>
      <c r="F1234" s="44">
        <v>47561521</v>
      </c>
      <c r="G1234" s="1" t="str">
        <f>IFERROR(IF(ventas_b_mes684[[#This Row],[CUIT]]="","-",VLOOKUP(ventas_b_mes684[[#This Row],[CUIT]],Lista_CUIT[#All],2,0)),"CUIT NO CARGADO")</f>
        <v>CUIT NO CARGADO</v>
      </c>
      <c r="H1234" s="64">
        <v>20661.16</v>
      </c>
      <c r="I1234" s="64">
        <f>ventas_b_mes684[[#This Row],[IMPORTE NETO]]*0.21</f>
        <v>4338.8436000000002</v>
      </c>
      <c r="J1234" s="64"/>
      <c r="K1234" s="64"/>
      <c r="L1234" s="64">
        <f>SUM(ventas_b_mes684[[#This Row],[IMPORTE NETO]:[EXENTO]])</f>
        <v>25000.0036</v>
      </c>
      <c r="M1234" s="59"/>
    </row>
    <row r="1235" spans="2:13">
      <c r="B1235" s="40" t="s">
        <v>2311</v>
      </c>
      <c r="C1235" s="41">
        <v>6</v>
      </c>
      <c r="D1235" s="42">
        <v>15</v>
      </c>
      <c r="E1235" s="43">
        <v>13303</v>
      </c>
      <c r="F1235" s="44">
        <v>29435968</v>
      </c>
      <c r="G1235" s="1" t="str">
        <f>IFERROR(IF(ventas_b_mes684[[#This Row],[CUIT]]="","-",VLOOKUP(ventas_b_mes684[[#This Row],[CUIT]],Lista_CUIT[#All],2,0)),"CUIT NO CARGADO")</f>
        <v>CUIT NO CARGADO</v>
      </c>
      <c r="H1235" s="64">
        <v>20661.16</v>
      </c>
      <c r="I1235" s="64">
        <f>ventas_b_mes684[[#This Row],[IMPORTE NETO]]*0.21</f>
        <v>4338.8436000000002</v>
      </c>
      <c r="J1235" s="64"/>
      <c r="K1235" s="64"/>
      <c r="L1235" s="64">
        <f>SUM(ventas_b_mes684[[#This Row],[IMPORTE NETO]:[EXENTO]])</f>
        <v>25000.0036</v>
      </c>
      <c r="M1235" s="59"/>
    </row>
    <row r="1236" spans="2:13">
      <c r="B1236" s="40" t="s">
        <v>2311</v>
      </c>
      <c r="C1236" s="41">
        <v>6</v>
      </c>
      <c r="D1236" s="42">
        <v>11</v>
      </c>
      <c r="E1236" s="43">
        <v>38143</v>
      </c>
      <c r="F1236" s="44">
        <v>40007534</v>
      </c>
      <c r="G1236" s="1" t="str">
        <f>IFERROR(IF(ventas_b_mes684[[#This Row],[CUIT]]="","-",VLOOKUP(ventas_b_mes684[[#This Row],[CUIT]],Lista_CUIT[#All],2,0)),"CUIT NO CARGADO")</f>
        <v>CUIT NO CARGADO</v>
      </c>
      <c r="H1236" s="64">
        <v>24338.84</v>
      </c>
      <c r="I1236" s="64">
        <f>ventas_b_mes684[[#This Row],[IMPORTE NETO]]*0.21</f>
        <v>5111.1563999999998</v>
      </c>
      <c r="J1236" s="64"/>
      <c r="K1236" s="64"/>
      <c r="L1236" s="64">
        <f>SUM(ventas_b_mes684[[#This Row],[IMPORTE NETO]:[EXENTO]])</f>
        <v>29449.9964</v>
      </c>
      <c r="M1236" s="59"/>
    </row>
    <row r="1237" spans="2:13">
      <c r="B1237" s="40" t="s">
        <v>2311</v>
      </c>
      <c r="C1237" s="41">
        <v>6</v>
      </c>
      <c r="D1237" s="42">
        <v>10</v>
      </c>
      <c r="E1237" s="43">
        <v>54496</v>
      </c>
      <c r="F1237" s="44">
        <v>14922040</v>
      </c>
      <c r="G1237" s="1" t="str">
        <f>IFERROR(IF(ventas_b_mes684[[#This Row],[CUIT]]="","-",VLOOKUP(ventas_b_mes684[[#This Row],[CUIT]],Lista_CUIT[#All],2,0)),"CUIT NO CARGADO")</f>
        <v>CUIT NO CARGADO</v>
      </c>
      <c r="H1237" s="64">
        <v>74834.710000000006</v>
      </c>
      <c r="I1237" s="64">
        <f>ventas_b_mes684[[#This Row],[IMPORTE NETO]]*0.21</f>
        <v>15715.2891</v>
      </c>
      <c r="J1237" s="64"/>
      <c r="K1237" s="64"/>
      <c r="L1237" s="64">
        <f>SUM(ventas_b_mes684[[#This Row],[IMPORTE NETO]:[EXENTO]])</f>
        <v>90549.999100000001</v>
      </c>
      <c r="M1237" s="59"/>
    </row>
    <row r="1238" spans="2:13">
      <c r="B1238" s="40" t="s">
        <v>2311</v>
      </c>
      <c r="C1238" s="41">
        <v>6</v>
      </c>
      <c r="D1238" s="42">
        <v>12</v>
      </c>
      <c r="E1238" s="43">
        <v>29709</v>
      </c>
      <c r="F1238" s="44">
        <v>28983094</v>
      </c>
      <c r="G1238" s="1" t="str">
        <f>IFERROR(IF(ventas_b_mes684[[#This Row],[CUIT]]="","-",VLOOKUP(ventas_b_mes684[[#This Row],[CUIT]],Lista_CUIT[#All],2,0)),"CUIT NO CARGADO")</f>
        <v>CUIT NO CARGADO</v>
      </c>
      <c r="H1238" s="64">
        <v>35619.83</v>
      </c>
      <c r="I1238" s="64">
        <f>ventas_b_mes684[[#This Row],[IMPORTE NETO]]*0.21</f>
        <v>7480.1643000000004</v>
      </c>
      <c r="J1238" s="64"/>
      <c r="K1238" s="64"/>
      <c r="L1238" s="64">
        <f>SUM(ventas_b_mes684[[#This Row],[IMPORTE NETO]:[EXENTO]])</f>
        <v>43099.994300000006</v>
      </c>
      <c r="M1238" s="59"/>
    </row>
    <row r="1239" spans="2:13">
      <c r="B1239" s="40" t="s">
        <v>2311</v>
      </c>
      <c r="C1239" s="41">
        <v>6</v>
      </c>
      <c r="D1239" s="42">
        <v>15</v>
      </c>
      <c r="E1239" s="43">
        <v>13301</v>
      </c>
      <c r="F1239" s="44">
        <v>6202536</v>
      </c>
      <c r="G1239" s="1" t="str">
        <f>IFERROR(IF(ventas_b_mes684[[#This Row],[CUIT]]="","-",VLOOKUP(ventas_b_mes684[[#This Row],[CUIT]],Lista_CUIT[#All],2,0)),"CUIT NO CARGADO")</f>
        <v>CUIT NO CARGADO</v>
      </c>
      <c r="H1239" s="64">
        <v>24768.6</v>
      </c>
      <c r="I1239" s="64">
        <f>ventas_b_mes684[[#This Row],[IMPORTE NETO]]*0.21</f>
        <v>5201.4059999999999</v>
      </c>
      <c r="J1239" s="64"/>
      <c r="K1239" s="64"/>
      <c r="L1239" s="64">
        <f>SUM(ventas_b_mes684[[#This Row],[IMPORTE NETO]:[EXENTO]])</f>
        <v>29970.005999999998</v>
      </c>
      <c r="M1239" s="59"/>
    </row>
    <row r="1240" spans="2:13">
      <c r="B1240" s="40" t="s">
        <v>2311</v>
      </c>
      <c r="C1240" s="41">
        <v>6</v>
      </c>
      <c r="D1240" s="42">
        <v>15</v>
      </c>
      <c r="E1240" s="43">
        <v>13317</v>
      </c>
      <c r="F1240" s="44">
        <v>36373768</v>
      </c>
      <c r="G1240" s="1" t="str">
        <f>IFERROR(IF(ventas_b_mes684[[#This Row],[CUIT]]="","-",VLOOKUP(ventas_b_mes684[[#This Row],[CUIT]],Lista_CUIT[#All],2,0)),"CUIT NO CARGADO")</f>
        <v>CUIT NO CARGADO</v>
      </c>
      <c r="H1240" s="64">
        <v>20661.16</v>
      </c>
      <c r="I1240" s="64">
        <f>ventas_b_mes684[[#This Row],[IMPORTE NETO]]*0.21</f>
        <v>4338.8436000000002</v>
      </c>
      <c r="J1240" s="64"/>
      <c r="K1240" s="64"/>
      <c r="L1240" s="64">
        <f>SUM(ventas_b_mes684[[#This Row],[IMPORTE NETO]:[EXENTO]])</f>
        <v>25000.0036</v>
      </c>
      <c r="M1240" s="59"/>
    </row>
    <row r="1241" spans="2:13">
      <c r="B1241" s="40" t="s">
        <v>2311</v>
      </c>
      <c r="C1241" s="41">
        <v>6</v>
      </c>
      <c r="D1241" s="42">
        <v>10</v>
      </c>
      <c r="E1241" s="43">
        <v>54483</v>
      </c>
      <c r="F1241" s="44">
        <v>22365569</v>
      </c>
      <c r="G1241" s="1" t="str">
        <f>IFERROR(IF(ventas_b_mes684[[#This Row],[CUIT]]="","-",VLOOKUP(ventas_b_mes684[[#This Row],[CUIT]],Lista_CUIT[#All],2,0)),"CUIT NO CARGADO")</f>
        <v>CUIT NO CARGADO</v>
      </c>
      <c r="H1241" s="64">
        <v>20661.16</v>
      </c>
      <c r="I1241" s="64">
        <f>ventas_b_mes684[[#This Row],[IMPORTE NETO]]*0.21</f>
        <v>4338.8436000000002</v>
      </c>
      <c r="J1241" s="64"/>
      <c r="K1241" s="64"/>
      <c r="L1241" s="64">
        <f>SUM(ventas_b_mes684[[#This Row],[IMPORTE NETO]:[EXENTO]])</f>
        <v>25000.0036</v>
      </c>
      <c r="M1241" s="59"/>
    </row>
    <row r="1242" spans="2:13">
      <c r="B1242" s="40" t="s">
        <v>2311</v>
      </c>
      <c r="C1242" s="41">
        <v>6</v>
      </c>
      <c r="D1242" s="42">
        <v>11</v>
      </c>
      <c r="E1242" s="43">
        <v>38138</v>
      </c>
      <c r="F1242" s="44">
        <v>18078618</v>
      </c>
      <c r="G1242" s="1" t="str">
        <f>IFERROR(IF(ventas_b_mes684[[#This Row],[CUIT]]="","-",VLOOKUP(ventas_b_mes684[[#This Row],[CUIT]],Lista_CUIT[#All],2,0)),"CUIT NO CARGADO")</f>
        <v>CUIT NO CARGADO</v>
      </c>
      <c r="H1242" s="64">
        <v>70000</v>
      </c>
      <c r="I1242" s="64">
        <f>ventas_b_mes684[[#This Row],[IMPORTE NETO]]*0.21</f>
        <v>14700</v>
      </c>
      <c r="J1242" s="64"/>
      <c r="K1242" s="64"/>
      <c r="L1242" s="64">
        <f>SUM(ventas_b_mes684[[#This Row],[IMPORTE NETO]:[EXENTO]])</f>
        <v>84700</v>
      </c>
      <c r="M1242" s="59"/>
    </row>
    <row r="1243" spans="2:13">
      <c r="B1243" s="40" t="s">
        <v>2311</v>
      </c>
      <c r="C1243" s="41">
        <v>6</v>
      </c>
      <c r="D1243" s="42">
        <v>15</v>
      </c>
      <c r="E1243" s="43">
        <v>13297</v>
      </c>
      <c r="F1243" s="44">
        <v>27146840</v>
      </c>
      <c r="G1243" s="1" t="str">
        <f>IFERROR(IF(ventas_b_mes684[[#This Row],[CUIT]]="","-",VLOOKUP(ventas_b_mes684[[#This Row],[CUIT]],Lista_CUIT[#All],2,0)),"CUIT NO CARGADO")</f>
        <v>CUIT NO CARGADO</v>
      </c>
      <c r="H1243" s="64">
        <v>37520.660000000003</v>
      </c>
      <c r="I1243" s="64">
        <f>ventas_b_mes684[[#This Row],[IMPORTE NETO]]*0.21</f>
        <v>7879.3386</v>
      </c>
      <c r="J1243" s="64"/>
      <c r="K1243" s="64"/>
      <c r="L1243" s="64">
        <f>SUM(ventas_b_mes684[[#This Row],[IMPORTE NETO]:[EXENTO]])</f>
        <v>45399.998600000006</v>
      </c>
      <c r="M1243" s="59"/>
    </row>
    <row r="1244" spans="2:13">
      <c r="B1244" s="40" t="s">
        <v>2311</v>
      </c>
      <c r="C1244" s="41">
        <v>6</v>
      </c>
      <c r="D1244" s="42">
        <v>11</v>
      </c>
      <c r="E1244" s="43">
        <v>38139</v>
      </c>
      <c r="F1244" s="44">
        <v>14952566</v>
      </c>
      <c r="G1244" s="1" t="str">
        <f>IFERROR(IF(ventas_b_mes684[[#This Row],[CUIT]]="","-",VLOOKUP(ventas_b_mes684[[#This Row],[CUIT]],Lista_CUIT[#All],2,0)),"CUIT NO CARGADO")</f>
        <v>CUIT NO CARGADO</v>
      </c>
      <c r="H1244" s="64">
        <v>24404.959999999999</v>
      </c>
      <c r="I1244" s="64">
        <f>ventas_b_mes684[[#This Row],[IMPORTE NETO]]*0.21</f>
        <v>5125.0415999999996</v>
      </c>
      <c r="J1244" s="64"/>
      <c r="K1244" s="64"/>
      <c r="L1244" s="64">
        <f>SUM(ventas_b_mes684[[#This Row],[IMPORTE NETO]:[EXENTO]])</f>
        <v>29530.0016</v>
      </c>
      <c r="M1244" s="59"/>
    </row>
    <row r="1245" spans="2:13">
      <c r="B1245" s="40" t="s">
        <v>2311</v>
      </c>
      <c r="C1245" s="41">
        <v>6</v>
      </c>
      <c r="D1245" s="42">
        <v>13</v>
      </c>
      <c r="E1245" s="43">
        <v>32510</v>
      </c>
      <c r="F1245" s="44">
        <v>18691740</v>
      </c>
      <c r="G1245" s="1" t="str">
        <f>IFERROR(IF(ventas_b_mes684[[#This Row],[CUIT]]="","-",VLOOKUP(ventas_b_mes684[[#This Row],[CUIT]],Lista_CUIT[#All],2,0)),"CUIT NO CARGADO")</f>
        <v>CUIT NO CARGADO</v>
      </c>
      <c r="H1245" s="64">
        <v>11652.89</v>
      </c>
      <c r="I1245" s="64">
        <f>ventas_b_mes684[[#This Row],[IMPORTE NETO]]*0.21</f>
        <v>2447.1068999999998</v>
      </c>
      <c r="J1245" s="64"/>
      <c r="K1245" s="64"/>
      <c r="L1245" s="64">
        <f>SUM(ventas_b_mes684[[#This Row],[IMPORTE NETO]:[EXENTO]])</f>
        <v>14099.996899999998</v>
      </c>
      <c r="M1245" s="59"/>
    </row>
    <row r="1246" spans="2:13">
      <c r="B1246" s="40" t="s">
        <v>2311</v>
      </c>
      <c r="C1246" s="41">
        <v>6</v>
      </c>
      <c r="D1246" s="42">
        <v>10</v>
      </c>
      <c r="E1246" s="43">
        <v>54502</v>
      </c>
      <c r="F1246" s="44">
        <v>92795455</v>
      </c>
      <c r="G1246" s="1" t="str">
        <f>IFERROR(IF(ventas_b_mes684[[#This Row],[CUIT]]="","-",VLOOKUP(ventas_b_mes684[[#This Row],[CUIT]],Lista_CUIT[#All],2,0)),"CUIT NO CARGADO")</f>
        <v>CUIT NO CARGADO</v>
      </c>
      <c r="H1246" s="64">
        <v>867.77</v>
      </c>
      <c r="I1246" s="64">
        <f>ventas_b_mes684[[#This Row],[IMPORTE NETO]]*0.21</f>
        <v>182.23169999999999</v>
      </c>
      <c r="J1246" s="64"/>
      <c r="K1246" s="64"/>
      <c r="L1246" s="64">
        <f>SUM(ventas_b_mes684[[#This Row],[IMPORTE NETO]:[EXENTO]])</f>
        <v>1050.0017</v>
      </c>
      <c r="M1246" s="59"/>
    </row>
    <row r="1247" spans="2:13">
      <c r="B1247" s="40" t="s">
        <v>2311</v>
      </c>
      <c r="C1247" s="41">
        <v>6</v>
      </c>
      <c r="D1247" s="42">
        <v>11</v>
      </c>
      <c r="E1247" s="43">
        <v>38142</v>
      </c>
      <c r="F1247" s="44">
        <v>11848160</v>
      </c>
      <c r="G1247" s="1" t="str">
        <f>IFERROR(IF(ventas_b_mes684[[#This Row],[CUIT]]="","-",VLOOKUP(ventas_b_mes684[[#This Row],[CUIT]],Lista_CUIT[#All],2,0)),"CUIT NO CARGADO")</f>
        <v>CUIT NO CARGADO</v>
      </c>
      <c r="H1247" s="64">
        <v>53966.94</v>
      </c>
      <c r="I1247" s="64">
        <f>ventas_b_mes684[[#This Row],[IMPORTE NETO]]*0.21</f>
        <v>11333.0574</v>
      </c>
      <c r="J1247" s="64"/>
      <c r="K1247" s="64"/>
      <c r="L1247" s="64">
        <f>SUM(ventas_b_mes684[[#This Row],[IMPORTE NETO]:[EXENTO]])</f>
        <v>65299.9974</v>
      </c>
      <c r="M1247" s="59"/>
    </row>
    <row r="1248" spans="2:13">
      <c r="B1248" s="40" t="s">
        <v>2311</v>
      </c>
      <c r="C1248" s="41">
        <v>6</v>
      </c>
      <c r="D1248" s="42">
        <v>12</v>
      </c>
      <c r="E1248" s="43">
        <v>29698</v>
      </c>
      <c r="F1248" s="44">
        <v>18192378</v>
      </c>
      <c r="G1248" s="1" t="str">
        <f>IFERROR(IF(ventas_b_mes684[[#This Row],[CUIT]]="","-",VLOOKUP(ventas_b_mes684[[#This Row],[CUIT]],Lista_CUIT[#All],2,0)),"CUIT NO CARGADO")</f>
        <v>CUIT NO CARGADO</v>
      </c>
      <c r="H1248" s="64">
        <v>22504.13</v>
      </c>
      <c r="I1248" s="64">
        <f>ventas_b_mes684[[#This Row],[IMPORTE NETO]]*0.21</f>
        <v>4725.8672999999999</v>
      </c>
      <c r="J1248" s="64"/>
      <c r="K1248" s="64"/>
      <c r="L1248" s="64">
        <f>SUM(ventas_b_mes684[[#This Row],[IMPORTE NETO]:[EXENTO]])</f>
        <v>27229.997300000003</v>
      </c>
      <c r="M1248" s="59"/>
    </row>
    <row r="1249" spans="2:13">
      <c r="B1249" s="40" t="s">
        <v>2311</v>
      </c>
      <c r="C1249" s="41">
        <v>6</v>
      </c>
      <c r="D1249" s="42">
        <v>11</v>
      </c>
      <c r="E1249" s="43">
        <v>38136</v>
      </c>
      <c r="F1249" s="44">
        <v>28210258</v>
      </c>
      <c r="G1249" s="1" t="str">
        <f>IFERROR(IF(ventas_b_mes684[[#This Row],[CUIT]]="","-",VLOOKUP(ventas_b_mes684[[#This Row],[CUIT]],Lista_CUIT[#All],2,0)),"CUIT NO CARGADO")</f>
        <v>CUIT NO CARGADO</v>
      </c>
      <c r="H1249" s="64">
        <v>20661.16</v>
      </c>
      <c r="I1249" s="64">
        <f>ventas_b_mes684[[#This Row],[IMPORTE NETO]]*0.21</f>
        <v>4338.8436000000002</v>
      </c>
      <c r="J1249" s="64"/>
      <c r="K1249" s="64"/>
      <c r="L1249" s="64">
        <f>SUM(ventas_b_mes684[[#This Row],[IMPORTE NETO]:[EXENTO]])</f>
        <v>25000.0036</v>
      </c>
      <c r="M1249" s="59"/>
    </row>
    <row r="1250" spans="2:13">
      <c r="B1250" s="40" t="s">
        <v>2311</v>
      </c>
      <c r="C1250" s="41">
        <v>6</v>
      </c>
      <c r="D1250" s="42">
        <v>15</v>
      </c>
      <c r="E1250" s="43">
        <v>13308</v>
      </c>
      <c r="F1250" s="44">
        <v>37688377</v>
      </c>
      <c r="G1250" s="1" t="str">
        <f>IFERROR(IF(ventas_b_mes684[[#This Row],[CUIT]]="","-",VLOOKUP(ventas_b_mes684[[#This Row],[CUIT]],Lista_CUIT[#All],2,0)),"CUIT NO CARGADO")</f>
        <v>CUIT NO CARGADO</v>
      </c>
      <c r="H1250" s="64">
        <v>20661.16</v>
      </c>
      <c r="I1250" s="64">
        <f>ventas_b_mes684[[#This Row],[IMPORTE NETO]]*0.21</f>
        <v>4338.8436000000002</v>
      </c>
      <c r="J1250" s="64"/>
      <c r="K1250" s="64"/>
      <c r="L1250" s="64">
        <f>SUM(ventas_b_mes684[[#This Row],[IMPORTE NETO]:[EXENTO]])</f>
        <v>25000.0036</v>
      </c>
      <c r="M1250" s="59"/>
    </row>
    <row r="1251" spans="2:13">
      <c r="B1251" s="40" t="s">
        <v>2311</v>
      </c>
      <c r="C1251" s="41">
        <v>6</v>
      </c>
      <c r="D1251" s="42">
        <v>15</v>
      </c>
      <c r="E1251" s="43">
        <v>13300</v>
      </c>
      <c r="F1251" s="44">
        <v>21857947</v>
      </c>
      <c r="G1251" s="1" t="str">
        <f>IFERROR(IF(ventas_b_mes684[[#This Row],[CUIT]]="","-",VLOOKUP(ventas_b_mes684[[#This Row],[CUIT]],Lista_CUIT[#All],2,0)),"CUIT NO CARGADO")</f>
        <v>CUIT NO CARGADO</v>
      </c>
      <c r="H1251" s="64">
        <v>20661.16</v>
      </c>
      <c r="I1251" s="64">
        <f>ventas_b_mes684[[#This Row],[IMPORTE NETO]]*0.21</f>
        <v>4338.8436000000002</v>
      </c>
      <c r="J1251" s="64"/>
      <c r="K1251" s="64"/>
      <c r="L1251" s="64">
        <f>SUM(ventas_b_mes684[[#This Row],[IMPORTE NETO]:[EXENTO]])</f>
        <v>25000.0036</v>
      </c>
      <c r="M1251" s="59"/>
    </row>
    <row r="1252" spans="2:13">
      <c r="B1252" s="40" t="s">
        <v>2311</v>
      </c>
      <c r="C1252" s="41">
        <v>6</v>
      </c>
      <c r="D1252" s="42">
        <v>11</v>
      </c>
      <c r="E1252" s="43">
        <v>38134</v>
      </c>
      <c r="F1252" s="44">
        <v>10547896</v>
      </c>
      <c r="G1252" s="1" t="str">
        <f>IFERROR(IF(ventas_b_mes684[[#This Row],[CUIT]]="","-",VLOOKUP(ventas_b_mes684[[#This Row],[CUIT]],Lista_CUIT[#All],2,0)),"CUIT NO CARGADO")</f>
        <v>CUIT NO CARGADO</v>
      </c>
      <c r="H1252" s="64">
        <v>23471.08</v>
      </c>
      <c r="I1252" s="64">
        <f>ventas_b_mes684[[#This Row],[IMPORTE NETO]]*0.21</f>
        <v>4928.9268000000002</v>
      </c>
      <c r="J1252" s="64"/>
      <c r="K1252" s="64"/>
      <c r="L1252" s="64">
        <f>SUM(ventas_b_mes684[[#This Row],[IMPORTE NETO]:[EXENTO]])</f>
        <v>28400.006800000003</v>
      </c>
      <c r="M1252" s="59"/>
    </row>
    <row r="1253" spans="2:13">
      <c r="B1253" s="40" t="s">
        <v>2311</v>
      </c>
      <c r="C1253" s="41">
        <v>6</v>
      </c>
      <c r="D1253" s="42">
        <v>13</v>
      </c>
      <c r="E1253" s="43">
        <v>32498</v>
      </c>
      <c r="F1253" s="44">
        <v>958336751</v>
      </c>
      <c r="G1253" s="1" t="str">
        <f>IFERROR(IF(ventas_b_mes684[[#This Row],[CUIT]]="","-",VLOOKUP(ventas_b_mes684[[#This Row],[CUIT]],Lista_CUIT[#All],2,0)),"CUIT NO CARGADO")</f>
        <v>CUIT NO CARGADO</v>
      </c>
      <c r="H1253" s="64">
        <v>39545.440000000002</v>
      </c>
      <c r="I1253" s="64">
        <f>ventas_b_mes684[[#This Row],[IMPORTE NETO]]*0.21</f>
        <v>8304.5424000000003</v>
      </c>
      <c r="J1253" s="64"/>
      <c r="K1253" s="64"/>
      <c r="L1253" s="64">
        <f>SUM(ventas_b_mes684[[#This Row],[IMPORTE NETO]:[EXENTO]])</f>
        <v>47849.982400000001</v>
      </c>
      <c r="M1253" s="59"/>
    </row>
    <row r="1254" spans="2:13">
      <c r="B1254" s="40" t="s">
        <v>2311</v>
      </c>
      <c r="C1254" s="41">
        <v>6</v>
      </c>
      <c r="D1254" s="42">
        <v>12</v>
      </c>
      <c r="E1254" s="43">
        <v>29708</v>
      </c>
      <c r="F1254" s="44">
        <v>29959834</v>
      </c>
      <c r="G1254" s="1" t="str">
        <f>IFERROR(IF(ventas_b_mes684[[#This Row],[CUIT]]="","-",VLOOKUP(ventas_b_mes684[[#This Row],[CUIT]],Lista_CUIT[#All],2,0)),"CUIT NO CARGADO")</f>
        <v>CUIT NO CARGADO</v>
      </c>
      <c r="H1254" s="64">
        <v>11735.54</v>
      </c>
      <c r="I1254" s="64">
        <f>ventas_b_mes684[[#This Row],[IMPORTE NETO]]*0.21</f>
        <v>2464.4634000000001</v>
      </c>
      <c r="J1254" s="64"/>
      <c r="K1254" s="64"/>
      <c r="L1254" s="64">
        <f>SUM(ventas_b_mes684[[#This Row],[IMPORTE NETO]:[EXENTO]])</f>
        <v>14200.003400000001</v>
      </c>
      <c r="M1254" s="59"/>
    </row>
    <row r="1255" spans="2:13">
      <c r="B1255" s="40" t="s">
        <v>2311</v>
      </c>
      <c r="C1255" s="41">
        <v>6</v>
      </c>
      <c r="D1255" s="42">
        <v>12</v>
      </c>
      <c r="E1255" s="43">
        <v>29710</v>
      </c>
      <c r="F1255" s="44">
        <v>17883470</v>
      </c>
      <c r="G1255" s="1" t="str">
        <f>IFERROR(IF(ventas_b_mes684[[#This Row],[CUIT]]="","-",VLOOKUP(ventas_b_mes684[[#This Row],[CUIT]],Lista_CUIT[#All],2,0)),"CUIT NO CARGADO")</f>
        <v>CUIT NO CARGADO</v>
      </c>
      <c r="H1255" s="64">
        <v>20661.16</v>
      </c>
      <c r="I1255" s="64">
        <f>ventas_b_mes684[[#This Row],[IMPORTE NETO]]*0.21</f>
        <v>4338.8436000000002</v>
      </c>
      <c r="J1255" s="64"/>
      <c r="K1255" s="64"/>
      <c r="L1255" s="64">
        <f>SUM(ventas_b_mes684[[#This Row],[IMPORTE NETO]:[EXENTO]])</f>
        <v>25000.0036</v>
      </c>
      <c r="M1255" s="59"/>
    </row>
    <row r="1256" spans="2:13">
      <c r="B1256" s="40" t="s">
        <v>2311</v>
      </c>
      <c r="C1256" s="41">
        <v>6</v>
      </c>
      <c r="D1256" s="42">
        <v>15</v>
      </c>
      <c r="E1256" s="43">
        <v>13298</v>
      </c>
      <c r="F1256" s="44">
        <v>34386241</v>
      </c>
      <c r="G1256" s="1" t="str">
        <f>IFERROR(IF(ventas_b_mes684[[#This Row],[CUIT]]="","-",VLOOKUP(ventas_b_mes684[[#This Row],[CUIT]],Lista_CUIT[#All],2,0)),"CUIT NO CARGADO")</f>
        <v>CUIT NO CARGADO</v>
      </c>
      <c r="H1256" s="64">
        <v>20661.16</v>
      </c>
      <c r="I1256" s="64">
        <f>ventas_b_mes684[[#This Row],[IMPORTE NETO]]*0.21</f>
        <v>4338.8436000000002</v>
      </c>
      <c r="J1256" s="64"/>
      <c r="K1256" s="64"/>
      <c r="L1256" s="64">
        <f>SUM(ventas_b_mes684[[#This Row],[IMPORTE NETO]:[EXENTO]])</f>
        <v>25000.0036</v>
      </c>
      <c r="M1256" s="59"/>
    </row>
    <row r="1257" spans="2:13">
      <c r="B1257" s="40" t="s">
        <v>2311</v>
      </c>
      <c r="C1257" s="41">
        <v>6</v>
      </c>
      <c r="D1257" s="42">
        <v>12</v>
      </c>
      <c r="E1257" s="43">
        <v>29706</v>
      </c>
      <c r="F1257" s="44">
        <v>16019062</v>
      </c>
      <c r="G1257" s="1" t="str">
        <f>IFERROR(IF(ventas_b_mes684[[#This Row],[CUIT]]="","-",VLOOKUP(ventas_b_mes684[[#This Row],[CUIT]],Lista_CUIT[#All],2,0)),"CUIT NO CARGADO")</f>
        <v>CUIT NO CARGADO</v>
      </c>
      <c r="H1257" s="64">
        <v>88305.79</v>
      </c>
      <c r="I1257" s="64">
        <f>ventas_b_mes684[[#This Row],[IMPORTE NETO]]*0.21</f>
        <v>18544.215899999999</v>
      </c>
      <c r="J1257" s="64"/>
      <c r="K1257" s="64"/>
      <c r="L1257" s="64">
        <f>SUM(ventas_b_mes684[[#This Row],[IMPORTE NETO]:[EXENTO]])</f>
        <v>106850.00589999999</v>
      </c>
      <c r="M1257" s="59"/>
    </row>
    <row r="1258" spans="2:13">
      <c r="B1258" s="40" t="s">
        <v>2311</v>
      </c>
      <c r="C1258" s="41">
        <v>6</v>
      </c>
      <c r="D1258" s="42">
        <v>12</v>
      </c>
      <c r="E1258" s="43">
        <v>29713</v>
      </c>
      <c r="F1258" s="44">
        <v>24391452</v>
      </c>
      <c r="G1258" s="1" t="str">
        <f>IFERROR(IF(ventas_b_mes684[[#This Row],[CUIT]]="","-",VLOOKUP(ventas_b_mes684[[#This Row],[CUIT]],Lista_CUIT[#All],2,0)),"CUIT NO CARGADO")</f>
        <v>CUIT NO CARGADO</v>
      </c>
      <c r="H1258" s="64">
        <v>1115.7</v>
      </c>
      <c r="I1258" s="64">
        <f>ventas_b_mes684[[#This Row],[IMPORTE NETO]]*0.21</f>
        <v>234.297</v>
      </c>
      <c r="J1258" s="64"/>
      <c r="K1258" s="64"/>
      <c r="L1258" s="64">
        <f>SUM(ventas_b_mes684[[#This Row],[IMPORTE NETO]:[EXENTO]])</f>
        <v>1349.9970000000001</v>
      </c>
      <c r="M1258" s="59"/>
    </row>
    <row r="1259" spans="2:13">
      <c r="B1259" s="40" t="s">
        <v>2311</v>
      </c>
      <c r="C1259" s="41">
        <v>6</v>
      </c>
      <c r="D1259" s="42">
        <v>13</v>
      </c>
      <c r="E1259" s="43">
        <v>32511</v>
      </c>
      <c r="F1259" s="44">
        <v>11633784</v>
      </c>
      <c r="G1259" s="1" t="str">
        <f>IFERROR(IF(ventas_b_mes684[[#This Row],[CUIT]]="","-",VLOOKUP(ventas_b_mes684[[#This Row],[CUIT]],Lista_CUIT[#All],2,0)),"CUIT NO CARGADO")</f>
        <v>CUIT NO CARGADO</v>
      </c>
      <c r="H1259" s="64">
        <v>8099.17</v>
      </c>
      <c r="I1259" s="64">
        <f>ventas_b_mes684[[#This Row],[IMPORTE NETO]]*0.21</f>
        <v>1700.8256999999999</v>
      </c>
      <c r="J1259" s="64"/>
      <c r="K1259" s="64"/>
      <c r="L1259" s="64">
        <f>SUM(ventas_b_mes684[[#This Row],[IMPORTE NETO]:[EXENTO]])</f>
        <v>9799.9956999999995</v>
      </c>
      <c r="M1259" s="59"/>
    </row>
    <row r="1260" spans="2:13">
      <c r="B1260" s="40" t="s">
        <v>2311</v>
      </c>
      <c r="C1260" s="41">
        <v>6</v>
      </c>
      <c r="D1260" s="42">
        <v>10</v>
      </c>
      <c r="E1260" s="43">
        <v>54494</v>
      </c>
      <c r="F1260" s="44">
        <v>17488253</v>
      </c>
      <c r="G1260" s="1" t="str">
        <f>IFERROR(IF(ventas_b_mes684[[#This Row],[CUIT]]="","-",VLOOKUP(ventas_b_mes684[[#This Row],[CUIT]],Lista_CUIT[#All],2,0)),"CUIT NO CARGADO")</f>
        <v>CUIT NO CARGADO</v>
      </c>
      <c r="H1260" s="64">
        <v>20661.16</v>
      </c>
      <c r="I1260" s="64">
        <f>ventas_b_mes684[[#This Row],[IMPORTE NETO]]*0.21</f>
        <v>4338.8436000000002</v>
      </c>
      <c r="J1260" s="64"/>
      <c r="K1260" s="64"/>
      <c r="L1260" s="64">
        <f>SUM(ventas_b_mes684[[#This Row],[IMPORTE NETO]:[EXENTO]])</f>
        <v>25000.0036</v>
      </c>
      <c r="M1260" s="59"/>
    </row>
    <row r="1261" spans="2:13">
      <c r="B1261" s="40" t="s">
        <v>2311</v>
      </c>
      <c r="C1261" s="41">
        <v>6</v>
      </c>
      <c r="D1261" s="42">
        <v>12</v>
      </c>
      <c r="E1261" s="43">
        <v>29695</v>
      </c>
      <c r="F1261" s="44">
        <v>22524572</v>
      </c>
      <c r="G1261" s="1" t="str">
        <f>IFERROR(IF(ventas_b_mes684[[#This Row],[CUIT]]="","-",VLOOKUP(ventas_b_mes684[[#This Row],[CUIT]],Lista_CUIT[#All],2,0)),"CUIT NO CARGADO")</f>
        <v>CUIT NO CARGADO</v>
      </c>
      <c r="H1261" s="64">
        <v>46719.01</v>
      </c>
      <c r="I1261" s="64">
        <f>ventas_b_mes684[[#This Row],[IMPORTE NETO]]*0.21</f>
        <v>9810.9920999999995</v>
      </c>
      <c r="J1261" s="64"/>
      <c r="K1261" s="64"/>
      <c r="L1261" s="64">
        <f>SUM(ventas_b_mes684[[#This Row],[IMPORTE NETO]:[EXENTO]])</f>
        <v>56530.002099999998</v>
      </c>
      <c r="M1261" s="59"/>
    </row>
    <row r="1262" spans="2:13">
      <c r="B1262" s="40" t="s">
        <v>2311</v>
      </c>
      <c r="C1262" s="41">
        <v>6</v>
      </c>
      <c r="D1262" s="42">
        <v>12</v>
      </c>
      <c r="E1262" s="43">
        <v>29694</v>
      </c>
      <c r="F1262" s="44">
        <v>45786361</v>
      </c>
      <c r="G1262" s="1" t="str">
        <f>IFERROR(IF(ventas_b_mes684[[#This Row],[CUIT]]="","-",VLOOKUP(ventas_b_mes684[[#This Row],[CUIT]],Lista_CUIT[#All],2,0)),"CUIT NO CARGADO")</f>
        <v>CUIT NO CARGADO</v>
      </c>
      <c r="H1262" s="64">
        <v>20661.16</v>
      </c>
      <c r="I1262" s="64">
        <f>ventas_b_mes684[[#This Row],[IMPORTE NETO]]*0.21</f>
        <v>4338.8436000000002</v>
      </c>
      <c r="J1262" s="64"/>
      <c r="K1262" s="64"/>
      <c r="L1262" s="64">
        <f>SUM(ventas_b_mes684[[#This Row],[IMPORTE NETO]:[EXENTO]])</f>
        <v>25000.0036</v>
      </c>
      <c r="M1262" s="59"/>
    </row>
    <row r="1263" spans="2:13">
      <c r="B1263" s="40" t="s">
        <v>2311</v>
      </c>
      <c r="C1263" s="41">
        <v>6</v>
      </c>
      <c r="D1263" s="42">
        <v>15</v>
      </c>
      <c r="E1263" s="43">
        <v>13293</v>
      </c>
      <c r="F1263" s="44">
        <v>32526126</v>
      </c>
      <c r="G1263" s="1" t="str">
        <f>IFERROR(IF(ventas_b_mes684[[#This Row],[CUIT]]="","-",VLOOKUP(ventas_b_mes684[[#This Row],[CUIT]],Lista_CUIT[#All],2,0)),"CUIT NO CARGADO")</f>
        <v>CUIT NO CARGADO</v>
      </c>
      <c r="H1263" s="64">
        <v>20661.16</v>
      </c>
      <c r="I1263" s="64">
        <f>ventas_b_mes684[[#This Row],[IMPORTE NETO]]*0.21</f>
        <v>4338.8436000000002</v>
      </c>
      <c r="J1263" s="64"/>
      <c r="K1263" s="64"/>
      <c r="L1263" s="64">
        <f>SUM(ventas_b_mes684[[#This Row],[IMPORTE NETO]:[EXENTO]])</f>
        <v>25000.0036</v>
      </c>
      <c r="M1263" s="59"/>
    </row>
    <row r="1264" spans="2:13">
      <c r="B1264" s="40" t="s">
        <v>2311</v>
      </c>
      <c r="C1264" s="41">
        <v>6</v>
      </c>
      <c r="D1264" s="42">
        <v>13</v>
      </c>
      <c r="E1264" s="43">
        <v>32500</v>
      </c>
      <c r="F1264" s="44">
        <v>31798327</v>
      </c>
      <c r="G1264" s="1" t="str">
        <f>IFERROR(IF(ventas_b_mes684[[#This Row],[CUIT]]="","-",VLOOKUP(ventas_b_mes684[[#This Row],[CUIT]],Lista_CUIT[#All],2,0)),"CUIT NO CARGADO")</f>
        <v>CUIT NO CARGADO</v>
      </c>
      <c r="H1264" s="64">
        <v>10247.93</v>
      </c>
      <c r="I1264" s="64">
        <f>ventas_b_mes684[[#This Row],[IMPORTE NETO]]*0.21</f>
        <v>2152.0653000000002</v>
      </c>
      <c r="J1264" s="64"/>
      <c r="K1264" s="64"/>
      <c r="L1264" s="64">
        <f>SUM(ventas_b_mes684[[#This Row],[IMPORTE NETO]:[EXENTO]])</f>
        <v>12399.9953</v>
      </c>
      <c r="M1264" s="59"/>
    </row>
    <row r="1265" spans="2:13">
      <c r="B1265" s="40" t="s">
        <v>2311</v>
      </c>
      <c r="C1265" s="41">
        <v>6</v>
      </c>
      <c r="D1265" s="42">
        <v>13</v>
      </c>
      <c r="E1265" s="43">
        <v>32505</v>
      </c>
      <c r="F1265" s="44">
        <v>20560897</v>
      </c>
      <c r="G1265" s="1" t="str">
        <f>IFERROR(IF(ventas_b_mes684[[#This Row],[CUIT]]="","-",VLOOKUP(ventas_b_mes684[[#This Row],[CUIT]],Lista_CUIT[#All],2,0)),"CUIT NO CARGADO")</f>
        <v>CUIT NO CARGADO</v>
      </c>
      <c r="H1265" s="64">
        <v>20082.64</v>
      </c>
      <c r="I1265" s="64">
        <f>ventas_b_mes684[[#This Row],[IMPORTE NETO]]*0.21</f>
        <v>4217.3544000000002</v>
      </c>
      <c r="J1265" s="64"/>
      <c r="K1265" s="64"/>
      <c r="L1265" s="64">
        <f>SUM(ventas_b_mes684[[#This Row],[IMPORTE NETO]:[EXENTO]])</f>
        <v>24299.9944</v>
      </c>
      <c r="M1265" s="59"/>
    </row>
    <row r="1266" spans="2:13">
      <c r="B1266" s="40" t="s">
        <v>2311</v>
      </c>
      <c r="C1266" s="41">
        <v>6</v>
      </c>
      <c r="D1266" s="42">
        <v>12</v>
      </c>
      <c r="E1266" s="43">
        <v>29705</v>
      </c>
      <c r="F1266" s="44">
        <v>24268061</v>
      </c>
      <c r="G1266" s="1" t="str">
        <f>IFERROR(IF(ventas_b_mes684[[#This Row],[CUIT]]="","-",VLOOKUP(ventas_b_mes684[[#This Row],[CUIT]],Lista_CUIT[#All],2,0)),"CUIT NO CARGADO")</f>
        <v>CUIT NO CARGADO</v>
      </c>
      <c r="H1266" s="64">
        <v>20661.16</v>
      </c>
      <c r="I1266" s="64">
        <f>ventas_b_mes684[[#This Row],[IMPORTE NETO]]*0.21</f>
        <v>4338.8436000000002</v>
      </c>
      <c r="J1266" s="64"/>
      <c r="K1266" s="64"/>
      <c r="L1266" s="64">
        <f>SUM(ventas_b_mes684[[#This Row],[IMPORTE NETO]:[EXENTO]])</f>
        <v>25000.0036</v>
      </c>
      <c r="M1266" s="59"/>
    </row>
    <row r="1267" spans="2:13">
      <c r="B1267" s="40" t="s">
        <v>2311</v>
      </c>
      <c r="C1267" s="41">
        <v>8</v>
      </c>
      <c r="D1267" s="42">
        <v>12</v>
      </c>
      <c r="E1267" s="43">
        <v>911</v>
      </c>
      <c r="F1267" s="44">
        <v>45786361</v>
      </c>
      <c r="G1267" s="1" t="str">
        <f>IFERROR(IF(ventas_b_mes684[[#This Row],[CUIT]]="","-",VLOOKUP(ventas_b_mes684[[#This Row],[CUIT]],Lista_CUIT[#All],2,0)),"CUIT NO CARGADO")</f>
        <v>CUIT NO CARGADO</v>
      </c>
      <c r="H1267" s="64">
        <v>-9917.36</v>
      </c>
      <c r="I1267" s="64">
        <f>ventas_b_mes684[[#This Row],[IMPORTE NETO]]*0.21</f>
        <v>-2082.6455999999998</v>
      </c>
      <c r="J1267" s="64"/>
      <c r="K1267" s="64"/>
      <c r="L1267" s="64">
        <f>SUM(ventas_b_mes684[[#This Row],[IMPORTE NETO]:[EXENTO]])</f>
        <v>-12000.0056</v>
      </c>
      <c r="M1267" s="59"/>
    </row>
    <row r="1268" spans="2:13">
      <c r="B1268" s="40" t="s">
        <v>2311</v>
      </c>
      <c r="C1268" s="41">
        <v>8</v>
      </c>
      <c r="D1268" s="42">
        <v>10</v>
      </c>
      <c r="E1268" s="43">
        <v>1629</v>
      </c>
      <c r="F1268" s="44">
        <v>40006325</v>
      </c>
      <c r="G1268" s="1" t="str">
        <f>IFERROR(IF(ventas_b_mes684[[#This Row],[CUIT]]="","-",VLOOKUP(ventas_b_mes684[[#This Row],[CUIT]],Lista_CUIT[#All],2,0)),"CUIT NO CARGADO")</f>
        <v>CUIT NO CARGADO</v>
      </c>
      <c r="H1268" s="64">
        <v>-20661.16</v>
      </c>
      <c r="I1268" s="64">
        <f>ventas_b_mes684[[#This Row],[IMPORTE NETO]]*0.21</f>
        <v>-4338.8436000000002</v>
      </c>
      <c r="J1268" s="64"/>
      <c r="K1268" s="64"/>
      <c r="L1268" s="64">
        <f>SUM(ventas_b_mes684[[#This Row],[IMPORTE NETO]:[EXENTO]])</f>
        <v>-25000.0036</v>
      </c>
      <c r="M1268" s="59"/>
    </row>
    <row r="1269" spans="2:13">
      <c r="B1269" s="40" t="s">
        <v>2311</v>
      </c>
      <c r="C1269" s="41">
        <v>8</v>
      </c>
      <c r="D1269" s="42">
        <v>11</v>
      </c>
      <c r="E1269" s="43">
        <v>1035</v>
      </c>
      <c r="F1269" s="44">
        <v>25174784</v>
      </c>
      <c r="G1269" s="1" t="str">
        <f>IFERROR(IF(ventas_b_mes684[[#This Row],[CUIT]]="","-",VLOOKUP(ventas_b_mes684[[#This Row],[CUIT]],Lista_CUIT[#All],2,0)),"CUIT NO CARGADO")</f>
        <v>CUIT NO CARGADO</v>
      </c>
      <c r="H1269" s="64">
        <v>-96487.6</v>
      </c>
      <c r="I1269" s="64">
        <f>ventas_b_mes684[[#This Row],[IMPORTE NETO]]*0.21</f>
        <v>-20262.396000000001</v>
      </c>
      <c r="J1269" s="64"/>
      <c r="K1269" s="64"/>
      <c r="L1269" s="64">
        <f>SUM(ventas_b_mes684[[#This Row],[IMPORTE NETO]:[EXENTO]])</f>
        <v>-116749.99600000001</v>
      </c>
      <c r="M1269" s="59"/>
    </row>
    <row r="1270" spans="2:13">
      <c r="B1270" s="40" t="s">
        <v>2311</v>
      </c>
      <c r="C1270" s="41">
        <v>8</v>
      </c>
      <c r="D1270" s="42">
        <v>10</v>
      </c>
      <c r="E1270" s="43">
        <v>1628</v>
      </c>
      <c r="F1270" s="44">
        <v>27280955391</v>
      </c>
      <c r="G1270" s="1" t="str">
        <f>IFERROR(IF(ventas_b_mes684[[#This Row],[CUIT]]="","-",VLOOKUP(ventas_b_mes684[[#This Row],[CUIT]],Lista_CUIT[#All],2,0)),"CUIT NO CARGADO")</f>
        <v>CUIT NO CARGADO</v>
      </c>
      <c r="H1270" s="64">
        <v>-33120</v>
      </c>
      <c r="I1270" s="64">
        <f>ventas_b_mes684[[#This Row],[IMPORTE NETO]]*0.21</f>
        <v>-6955.2</v>
      </c>
      <c r="J1270" s="64"/>
      <c r="K1270" s="64"/>
      <c r="L1270" s="64">
        <f>SUM(ventas_b_mes684[[#This Row],[IMPORTE NETO]:[EXENTO]])</f>
        <v>-40075.199999999997</v>
      </c>
      <c r="M1270" s="59"/>
    </row>
    <row r="1271" spans="2:13">
      <c r="B1271" s="40" t="s">
        <v>2311</v>
      </c>
      <c r="C1271" s="41">
        <v>8</v>
      </c>
      <c r="D1271" s="42">
        <v>10</v>
      </c>
      <c r="E1271" s="43">
        <v>1626</v>
      </c>
      <c r="F1271" s="44">
        <v>27280955391</v>
      </c>
      <c r="G1271" s="1" t="str">
        <f>IFERROR(IF(ventas_b_mes684[[#This Row],[CUIT]]="","-",VLOOKUP(ventas_b_mes684[[#This Row],[CUIT]],Lista_CUIT[#All],2,0)),"CUIT NO CARGADO")</f>
        <v>CUIT NO CARGADO</v>
      </c>
      <c r="H1271" s="64">
        <v>-222785.1</v>
      </c>
      <c r="I1271" s="64">
        <f>ventas_b_mes684[[#This Row],[IMPORTE NETO]]*0.21</f>
        <v>-46784.870999999999</v>
      </c>
      <c r="J1271" s="64"/>
      <c r="K1271" s="64"/>
      <c r="L1271" s="64">
        <f>SUM(ventas_b_mes684[[#This Row],[IMPORTE NETO]:[EXENTO]])</f>
        <v>-269569.97100000002</v>
      </c>
      <c r="M1271" s="59"/>
    </row>
    <row r="1272" spans="2:13">
      <c r="B1272" s="40" t="s">
        <v>2311</v>
      </c>
      <c r="C1272" s="41">
        <v>8</v>
      </c>
      <c r="D1272" s="42">
        <v>10</v>
      </c>
      <c r="E1272" s="43">
        <v>1627</v>
      </c>
      <c r="F1272" s="44">
        <v>27280955391</v>
      </c>
      <c r="G1272" s="1" t="str">
        <f>IFERROR(IF(ventas_b_mes684[[#This Row],[CUIT]]="","-",VLOOKUP(ventas_b_mes684[[#This Row],[CUIT]],Lista_CUIT[#All],2,0)),"CUIT NO CARGADO")</f>
        <v>CUIT NO CARGADO</v>
      </c>
      <c r="H1272" s="64">
        <v>-54900.800000000003</v>
      </c>
      <c r="I1272" s="64">
        <f>ventas_b_mes684[[#This Row],[IMPORTE NETO]]*0.21</f>
        <v>-11529.168</v>
      </c>
      <c r="J1272" s="64"/>
      <c r="K1272" s="64"/>
      <c r="L1272" s="64">
        <f>SUM(ventas_b_mes684[[#This Row],[IMPORTE NETO]:[EXENTO]])</f>
        <v>-66429.968000000008</v>
      </c>
      <c r="M1272" s="59"/>
    </row>
    <row r="1273" spans="2:13">
      <c r="B1273" s="40" t="s">
        <v>2312</v>
      </c>
      <c r="C1273" s="41">
        <v>6</v>
      </c>
      <c r="D1273" s="42">
        <v>15</v>
      </c>
      <c r="E1273" s="43">
        <v>13318</v>
      </c>
      <c r="F1273" s="44">
        <v>39980220</v>
      </c>
      <c r="G1273" s="1" t="str">
        <f>IFERROR(IF(ventas_b_mes684[[#This Row],[CUIT]]="","-",VLOOKUP(ventas_b_mes684[[#This Row],[CUIT]],Lista_CUIT[#All],2,0)),"CUIT NO CARGADO")</f>
        <v>CUIT NO CARGADO</v>
      </c>
      <c r="H1273" s="64">
        <v>19644.63</v>
      </c>
      <c r="I1273" s="64">
        <f>ventas_b_mes684[[#This Row],[IMPORTE NETO]]*0.21</f>
        <v>4125.3723</v>
      </c>
      <c r="J1273" s="64"/>
      <c r="K1273" s="64"/>
      <c r="L1273" s="64">
        <f>SUM(ventas_b_mes684[[#This Row],[IMPORTE NETO]:[EXENTO]])</f>
        <v>23770.0023</v>
      </c>
      <c r="M1273" s="59"/>
    </row>
    <row r="1274" spans="2:13">
      <c r="B1274" s="40" t="s">
        <v>2312</v>
      </c>
      <c r="C1274" s="41">
        <v>6</v>
      </c>
      <c r="D1274" s="42">
        <v>11</v>
      </c>
      <c r="E1274" s="43">
        <v>38172</v>
      </c>
      <c r="F1274" s="44">
        <v>25021084</v>
      </c>
      <c r="G1274" s="1" t="str">
        <f>IFERROR(IF(ventas_b_mes684[[#This Row],[CUIT]]="","-",VLOOKUP(ventas_b_mes684[[#This Row],[CUIT]],Lista_CUIT[#All],2,0)),"CUIT NO CARGADO")</f>
        <v>CUIT NO CARGADO</v>
      </c>
      <c r="H1274" s="64">
        <v>15041.32</v>
      </c>
      <c r="I1274" s="64">
        <f>ventas_b_mes684[[#This Row],[IMPORTE NETO]]*0.21</f>
        <v>3158.6771999999996</v>
      </c>
      <c r="J1274" s="64"/>
      <c r="K1274" s="64"/>
      <c r="L1274" s="64">
        <f>SUM(ventas_b_mes684[[#This Row],[IMPORTE NETO]:[EXENTO]])</f>
        <v>18199.997199999998</v>
      </c>
      <c r="M1274" s="59"/>
    </row>
    <row r="1275" spans="2:13">
      <c r="B1275" s="40" t="s">
        <v>2312</v>
      </c>
      <c r="C1275" s="41">
        <v>6</v>
      </c>
      <c r="D1275" s="42">
        <v>12</v>
      </c>
      <c r="E1275" s="43">
        <v>29721</v>
      </c>
      <c r="F1275" s="44">
        <v>43043381</v>
      </c>
      <c r="G1275" s="1" t="str">
        <f>IFERROR(IF(ventas_b_mes684[[#This Row],[CUIT]]="","-",VLOOKUP(ventas_b_mes684[[#This Row],[CUIT]],Lista_CUIT[#All],2,0)),"CUIT NO CARGADO")</f>
        <v>CUIT NO CARGADO</v>
      </c>
      <c r="H1275" s="64">
        <v>22537.19</v>
      </c>
      <c r="I1275" s="64">
        <f>ventas_b_mes684[[#This Row],[IMPORTE NETO]]*0.21</f>
        <v>4732.8098999999993</v>
      </c>
      <c r="J1275" s="64"/>
      <c r="K1275" s="64"/>
      <c r="L1275" s="64">
        <f>SUM(ventas_b_mes684[[#This Row],[IMPORTE NETO]:[EXENTO]])</f>
        <v>27269.999899999999</v>
      </c>
      <c r="M1275" s="59"/>
    </row>
    <row r="1276" spans="2:13">
      <c r="B1276" s="40" t="s">
        <v>2312</v>
      </c>
      <c r="C1276" s="41">
        <v>6</v>
      </c>
      <c r="D1276" s="42">
        <v>10</v>
      </c>
      <c r="E1276" s="43">
        <v>54519</v>
      </c>
      <c r="F1276" s="44">
        <v>30734156</v>
      </c>
      <c r="G1276" s="1" t="str">
        <f>IFERROR(IF(ventas_b_mes684[[#This Row],[CUIT]]="","-",VLOOKUP(ventas_b_mes684[[#This Row],[CUIT]],Lista_CUIT[#All],2,0)),"CUIT NO CARGADO")</f>
        <v>CUIT NO CARGADO</v>
      </c>
      <c r="H1276" s="64">
        <v>14876.03</v>
      </c>
      <c r="I1276" s="64">
        <f>ventas_b_mes684[[#This Row],[IMPORTE NETO]]*0.21</f>
        <v>3123.9663</v>
      </c>
      <c r="J1276" s="64"/>
      <c r="K1276" s="64"/>
      <c r="L1276" s="64">
        <f>SUM(ventas_b_mes684[[#This Row],[IMPORTE NETO]:[EXENTO]])</f>
        <v>17999.996299999999</v>
      </c>
      <c r="M1276" s="59"/>
    </row>
    <row r="1277" spans="2:13">
      <c r="B1277" s="40" t="s">
        <v>2312</v>
      </c>
      <c r="C1277" s="41">
        <v>6</v>
      </c>
      <c r="D1277" s="42">
        <v>15</v>
      </c>
      <c r="E1277" s="43">
        <v>13323</v>
      </c>
      <c r="F1277" s="44">
        <v>27262612</v>
      </c>
      <c r="G1277" s="1" t="str">
        <f>IFERROR(IF(ventas_b_mes684[[#This Row],[CUIT]]="","-",VLOOKUP(ventas_b_mes684[[#This Row],[CUIT]],Lista_CUIT[#All],2,0)),"CUIT NO CARGADO")</f>
        <v>CUIT NO CARGADO</v>
      </c>
      <c r="H1277" s="64">
        <v>20661.16</v>
      </c>
      <c r="I1277" s="64">
        <f>ventas_b_mes684[[#This Row],[IMPORTE NETO]]*0.21</f>
        <v>4338.8436000000002</v>
      </c>
      <c r="J1277" s="64"/>
      <c r="K1277" s="64"/>
      <c r="L1277" s="64">
        <f>SUM(ventas_b_mes684[[#This Row],[IMPORTE NETO]:[EXENTO]])</f>
        <v>25000.0036</v>
      </c>
      <c r="M1277" s="59"/>
    </row>
    <row r="1278" spans="2:13">
      <c r="B1278" s="40" t="s">
        <v>2312</v>
      </c>
      <c r="C1278" s="41">
        <v>6</v>
      </c>
      <c r="D1278" s="42">
        <v>10</v>
      </c>
      <c r="E1278" s="43">
        <v>54517</v>
      </c>
      <c r="F1278" s="44">
        <v>14560230</v>
      </c>
      <c r="G1278" s="1" t="str">
        <f>IFERROR(IF(ventas_b_mes684[[#This Row],[CUIT]]="","-",VLOOKUP(ventas_b_mes684[[#This Row],[CUIT]],Lista_CUIT[#All],2,0)),"CUIT NO CARGADO")</f>
        <v>CUIT NO CARGADO</v>
      </c>
      <c r="H1278" s="64">
        <v>6884.3</v>
      </c>
      <c r="I1278" s="64">
        <f>ventas_b_mes684[[#This Row],[IMPORTE NETO]]*0.21</f>
        <v>1445.703</v>
      </c>
      <c r="J1278" s="64"/>
      <c r="K1278" s="64"/>
      <c r="L1278" s="64">
        <f>SUM(ventas_b_mes684[[#This Row],[IMPORTE NETO]:[EXENTO]])</f>
        <v>8330.0030000000006</v>
      </c>
      <c r="M1278" s="59"/>
    </row>
    <row r="1279" spans="2:13">
      <c r="B1279" s="40" t="s">
        <v>2312</v>
      </c>
      <c r="C1279" s="41">
        <v>6</v>
      </c>
      <c r="D1279" s="42">
        <v>12</v>
      </c>
      <c r="E1279" s="43">
        <v>29720</v>
      </c>
      <c r="F1279" s="44">
        <v>11788683</v>
      </c>
      <c r="G1279" s="1" t="str">
        <f>IFERROR(IF(ventas_b_mes684[[#This Row],[CUIT]]="","-",VLOOKUP(ventas_b_mes684[[#This Row],[CUIT]],Lista_CUIT[#All],2,0)),"CUIT NO CARGADO")</f>
        <v>CUIT NO CARGADO</v>
      </c>
      <c r="H1279" s="64">
        <v>36363.64</v>
      </c>
      <c r="I1279" s="64">
        <f>ventas_b_mes684[[#This Row],[IMPORTE NETO]]*0.21</f>
        <v>7636.3643999999995</v>
      </c>
      <c r="J1279" s="64"/>
      <c r="K1279" s="64"/>
      <c r="L1279" s="64">
        <f>SUM(ventas_b_mes684[[#This Row],[IMPORTE NETO]:[EXENTO]])</f>
        <v>44000.004399999998</v>
      </c>
      <c r="M1279" s="59"/>
    </row>
    <row r="1280" spans="2:13">
      <c r="B1280" s="40" t="s">
        <v>2312</v>
      </c>
      <c r="C1280" s="41">
        <v>6</v>
      </c>
      <c r="D1280" s="42">
        <v>15</v>
      </c>
      <c r="E1280" s="43">
        <v>13331</v>
      </c>
      <c r="F1280" s="44">
        <v>17303345</v>
      </c>
      <c r="G1280" s="1" t="str">
        <f>IFERROR(IF(ventas_b_mes684[[#This Row],[CUIT]]="","-",VLOOKUP(ventas_b_mes684[[#This Row],[CUIT]],Lista_CUIT[#All],2,0)),"CUIT NO CARGADO")</f>
        <v>CUIT NO CARGADO</v>
      </c>
      <c r="H1280" s="64">
        <v>10495.87</v>
      </c>
      <c r="I1280" s="64">
        <f>ventas_b_mes684[[#This Row],[IMPORTE NETO]]*0.21</f>
        <v>2204.1327000000001</v>
      </c>
      <c r="J1280" s="64"/>
      <c r="K1280" s="64"/>
      <c r="L1280" s="64">
        <f>SUM(ventas_b_mes684[[#This Row],[IMPORTE NETO]:[EXENTO]])</f>
        <v>12700.002700000001</v>
      </c>
      <c r="M1280" s="59"/>
    </row>
    <row r="1281" spans="2:13">
      <c r="B1281" s="40" t="s">
        <v>2312</v>
      </c>
      <c r="C1281" s="41">
        <v>6</v>
      </c>
      <c r="D1281" s="42">
        <v>12</v>
      </c>
      <c r="E1281" s="43">
        <v>29728</v>
      </c>
      <c r="F1281" s="44">
        <v>36852147</v>
      </c>
      <c r="G1281" s="1" t="str">
        <f>IFERROR(IF(ventas_b_mes684[[#This Row],[CUIT]]="","-",VLOOKUP(ventas_b_mes684[[#This Row],[CUIT]],Lista_CUIT[#All],2,0)),"CUIT NO CARGADO")</f>
        <v>CUIT NO CARGADO</v>
      </c>
      <c r="H1281" s="64">
        <v>21859.5</v>
      </c>
      <c r="I1281" s="64">
        <f>ventas_b_mes684[[#This Row],[IMPORTE NETO]]*0.21</f>
        <v>4590.4949999999999</v>
      </c>
      <c r="J1281" s="64"/>
      <c r="K1281" s="64"/>
      <c r="L1281" s="64">
        <f>SUM(ventas_b_mes684[[#This Row],[IMPORTE NETO]:[EXENTO]])</f>
        <v>26449.994999999999</v>
      </c>
      <c r="M1281" s="59"/>
    </row>
    <row r="1282" spans="2:13">
      <c r="B1282" s="40" t="s">
        <v>2312</v>
      </c>
      <c r="C1282" s="41">
        <v>6</v>
      </c>
      <c r="D1282" s="42">
        <v>12</v>
      </c>
      <c r="E1282" s="43">
        <v>29719</v>
      </c>
      <c r="F1282" s="44">
        <v>94796022</v>
      </c>
      <c r="G1282" s="1" t="str">
        <f>IFERROR(IF(ventas_b_mes684[[#This Row],[CUIT]]="","-",VLOOKUP(ventas_b_mes684[[#This Row],[CUIT]],Lista_CUIT[#All],2,0)),"CUIT NO CARGADO")</f>
        <v>CUIT NO CARGADO</v>
      </c>
      <c r="H1282" s="64">
        <v>5834.71</v>
      </c>
      <c r="I1282" s="64">
        <f>ventas_b_mes684[[#This Row],[IMPORTE NETO]]*0.21</f>
        <v>1225.2891</v>
      </c>
      <c r="J1282" s="64"/>
      <c r="K1282" s="64"/>
      <c r="L1282" s="64">
        <f>SUM(ventas_b_mes684[[#This Row],[IMPORTE NETO]:[EXENTO]])</f>
        <v>7059.9991</v>
      </c>
      <c r="M1282" s="59"/>
    </row>
    <row r="1283" spans="2:13">
      <c r="B1283" s="40" t="s">
        <v>2312</v>
      </c>
      <c r="C1283" s="41">
        <v>6</v>
      </c>
      <c r="D1283" s="42">
        <v>12</v>
      </c>
      <c r="E1283" s="43">
        <v>29718</v>
      </c>
      <c r="F1283" s="44">
        <v>23487465</v>
      </c>
      <c r="G1283" s="1" t="str">
        <f>IFERROR(IF(ventas_b_mes684[[#This Row],[CUIT]]="","-",VLOOKUP(ventas_b_mes684[[#This Row],[CUIT]],Lista_CUIT[#All],2,0)),"CUIT NO CARGADO")</f>
        <v>CUIT NO CARGADO</v>
      </c>
      <c r="H1283" s="64">
        <v>20661.16</v>
      </c>
      <c r="I1283" s="64">
        <f>ventas_b_mes684[[#This Row],[IMPORTE NETO]]*0.21</f>
        <v>4338.8436000000002</v>
      </c>
      <c r="J1283" s="64"/>
      <c r="K1283" s="64"/>
      <c r="L1283" s="64">
        <f>SUM(ventas_b_mes684[[#This Row],[IMPORTE NETO]:[EXENTO]])</f>
        <v>25000.0036</v>
      </c>
      <c r="M1283" s="59"/>
    </row>
    <row r="1284" spans="2:13">
      <c r="B1284" s="40" t="s">
        <v>2312</v>
      </c>
      <c r="C1284" s="41">
        <v>6</v>
      </c>
      <c r="D1284" s="42">
        <v>13</v>
      </c>
      <c r="E1284" s="43">
        <v>32517</v>
      </c>
      <c r="F1284" s="44">
        <v>18699110</v>
      </c>
      <c r="G1284" s="1" t="str">
        <f>IFERROR(IF(ventas_b_mes684[[#This Row],[CUIT]]="","-",VLOOKUP(ventas_b_mes684[[#This Row],[CUIT]],Lista_CUIT[#All],2,0)),"CUIT NO CARGADO")</f>
        <v>CUIT NO CARGADO</v>
      </c>
      <c r="H1284" s="64">
        <v>190413.22</v>
      </c>
      <c r="I1284" s="64">
        <f>ventas_b_mes684[[#This Row],[IMPORTE NETO]]*0.21</f>
        <v>39986.7762</v>
      </c>
      <c r="J1284" s="64"/>
      <c r="K1284" s="64"/>
      <c r="L1284" s="64">
        <f>SUM(ventas_b_mes684[[#This Row],[IMPORTE NETO]:[EXENTO]])</f>
        <v>230399.99619999999</v>
      </c>
      <c r="M1284" s="59"/>
    </row>
    <row r="1285" spans="2:13">
      <c r="B1285" s="40" t="s">
        <v>2312</v>
      </c>
      <c r="C1285" s="41">
        <v>6</v>
      </c>
      <c r="D1285" s="42">
        <v>10</v>
      </c>
      <c r="E1285" s="43">
        <v>54516</v>
      </c>
      <c r="F1285" s="44">
        <v>12932076</v>
      </c>
      <c r="G1285" s="1" t="str">
        <f>IFERROR(IF(ventas_b_mes684[[#This Row],[CUIT]]="","-",VLOOKUP(ventas_b_mes684[[#This Row],[CUIT]],Lista_CUIT[#All],2,0)),"CUIT NO CARGADO")</f>
        <v>CUIT NO CARGADO</v>
      </c>
      <c r="H1285" s="64">
        <v>53462.81</v>
      </c>
      <c r="I1285" s="64">
        <f>ventas_b_mes684[[#This Row],[IMPORTE NETO]]*0.21</f>
        <v>11227.1901</v>
      </c>
      <c r="J1285" s="64"/>
      <c r="K1285" s="64"/>
      <c r="L1285" s="64">
        <f>SUM(ventas_b_mes684[[#This Row],[IMPORTE NETO]:[EXENTO]])</f>
        <v>64690.000099999997</v>
      </c>
      <c r="M1285" s="59"/>
    </row>
    <row r="1286" spans="2:13">
      <c r="B1286" s="40" t="s">
        <v>2312</v>
      </c>
      <c r="C1286" s="41">
        <v>6</v>
      </c>
      <c r="D1286" s="42">
        <v>11</v>
      </c>
      <c r="E1286" s="43">
        <v>38169</v>
      </c>
      <c r="F1286" s="44">
        <v>42936377</v>
      </c>
      <c r="G1286" s="1" t="str">
        <f>IFERROR(IF(ventas_b_mes684[[#This Row],[CUIT]]="","-",VLOOKUP(ventas_b_mes684[[#This Row],[CUIT]],Lista_CUIT[#All],2,0)),"CUIT NO CARGADO")</f>
        <v>CUIT NO CARGADO</v>
      </c>
      <c r="H1286" s="64">
        <v>8454.5499999999993</v>
      </c>
      <c r="I1286" s="64">
        <f>ventas_b_mes684[[#This Row],[IMPORTE NETO]]*0.21</f>
        <v>1775.4554999999998</v>
      </c>
      <c r="J1286" s="64"/>
      <c r="K1286" s="64"/>
      <c r="L1286" s="64">
        <f>SUM(ventas_b_mes684[[#This Row],[IMPORTE NETO]:[EXENTO]])</f>
        <v>10230.005499999999</v>
      </c>
      <c r="M1286" s="59"/>
    </row>
    <row r="1287" spans="2:13">
      <c r="B1287" s="40" t="s">
        <v>2312</v>
      </c>
      <c r="C1287" s="41">
        <v>6</v>
      </c>
      <c r="D1287" s="42">
        <v>11</v>
      </c>
      <c r="E1287" s="43">
        <v>38180</v>
      </c>
      <c r="F1287" s="44">
        <v>36696317</v>
      </c>
      <c r="G1287" s="1" t="str">
        <f>IFERROR(IF(ventas_b_mes684[[#This Row],[CUIT]]="","-",VLOOKUP(ventas_b_mes684[[#This Row],[CUIT]],Lista_CUIT[#All],2,0)),"CUIT NO CARGADO")</f>
        <v>CUIT NO CARGADO</v>
      </c>
      <c r="H1287" s="64">
        <v>297.52</v>
      </c>
      <c r="I1287" s="64">
        <f>ventas_b_mes684[[#This Row],[IMPORTE NETO]]*0.21</f>
        <v>62.479199999999992</v>
      </c>
      <c r="J1287" s="64"/>
      <c r="K1287" s="64"/>
      <c r="L1287" s="64">
        <f>SUM(ventas_b_mes684[[#This Row],[IMPORTE NETO]:[EXENTO]])</f>
        <v>359.99919999999997</v>
      </c>
      <c r="M1287" s="59"/>
    </row>
    <row r="1288" spans="2:13">
      <c r="B1288" s="40" t="s">
        <v>2312</v>
      </c>
      <c r="C1288" s="41">
        <v>6</v>
      </c>
      <c r="D1288" s="42">
        <v>12</v>
      </c>
      <c r="E1288" s="43">
        <v>29731</v>
      </c>
      <c r="F1288" s="44">
        <v>36943395</v>
      </c>
      <c r="G1288" s="1" t="str">
        <f>IFERROR(IF(ventas_b_mes684[[#This Row],[CUIT]]="","-",VLOOKUP(ventas_b_mes684[[#This Row],[CUIT]],Lista_CUIT[#All],2,0)),"CUIT NO CARGADO")</f>
        <v>CUIT NO CARGADO</v>
      </c>
      <c r="H1288" s="64">
        <v>22239.67</v>
      </c>
      <c r="I1288" s="64">
        <f>ventas_b_mes684[[#This Row],[IMPORTE NETO]]*0.21</f>
        <v>4670.3306999999995</v>
      </c>
      <c r="J1288" s="64"/>
      <c r="K1288" s="64"/>
      <c r="L1288" s="64">
        <f>SUM(ventas_b_mes684[[#This Row],[IMPORTE NETO]:[EXENTO]])</f>
        <v>26910.000699999997</v>
      </c>
      <c r="M1288" s="59"/>
    </row>
    <row r="1289" spans="2:13">
      <c r="B1289" s="40" t="s">
        <v>2312</v>
      </c>
      <c r="C1289" s="41">
        <v>6</v>
      </c>
      <c r="D1289" s="42">
        <v>13</v>
      </c>
      <c r="E1289" s="43">
        <v>32513</v>
      </c>
      <c r="F1289" s="44">
        <v>17618048</v>
      </c>
      <c r="G1289" s="1" t="str">
        <f>IFERROR(IF(ventas_b_mes684[[#This Row],[CUIT]]="","-",VLOOKUP(ventas_b_mes684[[#This Row],[CUIT]],Lista_CUIT[#All],2,0)),"CUIT NO CARGADO")</f>
        <v>CUIT NO CARGADO</v>
      </c>
      <c r="H1289" s="64">
        <v>56752.07</v>
      </c>
      <c r="I1289" s="64">
        <f>ventas_b_mes684[[#This Row],[IMPORTE NETO]]*0.21</f>
        <v>11917.9347</v>
      </c>
      <c r="J1289" s="64"/>
      <c r="K1289" s="64"/>
      <c r="L1289" s="64">
        <f>SUM(ventas_b_mes684[[#This Row],[IMPORTE NETO]:[EXENTO]])</f>
        <v>68670.004700000005</v>
      </c>
      <c r="M1289" s="59"/>
    </row>
    <row r="1290" spans="2:13">
      <c r="B1290" s="40" t="s">
        <v>2312</v>
      </c>
      <c r="C1290" s="41">
        <v>6</v>
      </c>
      <c r="D1290" s="42">
        <v>15</v>
      </c>
      <c r="E1290" s="43">
        <v>13322</v>
      </c>
      <c r="F1290" s="44">
        <v>44728634</v>
      </c>
      <c r="G1290" s="1" t="str">
        <f>IFERROR(IF(ventas_b_mes684[[#This Row],[CUIT]]="","-",VLOOKUP(ventas_b_mes684[[#This Row],[CUIT]],Lista_CUIT[#All],2,0)),"CUIT NO CARGADO")</f>
        <v>CUIT NO CARGADO</v>
      </c>
      <c r="H1290" s="64">
        <v>20661.16</v>
      </c>
      <c r="I1290" s="64">
        <f>ventas_b_mes684[[#This Row],[IMPORTE NETO]]*0.21</f>
        <v>4338.8436000000002</v>
      </c>
      <c r="J1290" s="64"/>
      <c r="K1290" s="64"/>
      <c r="L1290" s="64">
        <f>SUM(ventas_b_mes684[[#This Row],[IMPORTE NETO]:[EXENTO]])</f>
        <v>25000.0036</v>
      </c>
      <c r="M1290" s="59"/>
    </row>
    <row r="1291" spans="2:13">
      <c r="B1291" s="40" t="s">
        <v>2312</v>
      </c>
      <c r="C1291" s="41">
        <v>6</v>
      </c>
      <c r="D1291" s="42">
        <v>12</v>
      </c>
      <c r="E1291" s="43">
        <v>29732</v>
      </c>
      <c r="F1291" s="44">
        <v>23642721</v>
      </c>
      <c r="G1291" s="1" t="str">
        <f>IFERROR(IF(ventas_b_mes684[[#This Row],[CUIT]]="","-",VLOOKUP(ventas_b_mes684[[#This Row],[CUIT]],Lista_CUIT[#All],2,0)),"CUIT NO CARGADO")</f>
        <v>CUIT NO CARGADO</v>
      </c>
      <c r="H1291" s="64">
        <v>24396.69</v>
      </c>
      <c r="I1291" s="64">
        <f>ventas_b_mes684[[#This Row],[IMPORTE NETO]]*0.21</f>
        <v>5123.3048999999992</v>
      </c>
      <c r="J1291" s="64"/>
      <c r="K1291" s="64"/>
      <c r="L1291" s="64">
        <f>SUM(ventas_b_mes684[[#This Row],[IMPORTE NETO]:[EXENTO]])</f>
        <v>29519.994899999998</v>
      </c>
      <c r="M1291" s="59"/>
    </row>
    <row r="1292" spans="2:13">
      <c r="B1292" s="40" t="s">
        <v>2312</v>
      </c>
      <c r="C1292" s="41">
        <v>6</v>
      </c>
      <c r="D1292" s="42">
        <v>15</v>
      </c>
      <c r="E1292" s="43">
        <v>13326</v>
      </c>
      <c r="F1292" s="44">
        <v>31431954</v>
      </c>
      <c r="G1292" s="1" t="str">
        <f>IFERROR(IF(ventas_b_mes684[[#This Row],[CUIT]]="","-",VLOOKUP(ventas_b_mes684[[#This Row],[CUIT]],Lista_CUIT[#All],2,0)),"CUIT NO CARGADO")</f>
        <v>CUIT NO CARGADO</v>
      </c>
      <c r="H1292" s="64">
        <v>20661.16</v>
      </c>
      <c r="I1292" s="64">
        <f>ventas_b_mes684[[#This Row],[IMPORTE NETO]]*0.21</f>
        <v>4338.8436000000002</v>
      </c>
      <c r="J1292" s="64"/>
      <c r="K1292" s="64"/>
      <c r="L1292" s="64">
        <f>SUM(ventas_b_mes684[[#This Row],[IMPORTE NETO]:[EXENTO]])</f>
        <v>25000.0036</v>
      </c>
      <c r="M1292" s="59"/>
    </row>
    <row r="1293" spans="2:13">
      <c r="B1293" s="40" t="s">
        <v>2312</v>
      </c>
      <c r="C1293" s="41">
        <v>6</v>
      </c>
      <c r="D1293" s="42">
        <v>11</v>
      </c>
      <c r="E1293" s="43">
        <v>38162</v>
      </c>
      <c r="F1293" s="44">
        <v>25698741</v>
      </c>
      <c r="G1293" s="1" t="str">
        <f>IFERROR(IF(ventas_b_mes684[[#This Row],[CUIT]]="","-",VLOOKUP(ventas_b_mes684[[#This Row],[CUIT]],Lista_CUIT[#All],2,0)),"CUIT NO CARGADO")</f>
        <v>CUIT NO CARGADO</v>
      </c>
      <c r="H1293" s="64">
        <v>19834.71</v>
      </c>
      <c r="I1293" s="64">
        <f>ventas_b_mes684[[#This Row],[IMPORTE NETO]]*0.21</f>
        <v>4165.2891</v>
      </c>
      <c r="J1293" s="64"/>
      <c r="K1293" s="64"/>
      <c r="L1293" s="64">
        <f>SUM(ventas_b_mes684[[#This Row],[IMPORTE NETO]:[EXENTO]])</f>
        <v>23999.999100000001</v>
      </c>
      <c r="M1293" s="59"/>
    </row>
    <row r="1294" spans="2:13">
      <c r="B1294" s="40" t="s">
        <v>2312</v>
      </c>
      <c r="C1294" s="41">
        <v>6</v>
      </c>
      <c r="D1294" s="42">
        <v>15</v>
      </c>
      <c r="E1294" s="43">
        <v>13324</v>
      </c>
      <c r="F1294" s="44">
        <v>30693743</v>
      </c>
      <c r="G1294" s="1" t="str">
        <f>IFERROR(IF(ventas_b_mes684[[#This Row],[CUIT]]="","-",VLOOKUP(ventas_b_mes684[[#This Row],[CUIT]],Lista_CUIT[#All],2,0)),"CUIT NO CARGADO")</f>
        <v>CUIT NO CARGADO</v>
      </c>
      <c r="H1294" s="64">
        <v>20661.16</v>
      </c>
      <c r="I1294" s="64">
        <f>ventas_b_mes684[[#This Row],[IMPORTE NETO]]*0.21</f>
        <v>4338.8436000000002</v>
      </c>
      <c r="J1294" s="64"/>
      <c r="K1294" s="64"/>
      <c r="L1294" s="64">
        <f>SUM(ventas_b_mes684[[#This Row],[IMPORTE NETO]:[EXENTO]])</f>
        <v>25000.0036</v>
      </c>
      <c r="M1294" s="59"/>
    </row>
    <row r="1295" spans="2:13">
      <c r="B1295" s="40" t="s">
        <v>2312</v>
      </c>
      <c r="C1295" s="41">
        <v>6</v>
      </c>
      <c r="D1295" s="42">
        <v>10</v>
      </c>
      <c r="E1295" s="43">
        <v>54505</v>
      </c>
      <c r="F1295" s="44">
        <v>94432134</v>
      </c>
      <c r="G1295" s="1" t="str">
        <f>IFERROR(IF(ventas_b_mes684[[#This Row],[CUIT]]="","-",VLOOKUP(ventas_b_mes684[[#This Row],[CUIT]],Lista_CUIT[#All],2,0)),"CUIT NO CARGADO")</f>
        <v>CUIT NO CARGADO</v>
      </c>
      <c r="H1295" s="64">
        <v>20661.16</v>
      </c>
      <c r="I1295" s="64">
        <f>ventas_b_mes684[[#This Row],[IMPORTE NETO]]*0.21</f>
        <v>4338.8436000000002</v>
      </c>
      <c r="J1295" s="64"/>
      <c r="K1295" s="64"/>
      <c r="L1295" s="64">
        <f>SUM(ventas_b_mes684[[#This Row],[IMPORTE NETO]:[EXENTO]])</f>
        <v>25000.0036</v>
      </c>
      <c r="M1295" s="59"/>
    </row>
    <row r="1296" spans="2:13">
      <c r="B1296" s="40" t="s">
        <v>2312</v>
      </c>
      <c r="C1296" s="41">
        <v>6</v>
      </c>
      <c r="D1296" s="42">
        <v>11</v>
      </c>
      <c r="E1296" s="43">
        <v>38171</v>
      </c>
      <c r="F1296" s="44">
        <v>94996910</v>
      </c>
      <c r="G1296" s="1" t="str">
        <f>IFERROR(IF(ventas_b_mes684[[#This Row],[CUIT]]="","-",VLOOKUP(ventas_b_mes684[[#This Row],[CUIT]],Lista_CUIT[#All],2,0)),"CUIT NO CARGADO")</f>
        <v>CUIT NO CARGADO</v>
      </c>
      <c r="H1296" s="64">
        <v>21144.63</v>
      </c>
      <c r="I1296" s="64">
        <f>ventas_b_mes684[[#This Row],[IMPORTE NETO]]*0.21</f>
        <v>4440.3723</v>
      </c>
      <c r="J1296" s="64"/>
      <c r="K1296" s="64"/>
      <c r="L1296" s="64">
        <f>SUM(ventas_b_mes684[[#This Row],[IMPORTE NETO]:[EXENTO]])</f>
        <v>25585.0023</v>
      </c>
      <c r="M1296" s="59"/>
    </row>
    <row r="1297" spans="2:13">
      <c r="B1297" s="40" t="s">
        <v>2312</v>
      </c>
      <c r="C1297" s="41">
        <v>6</v>
      </c>
      <c r="D1297" s="42">
        <v>11</v>
      </c>
      <c r="E1297" s="43">
        <v>38178</v>
      </c>
      <c r="F1297" s="44">
        <v>46753234</v>
      </c>
      <c r="G1297" s="1" t="str">
        <f>IFERROR(IF(ventas_b_mes684[[#This Row],[CUIT]]="","-",VLOOKUP(ventas_b_mes684[[#This Row],[CUIT]],Lista_CUIT[#All],2,0)),"CUIT NO CARGADO")</f>
        <v>CUIT NO CARGADO</v>
      </c>
      <c r="H1297" s="64">
        <v>297.52</v>
      </c>
      <c r="I1297" s="64">
        <f>ventas_b_mes684[[#This Row],[IMPORTE NETO]]*0.21</f>
        <v>62.479199999999992</v>
      </c>
      <c r="J1297" s="64"/>
      <c r="K1297" s="64"/>
      <c r="L1297" s="64">
        <f>SUM(ventas_b_mes684[[#This Row],[IMPORTE NETO]:[EXENTO]])</f>
        <v>359.99919999999997</v>
      </c>
      <c r="M1297" s="59"/>
    </row>
    <row r="1298" spans="2:13">
      <c r="B1298" s="40" t="s">
        <v>2312</v>
      </c>
      <c r="C1298" s="41">
        <v>6</v>
      </c>
      <c r="D1298" s="42">
        <v>11</v>
      </c>
      <c r="E1298" s="43">
        <v>38159</v>
      </c>
      <c r="F1298" s="44">
        <v>42102205</v>
      </c>
      <c r="G1298" s="1" t="str">
        <f>IFERROR(IF(ventas_b_mes684[[#This Row],[CUIT]]="","-",VLOOKUP(ventas_b_mes684[[#This Row],[CUIT]],Lista_CUIT[#All],2,0)),"CUIT NO CARGADO")</f>
        <v>CUIT NO CARGADO</v>
      </c>
      <c r="H1298" s="64">
        <v>13719.01</v>
      </c>
      <c r="I1298" s="64">
        <f>ventas_b_mes684[[#This Row],[IMPORTE NETO]]*0.21</f>
        <v>2880.9920999999999</v>
      </c>
      <c r="J1298" s="64"/>
      <c r="K1298" s="64"/>
      <c r="L1298" s="64">
        <f>SUM(ventas_b_mes684[[#This Row],[IMPORTE NETO]:[EXENTO]])</f>
        <v>16600.002100000002</v>
      </c>
      <c r="M1298" s="59"/>
    </row>
    <row r="1299" spans="2:13">
      <c r="B1299" s="40" t="s">
        <v>2312</v>
      </c>
      <c r="C1299" s="41">
        <v>6</v>
      </c>
      <c r="D1299" s="42">
        <v>15</v>
      </c>
      <c r="E1299" s="43">
        <v>13329</v>
      </c>
      <c r="F1299" s="44">
        <v>41209630</v>
      </c>
      <c r="G1299" s="1" t="str">
        <f>IFERROR(IF(ventas_b_mes684[[#This Row],[CUIT]]="","-",VLOOKUP(ventas_b_mes684[[#This Row],[CUIT]],Lista_CUIT[#All],2,0)),"CUIT NO CARGADO")</f>
        <v>CUIT NO CARGADO</v>
      </c>
      <c r="H1299" s="64">
        <v>6198.35</v>
      </c>
      <c r="I1299" s="64">
        <f>ventas_b_mes684[[#This Row],[IMPORTE NETO]]*0.21</f>
        <v>1301.6535000000001</v>
      </c>
      <c r="J1299" s="64"/>
      <c r="K1299" s="64"/>
      <c r="L1299" s="64">
        <f>SUM(ventas_b_mes684[[#This Row],[IMPORTE NETO]:[EXENTO]])</f>
        <v>7500.0035000000007</v>
      </c>
      <c r="M1299" s="59"/>
    </row>
    <row r="1300" spans="2:13">
      <c r="B1300" s="40" t="s">
        <v>2312</v>
      </c>
      <c r="C1300" s="41">
        <v>6</v>
      </c>
      <c r="D1300" s="42">
        <v>12</v>
      </c>
      <c r="E1300" s="43">
        <v>29733</v>
      </c>
      <c r="F1300" s="44">
        <v>20054284</v>
      </c>
      <c r="G1300" s="1" t="str">
        <f>IFERROR(IF(ventas_b_mes684[[#This Row],[CUIT]]="","-",VLOOKUP(ventas_b_mes684[[#This Row],[CUIT]],Lista_CUIT[#All],2,0)),"CUIT NO CARGADO")</f>
        <v>CUIT NO CARGADO</v>
      </c>
      <c r="H1300" s="64">
        <v>8925.6200000000008</v>
      </c>
      <c r="I1300" s="64">
        <f>ventas_b_mes684[[#This Row],[IMPORTE NETO]]*0.21</f>
        <v>1874.3802000000001</v>
      </c>
      <c r="J1300" s="64"/>
      <c r="K1300" s="64"/>
      <c r="L1300" s="64">
        <f>SUM(ventas_b_mes684[[#This Row],[IMPORTE NETO]:[EXENTO]])</f>
        <v>10800.0002</v>
      </c>
      <c r="M1300" s="59"/>
    </row>
    <row r="1301" spans="2:13">
      <c r="B1301" s="40" t="s">
        <v>2312</v>
      </c>
      <c r="C1301" s="41">
        <v>6</v>
      </c>
      <c r="D1301" s="42">
        <v>11</v>
      </c>
      <c r="E1301" s="43">
        <v>38179</v>
      </c>
      <c r="F1301" s="44">
        <v>96002461</v>
      </c>
      <c r="G1301" s="1" t="str">
        <f>IFERROR(IF(ventas_b_mes684[[#This Row],[CUIT]]="","-",VLOOKUP(ventas_b_mes684[[#This Row],[CUIT]],Lista_CUIT[#All],2,0)),"CUIT NO CARGADO")</f>
        <v>CUIT NO CARGADO</v>
      </c>
      <c r="H1301" s="64">
        <v>297.52</v>
      </c>
      <c r="I1301" s="64">
        <f>ventas_b_mes684[[#This Row],[IMPORTE NETO]]*0.21</f>
        <v>62.479199999999992</v>
      </c>
      <c r="J1301" s="64"/>
      <c r="K1301" s="64"/>
      <c r="L1301" s="64">
        <f>SUM(ventas_b_mes684[[#This Row],[IMPORTE NETO]:[EXENTO]])</f>
        <v>359.99919999999997</v>
      </c>
      <c r="M1301" s="59"/>
    </row>
    <row r="1302" spans="2:13">
      <c r="B1302" s="40" t="s">
        <v>2312</v>
      </c>
      <c r="C1302" s="41">
        <v>6</v>
      </c>
      <c r="D1302" s="42">
        <v>10</v>
      </c>
      <c r="E1302" s="43">
        <v>54522</v>
      </c>
      <c r="F1302" s="44">
        <v>26200300</v>
      </c>
      <c r="G1302" s="1" t="str">
        <f>IFERROR(IF(ventas_b_mes684[[#This Row],[CUIT]]="","-",VLOOKUP(ventas_b_mes684[[#This Row],[CUIT]],Lista_CUIT[#All],2,0)),"CUIT NO CARGADO")</f>
        <v>CUIT NO CARGADO</v>
      </c>
      <c r="H1302" s="64">
        <v>95280.99</v>
      </c>
      <c r="I1302" s="64">
        <f>ventas_b_mes684[[#This Row],[IMPORTE NETO]]*0.21</f>
        <v>20009.007900000001</v>
      </c>
      <c r="J1302" s="64"/>
      <c r="K1302" s="64"/>
      <c r="L1302" s="64">
        <f>SUM(ventas_b_mes684[[#This Row],[IMPORTE NETO]:[EXENTO]])</f>
        <v>115289.9979</v>
      </c>
      <c r="M1302" s="59"/>
    </row>
    <row r="1303" spans="2:13">
      <c r="B1303" s="40" t="s">
        <v>2312</v>
      </c>
      <c r="C1303" s="41">
        <v>6</v>
      </c>
      <c r="D1303" s="42">
        <v>11</v>
      </c>
      <c r="E1303" s="43">
        <v>38177</v>
      </c>
      <c r="F1303" s="44">
        <v>28378051</v>
      </c>
      <c r="G1303" s="1" t="str">
        <f>IFERROR(IF(ventas_b_mes684[[#This Row],[CUIT]]="","-",VLOOKUP(ventas_b_mes684[[#This Row],[CUIT]],Lista_CUIT[#All],2,0)),"CUIT NO CARGADO")</f>
        <v>CUIT NO CARGADO</v>
      </c>
      <c r="H1303" s="64">
        <v>7768.59</v>
      </c>
      <c r="I1303" s="64">
        <f>ventas_b_mes684[[#This Row],[IMPORTE NETO]]*0.21</f>
        <v>1631.4039</v>
      </c>
      <c r="J1303" s="64"/>
      <c r="K1303" s="64"/>
      <c r="L1303" s="64">
        <f>SUM(ventas_b_mes684[[#This Row],[IMPORTE NETO]:[EXENTO]])</f>
        <v>9399.9938999999995</v>
      </c>
      <c r="M1303" s="59"/>
    </row>
    <row r="1304" spans="2:13">
      <c r="B1304" s="40" t="s">
        <v>2312</v>
      </c>
      <c r="C1304" s="41">
        <v>6</v>
      </c>
      <c r="D1304" s="42">
        <v>11</v>
      </c>
      <c r="E1304" s="43">
        <v>38161</v>
      </c>
      <c r="F1304" s="44">
        <v>96234599</v>
      </c>
      <c r="G1304" s="1" t="str">
        <f>IFERROR(IF(ventas_b_mes684[[#This Row],[CUIT]]="","-",VLOOKUP(ventas_b_mes684[[#This Row],[CUIT]],Lista_CUIT[#All],2,0)),"CUIT NO CARGADO")</f>
        <v>CUIT NO CARGADO</v>
      </c>
      <c r="H1304" s="64">
        <v>20661.16</v>
      </c>
      <c r="I1304" s="64">
        <f>ventas_b_mes684[[#This Row],[IMPORTE NETO]]*0.21</f>
        <v>4338.8436000000002</v>
      </c>
      <c r="J1304" s="64"/>
      <c r="K1304" s="64"/>
      <c r="L1304" s="64">
        <f>SUM(ventas_b_mes684[[#This Row],[IMPORTE NETO]:[EXENTO]])</f>
        <v>25000.0036</v>
      </c>
      <c r="M1304" s="59"/>
    </row>
    <row r="1305" spans="2:13">
      <c r="B1305" s="40" t="s">
        <v>2312</v>
      </c>
      <c r="C1305" s="41">
        <v>6</v>
      </c>
      <c r="D1305" s="42">
        <v>15</v>
      </c>
      <c r="E1305" s="43">
        <v>13330</v>
      </c>
      <c r="F1305" s="44">
        <v>45226021</v>
      </c>
      <c r="G1305" s="1" t="str">
        <f>IFERROR(IF(ventas_b_mes684[[#This Row],[CUIT]]="","-",VLOOKUP(ventas_b_mes684[[#This Row],[CUIT]],Lista_CUIT[#All],2,0)),"CUIT NO CARGADO")</f>
        <v>CUIT NO CARGADO</v>
      </c>
      <c r="H1305" s="64">
        <v>6198.35</v>
      </c>
      <c r="I1305" s="64">
        <f>ventas_b_mes684[[#This Row],[IMPORTE NETO]]*0.21</f>
        <v>1301.6535000000001</v>
      </c>
      <c r="J1305" s="64"/>
      <c r="K1305" s="64"/>
      <c r="L1305" s="64">
        <f>SUM(ventas_b_mes684[[#This Row],[IMPORTE NETO]:[EXENTO]])</f>
        <v>7500.0035000000007</v>
      </c>
      <c r="M1305" s="59"/>
    </row>
    <row r="1306" spans="2:13">
      <c r="B1306" s="40" t="s">
        <v>2312</v>
      </c>
      <c r="C1306" s="41">
        <v>6</v>
      </c>
      <c r="D1306" s="42">
        <v>15</v>
      </c>
      <c r="E1306" s="43">
        <v>13327</v>
      </c>
      <c r="F1306" s="44">
        <v>26843489</v>
      </c>
      <c r="G1306" s="1" t="str">
        <f>IFERROR(IF(ventas_b_mes684[[#This Row],[CUIT]]="","-",VLOOKUP(ventas_b_mes684[[#This Row],[CUIT]],Lista_CUIT[#All],2,0)),"CUIT NO CARGADO")</f>
        <v>CAMPO, CECILIA (ALUMNA)</v>
      </c>
      <c r="H1306" s="64">
        <v>35206.61</v>
      </c>
      <c r="I1306" s="64">
        <f>ventas_b_mes684[[#This Row],[IMPORTE NETO]]*0.21</f>
        <v>7393.3881000000001</v>
      </c>
      <c r="J1306" s="64"/>
      <c r="K1306" s="64"/>
      <c r="L1306" s="64">
        <f>SUM(ventas_b_mes684[[#This Row],[IMPORTE NETO]:[EXENTO]])</f>
        <v>42599.998099999997</v>
      </c>
      <c r="M1306" s="59"/>
    </row>
    <row r="1307" spans="2:13">
      <c r="B1307" s="40" t="s">
        <v>2312</v>
      </c>
      <c r="C1307" s="41">
        <v>6</v>
      </c>
      <c r="D1307" s="42">
        <v>11</v>
      </c>
      <c r="E1307" s="43">
        <v>38183</v>
      </c>
      <c r="F1307" s="44">
        <v>22633975</v>
      </c>
      <c r="G1307" s="1" t="str">
        <f>IFERROR(IF(ventas_b_mes684[[#This Row],[CUIT]]="","-",VLOOKUP(ventas_b_mes684[[#This Row],[CUIT]],Lista_CUIT[#All],2,0)),"CUIT NO CARGADO")</f>
        <v>CUIT NO CARGADO</v>
      </c>
      <c r="H1307" s="64">
        <v>38264.46</v>
      </c>
      <c r="I1307" s="64">
        <f>ventas_b_mes684[[#This Row],[IMPORTE NETO]]*0.21</f>
        <v>8035.5365999999995</v>
      </c>
      <c r="J1307" s="64"/>
      <c r="K1307" s="64"/>
      <c r="L1307" s="64">
        <f>SUM(ventas_b_mes684[[#This Row],[IMPORTE NETO]:[EXENTO]])</f>
        <v>46299.996599999999</v>
      </c>
      <c r="M1307" s="59"/>
    </row>
    <row r="1308" spans="2:13">
      <c r="B1308" s="40" t="s">
        <v>2312</v>
      </c>
      <c r="C1308" s="41">
        <v>6</v>
      </c>
      <c r="D1308" s="42">
        <v>12</v>
      </c>
      <c r="E1308" s="43">
        <v>29726</v>
      </c>
      <c r="F1308" s="44">
        <v>20340356</v>
      </c>
      <c r="G1308" s="1" t="str">
        <f>IFERROR(IF(ventas_b_mes684[[#This Row],[CUIT]]="","-",VLOOKUP(ventas_b_mes684[[#This Row],[CUIT]],Lista_CUIT[#All],2,0)),"CUIT NO CARGADO")</f>
        <v>CUIT NO CARGADO</v>
      </c>
      <c r="H1308" s="64">
        <v>38950.410000000003</v>
      </c>
      <c r="I1308" s="64">
        <f>ventas_b_mes684[[#This Row],[IMPORTE NETO]]*0.21</f>
        <v>8179.5861000000004</v>
      </c>
      <c r="J1308" s="64"/>
      <c r="K1308" s="64"/>
      <c r="L1308" s="64">
        <f>SUM(ventas_b_mes684[[#This Row],[IMPORTE NETO]:[EXENTO]])</f>
        <v>47129.996100000004</v>
      </c>
      <c r="M1308" s="59"/>
    </row>
    <row r="1309" spans="2:13">
      <c r="B1309" s="40" t="s">
        <v>2312</v>
      </c>
      <c r="C1309" s="41">
        <v>6</v>
      </c>
      <c r="D1309" s="42">
        <v>15</v>
      </c>
      <c r="E1309" s="43">
        <v>13328</v>
      </c>
      <c r="F1309" s="44">
        <v>17015904</v>
      </c>
      <c r="G1309" s="1" t="str">
        <f>IFERROR(IF(ventas_b_mes684[[#This Row],[CUIT]]="","-",VLOOKUP(ventas_b_mes684[[#This Row],[CUIT]],Lista_CUIT[#All],2,0)),"CUIT NO CARGADO")</f>
        <v>CUIT NO CARGADO</v>
      </c>
      <c r="H1309" s="64">
        <v>23537.19</v>
      </c>
      <c r="I1309" s="64">
        <f>ventas_b_mes684[[#This Row],[IMPORTE NETO]]*0.21</f>
        <v>4942.8098999999993</v>
      </c>
      <c r="J1309" s="64"/>
      <c r="K1309" s="64"/>
      <c r="L1309" s="64">
        <f>SUM(ventas_b_mes684[[#This Row],[IMPORTE NETO]:[EXENTO]])</f>
        <v>28479.999899999999</v>
      </c>
      <c r="M1309" s="59"/>
    </row>
    <row r="1310" spans="2:13">
      <c r="B1310" s="40" t="s">
        <v>2312</v>
      </c>
      <c r="C1310" s="41">
        <v>6</v>
      </c>
      <c r="D1310" s="42">
        <v>12</v>
      </c>
      <c r="E1310" s="43">
        <v>29725</v>
      </c>
      <c r="F1310" s="44">
        <v>27168442802</v>
      </c>
      <c r="G1310" s="1" t="str">
        <f>IFERROR(IF(ventas_b_mes684[[#This Row],[CUIT]]="","-",VLOOKUP(ventas_b_mes684[[#This Row],[CUIT]],Lista_CUIT[#All],2,0)),"CUIT NO CARGADO")</f>
        <v>CORNERO SILVIA DEL VALLE</v>
      </c>
      <c r="H1310" s="64">
        <v>41223.14</v>
      </c>
      <c r="I1310" s="64">
        <f>ventas_b_mes684[[#This Row],[IMPORTE NETO]]*0.21</f>
        <v>8656.8593999999994</v>
      </c>
      <c r="J1310" s="64"/>
      <c r="K1310" s="64"/>
      <c r="L1310" s="64">
        <f>SUM(ventas_b_mes684[[#This Row],[IMPORTE NETO]:[EXENTO]])</f>
        <v>49879.999400000001</v>
      </c>
      <c r="M1310" s="59"/>
    </row>
    <row r="1311" spans="2:13">
      <c r="B1311" s="40" t="s">
        <v>2312</v>
      </c>
      <c r="C1311" s="41">
        <v>6</v>
      </c>
      <c r="D1311" s="42">
        <v>15</v>
      </c>
      <c r="E1311" s="43">
        <v>13320</v>
      </c>
      <c r="F1311" s="44">
        <v>32498102</v>
      </c>
      <c r="G1311" s="1" t="str">
        <f>IFERROR(IF(ventas_b_mes684[[#This Row],[CUIT]]="","-",VLOOKUP(ventas_b_mes684[[#This Row],[CUIT]],Lista_CUIT[#All],2,0)),"CUIT NO CARGADO")</f>
        <v>CUIT NO CARGADO</v>
      </c>
      <c r="H1311" s="64">
        <v>13223.14</v>
      </c>
      <c r="I1311" s="64">
        <f>ventas_b_mes684[[#This Row],[IMPORTE NETO]]*0.21</f>
        <v>2776.8593999999998</v>
      </c>
      <c r="J1311" s="64"/>
      <c r="K1311" s="64"/>
      <c r="L1311" s="64">
        <f>SUM(ventas_b_mes684[[#This Row],[IMPORTE NETO]:[EXENTO]])</f>
        <v>15999.999399999999</v>
      </c>
      <c r="M1311" s="59"/>
    </row>
    <row r="1312" spans="2:13">
      <c r="B1312" s="40" t="s">
        <v>2312</v>
      </c>
      <c r="C1312" s="41">
        <v>6</v>
      </c>
      <c r="D1312" s="42">
        <v>13</v>
      </c>
      <c r="E1312" s="43">
        <v>32512</v>
      </c>
      <c r="F1312" s="44">
        <v>18268285</v>
      </c>
      <c r="G1312" s="1" t="str">
        <f>IFERROR(IF(ventas_b_mes684[[#This Row],[CUIT]]="","-",VLOOKUP(ventas_b_mes684[[#This Row],[CUIT]],Lista_CUIT[#All],2,0)),"CUIT NO CARGADO")</f>
        <v>CUIT NO CARGADO</v>
      </c>
      <c r="H1312" s="64">
        <v>20661.16</v>
      </c>
      <c r="I1312" s="64">
        <f>ventas_b_mes684[[#This Row],[IMPORTE NETO]]*0.21</f>
        <v>4338.8436000000002</v>
      </c>
      <c r="J1312" s="64"/>
      <c r="K1312" s="64"/>
      <c r="L1312" s="64">
        <f>SUM(ventas_b_mes684[[#This Row],[IMPORTE NETO]:[EXENTO]])</f>
        <v>25000.0036</v>
      </c>
      <c r="M1312" s="59"/>
    </row>
    <row r="1313" spans="2:13">
      <c r="B1313" s="40" t="s">
        <v>2312</v>
      </c>
      <c r="C1313" s="41">
        <v>6</v>
      </c>
      <c r="D1313" s="42">
        <v>10</v>
      </c>
      <c r="E1313" s="43">
        <v>54506</v>
      </c>
      <c r="F1313" s="44">
        <v>94432134</v>
      </c>
      <c r="G1313" s="1" t="str">
        <f>IFERROR(IF(ventas_b_mes684[[#This Row],[CUIT]]="","-",VLOOKUP(ventas_b_mes684[[#This Row],[CUIT]],Lista_CUIT[#All],2,0)),"CUIT NO CARGADO")</f>
        <v>CUIT NO CARGADO</v>
      </c>
      <c r="H1313" s="64">
        <v>20661.16</v>
      </c>
      <c r="I1313" s="64">
        <f>ventas_b_mes684[[#This Row],[IMPORTE NETO]]*0.21</f>
        <v>4338.8436000000002</v>
      </c>
      <c r="J1313" s="64"/>
      <c r="K1313" s="64"/>
      <c r="L1313" s="64">
        <f>SUM(ventas_b_mes684[[#This Row],[IMPORTE NETO]:[EXENTO]])</f>
        <v>25000.0036</v>
      </c>
      <c r="M1313" s="59"/>
    </row>
    <row r="1314" spans="2:13">
      <c r="B1314" s="40" t="s">
        <v>2312</v>
      </c>
      <c r="C1314" s="41">
        <v>6</v>
      </c>
      <c r="D1314" s="42">
        <v>10</v>
      </c>
      <c r="E1314" s="43">
        <v>54512</v>
      </c>
      <c r="F1314" s="44">
        <v>30821333</v>
      </c>
      <c r="G1314" s="1" t="str">
        <f>IFERROR(IF(ventas_b_mes684[[#This Row],[CUIT]]="","-",VLOOKUP(ventas_b_mes684[[#This Row],[CUIT]],Lista_CUIT[#All],2,0)),"CUIT NO CARGADO")</f>
        <v>CUIT NO CARGADO</v>
      </c>
      <c r="H1314" s="64">
        <v>8264.4599999999991</v>
      </c>
      <c r="I1314" s="64">
        <f>ventas_b_mes684[[#This Row],[IMPORTE NETO]]*0.21</f>
        <v>1735.5365999999997</v>
      </c>
      <c r="J1314" s="64"/>
      <c r="K1314" s="64"/>
      <c r="L1314" s="64">
        <f>SUM(ventas_b_mes684[[#This Row],[IMPORTE NETO]:[EXENTO]])</f>
        <v>9999.9965999999986</v>
      </c>
      <c r="M1314" s="59"/>
    </row>
    <row r="1315" spans="2:13">
      <c r="B1315" s="40" t="s">
        <v>2312</v>
      </c>
      <c r="C1315" s="41">
        <v>6</v>
      </c>
      <c r="D1315" s="42">
        <v>12</v>
      </c>
      <c r="E1315" s="43">
        <v>29730</v>
      </c>
      <c r="F1315" s="44">
        <v>12758459</v>
      </c>
      <c r="G1315" s="1" t="str">
        <f>IFERROR(IF(ventas_b_mes684[[#This Row],[CUIT]]="","-",VLOOKUP(ventas_b_mes684[[#This Row],[CUIT]],Lista_CUIT[#All],2,0)),"CUIT NO CARGADO")</f>
        <v>AVILA NORMA ALICIA</v>
      </c>
      <c r="H1315" s="64">
        <v>84958.68</v>
      </c>
      <c r="I1315" s="64">
        <f>ventas_b_mes684[[#This Row],[IMPORTE NETO]]*0.21</f>
        <v>17841.322799999998</v>
      </c>
      <c r="J1315" s="64"/>
      <c r="K1315" s="64"/>
      <c r="L1315" s="64">
        <f>SUM(ventas_b_mes684[[#This Row],[IMPORTE NETO]:[EXENTO]])</f>
        <v>102800.00279999999</v>
      </c>
      <c r="M1315" s="59"/>
    </row>
    <row r="1316" spans="2:13">
      <c r="B1316" s="40" t="s">
        <v>2312</v>
      </c>
      <c r="C1316" s="41">
        <v>6</v>
      </c>
      <c r="D1316" s="42">
        <v>12</v>
      </c>
      <c r="E1316" s="43">
        <v>29729</v>
      </c>
      <c r="F1316" s="44">
        <v>4955365</v>
      </c>
      <c r="G1316" s="1" t="str">
        <f>IFERROR(IF(ventas_b_mes684[[#This Row],[CUIT]]="","-",VLOOKUP(ventas_b_mes684[[#This Row],[CUIT]],Lista_CUIT[#All],2,0)),"CUIT NO CARGADO")</f>
        <v>CUIT NO CARGADO</v>
      </c>
      <c r="H1316" s="64">
        <v>38677.69</v>
      </c>
      <c r="I1316" s="64">
        <f>ventas_b_mes684[[#This Row],[IMPORTE NETO]]*0.21</f>
        <v>8122.3149000000003</v>
      </c>
      <c r="J1316" s="64"/>
      <c r="K1316" s="64"/>
      <c r="L1316" s="64">
        <f>SUM(ventas_b_mes684[[#This Row],[IMPORTE NETO]:[EXENTO]])</f>
        <v>46800.0049</v>
      </c>
      <c r="M1316" s="59"/>
    </row>
    <row r="1317" spans="2:13">
      <c r="B1317" s="40" t="s">
        <v>2312</v>
      </c>
      <c r="C1317" s="41">
        <v>6</v>
      </c>
      <c r="D1317" s="42">
        <v>11</v>
      </c>
      <c r="E1317" s="43">
        <v>38184</v>
      </c>
      <c r="F1317" s="44">
        <v>96002461</v>
      </c>
      <c r="G1317" s="1" t="str">
        <f>IFERROR(IF(ventas_b_mes684[[#This Row],[CUIT]]="","-",VLOOKUP(ventas_b_mes684[[#This Row],[CUIT]],Lista_CUIT[#All],2,0)),"CUIT NO CARGADO")</f>
        <v>CUIT NO CARGADO</v>
      </c>
      <c r="H1317" s="64">
        <v>11380.17</v>
      </c>
      <c r="I1317" s="64">
        <f>ventas_b_mes684[[#This Row],[IMPORTE NETO]]*0.21</f>
        <v>2389.8357000000001</v>
      </c>
      <c r="J1317" s="64"/>
      <c r="K1317" s="64"/>
      <c r="L1317" s="64">
        <f>SUM(ventas_b_mes684[[#This Row],[IMPORTE NETO]:[EXENTO]])</f>
        <v>13770.0057</v>
      </c>
      <c r="M1317" s="59"/>
    </row>
    <row r="1318" spans="2:13">
      <c r="B1318" s="40" t="s">
        <v>2312</v>
      </c>
      <c r="C1318" s="41">
        <v>6</v>
      </c>
      <c r="D1318" s="42">
        <v>12</v>
      </c>
      <c r="E1318" s="43">
        <v>29724</v>
      </c>
      <c r="F1318" s="44">
        <v>20054284</v>
      </c>
      <c r="G1318" s="1" t="str">
        <f>IFERROR(IF(ventas_b_mes684[[#This Row],[CUIT]]="","-",VLOOKUP(ventas_b_mes684[[#This Row],[CUIT]],Lista_CUIT[#All],2,0)),"CUIT NO CARGADO")</f>
        <v>CUIT NO CARGADO</v>
      </c>
      <c r="H1318" s="64">
        <v>23324.79</v>
      </c>
      <c r="I1318" s="64">
        <f>ventas_b_mes684[[#This Row],[IMPORTE NETO]]*0.21</f>
        <v>4898.2058999999999</v>
      </c>
      <c r="J1318" s="64"/>
      <c r="K1318" s="64"/>
      <c r="L1318" s="64">
        <f>SUM(ventas_b_mes684[[#This Row],[IMPORTE NETO]:[EXENTO]])</f>
        <v>28222.995900000002</v>
      </c>
      <c r="M1318" s="59"/>
    </row>
    <row r="1319" spans="2:13">
      <c r="B1319" s="40" t="s">
        <v>2312</v>
      </c>
      <c r="C1319" s="41">
        <v>6</v>
      </c>
      <c r="D1319" s="42">
        <v>12</v>
      </c>
      <c r="E1319" s="43">
        <v>29734</v>
      </c>
      <c r="F1319" s="44">
        <v>41385913</v>
      </c>
      <c r="G1319" s="1" t="str">
        <f>IFERROR(IF(ventas_b_mes684[[#This Row],[CUIT]]="","-",VLOOKUP(ventas_b_mes684[[#This Row],[CUIT]],Lista_CUIT[#All],2,0)),"CUIT NO CARGADO")</f>
        <v>CUIT NO CARGADO</v>
      </c>
      <c r="H1319" s="64">
        <v>6247.93</v>
      </c>
      <c r="I1319" s="64">
        <f>ventas_b_mes684[[#This Row],[IMPORTE NETO]]*0.21</f>
        <v>1312.0653</v>
      </c>
      <c r="J1319" s="64"/>
      <c r="K1319" s="64"/>
      <c r="L1319" s="64">
        <f>SUM(ventas_b_mes684[[#This Row],[IMPORTE NETO]:[EXENTO]])</f>
        <v>7559.9953000000005</v>
      </c>
      <c r="M1319" s="59"/>
    </row>
    <row r="1320" spans="2:13">
      <c r="B1320" s="40" t="s">
        <v>2312</v>
      </c>
      <c r="C1320" s="41">
        <v>6</v>
      </c>
      <c r="D1320" s="42">
        <v>11</v>
      </c>
      <c r="E1320" s="43">
        <v>38168</v>
      </c>
      <c r="F1320" s="44">
        <v>9587412</v>
      </c>
      <c r="G1320" s="1" t="str">
        <f>IFERROR(IF(ventas_b_mes684[[#This Row],[CUIT]]="","-",VLOOKUP(ventas_b_mes684[[#This Row],[CUIT]],Lista_CUIT[#All],2,0)),"CUIT NO CARGADO")</f>
        <v>CUIT NO CARGADO</v>
      </c>
      <c r="H1320" s="64">
        <v>7272.73</v>
      </c>
      <c r="I1320" s="64">
        <f>ventas_b_mes684[[#This Row],[IMPORTE NETO]]*0.21</f>
        <v>1527.2732999999998</v>
      </c>
      <c r="J1320" s="64"/>
      <c r="K1320" s="64"/>
      <c r="L1320" s="64">
        <f>SUM(ventas_b_mes684[[#This Row],[IMPORTE NETO]:[EXENTO]])</f>
        <v>8800.0033000000003</v>
      </c>
      <c r="M1320" s="59"/>
    </row>
    <row r="1321" spans="2:13">
      <c r="B1321" s="40" t="s">
        <v>2312</v>
      </c>
      <c r="C1321" s="41">
        <v>6</v>
      </c>
      <c r="D1321" s="42">
        <v>11</v>
      </c>
      <c r="E1321" s="43">
        <v>38157</v>
      </c>
      <c r="F1321" s="44">
        <v>30073418</v>
      </c>
      <c r="G1321" s="1" t="str">
        <f>IFERROR(IF(ventas_b_mes684[[#This Row],[CUIT]]="","-",VLOOKUP(ventas_b_mes684[[#This Row],[CUIT]],Lista_CUIT[#All],2,0)),"CUIT NO CARGADO")</f>
        <v>CUIT NO CARGADO</v>
      </c>
      <c r="H1321" s="64">
        <v>5694.21</v>
      </c>
      <c r="I1321" s="64">
        <f>ventas_b_mes684[[#This Row],[IMPORTE NETO]]*0.21</f>
        <v>1195.7840999999999</v>
      </c>
      <c r="J1321" s="64"/>
      <c r="K1321" s="64"/>
      <c r="L1321" s="64">
        <f>SUM(ventas_b_mes684[[#This Row],[IMPORTE NETO]:[EXENTO]])</f>
        <v>6889.9940999999999</v>
      </c>
      <c r="M1321" s="59"/>
    </row>
    <row r="1322" spans="2:13">
      <c r="B1322" s="40" t="s">
        <v>2312</v>
      </c>
      <c r="C1322" s="41">
        <v>6</v>
      </c>
      <c r="D1322" s="42">
        <v>10</v>
      </c>
      <c r="E1322" s="43">
        <v>54509</v>
      </c>
      <c r="F1322" s="44">
        <v>25624377</v>
      </c>
      <c r="G1322" s="1" t="str">
        <f>IFERROR(IF(ventas_b_mes684[[#This Row],[CUIT]]="","-",VLOOKUP(ventas_b_mes684[[#This Row],[CUIT]],Lista_CUIT[#All],2,0)),"CUIT NO CARGADO")</f>
        <v>CUIT NO CARGADO</v>
      </c>
      <c r="H1322" s="64">
        <v>20661.16</v>
      </c>
      <c r="I1322" s="64">
        <f>ventas_b_mes684[[#This Row],[IMPORTE NETO]]*0.21</f>
        <v>4338.8436000000002</v>
      </c>
      <c r="J1322" s="64"/>
      <c r="K1322" s="64"/>
      <c r="L1322" s="64">
        <f>SUM(ventas_b_mes684[[#This Row],[IMPORTE NETO]:[EXENTO]])</f>
        <v>25000.0036</v>
      </c>
      <c r="M1322" s="59"/>
    </row>
    <row r="1323" spans="2:13">
      <c r="B1323" s="40" t="s">
        <v>2312</v>
      </c>
      <c r="C1323" s="41">
        <v>6</v>
      </c>
      <c r="D1323" s="42">
        <v>11</v>
      </c>
      <c r="E1323" s="43">
        <v>38166</v>
      </c>
      <c r="F1323" s="44">
        <v>25770223</v>
      </c>
      <c r="G1323" s="1" t="str">
        <f>IFERROR(IF(ventas_b_mes684[[#This Row],[CUIT]]="","-",VLOOKUP(ventas_b_mes684[[#This Row],[CUIT]],Lista_CUIT[#All],2,0)),"CUIT NO CARGADO")</f>
        <v>CUIT NO CARGADO</v>
      </c>
      <c r="H1323" s="64">
        <v>8264.4599999999991</v>
      </c>
      <c r="I1323" s="64">
        <f>ventas_b_mes684[[#This Row],[IMPORTE NETO]]*0.21</f>
        <v>1735.5365999999997</v>
      </c>
      <c r="J1323" s="64"/>
      <c r="K1323" s="64"/>
      <c r="L1323" s="64">
        <f>SUM(ventas_b_mes684[[#This Row],[IMPORTE NETO]:[EXENTO]])</f>
        <v>9999.9965999999986</v>
      </c>
      <c r="M1323" s="59"/>
    </row>
    <row r="1324" spans="2:13">
      <c r="B1324" s="40" t="s">
        <v>2312</v>
      </c>
      <c r="C1324" s="41">
        <v>6</v>
      </c>
      <c r="D1324" s="42">
        <v>11</v>
      </c>
      <c r="E1324" s="43">
        <v>38174</v>
      </c>
      <c r="F1324" s="44">
        <v>23222618</v>
      </c>
      <c r="G1324" s="1" t="str">
        <f>IFERROR(IF(ventas_b_mes684[[#This Row],[CUIT]]="","-",VLOOKUP(ventas_b_mes684[[#This Row],[CUIT]],Lista_CUIT[#All],2,0)),"CUIT NO CARGADO")</f>
        <v>CUIT NO CARGADO</v>
      </c>
      <c r="H1324" s="64">
        <v>27355.37</v>
      </c>
      <c r="I1324" s="64">
        <f>ventas_b_mes684[[#This Row],[IMPORTE NETO]]*0.21</f>
        <v>5744.6277</v>
      </c>
      <c r="J1324" s="64"/>
      <c r="K1324" s="64"/>
      <c r="L1324" s="64">
        <f>SUM(ventas_b_mes684[[#This Row],[IMPORTE NETO]:[EXENTO]])</f>
        <v>33099.9977</v>
      </c>
      <c r="M1324" s="59"/>
    </row>
    <row r="1325" spans="2:13">
      <c r="B1325" s="40" t="s">
        <v>2312</v>
      </c>
      <c r="C1325" s="41">
        <v>6</v>
      </c>
      <c r="D1325" s="42">
        <v>11</v>
      </c>
      <c r="E1325" s="43">
        <v>38176</v>
      </c>
      <c r="F1325" s="44">
        <v>28112173</v>
      </c>
      <c r="G1325" s="1" t="str">
        <f>IFERROR(IF(ventas_b_mes684[[#This Row],[CUIT]]="","-",VLOOKUP(ventas_b_mes684[[#This Row],[CUIT]],Lista_CUIT[#All],2,0)),"CUIT NO CARGADO")</f>
        <v>CUIT NO CARGADO</v>
      </c>
      <c r="H1325" s="64">
        <v>101929.75</v>
      </c>
      <c r="I1325" s="64">
        <f>ventas_b_mes684[[#This Row],[IMPORTE NETO]]*0.21</f>
        <v>21405.247499999998</v>
      </c>
      <c r="J1325" s="64"/>
      <c r="K1325" s="64"/>
      <c r="L1325" s="64">
        <f>SUM(ventas_b_mes684[[#This Row],[IMPORTE NETO]:[EXENTO]])</f>
        <v>123334.9975</v>
      </c>
      <c r="M1325" s="59"/>
    </row>
    <row r="1326" spans="2:13">
      <c r="B1326" s="40" t="s">
        <v>2312</v>
      </c>
      <c r="C1326" s="41">
        <v>6</v>
      </c>
      <c r="D1326" s="42">
        <v>11</v>
      </c>
      <c r="E1326" s="43">
        <v>38173</v>
      </c>
      <c r="F1326" s="44">
        <v>23222618</v>
      </c>
      <c r="G1326" s="1" t="str">
        <f>IFERROR(IF(ventas_b_mes684[[#This Row],[CUIT]]="","-",VLOOKUP(ventas_b_mes684[[#This Row],[CUIT]],Lista_CUIT[#All],2,0)),"CUIT NO CARGADO")</f>
        <v>CUIT NO CARGADO</v>
      </c>
      <c r="H1326" s="64">
        <v>12272.73</v>
      </c>
      <c r="I1326" s="64">
        <f>ventas_b_mes684[[#This Row],[IMPORTE NETO]]*0.21</f>
        <v>2577.2732999999998</v>
      </c>
      <c r="J1326" s="64"/>
      <c r="K1326" s="64"/>
      <c r="L1326" s="64">
        <f>SUM(ventas_b_mes684[[#This Row],[IMPORTE NETO]:[EXENTO]])</f>
        <v>14850.0033</v>
      </c>
      <c r="M1326" s="59"/>
    </row>
    <row r="1327" spans="2:13">
      <c r="B1327" s="40" t="s">
        <v>2312</v>
      </c>
      <c r="C1327" s="41">
        <v>6</v>
      </c>
      <c r="D1327" s="42">
        <v>12</v>
      </c>
      <c r="E1327" s="43">
        <v>29735</v>
      </c>
      <c r="F1327" s="44">
        <v>35227108</v>
      </c>
      <c r="G1327" s="1" t="str">
        <f>IFERROR(IF(ventas_b_mes684[[#This Row],[CUIT]]="","-",VLOOKUP(ventas_b_mes684[[#This Row],[CUIT]],Lista_CUIT[#All],2,0)),"CUIT NO CARGADO")</f>
        <v>CUIT NO CARGADO</v>
      </c>
      <c r="H1327" s="64">
        <v>4958.68</v>
      </c>
      <c r="I1327" s="64">
        <f>ventas_b_mes684[[#This Row],[IMPORTE NETO]]*0.21</f>
        <v>1041.3227999999999</v>
      </c>
      <c r="J1327" s="64"/>
      <c r="K1327" s="64"/>
      <c r="L1327" s="64">
        <f>SUM(ventas_b_mes684[[#This Row],[IMPORTE NETO]:[EXENTO]])</f>
        <v>6000.0028000000002</v>
      </c>
      <c r="M1327" s="59"/>
    </row>
    <row r="1328" spans="2:13">
      <c r="B1328" s="40" t="s">
        <v>2312</v>
      </c>
      <c r="C1328" s="41">
        <v>6</v>
      </c>
      <c r="D1328" s="42">
        <v>12</v>
      </c>
      <c r="E1328" s="43">
        <v>29717</v>
      </c>
      <c r="F1328" s="44">
        <v>30992457</v>
      </c>
      <c r="G1328" s="1" t="str">
        <f>IFERROR(IF(ventas_b_mes684[[#This Row],[CUIT]]="","-",VLOOKUP(ventas_b_mes684[[#This Row],[CUIT]],Lista_CUIT[#All],2,0)),"CUIT NO CARGADO")</f>
        <v>CUIT NO CARGADO</v>
      </c>
      <c r="H1328" s="64">
        <v>41322.31</v>
      </c>
      <c r="I1328" s="64">
        <f>ventas_b_mes684[[#This Row],[IMPORTE NETO]]*0.21</f>
        <v>8677.6850999999988</v>
      </c>
      <c r="J1328" s="64"/>
      <c r="K1328" s="64"/>
      <c r="L1328" s="64">
        <f>SUM(ventas_b_mes684[[#This Row],[IMPORTE NETO]:[EXENTO]])</f>
        <v>49999.9951</v>
      </c>
      <c r="M1328" s="59"/>
    </row>
    <row r="1329" spans="2:13">
      <c r="B1329" s="40" t="s">
        <v>2312</v>
      </c>
      <c r="C1329" s="41">
        <v>6</v>
      </c>
      <c r="D1329" s="42">
        <v>15</v>
      </c>
      <c r="E1329" s="43">
        <v>13321</v>
      </c>
      <c r="F1329" s="44">
        <v>32498102</v>
      </c>
      <c r="G1329" s="1" t="str">
        <f>IFERROR(IF(ventas_b_mes684[[#This Row],[CUIT]]="","-",VLOOKUP(ventas_b_mes684[[#This Row],[CUIT]],Lista_CUIT[#All],2,0)),"CUIT NO CARGADO")</f>
        <v>CUIT NO CARGADO</v>
      </c>
      <c r="H1329" s="64">
        <v>20661.16</v>
      </c>
      <c r="I1329" s="64">
        <f>ventas_b_mes684[[#This Row],[IMPORTE NETO]]*0.21</f>
        <v>4338.8436000000002</v>
      </c>
      <c r="J1329" s="64"/>
      <c r="K1329" s="64"/>
      <c r="L1329" s="64">
        <f>SUM(ventas_b_mes684[[#This Row],[IMPORTE NETO]:[EXENTO]])</f>
        <v>25000.0036</v>
      </c>
      <c r="M1329" s="59"/>
    </row>
    <row r="1330" spans="2:13">
      <c r="B1330" s="40" t="s">
        <v>2312</v>
      </c>
      <c r="C1330" s="41">
        <v>6</v>
      </c>
      <c r="D1330" s="42">
        <v>13</v>
      </c>
      <c r="E1330" s="43">
        <v>32516</v>
      </c>
      <c r="F1330" s="44">
        <v>92336714</v>
      </c>
      <c r="G1330" s="1" t="str">
        <f>IFERROR(IF(ventas_b_mes684[[#This Row],[CUIT]]="","-",VLOOKUP(ventas_b_mes684[[#This Row],[CUIT]],Lista_CUIT[#All],2,0)),"CUIT NO CARGADO")</f>
        <v>CUIT NO CARGADO</v>
      </c>
      <c r="H1330" s="64">
        <v>32239.67</v>
      </c>
      <c r="I1330" s="64">
        <f>ventas_b_mes684[[#This Row],[IMPORTE NETO]]*0.21</f>
        <v>6770.3306999999995</v>
      </c>
      <c r="J1330" s="64"/>
      <c r="K1330" s="64"/>
      <c r="L1330" s="64">
        <f>SUM(ventas_b_mes684[[#This Row],[IMPORTE NETO]:[EXENTO]])</f>
        <v>39010.000699999997</v>
      </c>
      <c r="M1330" s="59"/>
    </row>
    <row r="1331" spans="2:13">
      <c r="B1331" s="40" t="s">
        <v>2312</v>
      </c>
      <c r="C1331" s="41">
        <v>6</v>
      </c>
      <c r="D1331" s="42">
        <v>10</v>
      </c>
      <c r="E1331" s="43">
        <v>54511</v>
      </c>
      <c r="F1331" s="44">
        <v>94996073</v>
      </c>
      <c r="G1331" s="1" t="str">
        <f>IFERROR(IF(ventas_b_mes684[[#This Row],[CUIT]]="","-",VLOOKUP(ventas_b_mes684[[#This Row],[CUIT]],Lista_CUIT[#All],2,0)),"CUIT NO CARGADO")</f>
        <v>CUIT NO CARGADO</v>
      </c>
      <c r="H1331" s="64">
        <v>20661.16</v>
      </c>
      <c r="I1331" s="64">
        <f>ventas_b_mes684[[#This Row],[IMPORTE NETO]]*0.21</f>
        <v>4338.8436000000002</v>
      </c>
      <c r="J1331" s="64"/>
      <c r="K1331" s="64"/>
      <c r="L1331" s="64">
        <f>SUM(ventas_b_mes684[[#This Row],[IMPORTE NETO]:[EXENTO]])</f>
        <v>25000.0036</v>
      </c>
      <c r="M1331" s="59"/>
    </row>
    <row r="1332" spans="2:13">
      <c r="B1332" s="40" t="s">
        <v>2312</v>
      </c>
      <c r="C1332" s="41">
        <v>6</v>
      </c>
      <c r="D1332" s="42">
        <v>10</v>
      </c>
      <c r="E1332" s="43">
        <v>54523</v>
      </c>
      <c r="F1332" s="44">
        <v>94006189</v>
      </c>
      <c r="G1332" s="1" t="str">
        <f>IFERROR(IF(ventas_b_mes684[[#This Row],[CUIT]]="","-",VLOOKUP(ventas_b_mes684[[#This Row],[CUIT]],Lista_CUIT[#All],2,0)),"CUIT NO CARGADO")</f>
        <v>CUIT NO CARGADO</v>
      </c>
      <c r="H1332" s="64">
        <v>8264.4599999999991</v>
      </c>
      <c r="I1332" s="64">
        <f>ventas_b_mes684[[#This Row],[IMPORTE NETO]]*0.21</f>
        <v>1735.5365999999997</v>
      </c>
      <c r="J1332" s="64"/>
      <c r="K1332" s="64"/>
      <c r="L1332" s="64">
        <f>SUM(ventas_b_mes684[[#This Row],[IMPORTE NETO]:[EXENTO]])</f>
        <v>9999.9965999999986</v>
      </c>
      <c r="M1332" s="59"/>
    </row>
    <row r="1333" spans="2:13">
      <c r="B1333" s="40" t="s">
        <v>2312</v>
      </c>
      <c r="C1333" s="41">
        <v>6</v>
      </c>
      <c r="D1333" s="42">
        <v>11</v>
      </c>
      <c r="E1333" s="43">
        <v>38167</v>
      </c>
      <c r="F1333" s="44">
        <v>9587412</v>
      </c>
      <c r="G1333" s="1" t="str">
        <f>IFERROR(IF(ventas_b_mes684[[#This Row],[CUIT]]="","-",VLOOKUP(ventas_b_mes684[[#This Row],[CUIT]],Lista_CUIT[#All],2,0)),"CUIT NO CARGADO")</f>
        <v>CUIT NO CARGADO</v>
      </c>
      <c r="H1333" s="64">
        <v>33884.300000000003</v>
      </c>
      <c r="I1333" s="64">
        <f>ventas_b_mes684[[#This Row],[IMPORTE NETO]]*0.21</f>
        <v>7115.7030000000004</v>
      </c>
      <c r="J1333" s="64"/>
      <c r="K1333" s="64"/>
      <c r="L1333" s="64">
        <f>SUM(ventas_b_mes684[[#This Row],[IMPORTE NETO]:[EXENTO]])</f>
        <v>41000.003000000004</v>
      </c>
      <c r="M1333" s="59"/>
    </row>
    <row r="1334" spans="2:13">
      <c r="B1334" s="40" t="s">
        <v>2312</v>
      </c>
      <c r="C1334" s="41">
        <v>6</v>
      </c>
      <c r="D1334" s="42">
        <v>10</v>
      </c>
      <c r="E1334" s="43">
        <v>54515</v>
      </c>
      <c r="F1334" s="44">
        <v>25869848</v>
      </c>
      <c r="G1334" s="1" t="str">
        <f>IFERROR(IF(ventas_b_mes684[[#This Row],[CUIT]]="","-",VLOOKUP(ventas_b_mes684[[#This Row],[CUIT]],Lista_CUIT[#All],2,0)),"CUIT NO CARGADO")</f>
        <v>SAJAMA EVANGELINA PATRICIA</v>
      </c>
      <c r="H1334" s="64">
        <v>12644.63</v>
      </c>
      <c r="I1334" s="64">
        <f>ventas_b_mes684[[#This Row],[IMPORTE NETO]]*0.21</f>
        <v>2655.3722999999995</v>
      </c>
      <c r="J1334" s="64"/>
      <c r="K1334" s="64"/>
      <c r="L1334" s="64">
        <f>SUM(ventas_b_mes684[[#This Row],[IMPORTE NETO]:[EXENTO]])</f>
        <v>15300.002299999998</v>
      </c>
      <c r="M1334" s="59"/>
    </row>
    <row r="1335" spans="2:13">
      <c r="B1335" s="40" t="s">
        <v>2312</v>
      </c>
      <c r="C1335" s="41">
        <v>6</v>
      </c>
      <c r="D1335" s="42">
        <v>10</v>
      </c>
      <c r="E1335" s="43">
        <v>54508</v>
      </c>
      <c r="F1335" s="44">
        <v>27209814418</v>
      </c>
      <c r="G1335" s="1" t="str">
        <f>IFERROR(IF(ventas_b_mes684[[#This Row],[CUIT]]="","-",VLOOKUP(ventas_b_mes684[[#This Row],[CUIT]],Lista_CUIT[#All],2,0)),"CUIT NO CARGADO")</f>
        <v>CUIT NO CARGADO</v>
      </c>
      <c r="H1335" s="64">
        <v>133099.15</v>
      </c>
      <c r="I1335" s="64">
        <f>ventas_b_mes684[[#This Row],[IMPORTE NETO]]*0.21</f>
        <v>27950.821499999998</v>
      </c>
      <c r="J1335" s="64"/>
      <c r="K1335" s="64"/>
      <c r="L1335" s="64">
        <f>SUM(ventas_b_mes684[[#This Row],[IMPORTE NETO]:[EXENTO]])</f>
        <v>161049.97149999999</v>
      </c>
      <c r="M1335" s="59"/>
    </row>
    <row r="1336" spans="2:13">
      <c r="B1336" s="40" t="s">
        <v>2312</v>
      </c>
      <c r="C1336" s="41">
        <v>6</v>
      </c>
      <c r="D1336" s="42">
        <v>13</v>
      </c>
      <c r="E1336" s="43">
        <v>32515</v>
      </c>
      <c r="F1336" s="44">
        <v>30449995</v>
      </c>
      <c r="G1336" s="1" t="str">
        <f>IFERROR(IF(ventas_b_mes684[[#This Row],[CUIT]]="","-",VLOOKUP(ventas_b_mes684[[#This Row],[CUIT]],Lista_CUIT[#All],2,0)),"CUIT NO CARGADO")</f>
        <v>CUIT NO CARGADO</v>
      </c>
      <c r="H1336" s="64">
        <v>40760.33</v>
      </c>
      <c r="I1336" s="64">
        <f>ventas_b_mes684[[#This Row],[IMPORTE NETO]]*0.21</f>
        <v>8559.6692999999996</v>
      </c>
      <c r="J1336" s="64"/>
      <c r="K1336" s="64"/>
      <c r="L1336" s="64">
        <f>SUM(ventas_b_mes684[[#This Row],[IMPORTE NETO]:[EXENTO]])</f>
        <v>49319.999300000003</v>
      </c>
      <c r="M1336" s="59"/>
    </row>
    <row r="1337" spans="2:13">
      <c r="B1337" s="40" t="s">
        <v>2312</v>
      </c>
      <c r="C1337" s="41">
        <v>6</v>
      </c>
      <c r="D1337" s="42">
        <v>15</v>
      </c>
      <c r="E1337" s="43">
        <v>13325</v>
      </c>
      <c r="F1337" s="44">
        <v>27698573</v>
      </c>
      <c r="G1337" s="1" t="str">
        <f>IFERROR(IF(ventas_b_mes684[[#This Row],[CUIT]]="","-",VLOOKUP(ventas_b_mes684[[#This Row],[CUIT]],Lista_CUIT[#All],2,0)),"CUIT NO CARGADO")</f>
        <v>CUIT NO CARGADO</v>
      </c>
      <c r="H1337" s="64">
        <v>6942.15</v>
      </c>
      <c r="I1337" s="64">
        <f>ventas_b_mes684[[#This Row],[IMPORTE NETO]]*0.21</f>
        <v>1457.8514999999998</v>
      </c>
      <c r="J1337" s="64"/>
      <c r="K1337" s="64"/>
      <c r="L1337" s="64">
        <f>SUM(ventas_b_mes684[[#This Row],[IMPORTE NETO]:[EXENTO]])</f>
        <v>8400.0014999999985</v>
      </c>
      <c r="M1337" s="59"/>
    </row>
    <row r="1338" spans="2:13">
      <c r="B1338" s="40" t="s">
        <v>2312</v>
      </c>
      <c r="C1338" s="41">
        <v>6</v>
      </c>
      <c r="D1338" s="42">
        <v>11</v>
      </c>
      <c r="E1338" s="43">
        <v>38164</v>
      </c>
      <c r="F1338" s="44">
        <v>33899143</v>
      </c>
      <c r="G1338" s="1" t="str">
        <f>IFERROR(IF(ventas_b_mes684[[#This Row],[CUIT]]="","-",VLOOKUP(ventas_b_mes684[[#This Row],[CUIT]],Lista_CUIT[#All],2,0)),"CUIT NO CARGADO")</f>
        <v>CUIT NO CARGADO</v>
      </c>
      <c r="H1338" s="64">
        <v>2586.7800000000002</v>
      </c>
      <c r="I1338" s="64">
        <f>ventas_b_mes684[[#This Row],[IMPORTE NETO]]*0.21</f>
        <v>543.22379999999998</v>
      </c>
      <c r="J1338" s="64"/>
      <c r="K1338" s="64"/>
      <c r="L1338" s="64">
        <f>SUM(ventas_b_mes684[[#This Row],[IMPORTE NETO]:[EXENTO]])</f>
        <v>3130.0038000000004</v>
      </c>
      <c r="M1338" s="59"/>
    </row>
    <row r="1339" spans="2:13">
      <c r="B1339" s="40" t="s">
        <v>2312</v>
      </c>
      <c r="C1339" s="41">
        <v>6</v>
      </c>
      <c r="D1339" s="42">
        <v>11</v>
      </c>
      <c r="E1339" s="43">
        <v>38175</v>
      </c>
      <c r="F1339" s="44">
        <v>21732129</v>
      </c>
      <c r="G1339" s="1" t="str">
        <f>IFERROR(IF(ventas_b_mes684[[#This Row],[CUIT]]="","-",VLOOKUP(ventas_b_mes684[[#This Row],[CUIT]],Lista_CUIT[#All],2,0)),"CUIT NO CARGADO")</f>
        <v>CUIT NO CARGADO</v>
      </c>
      <c r="H1339" s="64">
        <v>22479.34</v>
      </c>
      <c r="I1339" s="64">
        <f>ventas_b_mes684[[#This Row],[IMPORTE NETO]]*0.21</f>
        <v>4720.6614</v>
      </c>
      <c r="J1339" s="64"/>
      <c r="K1339" s="64"/>
      <c r="L1339" s="64">
        <f>SUM(ventas_b_mes684[[#This Row],[IMPORTE NETO]:[EXENTO]])</f>
        <v>27200.001400000001</v>
      </c>
      <c r="M1339" s="59"/>
    </row>
    <row r="1340" spans="2:13">
      <c r="B1340" s="40" t="s">
        <v>2312</v>
      </c>
      <c r="C1340" s="41">
        <v>6</v>
      </c>
      <c r="D1340" s="42">
        <v>10</v>
      </c>
      <c r="E1340" s="43">
        <v>54524</v>
      </c>
      <c r="F1340" s="44">
        <v>94006189</v>
      </c>
      <c r="G1340" s="1" t="str">
        <f>IFERROR(IF(ventas_b_mes684[[#This Row],[CUIT]]="","-",VLOOKUP(ventas_b_mes684[[#This Row],[CUIT]],Lista_CUIT[#All],2,0)),"CUIT NO CARGADO")</f>
        <v>CUIT NO CARGADO</v>
      </c>
      <c r="H1340" s="64">
        <v>8264.4599999999991</v>
      </c>
      <c r="I1340" s="64">
        <f>ventas_b_mes684[[#This Row],[IMPORTE NETO]]*0.21</f>
        <v>1735.5365999999997</v>
      </c>
      <c r="J1340" s="64"/>
      <c r="K1340" s="64"/>
      <c r="L1340" s="64">
        <f>SUM(ventas_b_mes684[[#This Row],[IMPORTE NETO]:[EXENTO]])</f>
        <v>9999.9965999999986</v>
      </c>
      <c r="M1340" s="59"/>
    </row>
    <row r="1341" spans="2:13">
      <c r="B1341" s="40" t="s">
        <v>2312</v>
      </c>
      <c r="C1341" s="41">
        <v>6</v>
      </c>
      <c r="D1341" s="42">
        <v>11</v>
      </c>
      <c r="E1341" s="43">
        <v>38160</v>
      </c>
      <c r="F1341" s="44">
        <v>43240534</v>
      </c>
      <c r="G1341" s="1" t="str">
        <f>IFERROR(IF(ventas_b_mes684[[#This Row],[CUIT]]="","-",VLOOKUP(ventas_b_mes684[[#This Row],[CUIT]],Lista_CUIT[#All],2,0)),"CUIT NO CARGADO")</f>
        <v>CUIT NO CARGADO</v>
      </c>
      <c r="H1341" s="64">
        <v>9429.75</v>
      </c>
      <c r="I1341" s="64">
        <f>ventas_b_mes684[[#This Row],[IMPORTE NETO]]*0.21</f>
        <v>1980.2474999999999</v>
      </c>
      <c r="J1341" s="64"/>
      <c r="K1341" s="64"/>
      <c r="L1341" s="64">
        <f>SUM(ventas_b_mes684[[#This Row],[IMPORTE NETO]:[EXENTO]])</f>
        <v>11409.997499999999</v>
      </c>
      <c r="M1341" s="59"/>
    </row>
    <row r="1342" spans="2:13">
      <c r="B1342" s="40" t="s">
        <v>2312</v>
      </c>
      <c r="C1342" s="41">
        <v>6</v>
      </c>
      <c r="D1342" s="42">
        <v>11</v>
      </c>
      <c r="E1342" s="43">
        <v>38156</v>
      </c>
      <c r="F1342" s="44">
        <v>27138528311</v>
      </c>
      <c r="G1342" s="1" t="str">
        <f>IFERROR(IF(ventas_b_mes684[[#This Row],[CUIT]]="","-",VLOOKUP(ventas_b_mes684[[#This Row],[CUIT]],Lista_CUIT[#All],2,0)),"CUIT NO CARGADO")</f>
        <v>ROBLES DOLORES DEL CARMEN</v>
      </c>
      <c r="H1342" s="64">
        <v>83251.240000000005</v>
      </c>
      <c r="I1342" s="64">
        <f>ventas_b_mes684[[#This Row],[IMPORTE NETO]]*0.21</f>
        <v>17482.760399999999</v>
      </c>
      <c r="J1342" s="64"/>
      <c r="K1342" s="64"/>
      <c r="L1342" s="64">
        <f>SUM(ventas_b_mes684[[#This Row],[IMPORTE NETO]:[EXENTO]])</f>
        <v>100734.0004</v>
      </c>
      <c r="M1342" s="59"/>
    </row>
    <row r="1343" spans="2:13">
      <c r="B1343" s="40" t="s">
        <v>2312</v>
      </c>
      <c r="C1343" s="41">
        <v>6</v>
      </c>
      <c r="D1343" s="42">
        <v>15</v>
      </c>
      <c r="E1343" s="43">
        <v>13319</v>
      </c>
      <c r="F1343" s="44">
        <v>41195268</v>
      </c>
      <c r="G1343" s="1" t="str">
        <f>IFERROR(IF(ventas_b_mes684[[#This Row],[CUIT]]="","-",VLOOKUP(ventas_b_mes684[[#This Row],[CUIT]],Lista_CUIT[#All],2,0)),"CUIT NO CARGADO")</f>
        <v>CUIT NO CARGADO</v>
      </c>
      <c r="H1343" s="64">
        <v>20661.16</v>
      </c>
      <c r="I1343" s="64">
        <f>ventas_b_mes684[[#This Row],[IMPORTE NETO]]*0.21</f>
        <v>4338.8436000000002</v>
      </c>
      <c r="J1343" s="64"/>
      <c r="K1343" s="64"/>
      <c r="L1343" s="64">
        <f>SUM(ventas_b_mes684[[#This Row],[IMPORTE NETO]:[EXENTO]])</f>
        <v>25000.0036</v>
      </c>
      <c r="M1343" s="59"/>
    </row>
    <row r="1344" spans="2:13">
      <c r="B1344" s="40" t="s">
        <v>2312</v>
      </c>
      <c r="C1344" s="41">
        <v>6</v>
      </c>
      <c r="D1344" s="42">
        <v>10</v>
      </c>
      <c r="E1344" s="43">
        <v>54513</v>
      </c>
      <c r="F1344" s="44">
        <v>24399038</v>
      </c>
      <c r="G1344" s="1" t="str">
        <f>IFERROR(IF(ventas_b_mes684[[#This Row],[CUIT]]="","-",VLOOKUP(ventas_b_mes684[[#This Row],[CUIT]],Lista_CUIT[#All],2,0)),"CUIT NO CARGADO")</f>
        <v>CUIT NO CARGADO</v>
      </c>
      <c r="H1344" s="64">
        <v>8264.4599999999991</v>
      </c>
      <c r="I1344" s="64">
        <f>ventas_b_mes684[[#This Row],[IMPORTE NETO]]*0.21</f>
        <v>1735.5365999999997</v>
      </c>
      <c r="J1344" s="64"/>
      <c r="K1344" s="64"/>
      <c r="L1344" s="64">
        <f>SUM(ventas_b_mes684[[#This Row],[IMPORTE NETO]:[EXENTO]])</f>
        <v>9999.9965999999986</v>
      </c>
      <c r="M1344" s="59"/>
    </row>
    <row r="1345" spans="2:13">
      <c r="B1345" s="40" t="s">
        <v>2312</v>
      </c>
      <c r="C1345" s="41">
        <v>6</v>
      </c>
      <c r="D1345" s="42">
        <v>11</v>
      </c>
      <c r="E1345" s="43">
        <v>38163</v>
      </c>
      <c r="F1345" s="44">
        <v>42945945</v>
      </c>
      <c r="G1345" s="1" t="str">
        <f>IFERROR(IF(ventas_b_mes684[[#This Row],[CUIT]]="","-",VLOOKUP(ventas_b_mes684[[#This Row],[CUIT]],Lista_CUIT[#All],2,0)),"CUIT NO CARGADO")</f>
        <v>CUIT NO CARGADO</v>
      </c>
      <c r="H1345" s="64">
        <v>9917.36</v>
      </c>
      <c r="I1345" s="64">
        <f>ventas_b_mes684[[#This Row],[IMPORTE NETO]]*0.21</f>
        <v>2082.6455999999998</v>
      </c>
      <c r="J1345" s="64"/>
      <c r="K1345" s="64"/>
      <c r="L1345" s="64">
        <f>SUM(ventas_b_mes684[[#This Row],[IMPORTE NETO]:[EXENTO]])</f>
        <v>12000.0056</v>
      </c>
      <c r="M1345" s="59"/>
    </row>
    <row r="1346" spans="2:13">
      <c r="B1346" s="40" t="s">
        <v>2312</v>
      </c>
      <c r="C1346" s="41">
        <v>6</v>
      </c>
      <c r="D1346" s="42">
        <v>12</v>
      </c>
      <c r="E1346" s="43">
        <v>29723</v>
      </c>
      <c r="F1346" s="44">
        <v>23642721</v>
      </c>
      <c r="G1346" s="1" t="str">
        <f>IFERROR(IF(ventas_b_mes684[[#This Row],[CUIT]]="","-",VLOOKUP(ventas_b_mes684[[#This Row],[CUIT]],Lista_CUIT[#All],2,0)),"CUIT NO CARGADO")</f>
        <v>CUIT NO CARGADO</v>
      </c>
      <c r="H1346" s="64">
        <v>20661.16</v>
      </c>
      <c r="I1346" s="64">
        <f>ventas_b_mes684[[#This Row],[IMPORTE NETO]]*0.21</f>
        <v>4338.8436000000002</v>
      </c>
      <c r="J1346" s="64"/>
      <c r="K1346" s="64"/>
      <c r="L1346" s="64">
        <f>SUM(ventas_b_mes684[[#This Row],[IMPORTE NETO]:[EXENTO]])</f>
        <v>25000.0036</v>
      </c>
      <c r="M1346" s="59"/>
    </row>
    <row r="1347" spans="2:13">
      <c r="B1347" s="40" t="s">
        <v>2312</v>
      </c>
      <c r="C1347" s="41">
        <v>6</v>
      </c>
      <c r="D1347" s="42">
        <v>11</v>
      </c>
      <c r="E1347" s="43">
        <v>38182</v>
      </c>
      <c r="F1347" s="44">
        <v>94842118</v>
      </c>
      <c r="G1347" s="1" t="str">
        <f>IFERROR(IF(ventas_b_mes684[[#This Row],[CUIT]]="","-",VLOOKUP(ventas_b_mes684[[#This Row],[CUIT]],Lista_CUIT[#All],2,0)),"CUIT NO CARGADO")</f>
        <v>CUIT NO CARGADO</v>
      </c>
      <c r="H1347" s="64">
        <v>2396.69</v>
      </c>
      <c r="I1347" s="64">
        <f>ventas_b_mes684[[#This Row],[IMPORTE NETO]]*0.21</f>
        <v>503.30489999999998</v>
      </c>
      <c r="J1347" s="64"/>
      <c r="K1347" s="64"/>
      <c r="L1347" s="64">
        <f>SUM(ventas_b_mes684[[#This Row],[IMPORTE NETO]:[EXENTO]])</f>
        <v>2899.9949000000001</v>
      </c>
      <c r="M1347" s="59"/>
    </row>
    <row r="1348" spans="2:13">
      <c r="B1348" s="40" t="s">
        <v>2312</v>
      </c>
      <c r="C1348" s="41">
        <v>6</v>
      </c>
      <c r="D1348" s="42">
        <v>11</v>
      </c>
      <c r="E1348" s="43">
        <v>38181</v>
      </c>
      <c r="F1348" s="44">
        <v>94842118</v>
      </c>
      <c r="G1348" s="1" t="str">
        <f>IFERROR(IF(ventas_b_mes684[[#This Row],[CUIT]]="","-",VLOOKUP(ventas_b_mes684[[#This Row],[CUIT]],Lista_CUIT[#All],2,0)),"CUIT NO CARGADO")</f>
        <v>CUIT NO CARGADO</v>
      </c>
      <c r="H1348" s="64">
        <v>5247.93</v>
      </c>
      <c r="I1348" s="64">
        <f>ventas_b_mes684[[#This Row],[IMPORTE NETO]]*0.21</f>
        <v>1102.0653</v>
      </c>
      <c r="J1348" s="64"/>
      <c r="K1348" s="64"/>
      <c r="L1348" s="64">
        <f>SUM(ventas_b_mes684[[#This Row],[IMPORTE NETO]:[EXENTO]])</f>
        <v>6349.9953000000005</v>
      </c>
      <c r="M1348" s="59"/>
    </row>
    <row r="1349" spans="2:13">
      <c r="B1349" s="40" t="s">
        <v>2312</v>
      </c>
      <c r="C1349" s="41">
        <v>6</v>
      </c>
      <c r="D1349" s="42">
        <v>11</v>
      </c>
      <c r="E1349" s="43">
        <v>38158</v>
      </c>
      <c r="F1349" s="44">
        <v>33899143</v>
      </c>
      <c r="G1349" s="1" t="str">
        <f>IFERROR(IF(ventas_b_mes684[[#This Row],[CUIT]]="","-",VLOOKUP(ventas_b_mes684[[#This Row],[CUIT]],Lista_CUIT[#All],2,0)),"CUIT NO CARGADO")</f>
        <v>CUIT NO CARGADO</v>
      </c>
      <c r="H1349" s="64">
        <v>2735.54</v>
      </c>
      <c r="I1349" s="64">
        <f>ventas_b_mes684[[#This Row],[IMPORTE NETO]]*0.21</f>
        <v>574.46339999999998</v>
      </c>
      <c r="J1349" s="64"/>
      <c r="K1349" s="64"/>
      <c r="L1349" s="64">
        <f>SUM(ventas_b_mes684[[#This Row],[IMPORTE NETO]:[EXENTO]])</f>
        <v>3310.0034000000001</v>
      </c>
      <c r="M1349" s="59"/>
    </row>
    <row r="1350" spans="2:13">
      <c r="B1350" s="40" t="s">
        <v>2312</v>
      </c>
      <c r="C1350" s="41">
        <v>6</v>
      </c>
      <c r="D1350" s="42">
        <v>10</v>
      </c>
      <c r="E1350" s="43">
        <v>54514</v>
      </c>
      <c r="F1350" s="44">
        <v>18291563</v>
      </c>
      <c r="G1350" s="1" t="str">
        <f>IFERROR(IF(ventas_b_mes684[[#This Row],[CUIT]]="","-",VLOOKUP(ventas_b_mes684[[#This Row],[CUIT]],Lista_CUIT[#All],2,0)),"CUIT NO CARGADO")</f>
        <v>CUIT NO CARGADO</v>
      </c>
      <c r="H1350" s="64">
        <v>20661.16</v>
      </c>
      <c r="I1350" s="64">
        <f>ventas_b_mes684[[#This Row],[IMPORTE NETO]]*0.21</f>
        <v>4338.8436000000002</v>
      </c>
      <c r="J1350" s="64"/>
      <c r="K1350" s="64"/>
      <c r="L1350" s="64">
        <f>SUM(ventas_b_mes684[[#This Row],[IMPORTE NETO]:[EXENTO]])</f>
        <v>25000.0036</v>
      </c>
      <c r="M1350" s="59"/>
    </row>
    <row r="1351" spans="2:13">
      <c r="B1351" s="40" t="s">
        <v>2312</v>
      </c>
      <c r="C1351" s="41">
        <v>6</v>
      </c>
      <c r="D1351" s="42">
        <v>10</v>
      </c>
      <c r="E1351" s="43">
        <v>54510</v>
      </c>
      <c r="F1351" s="44">
        <v>27181966330</v>
      </c>
      <c r="G1351" s="1" t="str">
        <f>IFERROR(IF(ventas_b_mes684[[#This Row],[CUIT]]="","-",VLOOKUP(ventas_b_mes684[[#This Row],[CUIT]],Lista_CUIT[#All],2,0)),"CUIT NO CARGADO")</f>
        <v>CORNEJO MARGARITA ELIZABETH</v>
      </c>
      <c r="H1351" s="64">
        <v>158398.76</v>
      </c>
      <c r="I1351" s="64">
        <f>ventas_b_mes684[[#This Row],[IMPORTE NETO]]*0.21</f>
        <v>33263.739600000001</v>
      </c>
      <c r="J1351" s="64"/>
      <c r="K1351" s="64"/>
      <c r="L1351" s="64">
        <f>SUM(ventas_b_mes684[[#This Row],[IMPORTE NETO]:[EXENTO]])</f>
        <v>191662.49960000001</v>
      </c>
      <c r="M1351" s="59"/>
    </row>
    <row r="1352" spans="2:13">
      <c r="B1352" s="40" t="s">
        <v>2312</v>
      </c>
      <c r="C1352" s="41">
        <v>6</v>
      </c>
      <c r="D1352" s="42">
        <v>11</v>
      </c>
      <c r="E1352" s="43">
        <v>38170</v>
      </c>
      <c r="F1352" s="44">
        <v>95129928</v>
      </c>
      <c r="G1352" s="1" t="str">
        <f>IFERROR(IF(ventas_b_mes684[[#This Row],[CUIT]]="","-",VLOOKUP(ventas_b_mes684[[#This Row],[CUIT]],Lista_CUIT[#All],2,0)),"CUIT NO CARGADO")</f>
        <v>CUIT NO CARGADO</v>
      </c>
      <c r="H1352" s="64">
        <v>20661.16</v>
      </c>
      <c r="I1352" s="64">
        <f>ventas_b_mes684[[#This Row],[IMPORTE NETO]]*0.21</f>
        <v>4338.8436000000002</v>
      </c>
      <c r="J1352" s="64"/>
      <c r="K1352" s="64"/>
      <c r="L1352" s="64">
        <f>SUM(ventas_b_mes684[[#This Row],[IMPORTE NETO]:[EXENTO]])</f>
        <v>25000.0036</v>
      </c>
      <c r="M1352" s="59"/>
    </row>
    <row r="1353" spans="2:13">
      <c r="B1353" s="40" t="s">
        <v>2312</v>
      </c>
      <c r="C1353" s="41">
        <v>6</v>
      </c>
      <c r="D1353" s="42">
        <v>12</v>
      </c>
      <c r="E1353" s="43">
        <v>29722</v>
      </c>
      <c r="F1353" s="44">
        <v>25521199</v>
      </c>
      <c r="G1353" s="1" t="str">
        <f>IFERROR(IF(ventas_b_mes684[[#This Row],[CUIT]]="","-",VLOOKUP(ventas_b_mes684[[#This Row],[CUIT]],Lista_CUIT[#All],2,0)),"CUIT NO CARGADO")</f>
        <v>CUIT NO CARGADO</v>
      </c>
      <c r="H1353" s="64">
        <v>20661.16</v>
      </c>
      <c r="I1353" s="64">
        <f>ventas_b_mes684[[#This Row],[IMPORTE NETO]]*0.21</f>
        <v>4338.8436000000002</v>
      </c>
      <c r="J1353" s="64"/>
      <c r="K1353" s="64"/>
      <c r="L1353" s="64">
        <f>SUM(ventas_b_mes684[[#This Row],[IMPORTE NETO]:[EXENTO]])</f>
        <v>25000.0036</v>
      </c>
      <c r="M1353" s="59"/>
    </row>
    <row r="1354" spans="2:13">
      <c r="B1354" s="40" t="s">
        <v>2312</v>
      </c>
      <c r="C1354" s="41">
        <v>6</v>
      </c>
      <c r="D1354" s="42">
        <v>10</v>
      </c>
      <c r="E1354" s="43">
        <v>54518</v>
      </c>
      <c r="F1354" s="44">
        <v>14560230</v>
      </c>
      <c r="G1354" s="1" t="str">
        <f>IFERROR(IF(ventas_b_mes684[[#This Row],[CUIT]]="","-",VLOOKUP(ventas_b_mes684[[#This Row],[CUIT]],Lista_CUIT[#All],2,0)),"CUIT NO CARGADO")</f>
        <v>CUIT NO CARGADO</v>
      </c>
      <c r="H1354" s="64">
        <v>47958.68</v>
      </c>
      <c r="I1354" s="64">
        <f>ventas_b_mes684[[#This Row],[IMPORTE NETO]]*0.21</f>
        <v>10071.3228</v>
      </c>
      <c r="J1354" s="64"/>
      <c r="K1354" s="64"/>
      <c r="L1354" s="64">
        <f>SUM(ventas_b_mes684[[#This Row],[IMPORTE NETO]:[EXENTO]])</f>
        <v>58030.002800000002</v>
      </c>
      <c r="M1354" s="59"/>
    </row>
    <row r="1355" spans="2:13">
      <c r="B1355" s="40" t="s">
        <v>2312</v>
      </c>
      <c r="C1355" s="41">
        <v>6</v>
      </c>
      <c r="D1355" s="42">
        <v>12</v>
      </c>
      <c r="E1355" s="43">
        <v>29727</v>
      </c>
      <c r="F1355" s="44">
        <v>30258860</v>
      </c>
      <c r="G1355" s="1" t="str">
        <f>IFERROR(IF(ventas_b_mes684[[#This Row],[CUIT]]="","-",VLOOKUP(ventas_b_mes684[[#This Row],[CUIT]],Lista_CUIT[#All],2,0)),"CUIT NO CARGADO")</f>
        <v>CUIT NO CARGADO</v>
      </c>
      <c r="H1355" s="64">
        <v>27933.88</v>
      </c>
      <c r="I1355" s="64">
        <f>ventas_b_mes684[[#This Row],[IMPORTE NETO]]*0.21</f>
        <v>5866.1148000000003</v>
      </c>
      <c r="J1355" s="64"/>
      <c r="K1355" s="64"/>
      <c r="L1355" s="64">
        <f>SUM(ventas_b_mes684[[#This Row],[IMPORTE NETO]:[EXENTO]])</f>
        <v>33799.9948</v>
      </c>
      <c r="M1355" s="59"/>
    </row>
    <row r="1356" spans="2:13">
      <c r="B1356" s="40" t="s">
        <v>2312</v>
      </c>
      <c r="C1356" s="41">
        <v>6</v>
      </c>
      <c r="D1356" s="42">
        <v>10</v>
      </c>
      <c r="E1356" s="43">
        <v>54520</v>
      </c>
      <c r="F1356" s="44">
        <v>94432134</v>
      </c>
      <c r="G1356" s="1" t="str">
        <f>IFERROR(IF(ventas_b_mes684[[#This Row],[CUIT]]="","-",VLOOKUP(ventas_b_mes684[[#This Row],[CUIT]],Lista_CUIT[#All],2,0)),"CUIT NO CARGADO")</f>
        <v>CUIT NO CARGADO</v>
      </c>
      <c r="H1356" s="64">
        <v>20661.16</v>
      </c>
      <c r="I1356" s="64">
        <f>ventas_b_mes684[[#This Row],[IMPORTE NETO]]*0.21</f>
        <v>4338.8436000000002</v>
      </c>
      <c r="J1356" s="64"/>
      <c r="K1356" s="64"/>
      <c r="L1356" s="64">
        <f>SUM(ventas_b_mes684[[#This Row],[IMPORTE NETO]:[EXENTO]])</f>
        <v>25000.0036</v>
      </c>
      <c r="M1356" s="59"/>
    </row>
    <row r="1357" spans="2:13">
      <c r="B1357" s="40" t="s">
        <v>2312</v>
      </c>
      <c r="C1357" s="41">
        <v>6</v>
      </c>
      <c r="D1357" s="42">
        <v>11</v>
      </c>
      <c r="E1357" s="43">
        <v>38165</v>
      </c>
      <c r="F1357" s="44">
        <v>14818571</v>
      </c>
      <c r="G1357" s="1" t="str">
        <f>IFERROR(IF(ventas_b_mes684[[#This Row],[CUIT]]="","-",VLOOKUP(ventas_b_mes684[[#This Row],[CUIT]],Lista_CUIT[#All],2,0)),"CUIT NO CARGADO")</f>
        <v>CUIT NO CARGADO</v>
      </c>
      <c r="H1357" s="64">
        <v>24545.45</v>
      </c>
      <c r="I1357" s="64">
        <f>ventas_b_mes684[[#This Row],[IMPORTE NETO]]*0.21</f>
        <v>5154.5445</v>
      </c>
      <c r="J1357" s="64"/>
      <c r="K1357" s="64"/>
      <c r="L1357" s="64">
        <f>SUM(ventas_b_mes684[[#This Row],[IMPORTE NETO]:[EXENTO]])</f>
        <v>29699.994500000001</v>
      </c>
      <c r="M1357" s="59"/>
    </row>
    <row r="1358" spans="2:13">
      <c r="B1358" s="40" t="s">
        <v>2312</v>
      </c>
      <c r="C1358" s="41">
        <v>6</v>
      </c>
      <c r="D1358" s="42">
        <v>10</v>
      </c>
      <c r="E1358" s="43">
        <v>54507</v>
      </c>
      <c r="F1358" s="44">
        <v>22661898</v>
      </c>
      <c r="G1358" s="1" t="str">
        <f>IFERROR(IF(ventas_b_mes684[[#This Row],[CUIT]]="","-",VLOOKUP(ventas_b_mes684[[#This Row],[CUIT]],Lista_CUIT[#All],2,0)),"CUIT NO CARGADO")</f>
        <v>CUIT NO CARGADO</v>
      </c>
      <c r="H1358" s="64">
        <v>30495.87</v>
      </c>
      <c r="I1358" s="64">
        <f>ventas_b_mes684[[#This Row],[IMPORTE NETO]]*0.21</f>
        <v>6404.1326999999992</v>
      </c>
      <c r="J1358" s="64"/>
      <c r="K1358" s="64"/>
      <c r="L1358" s="64">
        <f>SUM(ventas_b_mes684[[#This Row],[IMPORTE NETO]:[EXENTO]])</f>
        <v>36900.002699999997</v>
      </c>
      <c r="M1358" s="59"/>
    </row>
    <row r="1359" spans="2:13">
      <c r="B1359" s="40" t="s">
        <v>2312</v>
      </c>
      <c r="C1359" s="41">
        <v>6</v>
      </c>
      <c r="D1359" s="42">
        <v>13</v>
      </c>
      <c r="E1359" s="43">
        <v>32514</v>
      </c>
      <c r="F1359" s="44">
        <v>24430709</v>
      </c>
      <c r="G1359" s="1" t="str">
        <f>IFERROR(IF(ventas_b_mes684[[#This Row],[CUIT]]="","-",VLOOKUP(ventas_b_mes684[[#This Row],[CUIT]],Lista_CUIT[#All],2,0)),"CUIT NO CARGADO")</f>
        <v>CUIT NO CARGADO</v>
      </c>
      <c r="H1359" s="64">
        <v>129214.88</v>
      </c>
      <c r="I1359" s="64">
        <f>ventas_b_mes684[[#This Row],[IMPORTE NETO]]*0.21</f>
        <v>27135.124800000001</v>
      </c>
      <c r="J1359" s="64"/>
      <c r="K1359" s="64"/>
      <c r="L1359" s="64">
        <f>SUM(ventas_b_mes684[[#This Row],[IMPORTE NETO]:[EXENTO]])</f>
        <v>156350.0048</v>
      </c>
      <c r="M1359" s="59"/>
    </row>
    <row r="1360" spans="2:13">
      <c r="B1360" s="40" t="s">
        <v>2312</v>
      </c>
      <c r="C1360" s="41">
        <v>6</v>
      </c>
      <c r="D1360" s="42">
        <v>10</v>
      </c>
      <c r="E1360" s="43">
        <v>54521</v>
      </c>
      <c r="F1360" s="44">
        <v>28123151</v>
      </c>
      <c r="G1360" s="1" t="str">
        <f>IFERROR(IF(ventas_b_mes684[[#This Row],[CUIT]]="","-",VLOOKUP(ventas_b_mes684[[#This Row],[CUIT]],Lista_CUIT[#All],2,0)),"CUIT NO CARGADO")</f>
        <v>CUIT NO CARGADO</v>
      </c>
      <c r="H1360" s="64">
        <v>21884.3</v>
      </c>
      <c r="I1360" s="64">
        <f>ventas_b_mes684[[#This Row],[IMPORTE NETO]]*0.21</f>
        <v>4595.7029999999995</v>
      </c>
      <c r="J1360" s="64"/>
      <c r="K1360" s="64"/>
      <c r="L1360" s="64">
        <f>SUM(ventas_b_mes684[[#This Row],[IMPORTE NETO]:[EXENTO]])</f>
        <v>26480.002999999997</v>
      </c>
      <c r="M1360" s="59"/>
    </row>
    <row r="1361" spans="2:13">
      <c r="B1361" s="40" t="s">
        <v>2312</v>
      </c>
      <c r="C1361" s="41">
        <v>8</v>
      </c>
      <c r="D1361" s="42">
        <v>11</v>
      </c>
      <c r="E1361" s="43">
        <v>1036</v>
      </c>
      <c r="F1361" s="44">
        <v>43240534</v>
      </c>
      <c r="G1361" s="1" t="str">
        <f>IFERROR(IF(ventas_b_mes684[[#This Row],[CUIT]]="","-",VLOOKUP(ventas_b_mes684[[#This Row],[CUIT]],Lista_CUIT[#All],2,0)),"CUIT NO CARGADO")</f>
        <v>CUIT NO CARGADO</v>
      </c>
      <c r="H1361" s="64">
        <v>-11442.15</v>
      </c>
      <c r="I1361" s="64">
        <f>ventas_b_mes684[[#This Row],[IMPORTE NETO]]*0.21</f>
        <v>-2402.8514999999998</v>
      </c>
      <c r="J1361" s="64"/>
      <c r="K1361" s="64"/>
      <c r="L1361" s="64">
        <f>SUM(ventas_b_mes684[[#This Row],[IMPORTE NETO]:[EXENTO]])</f>
        <v>-13845.001499999998</v>
      </c>
      <c r="M1361" s="59"/>
    </row>
    <row r="1362" spans="2:13">
      <c r="B1362" s="40" t="s">
        <v>2312</v>
      </c>
      <c r="C1362" s="41">
        <v>8</v>
      </c>
      <c r="D1362" s="42">
        <v>10</v>
      </c>
      <c r="E1362" s="43">
        <v>1631</v>
      </c>
      <c r="F1362" s="44">
        <v>94006189</v>
      </c>
      <c r="G1362" s="1" t="str">
        <f>IFERROR(IF(ventas_b_mes684[[#This Row],[CUIT]]="","-",VLOOKUP(ventas_b_mes684[[#This Row],[CUIT]],Lista_CUIT[#All],2,0)),"CUIT NO CARGADO")</f>
        <v>CUIT NO CARGADO</v>
      </c>
      <c r="H1362" s="64">
        <v>-8264.4599999999991</v>
      </c>
      <c r="I1362" s="64">
        <f>ventas_b_mes684[[#This Row],[IMPORTE NETO]]*0.21</f>
        <v>-1735.5365999999997</v>
      </c>
      <c r="J1362" s="64"/>
      <c r="K1362" s="64"/>
      <c r="L1362" s="64">
        <f>SUM(ventas_b_mes684[[#This Row],[IMPORTE NETO]:[EXENTO]])</f>
        <v>-9999.9965999999986</v>
      </c>
      <c r="M1362" s="59"/>
    </row>
    <row r="1363" spans="2:13">
      <c r="B1363" s="40" t="s">
        <v>2312</v>
      </c>
      <c r="C1363" s="41">
        <v>8</v>
      </c>
      <c r="D1363" s="42">
        <v>10</v>
      </c>
      <c r="E1363" s="43">
        <v>1630</v>
      </c>
      <c r="F1363" s="44">
        <v>94432134</v>
      </c>
      <c r="G1363" s="1" t="str">
        <f>IFERROR(IF(ventas_b_mes684[[#This Row],[CUIT]]="","-",VLOOKUP(ventas_b_mes684[[#This Row],[CUIT]],Lista_CUIT[#All],2,0)),"CUIT NO CARGADO")</f>
        <v>CUIT NO CARGADO</v>
      </c>
      <c r="H1363" s="64">
        <v>-20661.16</v>
      </c>
      <c r="I1363" s="64">
        <f>ventas_b_mes684[[#This Row],[IMPORTE NETO]]*0.21</f>
        <v>-4338.8436000000002</v>
      </c>
      <c r="J1363" s="64"/>
      <c r="K1363" s="64"/>
      <c r="L1363" s="64">
        <f>SUM(ventas_b_mes684[[#This Row],[IMPORTE NETO]:[EXENTO]])</f>
        <v>-25000.0036</v>
      </c>
      <c r="M1363" s="59"/>
    </row>
    <row r="1364" spans="2:13">
      <c r="B1364" s="40" t="s">
        <v>2313</v>
      </c>
      <c r="C1364" s="41">
        <v>6</v>
      </c>
      <c r="D1364" s="42">
        <v>10</v>
      </c>
      <c r="E1364" s="43">
        <v>54532</v>
      </c>
      <c r="F1364" s="44">
        <v>20034675</v>
      </c>
      <c r="G1364" s="1" t="str">
        <f>IFERROR(IF(ventas_b_mes684[[#This Row],[CUIT]]="","-",VLOOKUP(ventas_b_mes684[[#This Row],[CUIT]],Lista_CUIT[#All],2,0)),"CUIT NO CARGADO")</f>
        <v>CUIT NO CARGADO</v>
      </c>
      <c r="H1364" s="64">
        <v>8264.4599999999991</v>
      </c>
      <c r="I1364" s="64">
        <f>ventas_b_mes684[[#This Row],[IMPORTE NETO]]*0.21</f>
        <v>1735.5365999999997</v>
      </c>
      <c r="J1364" s="64"/>
      <c r="K1364" s="64"/>
      <c r="L1364" s="64">
        <f>SUM(ventas_b_mes684[[#This Row],[IMPORTE NETO]:[EXENTO]])</f>
        <v>9999.9965999999986</v>
      </c>
      <c r="M1364" s="59"/>
    </row>
    <row r="1365" spans="2:13">
      <c r="B1365" s="40" t="s">
        <v>2313</v>
      </c>
      <c r="C1365" s="41">
        <v>6</v>
      </c>
      <c r="D1365" s="42">
        <v>12</v>
      </c>
      <c r="E1365" s="43">
        <v>29739</v>
      </c>
      <c r="F1365" s="44">
        <v>13722850</v>
      </c>
      <c r="G1365" s="1" t="str">
        <f>IFERROR(IF(ventas_b_mes684[[#This Row],[CUIT]]="","-",VLOOKUP(ventas_b_mes684[[#This Row],[CUIT]],Lista_CUIT[#All],2,0)),"CUIT NO CARGADO")</f>
        <v>CUIT NO CARGADO</v>
      </c>
      <c r="H1365" s="64">
        <v>2314.0500000000002</v>
      </c>
      <c r="I1365" s="64">
        <f>ventas_b_mes684[[#This Row],[IMPORTE NETO]]*0.21</f>
        <v>485.95050000000003</v>
      </c>
      <c r="J1365" s="64"/>
      <c r="K1365" s="64"/>
      <c r="L1365" s="64">
        <f>SUM(ventas_b_mes684[[#This Row],[IMPORTE NETO]:[EXENTO]])</f>
        <v>2800.0005000000001</v>
      </c>
      <c r="M1365" s="59"/>
    </row>
    <row r="1366" spans="2:13">
      <c r="B1366" s="40" t="s">
        <v>2313</v>
      </c>
      <c r="C1366" s="41">
        <v>6</v>
      </c>
      <c r="D1366" s="42">
        <v>15</v>
      </c>
      <c r="E1366" s="43">
        <v>13339</v>
      </c>
      <c r="F1366" s="44">
        <v>94815499</v>
      </c>
      <c r="G1366" s="1" t="str">
        <f>IFERROR(IF(ventas_b_mes684[[#This Row],[CUIT]]="","-",VLOOKUP(ventas_b_mes684[[#This Row],[CUIT]],Lista_CUIT[#All],2,0)),"CUIT NO CARGADO")</f>
        <v>CUIT NO CARGADO</v>
      </c>
      <c r="H1366" s="64">
        <v>45454.55</v>
      </c>
      <c r="I1366" s="64">
        <f>ventas_b_mes684[[#This Row],[IMPORTE NETO]]*0.21</f>
        <v>9545.4555</v>
      </c>
      <c r="J1366" s="64"/>
      <c r="K1366" s="64"/>
      <c r="L1366" s="64">
        <f>SUM(ventas_b_mes684[[#This Row],[IMPORTE NETO]:[EXENTO]])</f>
        <v>55000.005499999999</v>
      </c>
      <c r="M1366" s="59"/>
    </row>
    <row r="1367" spans="2:13">
      <c r="B1367" s="40" t="s">
        <v>2313</v>
      </c>
      <c r="C1367" s="41">
        <v>6</v>
      </c>
      <c r="D1367" s="42">
        <v>12</v>
      </c>
      <c r="E1367" s="43">
        <v>29736</v>
      </c>
      <c r="F1367" s="44">
        <v>13722850</v>
      </c>
      <c r="G1367" s="1" t="str">
        <f>IFERROR(IF(ventas_b_mes684[[#This Row],[CUIT]]="","-",VLOOKUP(ventas_b_mes684[[#This Row],[CUIT]],Lista_CUIT[#All],2,0)),"CUIT NO CARGADO")</f>
        <v>CUIT NO CARGADO</v>
      </c>
      <c r="H1367" s="64">
        <v>2479.34</v>
      </c>
      <c r="I1367" s="64">
        <f>ventas_b_mes684[[#This Row],[IMPORTE NETO]]*0.21</f>
        <v>520.66139999999996</v>
      </c>
      <c r="J1367" s="64"/>
      <c r="K1367" s="64"/>
      <c r="L1367" s="64">
        <f>SUM(ventas_b_mes684[[#This Row],[IMPORTE NETO]:[EXENTO]])</f>
        <v>3000.0014000000001</v>
      </c>
      <c r="M1367" s="59"/>
    </row>
    <row r="1368" spans="2:13">
      <c r="B1368" s="40" t="s">
        <v>2313</v>
      </c>
      <c r="C1368" s="41">
        <v>6</v>
      </c>
      <c r="D1368" s="42">
        <v>10</v>
      </c>
      <c r="E1368" s="43">
        <v>54533</v>
      </c>
      <c r="F1368" s="44">
        <v>92807262</v>
      </c>
      <c r="G1368" s="1" t="str">
        <f>IFERROR(IF(ventas_b_mes684[[#This Row],[CUIT]]="","-",VLOOKUP(ventas_b_mes684[[#This Row],[CUIT]],Lista_CUIT[#All],2,0)),"CUIT NO CARGADO")</f>
        <v>CUIT NO CARGADO</v>
      </c>
      <c r="H1368" s="64">
        <v>8264.4599999999991</v>
      </c>
      <c r="I1368" s="64">
        <f>ventas_b_mes684[[#This Row],[IMPORTE NETO]]*0.21</f>
        <v>1735.5365999999997</v>
      </c>
      <c r="J1368" s="64"/>
      <c r="K1368" s="64"/>
      <c r="L1368" s="64">
        <f>SUM(ventas_b_mes684[[#This Row],[IMPORTE NETO]:[EXENTO]])</f>
        <v>9999.9965999999986</v>
      </c>
      <c r="M1368" s="59"/>
    </row>
    <row r="1369" spans="2:13">
      <c r="B1369" s="40" t="s">
        <v>2313</v>
      </c>
      <c r="C1369" s="41">
        <v>6</v>
      </c>
      <c r="D1369" s="42">
        <v>11</v>
      </c>
      <c r="E1369" s="43">
        <v>38210</v>
      </c>
      <c r="F1369" s="44">
        <v>33156008</v>
      </c>
      <c r="G1369" s="1" t="str">
        <f>IFERROR(IF(ventas_b_mes684[[#This Row],[CUIT]]="","-",VLOOKUP(ventas_b_mes684[[#This Row],[CUIT]],Lista_CUIT[#All],2,0)),"CUIT NO CARGADO")</f>
        <v>CUIT NO CARGADO</v>
      </c>
      <c r="H1369" s="64">
        <v>12644.63</v>
      </c>
      <c r="I1369" s="64">
        <f>ventas_b_mes684[[#This Row],[IMPORTE NETO]]*0.21</f>
        <v>2655.3722999999995</v>
      </c>
      <c r="J1369" s="64"/>
      <c r="K1369" s="64"/>
      <c r="L1369" s="64">
        <f>SUM(ventas_b_mes684[[#This Row],[IMPORTE NETO]:[EXENTO]])</f>
        <v>15300.002299999998</v>
      </c>
      <c r="M1369" s="59"/>
    </row>
    <row r="1370" spans="2:13">
      <c r="B1370" s="40" t="s">
        <v>2313</v>
      </c>
      <c r="C1370" s="41">
        <v>6</v>
      </c>
      <c r="D1370" s="42">
        <v>11</v>
      </c>
      <c r="E1370" s="43">
        <v>38216</v>
      </c>
      <c r="F1370" s="44">
        <v>35367167</v>
      </c>
      <c r="G1370" s="1" t="str">
        <f>IFERROR(IF(ventas_b_mes684[[#This Row],[CUIT]]="","-",VLOOKUP(ventas_b_mes684[[#This Row],[CUIT]],Lista_CUIT[#All],2,0)),"CUIT NO CARGADO")</f>
        <v>CUIT NO CARGADO</v>
      </c>
      <c r="H1370" s="64">
        <v>20603.310000000001</v>
      </c>
      <c r="I1370" s="64">
        <f>ventas_b_mes684[[#This Row],[IMPORTE NETO]]*0.21</f>
        <v>4326.6950999999999</v>
      </c>
      <c r="J1370" s="64"/>
      <c r="K1370" s="64"/>
      <c r="L1370" s="64">
        <f>SUM(ventas_b_mes684[[#This Row],[IMPORTE NETO]:[EXENTO]])</f>
        <v>24930.005100000002</v>
      </c>
      <c r="M1370" s="59"/>
    </row>
    <row r="1371" spans="2:13">
      <c r="B1371" s="40" t="s">
        <v>2313</v>
      </c>
      <c r="C1371" s="41">
        <v>6</v>
      </c>
      <c r="D1371" s="42">
        <v>10</v>
      </c>
      <c r="E1371" s="43">
        <v>54525</v>
      </c>
      <c r="F1371" s="44">
        <v>47350112</v>
      </c>
      <c r="G1371" s="1" t="str">
        <f>IFERROR(IF(ventas_b_mes684[[#This Row],[CUIT]]="","-",VLOOKUP(ventas_b_mes684[[#This Row],[CUIT]],Lista_CUIT[#All],2,0)),"CUIT NO CARGADO")</f>
        <v>CUIT NO CARGADO</v>
      </c>
      <c r="H1371" s="64">
        <v>297.52</v>
      </c>
      <c r="I1371" s="64">
        <f>ventas_b_mes684[[#This Row],[IMPORTE NETO]]*0.21</f>
        <v>62.479199999999992</v>
      </c>
      <c r="J1371" s="64"/>
      <c r="K1371" s="64"/>
      <c r="L1371" s="64">
        <f>SUM(ventas_b_mes684[[#This Row],[IMPORTE NETO]:[EXENTO]])</f>
        <v>359.99919999999997</v>
      </c>
      <c r="M1371" s="59"/>
    </row>
    <row r="1372" spans="2:13">
      <c r="B1372" s="40" t="s">
        <v>2313</v>
      </c>
      <c r="C1372" s="41">
        <v>6</v>
      </c>
      <c r="D1372" s="42">
        <v>11</v>
      </c>
      <c r="E1372" s="43">
        <v>38196</v>
      </c>
      <c r="F1372" s="44">
        <v>11389944</v>
      </c>
      <c r="G1372" s="1" t="str">
        <f>IFERROR(IF(ventas_b_mes684[[#This Row],[CUIT]]="","-",VLOOKUP(ventas_b_mes684[[#This Row],[CUIT]],Lista_CUIT[#All],2,0)),"CUIT NO CARGADO")</f>
        <v>CUIT NO CARGADO</v>
      </c>
      <c r="H1372" s="64">
        <v>15123.97</v>
      </c>
      <c r="I1372" s="64">
        <f>ventas_b_mes684[[#This Row],[IMPORTE NETO]]*0.21</f>
        <v>3176.0337</v>
      </c>
      <c r="J1372" s="64"/>
      <c r="K1372" s="64"/>
      <c r="L1372" s="64">
        <f>SUM(ventas_b_mes684[[#This Row],[IMPORTE NETO]:[EXENTO]])</f>
        <v>18300.003700000001</v>
      </c>
      <c r="M1372" s="59"/>
    </row>
    <row r="1373" spans="2:13">
      <c r="B1373" s="40" t="s">
        <v>2313</v>
      </c>
      <c r="C1373" s="41">
        <v>6</v>
      </c>
      <c r="D1373" s="42">
        <v>11</v>
      </c>
      <c r="E1373" s="43">
        <v>38195</v>
      </c>
      <c r="F1373" s="44">
        <v>11384980</v>
      </c>
      <c r="G1373" s="1" t="str">
        <f>IFERROR(IF(ventas_b_mes684[[#This Row],[CUIT]]="","-",VLOOKUP(ventas_b_mes684[[#This Row],[CUIT]],Lista_CUIT[#All],2,0)),"CUIT NO CARGADO")</f>
        <v>CUIT NO CARGADO</v>
      </c>
      <c r="H1373" s="64">
        <v>20661.16</v>
      </c>
      <c r="I1373" s="64">
        <f>ventas_b_mes684[[#This Row],[IMPORTE NETO]]*0.21</f>
        <v>4338.8436000000002</v>
      </c>
      <c r="J1373" s="64"/>
      <c r="K1373" s="64"/>
      <c r="L1373" s="64">
        <f>SUM(ventas_b_mes684[[#This Row],[IMPORTE NETO]:[EXENTO]])</f>
        <v>25000.0036</v>
      </c>
      <c r="M1373" s="59"/>
    </row>
    <row r="1374" spans="2:13">
      <c r="B1374" s="40" t="s">
        <v>2313</v>
      </c>
      <c r="C1374" s="41">
        <v>6</v>
      </c>
      <c r="D1374" s="42">
        <v>12</v>
      </c>
      <c r="E1374" s="43">
        <v>29742</v>
      </c>
      <c r="F1374" s="44">
        <v>17359538</v>
      </c>
      <c r="G1374" s="1" t="str">
        <f>IFERROR(IF(ventas_b_mes684[[#This Row],[CUIT]]="","-",VLOOKUP(ventas_b_mes684[[#This Row],[CUIT]],Lista_CUIT[#All],2,0)),"CUIT NO CARGADO")</f>
        <v>CUIT NO CARGADO</v>
      </c>
      <c r="H1374" s="64">
        <v>18917.349999999999</v>
      </c>
      <c r="I1374" s="64">
        <f>ventas_b_mes684[[#This Row],[IMPORTE NETO]]*0.21</f>
        <v>3972.6434999999997</v>
      </c>
      <c r="J1374" s="64"/>
      <c r="K1374" s="64"/>
      <c r="L1374" s="64">
        <f>SUM(ventas_b_mes684[[#This Row],[IMPORTE NETO]:[EXENTO]])</f>
        <v>22889.993499999997</v>
      </c>
      <c r="M1374" s="59"/>
    </row>
    <row r="1375" spans="2:13">
      <c r="B1375" s="40" t="s">
        <v>2313</v>
      </c>
      <c r="C1375" s="41">
        <v>6</v>
      </c>
      <c r="D1375" s="42">
        <v>12</v>
      </c>
      <c r="E1375" s="43">
        <v>29745</v>
      </c>
      <c r="F1375" s="44">
        <v>25802661</v>
      </c>
      <c r="G1375" s="1" t="str">
        <f>IFERROR(IF(ventas_b_mes684[[#This Row],[CUIT]]="","-",VLOOKUP(ventas_b_mes684[[#This Row],[CUIT]],Lista_CUIT[#All],2,0)),"CUIT NO CARGADO")</f>
        <v>CUIT NO CARGADO</v>
      </c>
      <c r="H1375" s="64">
        <v>19504.13</v>
      </c>
      <c r="I1375" s="64">
        <f>ventas_b_mes684[[#This Row],[IMPORTE NETO]]*0.21</f>
        <v>4095.8672999999999</v>
      </c>
      <c r="J1375" s="64"/>
      <c r="K1375" s="64"/>
      <c r="L1375" s="64">
        <f>SUM(ventas_b_mes684[[#This Row],[IMPORTE NETO]:[EXENTO]])</f>
        <v>23599.997300000003</v>
      </c>
      <c r="M1375" s="59"/>
    </row>
    <row r="1376" spans="2:13">
      <c r="B1376" s="40" t="s">
        <v>2313</v>
      </c>
      <c r="C1376" s="41">
        <v>6</v>
      </c>
      <c r="D1376" s="42">
        <v>10</v>
      </c>
      <c r="E1376" s="43">
        <v>54535</v>
      </c>
      <c r="F1376" s="44">
        <v>13277007</v>
      </c>
      <c r="G1376" s="1" t="str">
        <f>IFERROR(IF(ventas_b_mes684[[#This Row],[CUIT]]="","-",VLOOKUP(ventas_b_mes684[[#This Row],[CUIT]],Lista_CUIT[#All],2,0)),"CUIT NO CARGADO")</f>
        <v>CUIT NO CARGADO</v>
      </c>
      <c r="H1376" s="64">
        <v>19752.07</v>
      </c>
      <c r="I1376" s="64">
        <f>ventas_b_mes684[[#This Row],[IMPORTE NETO]]*0.21</f>
        <v>4147.9346999999998</v>
      </c>
      <c r="J1376" s="64"/>
      <c r="K1376" s="64"/>
      <c r="L1376" s="64">
        <f>SUM(ventas_b_mes684[[#This Row],[IMPORTE NETO]:[EXENTO]])</f>
        <v>23900.004699999998</v>
      </c>
      <c r="M1376" s="59"/>
    </row>
    <row r="1377" spans="2:13">
      <c r="B1377" s="40" t="s">
        <v>2313</v>
      </c>
      <c r="C1377" s="41">
        <v>6</v>
      </c>
      <c r="D1377" s="42">
        <v>13</v>
      </c>
      <c r="E1377" s="43">
        <v>32523</v>
      </c>
      <c r="F1377" s="44">
        <v>16674321</v>
      </c>
      <c r="G1377" s="1" t="str">
        <f>IFERROR(IF(ventas_b_mes684[[#This Row],[CUIT]]="","-",VLOOKUP(ventas_b_mes684[[#This Row],[CUIT]],Lista_CUIT[#All],2,0)),"CUIT NO CARGADO")</f>
        <v>CUIT NO CARGADO</v>
      </c>
      <c r="H1377" s="64">
        <v>37603.31</v>
      </c>
      <c r="I1377" s="64">
        <f>ventas_b_mes684[[#This Row],[IMPORTE NETO]]*0.21</f>
        <v>7896.695099999999</v>
      </c>
      <c r="J1377" s="64"/>
      <c r="K1377" s="64"/>
      <c r="L1377" s="64">
        <f>SUM(ventas_b_mes684[[#This Row],[IMPORTE NETO]:[EXENTO]])</f>
        <v>45500.005099999995</v>
      </c>
      <c r="M1377" s="59"/>
    </row>
    <row r="1378" spans="2:13">
      <c r="B1378" s="40" t="s">
        <v>2313</v>
      </c>
      <c r="C1378" s="41">
        <v>6</v>
      </c>
      <c r="D1378" s="42">
        <v>13</v>
      </c>
      <c r="E1378" s="43">
        <v>32522</v>
      </c>
      <c r="F1378" s="44">
        <v>93873326</v>
      </c>
      <c r="G1378" s="1" t="str">
        <f>IFERROR(IF(ventas_b_mes684[[#This Row],[CUIT]]="","-",VLOOKUP(ventas_b_mes684[[#This Row],[CUIT]],Lista_CUIT[#All],2,0)),"CUIT NO CARGADO")</f>
        <v>CUIT NO CARGADO</v>
      </c>
      <c r="H1378" s="64">
        <v>20661.16</v>
      </c>
      <c r="I1378" s="64">
        <f>ventas_b_mes684[[#This Row],[IMPORTE NETO]]*0.21</f>
        <v>4338.8436000000002</v>
      </c>
      <c r="J1378" s="64"/>
      <c r="K1378" s="64"/>
      <c r="L1378" s="64">
        <f>SUM(ventas_b_mes684[[#This Row],[IMPORTE NETO]:[EXENTO]])</f>
        <v>25000.0036</v>
      </c>
      <c r="M1378" s="59"/>
    </row>
    <row r="1379" spans="2:13">
      <c r="B1379" s="40" t="s">
        <v>2313</v>
      </c>
      <c r="C1379" s="41">
        <v>6</v>
      </c>
      <c r="D1379" s="42">
        <v>11</v>
      </c>
      <c r="E1379" s="43">
        <v>38197</v>
      </c>
      <c r="F1379" s="44">
        <v>28756674</v>
      </c>
      <c r="G1379" s="1" t="str">
        <f>IFERROR(IF(ventas_b_mes684[[#This Row],[CUIT]]="","-",VLOOKUP(ventas_b_mes684[[#This Row],[CUIT]],Lista_CUIT[#All],2,0)),"CUIT NO CARGADO")</f>
        <v>CUIT NO CARGADO</v>
      </c>
      <c r="H1379" s="64">
        <v>18305.79</v>
      </c>
      <c r="I1379" s="64">
        <f>ventas_b_mes684[[#This Row],[IMPORTE NETO]]*0.21</f>
        <v>3844.2159000000001</v>
      </c>
      <c r="J1379" s="64"/>
      <c r="K1379" s="64"/>
      <c r="L1379" s="64">
        <f>SUM(ventas_b_mes684[[#This Row],[IMPORTE NETO]:[EXENTO]])</f>
        <v>22150.0059</v>
      </c>
      <c r="M1379" s="59"/>
    </row>
    <row r="1380" spans="2:13">
      <c r="B1380" s="40" t="s">
        <v>2313</v>
      </c>
      <c r="C1380" s="41">
        <v>6</v>
      </c>
      <c r="D1380" s="42">
        <v>11</v>
      </c>
      <c r="E1380" s="43">
        <v>38218</v>
      </c>
      <c r="F1380" s="44">
        <v>95988987</v>
      </c>
      <c r="G1380" s="1" t="str">
        <f>IFERROR(IF(ventas_b_mes684[[#This Row],[CUIT]]="","-",VLOOKUP(ventas_b_mes684[[#This Row],[CUIT]],Lista_CUIT[#All],2,0)),"CUIT NO CARGADO")</f>
        <v>CUIT NO CARGADO</v>
      </c>
      <c r="H1380" s="64">
        <v>23603.31</v>
      </c>
      <c r="I1380" s="64">
        <f>ventas_b_mes684[[#This Row],[IMPORTE NETO]]*0.21</f>
        <v>4956.6950999999999</v>
      </c>
      <c r="J1380" s="64"/>
      <c r="K1380" s="64"/>
      <c r="L1380" s="64">
        <f>SUM(ventas_b_mes684[[#This Row],[IMPORTE NETO]:[EXENTO]])</f>
        <v>28560.005100000002</v>
      </c>
      <c r="M1380" s="59"/>
    </row>
    <row r="1381" spans="2:13">
      <c r="B1381" s="40" t="s">
        <v>2313</v>
      </c>
      <c r="C1381" s="41">
        <v>6</v>
      </c>
      <c r="D1381" s="42">
        <v>11</v>
      </c>
      <c r="E1381" s="43">
        <v>38217</v>
      </c>
      <c r="F1381" s="44">
        <v>35267881</v>
      </c>
      <c r="G1381" s="1" t="str">
        <f>IFERROR(IF(ventas_b_mes684[[#This Row],[CUIT]]="","-",VLOOKUP(ventas_b_mes684[[#This Row],[CUIT]],Lista_CUIT[#All],2,0)),"CUIT NO CARGADO")</f>
        <v>CUIT NO CARGADO</v>
      </c>
      <c r="H1381" s="64">
        <v>5892.56</v>
      </c>
      <c r="I1381" s="64">
        <f>ventas_b_mes684[[#This Row],[IMPORTE NETO]]*0.21</f>
        <v>1237.4376</v>
      </c>
      <c r="J1381" s="64"/>
      <c r="K1381" s="64"/>
      <c r="L1381" s="64">
        <f>SUM(ventas_b_mes684[[#This Row],[IMPORTE NETO]:[EXENTO]])</f>
        <v>7129.9976000000006</v>
      </c>
      <c r="M1381" s="59"/>
    </row>
    <row r="1382" spans="2:13">
      <c r="B1382" s="40" t="s">
        <v>2313</v>
      </c>
      <c r="C1382" s="41">
        <v>6</v>
      </c>
      <c r="D1382" s="42">
        <v>10</v>
      </c>
      <c r="E1382" s="43">
        <v>54531</v>
      </c>
      <c r="F1382" s="44">
        <v>21888259</v>
      </c>
      <c r="G1382" s="1" t="str">
        <f>IFERROR(IF(ventas_b_mes684[[#This Row],[CUIT]]="","-",VLOOKUP(ventas_b_mes684[[#This Row],[CUIT]],Lista_CUIT[#All],2,0)),"CUIT NO CARGADO")</f>
        <v>CUIT NO CARGADO</v>
      </c>
      <c r="H1382" s="64">
        <v>8264.4599999999991</v>
      </c>
      <c r="I1382" s="64">
        <f>ventas_b_mes684[[#This Row],[IMPORTE NETO]]*0.21</f>
        <v>1735.5365999999997</v>
      </c>
      <c r="J1382" s="64"/>
      <c r="K1382" s="64"/>
      <c r="L1382" s="64">
        <f>SUM(ventas_b_mes684[[#This Row],[IMPORTE NETO]:[EXENTO]])</f>
        <v>9999.9965999999986</v>
      </c>
      <c r="M1382" s="59"/>
    </row>
    <row r="1383" spans="2:13">
      <c r="B1383" s="40" t="s">
        <v>2313</v>
      </c>
      <c r="C1383" s="41">
        <v>6</v>
      </c>
      <c r="D1383" s="42">
        <v>11</v>
      </c>
      <c r="E1383" s="43">
        <v>38192</v>
      </c>
      <c r="F1383" s="44">
        <v>29805032</v>
      </c>
      <c r="G1383" s="1" t="str">
        <f>IFERROR(IF(ventas_b_mes684[[#This Row],[CUIT]]="","-",VLOOKUP(ventas_b_mes684[[#This Row],[CUIT]],Lista_CUIT[#All],2,0)),"CUIT NO CARGADO")</f>
        <v>CUIT NO CARGADO</v>
      </c>
      <c r="H1383" s="64">
        <v>20661.16</v>
      </c>
      <c r="I1383" s="64">
        <f>ventas_b_mes684[[#This Row],[IMPORTE NETO]]*0.21</f>
        <v>4338.8436000000002</v>
      </c>
      <c r="J1383" s="64"/>
      <c r="K1383" s="64"/>
      <c r="L1383" s="64">
        <f>SUM(ventas_b_mes684[[#This Row],[IMPORTE NETO]:[EXENTO]])</f>
        <v>25000.0036</v>
      </c>
      <c r="M1383" s="59"/>
    </row>
    <row r="1384" spans="2:13">
      <c r="B1384" s="40" t="s">
        <v>2313</v>
      </c>
      <c r="C1384" s="41">
        <v>6</v>
      </c>
      <c r="D1384" s="42">
        <v>10</v>
      </c>
      <c r="E1384" s="43">
        <v>54530</v>
      </c>
      <c r="F1384" s="44">
        <v>21888259</v>
      </c>
      <c r="G1384" s="1" t="str">
        <f>IFERROR(IF(ventas_b_mes684[[#This Row],[CUIT]]="","-",VLOOKUP(ventas_b_mes684[[#This Row],[CUIT]],Lista_CUIT[#All],2,0)),"CUIT NO CARGADO")</f>
        <v>CUIT NO CARGADO</v>
      </c>
      <c r="H1384" s="64">
        <v>185206.61</v>
      </c>
      <c r="I1384" s="64">
        <f>ventas_b_mes684[[#This Row],[IMPORTE NETO]]*0.21</f>
        <v>38893.388099999996</v>
      </c>
      <c r="J1384" s="64"/>
      <c r="K1384" s="64"/>
      <c r="L1384" s="64">
        <f>SUM(ventas_b_mes684[[#This Row],[IMPORTE NETO]:[EXENTO]])</f>
        <v>224099.99809999997</v>
      </c>
      <c r="M1384" s="59"/>
    </row>
    <row r="1385" spans="2:13">
      <c r="B1385" s="40" t="s">
        <v>2313</v>
      </c>
      <c r="C1385" s="41">
        <v>6</v>
      </c>
      <c r="D1385" s="42">
        <v>15</v>
      </c>
      <c r="E1385" s="43">
        <v>13345</v>
      </c>
      <c r="F1385" s="44">
        <v>30005896</v>
      </c>
      <c r="G1385" s="1" t="str">
        <f>IFERROR(IF(ventas_b_mes684[[#This Row],[CUIT]]="","-",VLOOKUP(ventas_b_mes684[[#This Row],[CUIT]],Lista_CUIT[#All],2,0)),"CUIT NO CARGADO")</f>
        <v>JULIAN,Gimena</v>
      </c>
      <c r="H1385" s="64">
        <v>9752.07</v>
      </c>
      <c r="I1385" s="64">
        <f>ventas_b_mes684[[#This Row],[IMPORTE NETO]]*0.21</f>
        <v>2047.9346999999998</v>
      </c>
      <c r="J1385" s="64"/>
      <c r="K1385" s="64"/>
      <c r="L1385" s="64">
        <f>SUM(ventas_b_mes684[[#This Row],[IMPORTE NETO]:[EXENTO]])</f>
        <v>11800.0047</v>
      </c>
      <c r="M1385" s="59"/>
    </row>
    <row r="1386" spans="2:13">
      <c r="B1386" s="40" t="s">
        <v>2313</v>
      </c>
      <c r="C1386" s="41">
        <v>6</v>
      </c>
      <c r="D1386" s="42">
        <v>15</v>
      </c>
      <c r="E1386" s="43">
        <v>13336</v>
      </c>
      <c r="F1386" s="44">
        <v>22993607</v>
      </c>
      <c r="G1386" s="1" t="str">
        <f>IFERROR(IF(ventas_b_mes684[[#This Row],[CUIT]]="","-",VLOOKUP(ventas_b_mes684[[#This Row],[CUIT]],Lista_CUIT[#All],2,0)),"CUIT NO CARGADO")</f>
        <v>MONTENEGRO,LEONOR</v>
      </c>
      <c r="H1386" s="64">
        <v>15454.55</v>
      </c>
      <c r="I1386" s="64">
        <f>ventas_b_mes684[[#This Row],[IMPORTE NETO]]*0.21</f>
        <v>3245.4554999999996</v>
      </c>
      <c r="J1386" s="64"/>
      <c r="K1386" s="64"/>
      <c r="L1386" s="64">
        <f>SUM(ventas_b_mes684[[#This Row],[IMPORTE NETO]:[EXENTO]])</f>
        <v>18700.005499999999</v>
      </c>
      <c r="M1386" s="59"/>
    </row>
    <row r="1387" spans="2:13">
      <c r="B1387" s="40" t="s">
        <v>2313</v>
      </c>
      <c r="C1387" s="41">
        <v>6</v>
      </c>
      <c r="D1387" s="42">
        <v>15</v>
      </c>
      <c r="E1387" s="43">
        <v>13342</v>
      </c>
      <c r="F1387" s="44">
        <v>35401700</v>
      </c>
      <c r="G1387" s="1" t="str">
        <f>IFERROR(IF(ventas_b_mes684[[#This Row],[CUIT]]="","-",VLOOKUP(ventas_b_mes684[[#This Row],[CUIT]],Lista_CUIT[#All],2,0)),"CUIT NO CARGADO")</f>
        <v>CUIT NO CARGADO</v>
      </c>
      <c r="H1387" s="64">
        <v>9396.69</v>
      </c>
      <c r="I1387" s="64">
        <f>ventas_b_mes684[[#This Row],[IMPORTE NETO]]*0.21</f>
        <v>1973.3049000000001</v>
      </c>
      <c r="J1387" s="64"/>
      <c r="K1387" s="64"/>
      <c r="L1387" s="64">
        <f>SUM(ventas_b_mes684[[#This Row],[IMPORTE NETO]:[EXENTO]])</f>
        <v>11369.994900000002</v>
      </c>
      <c r="M1387" s="59"/>
    </row>
    <row r="1388" spans="2:13">
      <c r="B1388" s="40" t="s">
        <v>2313</v>
      </c>
      <c r="C1388" s="41">
        <v>6</v>
      </c>
      <c r="D1388" s="42">
        <v>10</v>
      </c>
      <c r="E1388" s="43">
        <v>54541</v>
      </c>
      <c r="F1388" s="44">
        <v>34286200</v>
      </c>
      <c r="G1388" s="1" t="str">
        <f>IFERROR(IF(ventas_b_mes684[[#This Row],[CUIT]]="","-",VLOOKUP(ventas_b_mes684[[#This Row],[CUIT]],Lista_CUIT[#All],2,0)),"CUIT NO CARGADO")</f>
        <v>CUIT NO CARGADO</v>
      </c>
      <c r="H1388" s="64">
        <v>10041.33</v>
      </c>
      <c r="I1388" s="64">
        <f>ventas_b_mes684[[#This Row],[IMPORTE NETO]]*0.21</f>
        <v>2108.6792999999998</v>
      </c>
      <c r="J1388" s="64"/>
      <c r="K1388" s="64"/>
      <c r="L1388" s="64">
        <f>SUM(ventas_b_mes684[[#This Row],[IMPORTE NETO]:[EXENTO]])</f>
        <v>12150.0093</v>
      </c>
      <c r="M1388" s="59"/>
    </row>
    <row r="1389" spans="2:13">
      <c r="B1389" s="40" t="s">
        <v>2313</v>
      </c>
      <c r="C1389" s="41">
        <v>6</v>
      </c>
      <c r="D1389" s="42">
        <v>11</v>
      </c>
      <c r="E1389" s="43">
        <v>38215</v>
      </c>
      <c r="F1389" s="44">
        <v>17469444</v>
      </c>
      <c r="G1389" s="1" t="str">
        <f>IFERROR(IF(ventas_b_mes684[[#This Row],[CUIT]]="","-",VLOOKUP(ventas_b_mes684[[#This Row],[CUIT]],Lista_CUIT[#All],2,0)),"CUIT NO CARGADO")</f>
        <v>CUIT NO CARGADO</v>
      </c>
      <c r="H1389" s="64">
        <v>47148.76</v>
      </c>
      <c r="I1389" s="64">
        <f>ventas_b_mes684[[#This Row],[IMPORTE NETO]]*0.21</f>
        <v>9901.2396000000008</v>
      </c>
      <c r="J1389" s="64"/>
      <c r="K1389" s="64"/>
      <c r="L1389" s="64">
        <f>SUM(ventas_b_mes684[[#This Row],[IMPORTE NETO]:[EXENTO]])</f>
        <v>57049.999600000003</v>
      </c>
      <c r="M1389" s="59"/>
    </row>
    <row r="1390" spans="2:13">
      <c r="B1390" s="40" t="s">
        <v>2313</v>
      </c>
      <c r="C1390" s="41">
        <v>6</v>
      </c>
      <c r="D1390" s="42">
        <v>12</v>
      </c>
      <c r="E1390" s="43">
        <v>29746</v>
      </c>
      <c r="F1390" s="44">
        <v>25057473</v>
      </c>
      <c r="G1390" s="1" t="str">
        <f>IFERROR(IF(ventas_b_mes684[[#This Row],[CUIT]]="","-",VLOOKUP(ventas_b_mes684[[#This Row],[CUIT]],Lista_CUIT[#All],2,0)),"CUIT NO CARGADO")</f>
        <v>CUIT NO CARGADO</v>
      </c>
      <c r="H1390" s="64">
        <v>20661.16</v>
      </c>
      <c r="I1390" s="64">
        <f>ventas_b_mes684[[#This Row],[IMPORTE NETO]]*0.21</f>
        <v>4338.8436000000002</v>
      </c>
      <c r="J1390" s="64"/>
      <c r="K1390" s="64"/>
      <c r="L1390" s="64">
        <f>SUM(ventas_b_mes684[[#This Row],[IMPORTE NETO]:[EXENTO]])</f>
        <v>25000.0036</v>
      </c>
      <c r="M1390" s="59"/>
    </row>
    <row r="1391" spans="2:13">
      <c r="B1391" s="40" t="s">
        <v>2313</v>
      </c>
      <c r="C1391" s="41">
        <v>6</v>
      </c>
      <c r="D1391" s="42">
        <v>15</v>
      </c>
      <c r="E1391" s="43">
        <v>13343</v>
      </c>
      <c r="F1391" s="44">
        <v>45309736</v>
      </c>
      <c r="G1391" s="1" t="str">
        <f>IFERROR(IF(ventas_b_mes684[[#This Row],[CUIT]]="","-",VLOOKUP(ventas_b_mes684[[#This Row],[CUIT]],Lista_CUIT[#All],2,0)),"CUIT NO CARGADO")</f>
        <v>CUIT NO CARGADO</v>
      </c>
      <c r="H1391" s="64">
        <v>380.17</v>
      </c>
      <c r="I1391" s="64">
        <f>ventas_b_mes684[[#This Row],[IMPORTE NETO]]*0.21</f>
        <v>79.835700000000003</v>
      </c>
      <c r="J1391" s="64"/>
      <c r="K1391" s="64"/>
      <c r="L1391" s="64">
        <f>SUM(ventas_b_mes684[[#This Row],[IMPORTE NETO]:[EXENTO]])</f>
        <v>460.00570000000005</v>
      </c>
      <c r="M1391" s="59"/>
    </row>
    <row r="1392" spans="2:13">
      <c r="B1392" s="40" t="s">
        <v>2313</v>
      </c>
      <c r="C1392" s="41">
        <v>6</v>
      </c>
      <c r="D1392" s="42">
        <v>11</v>
      </c>
      <c r="E1392" s="43">
        <v>38205</v>
      </c>
      <c r="F1392" s="44">
        <v>10110217</v>
      </c>
      <c r="G1392" s="1" t="str">
        <f>IFERROR(IF(ventas_b_mes684[[#This Row],[CUIT]]="","-",VLOOKUP(ventas_b_mes684[[#This Row],[CUIT]],Lista_CUIT[#All],2,0)),"CUIT NO CARGADO")</f>
        <v>CUIT NO CARGADO</v>
      </c>
      <c r="H1392" s="64">
        <v>4090.91</v>
      </c>
      <c r="I1392" s="64">
        <f>ventas_b_mes684[[#This Row],[IMPORTE NETO]]*0.21</f>
        <v>859.09109999999998</v>
      </c>
      <c r="J1392" s="64"/>
      <c r="K1392" s="64"/>
      <c r="L1392" s="64">
        <f>SUM(ventas_b_mes684[[#This Row],[IMPORTE NETO]:[EXENTO]])</f>
        <v>4950.0010999999995</v>
      </c>
      <c r="M1392" s="59"/>
    </row>
    <row r="1393" spans="2:13">
      <c r="B1393" s="40" t="s">
        <v>2313</v>
      </c>
      <c r="C1393" s="41">
        <v>6</v>
      </c>
      <c r="D1393" s="42">
        <v>15</v>
      </c>
      <c r="E1393" s="43">
        <v>13348</v>
      </c>
      <c r="F1393" s="44">
        <v>20013209</v>
      </c>
      <c r="G1393" s="1" t="str">
        <f>IFERROR(IF(ventas_b_mes684[[#This Row],[CUIT]]="","-",VLOOKUP(ventas_b_mes684[[#This Row],[CUIT]],Lista_CUIT[#All],2,0)),"CUIT NO CARGADO")</f>
        <v>CUIT NO CARGADO</v>
      </c>
      <c r="H1393" s="64">
        <v>32578.51</v>
      </c>
      <c r="I1393" s="64">
        <f>ventas_b_mes684[[#This Row],[IMPORTE NETO]]*0.21</f>
        <v>6841.4870999999994</v>
      </c>
      <c r="J1393" s="64"/>
      <c r="K1393" s="64"/>
      <c r="L1393" s="64">
        <f>SUM(ventas_b_mes684[[#This Row],[IMPORTE NETO]:[EXENTO]])</f>
        <v>39419.997100000001</v>
      </c>
      <c r="M1393" s="59"/>
    </row>
    <row r="1394" spans="2:13">
      <c r="B1394" s="40" t="s">
        <v>2313</v>
      </c>
      <c r="C1394" s="41">
        <v>6</v>
      </c>
      <c r="D1394" s="42">
        <v>11</v>
      </c>
      <c r="E1394" s="43">
        <v>38208</v>
      </c>
      <c r="F1394" s="44">
        <v>33156008</v>
      </c>
      <c r="G1394" s="1" t="str">
        <f>IFERROR(IF(ventas_b_mes684[[#This Row],[CUIT]]="","-",VLOOKUP(ventas_b_mes684[[#This Row],[CUIT]],Lista_CUIT[#All],2,0)),"CUIT NO CARGADO")</f>
        <v>CUIT NO CARGADO</v>
      </c>
      <c r="H1394" s="64">
        <v>9090.91</v>
      </c>
      <c r="I1394" s="64">
        <f>ventas_b_mes684[[#This Row],[IMPORTE NETO]]*0.21</f>
        <v>1909.0910999999999</v>
      </c>
      <c r="J1394" s="64"/>
      <c r="K1394" s="64"/>
      <c r="L1394" s="64">
        <f>SUM(ventas_b_mes684[[#This Row],[IMPORTE NETO]:[EXENTO]])</f>
        <v>11000.001099999999</v>
      </c>
      <c r="M1394" s="59"/>
    </row>
    <row r="1395" spans="2:13">
      <c r="B1395" s="40" t="s">
        <v>2313</v>
      </c>
      <c r="C1395" s="41">
        <v>6</v>
      </c>
      <c r="D1395" s="42">
        <v>15</v>
      </c>
      <c r="E1395" s="43">
        <v>13349</v>
      </c>
      <c r="F1395" s="44">
        <v>24767073</v>
      </c>
      <c r="G1395" s="1" t="str">
        <f>IFERROR(IF(ventas_b_mes684[[#This Row],[CUIT]]="","-",VLOOKUP(ventas_b_mes684[[#This Row],[CUIT]],Lista_CUIT[#All],2,0)),"CUIT NO CARGADO")</f>
        <v>CUIT NO CARGADO</v>
      </c>
      <c r="H1395" s="64">
        <v>41920.660000000003</v>
      </c>
      <c r="I1395" s="64">
        <f>ventas_b_mes684[[#This Row],[IMPORTE NETO]]*0.21</f>
        <v>8803.338600000001</v>
      </c>
      <c r="J1395" s="64"/>
      <c r="K1395" s="64"/>
      <c r="L1395" s="64">
        <f>SUM(ventas_b_mes684[[#This Row],[IMPORTE NETO]:[EXENTO]])</f>
        <v>50723.998600000006</v>
      </c>
      <c r="M1395" s="59"/>
    </row>
    <row r="1396" spans="2:13">
      <c r="B1396" s="40" t="s">
        <v>2313</v>
      </c>
      <c r="C1396" s="41">
        <v>6</v>
      </c>
      <c r="D1396" s="42">
        <v>10</v>
      </c>
      <c r="E1396" s="43">
        <v>54542</v>
      </c>
      <c r="F1396" s="44">
        <v>19123997</v>
      </c>
      <c r="G1396" s="1" t="str">
        <f>IFERROR(IF(ventas_b_mes684[[#This Row],[CUIT]]="","-",VLOOKUP(ventas_b_mes684[[#This Row],[CUIT]],Lista_CUIT[#All],2,0)),"CUIT NO CARGADO")</f>
        <v>CUIT NO CARGADO</v>
      </c>
      <c r="H1396" s="64">
        <v>25123.97</v>
      </c>
      <c r="I1396" s="64">
        <f>ventas_b_mes684[[#This Row],[IMPORTE NETO]]*0.21</f>
        <v>5276.0337</v>
      </c>
      <c r="J1396" s="64"/>
      <c r="K1396" s="64"/>
      <c r="L1396" s="64">
        <f>SUM(ventas_b_mes684[[#This Row],[IMPORTE NETO]:[EXENTO]])</f>
        <v>30400.003700000001</v>
      </c>
      <c r="M1396" s="59"/>
    </row>
    <row r="1397" spans="2:13">
      <c r="B1397" s="40" t="s">
        <v>2313</v>
      </c>
      <c r="C1397" s="41">
        <v>6</v>
      </c>
      <c r="D1397" s="42">
        <v>10</v>
      </c>
      <c r="E1397" s="43">
        <v>54543</v>
      </c>
      <c r="F1397" s="44">
        <v>35268252</v>
      </c>
      <c r="G1397" s="1" t="str">
        <f>IFERROR(IF(ventas_b_mes684[[#This Row],[CUIT]]="","-",VLOOKUP(ventas_b_mes684[[#This Row],[CUIT]],Lista_CUIT[#All],2,0)),"CUIT NO CARGADO")</f>
        <v>CUIT NO CARGADO</v>
      </c>
      <c r="H1397" s="64">
        <v>4338.84</v>
      </c>
      <c r="I1397" s="64">
        <f>ventas_b_mes684[[#This Row],[IMPORTE NETO]]*0.21</f>
        <v>911.15639999999996</v>
      </c>
      <c r="J1397" s="64"/>
      <c r="K1397" s="64"/>
      <c r="L1397" s="64">
        <f>SUM(ventas_b_mes684[[#This Row],[IMPORTE NETO]:[EXENTO]])</f>
        <v>5249.9964</v>
      </c>
      <c r="M1397" s="59"/>
    </row>
    <row r="1398" spans="2:13">
      <c r="B1398" s="40" t="s">
        <v>2313</v>
      </c>
      <c r="C1398" s="41">
        <v>6</v>
      </c>
      <c r="D1398" s="42">
        <v>13</v>
      </c>
      <c r="E1398" s="43">
        <v>32529</v>
      </c>
      <c r="F1398" s="44">
        <v>20560897</v>
      </c>
      <c r="G1398" s="1" t="str">
        <f>IFERROR(IF(ventas_b_mes684[[#This Row],[CUIT]]="","-",VLOOKUP(ventas_b_mes684[[#This Row],[CUIT]],Lista_CUIT[#All],2,0)),"CUIT NO CARGADO")</f>
        <v>CUIT NO CARGADO</v>
      </c>
      <c r="H1398" s="64">
        <v>3223.14</v>
      </c>
      <c r="I1398" s="64">
        <f>ventas_b_mes684[[#This Row],[IMPORTE NETO]]*0.21</f>
        <v>676.85939999999994</v>
      </c>
      <c r="J1398" s="64"/>
      <c r="K1398" s="64"/>
      <c r="L1398" s="64">
        <f>SUM(ventas_b_mes684[[#This Row],[IMPORTE NETO]:[EXENTO]])</f>
        <v>3899.9993999999997</v>
      </c>
      <c r="M1398" s="59"/>
    </row>
    <row r="1399" spans="2:13">
      <c r="B1399" s="40" t="s">
        <v>2313</v>
      </c>
      <c r="C1399" s="41">
        <v>6</v>
      </c>
      <c r="D1399" s="42">
        <v>11</v>
      </c>
      <c r="E1399" s="43">
        <v>38209</v>
      </c>
      <c r="F1399" s="44">
        <v>33156008</v>
      </c>
      <c r="G1399" s="1" t="str">
        <f>IFERROR(IF(ventas_b_mes684[[#This Row],[CUIT]]="","-",VLOOKUP(ventas_b_mes684[[#This Row],[CUIT]],Lista_CUIT[#All],2,0)),"CUIT NO CARGADO")</f>
        <v>CUIT NO CARGADO</v>
      </c>
      <c r="H1399" s="64">
        <v>47909.09</v>
      </c>
      <c r="I1399" s="64">
        <f>ventas_b_mes684[[#This Row],[IMPORTE NETO]]*0.21</f>
        <v>10060.908899999999</v>
      </c>
      <c r="J1399" s="64"/>
      <c r="K1399" s="64"/>
      <c r="L1399" s="64">
        <f>SUM(ventas_b_mes684[[#This Row],[IMPORTE NETO]:[EXENTO]])</f>
        <v>57969.998899999991</v>
      </c>
      <c r="M1399" s="59"/>
    </row>
    <row r="1400" spans="2:13">
      <c r="B1400" s="40" t="s">
        <v>2313</v>
      </c>
      <c r="C1400" s="41">
        <v>6</v>
      </c>
      <c r="D1400" s="42">
        <v>11</v>
      </c>
      <c r="E1400" s="43">
        <v>38189</v>
      </c>
      <c r="F1400" s="44">
        <v>10245963</v>
      </c>
      <c r="G1400" s="1" t="str">
        <f>IFERROR(IF(ventas_b_mes684[[#This Row],[CUIT]]="","-",VLOOKUP(ventas_b_mes684[[#This Row],[CUIT]],Lista_CUIT[#All],2,0)),"CUIT NO CARGADO")</f>
        <v>CUIT NO CARGADO</v>
      </c>
      <c r="H1400" s="64">
        <v>91919.42</v>
      </c>
      <c r="I1400" s="64">
        <f>ventas_b_mes684[[#This Row],[IMPORTE NETO]]*0.21</f>
        <v>19303.0782</v>
      </c>
      <c r="J1400" s="64"/>
      <c r="K1400" s="64"/>
      <c r="L1400" s="64">
        <f>SUM(ventas_b_mes684[[#This Row],[IMPORTE NETO]:[EXENTO]])</f>
        <v>111222.4982</v>
      </c>
      <c r="M1400" s="59"/>
    </row>
    <row r="1401" spans="2:13">
      <c r="B1401" s="40" t="s">
        <v>2313</v>
      </c>
      <c r="C1401" s="41">
        <v>6</v>
      </c>
      <c r="D1401" s="42">
        <v>12</v>
      </c>
      <c r="E1401" s="43">
        <v>29744</v>
      </c>
      <c r="F1401" s="44">
        <v>25515922</v>
      </c>
      <c r="G1401" s="1" t="str">
        <f>IFERROR(IF(ventas_b_mes684[[#This Row],[CUIT]]="","-",VLOOKUP(ventas_b_mes684[[#This Row],[CUIT]],Lista_CUIT[#All],2,0)),"CUIT NO CARGADO")</f>
        <v>CUIT NO CARGADO</v>
      </c>
      <c r="H1401" s="64">
        <v>8264.4599999999991</v>
      </c>
      <c r="I1401" s="64">
        <f>ventas_b_mes684[[#This Row],[IMPORTE NETO]]*0.21</f>
        <v>1735.5365999999997</v>
      </c>
      <c r="J1401" s="64"/>
      <c r="K1401" s="64"/>
      <c r="L1401" s="64">
        <f>SUM(ventas_b_mes684[[#This Row],[IMPORTE NETO]:[EXENTO]])</f>
        <v>9999.9965999999986</v>
      </c>
      <c r="M1401" s="59"/>
    </row>
    <row r="1402" spans="2:13">
      <c r="B1402" s="40" t="s">
        <v>2313</v>
      </c>
      <c r="C1402" s="41">
        <v>6</v>
      </c>
      <c r="D1402" s="42">
        <v>11</v>
      </c>
      <c r="E1402" s="43">
        <v>38203</v>
      </c>
      <c r="F1402" s="44">
        <v>35267881</v>
      </c>
      <c r="G1402" s="1" t="str">
        <f>IFERROR(IF(ventas_b_mes684[[#This Row],[CUIT]]="","-",VLOOKUP(ventas_b_mes684[[#This Row],[CUIT]],Lista_CUIT[#All],2,0)),"CUIT NO CARGADO")</f>
        <v>CUIT NO CARGADO</v>
      </c>
      <c r="H1402" s="64">
        <v>26764.46</v>
      </c>
      <c r="I1402" s="64">
        <f>ventas_b_mes684[[#This Row],[IMPORTE NETO]]*0.21</f>
        <v>5620.5365999999995</v>
      </c>
      <c r="J1402" s="64"/>
      <c r="K1402" s="64"/>
      <c r="L1402" s="64">
        <f>SUM(ventas_b_mes684[[#This Row],[IMPORTE NETO]:[EXENTO]])</f>
        <v>32384.996599999999</v>
      </c>
      <c r="M1402" s="59"/>
    </row>
    <row r="1403" spans="2:13">
      <c r="B1403" s="40" t="s">
        <v>2313</v>
      </c>
      <c r="C1403" s="41">
        <v>6</v>
      </c>
      <c r="D1403" s="42">
        <v>13</v>
      </c>
      <c r="E1403" s="43">
        <v>32524</v>
      </c>
      <c r="F1403" s="44">
        <v>21591734</v>
      </c>
      <c r="G1403" s="1" t="str">
        <f>IFERROR(IF(ventas_b_mes684[[#This Row],[CUIT]]="","-",VLOOKUP(ventas_b_mes684[[#This Row],[CUIT]],Lista_CUIT[#All],2,0)),"CUIT NO CARGADO")</f>
        <v>CUIT NO CARGADO</v>
      </c>
      <c r="H1403" s="64">
        <v>114818.18</v>
      </c>
      <c r="I1403" s="64">
        <f>ventas_b_mes684[[#This Row],[IMPORTE NETO]]*0.21</f>
        <v>24111.817799999997</v>
      </c>
      <c r="J1403" s="64"/>
      <c r="K1403" s="64"/>
      <c r="L1403" s="64">
        <f>SUM(ventas_b_mes684[[#This Row],[IMPORTE NETO]:[EXENTO]])</f>
        <v>138929.99779999998</v>
      </c>
      <c r="M1403" s="59"/>
    </row>
    <row r="1404" spans="2:13">
      <c r="B1404" s="40" t="s">
        <v>2313</v>
      </c>
      <c r="C1404" s="41">
        <v>6</v>
      </c>
      <c r="D1404" s="42">
        <v>15</v>
      </c>
      <c r="E1404" s="43">
        <v>13344</v>
      </c>
      <c r="F1404" s="44">
        <v>32425533</v>
      </c>
      <c r="G1404" s="1" t="str">
        <f>IFERROR(IF(ventas_b_mes684[[#This Row],[CUIT]]="","-",VLOOKUP(ventas_b_mes684[[#This Row],[CUIT]],Lista_CUIT[#All],2,0)),"CUIT NO CARGADO")</f>
        <v>CUIT NO CARGADO</v>
      </c>
      <c r="H1404" s="64">
        <v>10520.66</v>
      </c>
      <c r="I1404" s="64">
        <f>ventas_b_mes684[[#This Row],[IMPORTE NETO]]*0.21</f>
        <v>2209.3386</v>
      </c>
      <c r="J1404" s="64"/>
      <c r="K1404" s="64"/>
      <c r="L1404" s="64">
        <f>SUM(ventas_b_mes684[[#This Row],[IMPORTE NETO]:[EXENTO]])</f>
        <v>12729.998599999999</v>
      </c>
      <c r="M1404" s="59"/>
    </row>
    <row r="1405" spans="2:13">
      <c r="B1405" s="40" t="s">
        <v>2313</v>
      </c>
      <c r="C1405" s="41">
        <v>6</v>
      </c>
      <c r="D1405" s="42">
        <v>11</v>
      </c>
      <c r="E1405" s="43">
        <v>38204</v>
      </c>
      <c r="F1405" s="44">
        <v>12587989</v>
      </c>
      <c r="G1405" s="1" t="str">
        <f>IFERROR(IF(ventas_b_mes684[[#This Row],[CUIT]]="","-",VLOOKUP(ventas_b_mes684[[#This Row],[CUIT]],Lista_CUIT[#All],2,0)),"CUIT NO CARGADO")</f>
        <v>CUIT NO CARGADO</v>
      </c>
      <c r="H1405" s="64">
        <v>20991.74</v>
      </c>
      <c r="I1405" s="64">
        <f>ventas_b_mes684[[#This Row],[IMPORTE NETO]]*0.21</f>
        <v>4408.2654000000002</v>
      </c>
      <c r="J1405" s="64"/>
      <c r="K1405" s="64"/>
      <c r="L1405" s="64">
        <f>SUM(ventas_b_mes684[[#This Row],[IMPORTE NETO]:[EXENTO]])</f>
        <v>25400.005400000002</v>
      </c>
      <c r="M1405" s="59"/>
    </row>
    <row r="1406" spans="2:13">
      <c r="B1406" s="40" t="s">
        <v>2313</v>
      </c>
      <c r="C1406" s="41">
        <v>6</v>
      </c>
      <c r="D1406" s="42">
        <v>10</v>
      </c>
      <c r="E1406" s="43">
        <v>54529</v>
      </c>
      <c r="F1406" s="44">
        <v>33152251</v>
      </c>
      <c r="G1406" s="1" t="str">
        <f>IFERROR(IF(ventas_b_mes684[[#This Row],[CUIT]]="","-",VLOOKUP(ventas_b_mes684[[#This Row],[CUIT]],Lista_CUIT[#All],2,0)),"CUIT NO CARGADO")</f>
        <v>CUIT NO CARGADO</v>
      </c>
      <c r="H1406" s="64">
        <v>44380.17</v>
      </c>
      <c r="I1406" s="64">
        <f>ventas_b_mes684[[#This Row],[IMPORTE NETO]]*0.21</f>
        <v>9319.8356999999996</v>
      </c>
      <c r="J1406" s="64"/>
      <c r="K1406" s="64"/>
      <c r="L1406" s="64">
        <f>SUM(ventas_b_mes684[[#This Row],[IMPORTE NETO]:[EXENTO]])</f>
        <v>53700.005699999994</v>
      </c>
      <c r="M1406" s="59"/>
    </row>
    <row r="1407" spans="2:13">
      <c r="B1407" s="40" t="s">
        <v>2313</v>
      </c>
      <c r="C1407" s="41">
        <v>6</v>
      </c>
      <c r="D1407" s="42">
        <v>12</v>
      </c>
      <c r="E1407" s="43">
        <v>29747</v>
      </c>
      <c r="F1407" s="44">
        <v>29118954</v>
      </c>
      <c r="G1407" s="1" t="str">
        <f>IFERROR(IF(ventas_b_mes684[[#This Row],[CUIT]]="","-",VLOOKUP(ventas_b_mes684[[#This Row],[CUIT]],Lista_CUIT[#All],2,0)),"CUIT NO CARGADO")</f>
        <v>CUIT NO CARGADO</v>
      </c>
      <c r="H1407" s="64">
        <v>25438.02</v>
      </c>
      <c r="I1407" s="64">
        <f>ventas_b_mes684[[#This Row],[IMPORTE NETO]]*0.21</f>
        <v>5341.9841999999999</v>
      </c>
      <c r="J1407" s="64"/>
      <c r="K1407" s="64"/>
      <c r="L1407" s="64">
        <f>SUM(ventas_b_mes684[[#This Row],[IMPORTE NETO]:[EXENTO]])</f>
        <v>30780.004199999999</v>
      </c>
      <c r="M1407" s="59"/>
    </row>
    <row r="1408" spans="2:13">
      <c r="B1408" s="40" t="s">
        <v>2313</v>
      </c>
      <c r="C1408" s="41">
        <v>6</v>
      </c>
      <c r="D1408" s="42">
        <v>15</v>
      </c>
      <c r="E1408" s="43">
        <v>13347</v>
      </c>
      <c r="F1408" s="44">
        <v>22993607</v>
      </c>
      <c r="G1408" s="1" t="str">
        <f>IFERROR(IF(ventas_b_mes684[[#This Row],[CUIT]]="","-",VLOOKUP(ventas_b_mes684[[#This Row],[CUIT]],Lista_CUIT[#All],2,0)),"CUIT NO CARGADO")</f>
        <v>MONTENEGRO,LEONOR</v>
      </c>
      <c r="H1408" s="64">
        <v>26764.46</v>
      </c>
      <c r="I1408" s="64">
        <f>ventas_b_mes684[[#This Row],[IMPORTE NETO]]*0.21</f>
        <v>5620.5365999999995</v>
      </c>
      <c r="J1408" s="64"/>
      <c r="K1408" s="64"/>
      <c r="L1408" s="64">
        <f>SUM(ventas_b_mes684[[#This Row],[IMPORTE NETO]:[EXENTO]])</f>
        <v>32384.996599999999</v>
      </c>
      <c r="M1408" s="59"/>
    </row>
    <row r="1409" spans="2:13">
      <c r="B1409" s="40" t="s">
        <v>2313</v>
      </c>
      <c r="C1409" s="41">
        <v>6</v>
      </c>
      <c r="D1409" s="42">
        <v>11</v>
      </c>
      <c r="E1409" s="43">
        <v>38191</v>
      </c>
      <c r="F1409" s="44">
        <v>12276336</v>
      </c>
      <c r="G1409" s="1" t="str">
        <f>IFERROR(IF(ventas_b_mes684[[#This Row],[CUIT]]="","-",VLOOKUP(ventas_b_mes684[[#This Row],[CUIT]],Lista_CUIT[#All],2,0)),"CUIT NO CARGADO")</f>
        <v>CUIT NO CARGADO</v>
      </c>
      <c r="H1409" s="64">
        <v>7867.77</v>
      </c>
      <c r="I1409" s="64">
        <f>ventas_b_mes684[[#This Row],[IMPORTE NETO]]*0.21</f>
        <v>1652.2317</v>
      </c>
      <c r="J1409" s="64"/>
      <c r="K1409" s="64"/>
      <c r="L1409" s="64">
        <f>SUM(ventas_b_mes684[[#This Row],[IMPORTE NETO]:[EXENTO]])</f>
        <v>9520.0017000000007</v>
      </c>
      <c r="M1409" s="59"/>
    </row>
    <row r="1410" spans="2:13">
      <c r="B1410" s="40" t="s">
        <v>2313</v>
      </c>
      <c r="C1410" s="41">
        <v>6</v>
      </c>
      <c r="D1410" s="42">
        <v>11</v>
      </c>
      <c r="E1410" s="43">
        <v>38200</v>
      </c>
      <c r="F1410" s="44">
        <v>30974470</v>
      </c>
      <c r="G1410" s="1" t="str">
        <f>IFERROR(IF(ventas_b_mes684[[#This Row],[CUIT]]="","-",VLOOKUP(ventas_b_mes684[[#This Row],[CUIT]],Lista_CUIT[#All],2,0)),"CUIT NO CARGADO")</f>
        <v>CUIT NO CARGADO</v>
      </c>
      <c r="H1410" s="64">
        <v>30892.560000000001</v>
      </c>
      <c r="I1410" s="64">
        <f>ventas_b_mes684[[#This Row],[IMPORTE NETO]]*0.21</f>
        <v>6487.4376000000002</v>
      </c>
      <c r="J1410" s="64"/>
      <c r="K1410" s="64"/>
      <c r="L1410" s="64">
        <f>SUM(ventas_b_mes684[[#This Row],[IMPORTE NETO]:[EXENTO]])</f>
        <v>37379.997600000002</v>
      </c>
      <c r="M1410" s="59"/>
    </row>
    <row r="1411" spans="2:13">
      <c r="B1411" s="40" t="s">
        <v>2313</v>
      </c>
      <c r="C1411" s="41">
        <v>6</v>
      </c>
      <c r="D1411" s="42">
        <v>12</v>
      </c>
      <c r="E1411" s="43">
        <v>29743</v>
      </c>
      <c r="F1411" s="44">
        <v>31280893</v>
      </c>
      <c r="G1411" s="1" t="str">
        <f>IFERROR(IF(ventas_b_mes684[[#This Row],[CUIT]]="","-",VLOOKUP(ventas_b_mes684[[#This Row],[CUIT]],Lista_CUIT[#All],2,0)),"CUIT NO CARGADO")</f>
        <v>CUIT NO CARGADO</v>
      </c>
      <c r="H1411" s="64">
        <v>12892.56</v>
      </c>
      <c r="I1411" s="64">
        <f>ventas_b_mes684[[#This Row],[IMPORTE NETO]]*0.21</f>
        <v>2707.4375999999997</v>
      </c>
      <c r="J1411" s="64"/>
      <c r="K1411" s="64"/>
      <c r="L1411" s="64">
        <f>SUM(ventas_b_mes684[[#This Row],[IMPORTE NETO]:[EXENTO]])</f>
        <v>15599.997599999999</v>
      </c>
      <c r="M1411" s="59"/>
    </row>
    <row r="1412" spans="2:13">
      <c r="B1412" s="40" t="s">
        <v>2313</v>
      </c>
      <c r="C1412" s="41">
        <v>6</v>
      </c>
      <c r="D1412" s="42">
        <v>10</v>
      </c>
      <c r="E1412" s="43">
        <v>54536</v>
      </c>
      <c r="F1412" s="44">
        <v>18811785</v>
      </c>
      <c r="G1412" s="1" t="str">
        <f>IFERROR(IF(ventas_b_mes684[[#This Row],[CUIT]]="","-",VLOOKUP(ventas_b_mes684[[#This Row],[CUIT]],Lista_CUIT[#All],2,0)),"CUIT NO CARGADO")</f>
        <v>CUIT NO CARGADO</v>
      </c>
      <c r="H1412" s="64">
        <v>8264.4599999999991</v>
      </c>
      <c r="I1412" s="64">
        <f>ventas_b_mes684[[#This Row],[IMPORTE NETO]]*0.21</f>
        <v>1735.5365999999997</v>
      </c>
      <c r="J1412" s="64"/>
      <c r="K1412" s="64"/>
      <c r="L1412" s="64">
        <f>SUM(ventas_b_mes684[[#This Row],[IMPORTE NETO]:[EXENTO]])</f>
        <v>9999.9965999999986</v>
      </c>
      <c r="M1412" s="59"/>
    </row>
    <row r="1413" spans="2:13">
      <c r="B1413" s="40" t="s">
        <v>2313</v>
      </c>
      <c r="C1413" s="41">
        <v>6</v>
      </c>
      <c r="D1413" s="42">
        <v>15</v>
      </c>
      <c r="E1413" s="43">
        <v>13337</v>
      </c>
      <c r="F1413" s="44">
        <v>22491523</v>
      </c>
      <c r="G1413" s="1" t="str">
        <f>IFERROR(IF(ventas_b_mes684[[#This Row],[CUIT]]="","-",VLOOKUP(ventas_b_mes684[[#This Row],[CUIT]],Lista_CUIT[#All],2,0)),"CUIT NO CARGADO")</f>
        <v>CUIT NO CARGADO</v>
      </c>
      <c r="H1413" s="64">
        <v>42388.43</v>
      </c>
      <c r="I1413" s="64">
        <f>ventas_b_mes684[[#This Row],[IMPORTE NETO]]*0.21</f>
        <v>8901.5702999999994</v>
      </c>
      <c r="J1413" s="64"/>
      <c r="K1413" s="64"/>
      <c r="L1413" s="64">
        <f>SUM(ventas_b_mes684[[#This Row],[IMPORTE NETO]:[EXENTO]])</f>
        <v>51290.0003</v>
      </c>
      <c r="M1413" s="59"/>
    </row>
    <row r="1414" spans="2:13">
      <c r="B1414" s="40" t="s">
        <v>2313</v>
      </c>
      <c r="C1414" s="41">
        <v>6</v>
      </c>
      <c r="D1414" s="42">
        <v>11</v>
      </c>
      <c r="E1414" s="43">
        <v>38199</v>
      </c>
      <c r="F1414" s="44">
        <v>18621526</v>
      </c>
      <c r="G1414" s="1" t="str">
        <f>IFERROR(IF(ventas_b_mes684[[#This Row],[CUIT]]="","-",VLOOKUP(ventas_b_mes684[[#This Row],[CUIT]],Lista_CUIT[#All],2,0)),"CUIT NO CARGADO")</f>
        <v>CUIT NO CARGADO</v>
      </c>
      <c r="H1414" s="64">
        <v>35892.559999999998</v>
      </c>
      <c r="I1414" s="64">
        <f>ventas_b_mes684[[#This Row],[IMPORTE NETO]]*0.21</f>
        <v>7537.4375999999993</v>
      </c>
      <c r="J1414" s="64"/>
      <c r="K1414" s="64"/>
      <c r="L1414" s="64">
        <f>SUM(ventas_b_mes684[[#This Row],[IMPORTE NETO]:[EXENTO]])</f>
        <v>43429.997599999995</v>
      </c>
      <c r="M1414" s="59"/>
    </row>
    <row r="1415" spans="2:13">
      <c r="B1415" s="40" t="s">
        <v>2313</v>
      </c>
      <c r="C1415" s="41">
        <v>6</v>
      </c>
      <c r="D1415" s="42">
        <v>10</v>
      </c>
      <c r="E1415" s="43">
        <v>54538</v>
      </c>
      <c r="F1415" s="44">
        <v>18654217</v>
      </c>
      <c r="G1415" s="1" t="str">
        <f>IFERROR(IF(ventas_b_mes684[[#This Row],[CUIT]]="","-",VLOOKUP(ventas_b_mes684[[#This Row],[CUIT]],Lista_CUIT[#All],2,0)),"CUIT NO CARGADO")</f>
        <v>CUIT NO CARGADO</v>
      </c>
      <c r="H1415" s="64">
        <v>21033.06</v>
      </c>
      <c r="I1415" s="64">
        <f>ventas_b_mes684[[#This Row],[IMPORTE NETO]]*0.21</f>
        <v>4416.9426000000003</v>
      </c>
      <c r="J1415" s="64"/>
      <c r="K1415" s="64"/>
      <c r="L1415" s="64">
        <f>SUM(ventas_b_mes684[[#This Row],[IMPORTE NETO]:[EXENTO]])</f>
        <v>25450.0026</v>
      </c>
      <c r="M1415" s="59"/>
    </row>
    <row r="1416" spans="2:13">
      <c r="B1416" s="40" t="s">
        <v>2313</v>
      </c>
      <c r="C1416" s="41">
        <v>6</v>
      </c>
      <c r="D1416" s="42">
        <v>15</v>
      </c>
      <c r="E1416" s="43">
        <v>13346</v>
      </c>
      <c r="F1416" s="44">
        <v>22879936</v>
      </c>
      <c r="G1416" s="1" t="str">
        <f>IFERROR(IF(ventas_b_mes684[[#This Row],[CUIT]]="","-",VLOOKUP(ventas_b_mes684[[#This Row],[CUIT]],Lista_CUIT[#All],2,0)),"CUIT NO CARGADO")</f>
        <v>ARRIAGADA , ALEJANDRA (ESTUDIANTE)</v>
      </c>
      <c r="H1416" s="64">
        <v>23140.5</v>
      </c>
      <c r="I1416" s="64">
        <f>ventas_b_mes684[[#This Row],[IMPORTE NETO]]*0.21</f>
        <v>4859.5050000000001</v>
      </c>
      <c r="J1416" s="64"/>
      <c r="K1416" s="64"/>
      <c r="L1416" s="64">
        <f>SUM(ventas_b_mes684[[#This Row],[IMPORTE NETO]:[EXENTO]])</f>
        <v>28000.005000000001</v>
      </c>
      <c r="M1416" s="59"/>
    </row>
    <row r="1417" spans="2:13">
      <c r="B1417" s="40" t="s">
        <v>2313</v>
      </c>
      <c r="C1417" s="41">
        <v>6</v>
      </c>
      <c r="D1417" s="42">
        <v>11</v>
      </c>
      <c r="E1417" s="43">
        <v>38206</v>
      </c>
      <c r="F1417" s="44">
        <v>10478965</v>
      </c>
      <c r="G1417" s="1" t="str">
        <f>IFERROR(IF(ventas_b_mes684[[#This Row],[CUIT]]="","-",VLOOKUP(ventas_b_mes684[[#This Row],[CUIT]],Lista_CUIT[#All],2,0)),"CUIT NO CARGADO")</f>
        <v>CUIT NO CARGADO</v>
      </c>
      <c r="H1417" s="64">
        <v>20380.169999999998</v>
      </c>
      <c r="I1417" s="64">
        <f>ventas_b_mes684[[#This Row],[IMPORTE NETO]]*0.21</f>
        <v>4279.8356999999996</v>
      </c>
      <c r="J1417" s="64"/>
      <c r="K1417" s="64"/>
      <c r="L1417" s="64">
        <f>SUM(ventas_b_mes684[[#This Row],[IMPORTE NETO]:[EXENTO]])</f>
        <v>24660.005699999998</v>
      </c>
      <c r="M1417" s="59"/>
    </row>
    <row r="1418" spans="2:13">
      <c r="B1418" s="40" t="s">
        <v>2313</v>
      </c>
      <c r="C1418" s="41">
        <v>6</v>
      </c>
      <c r="D1418" s="42">
        <v>11</v>
      </c>
      <c r="E1418" s="43">
        <v>38214</v>
      </c>
      <c r="F1418" s="44">
        <v>33587963</v>
      </c>
      <c r="G1418" s="1" t="str">
        <f>IFERROR(IF(ventas_b_mes684[[#This Row],[CUIT]]="","-",VLOOKUP(ventas_b_mes684[[#This Row],[CUIT]],Lista_CUIT[#All],2,0)),"CUIT NO CARGADO")</f>
        <v>CUIT NO CARGADO</v>
      </c>
      <c r="H1418" s="64">
        <v>71171.490000000005</v>
      </c>
      <c r="I1418" s="64">
        <f>ventas_b_mes684[[#This Row],[IMPORTE NETO]]*0.21</f>
        <v>14946.0129</v>
      </c>
      <c r="J1418" s="64"/>
      <c r="K1418" s="64"/>
      <c r="L1418" s="64">
        <f>SUM(ventas_b_mes684[[#This Row],[IMPORTE NETO]:[EXENTO]])</f>
        <v>86117.502900000007</v>
      </c>
      <c r="M1418" s="59"/>
    </row>
    <row r="1419" spans="2:13">
      <c r="B1419" s="40" t="s">
        <v>2313</v>
      </c>
      <c r="C1419" s="41">
        <v>6</v>
      </c>
      <c r="D1419" s="42">
        <v>15</v>
      </c>
      <c r="E1419" s="43">
        <v>13333</v>
      </c>
      <c r="F1419" s="44">
        <v>37280750</v>
      </c>
      <c r="G1419" s="1" t="str">
        <f>IFERROR(IF(ventas_b_mes684[[#This Row],[CUIT]]="","-",VLOOKUP(ventas_b_mes684[[#This Row],[CUIT]],Lista_CUIT[#All],2,0)),"CUIT NO CARGADO")</f>
        <v>CUIT NO CARGADO</v>
      </c>
      <c r="H1419" s="64">
        <v>297.52</v>
      </c>
      <c r="I1419" s="64">
        <f>ventas_b_mes684[[#This Row],[IMPORTE NETO]]*0.21</f>
        <v>62.479199999999992</v>
      </c>
      <c r="J1419" s="64"/>
      <c r="K1419" s="64"/>
      <c r="L1419" s="64">
        <f>SUM(ventas_b_mes684[[#This Row],[IMPORTE NETO]:[EXENTO]])</f>
        <v>359.99919999999997</v>
      </c>
      <c r="M1419" s="59"/>
    </row>
    <row r="1420" spans="2:13">
      <c r="B1420" s="40" t="s">
        <v>2313</v>
      </c>
      <c r="C1420" s="41">
        <v>6</v>
      </c>
      <c r="D1420" s="42">
        <v>11</v>
      </c>
      <c r="E1420" s="43">
        <v>38190</v>
      </c>
      <c r="F1420" s="44">
        <v>18517929</v>
      </c>
      <c r="G1420" s="1" t="str">
        <f>IFERROR(IF(ventas_b_mes684[[#This Row],[CUIT]]="","-",VLOOKUP(ventas_b_mes684[[#This Row],[CUIT]],Lista_CUIT[#All],2,0)),"CUIT NO CARGADO")</f>
        <v>CUIT NO CARGADO</v>
      </c>
      <c r="H1420" s="64">
        <v>15644.63</v>
      </c>
      <c r="I1420" s="64">
        <f>ventas_b_mes684[[#This Row],[IMPORTE NETO]]*0.21</f>
        <v>3285.3722999999995</v>
      </c>
      <c r="J1420" s="64"/>
      <c r="K1420" s="64"/>
      <c r="L1420" s="64">
        <f>SUM(ventas_b_mes684[[#This Row],[IMPORTE NETO]:[EXENTO]])</f>
        <v>18930.0023</v>
      </c>
      <c r="M1420" s="59"/>
    </row>
    <row r="1421" spans="2:13">
      <c r="B1421" s="40" t="s">
        <v>2313</v>
      </c>
      <c r="C1421" s="41">
        <v>6</v>
      </c>
      <c r="D1421" s="42">
        <v>15</v>
      </c>
      <c r="E1421" s="43">
        <v>13338</v>
      </c>
      <c r="F1421" s="44">
        <v>21857947</v>
      </c>
      <c r="G1421" s="1" t="str">
        <f>IFERROR(IF(ventas_b_mes684[[#This Row],[CUIT]]="","-",VLOOKUP(ventas_b_mes684[[#This Row],[CUIT]],Lista_CUIT[#All],2,0)),"CUIT NO CARGADO")</f>
        <v>CUIT NO CARGADO</v>
      </c>
      <c r="H1421" s="64">
        <v>12123.97</v>
      </c>
      <c r="I1421" s="64">
        <f>ventas_b_mes684[[#This Row],[IMPORTE NETO]]*0.21</f>
        <v>2546.0337</v>
      </c>
      <c r="J1421" s="64"/>
      <c r="K1421" s="64"/>
      <c r="L1421" s="64">
        <f>SUM(ventas_b_mes684[[#This Row],[IMPORTE NETO]:[EXENTO]])</f>
        <v>14670.003699999999</v>
      </c>
      <c r="M1421" s="59"/>
    </row>
    <row r="1422" spans="2:13">
      <c r="B1422" s="40" t="s">
        <v>2313</v>
      </c>
      <c r="C1422" s="41">
        <v>6</v>
      </c>
      <c r="D1422" s="42">
        <v>13</v>
      </c>
      <c r="E1422" s="43">
        <v>32521</v>
      </c>
      <c r="F1422" s="44">
        <v>18699110</v>
      </c>
      <c r="G1422" s="1" t="str">
        <f>IFERROR(IF(ventas_b_mes684[[#This Row],[CUIT]]="","-",VLOOKUP(ventas_b_mes684[[#This Row],[CUIT]],Lista_CUIT[#All],2,0)),"CUIT NO CARGADO")</f>
        <v>CUIT NO CARGADO</v>
      </c>
      <c r="H1422" s="64">
        <v>190413.22</v>
      </c>
      <c r="I1422" s="64">
        <f>ventas_b_mes684[[#This Row],[IMPORTE NETO]]*0.21</f>
        <v>39986.7762</v>
      </c>
      <c r="J1422" s="64"/>
      <c r="K1422" s="64"/>
      <c r="L1422" s="64">
        <f>SUM(ventas_b_mes684[[#This Row],[IMPORTE NETO]:[EXENTO]])</f>
        <v>230399.99619999999</v>
      </c>
      <c r="M1422" s="59"/>
    </row>
    <row r="1423" spans="2:13">
      <c r="B1423" s="40" t="s">
        <v>2313</v>
      </c>
      <c r="C1423" s="41">
        <v>6</v>
      </c>
      <c r="D1423" s="42">
        <v>10</v>
      </c>
      <c r="E1423" s="43">
        <v>54539</v>
      </c>
      <c r="F1423" s="44">
        <v>96116765</v>
      </c>
      <c r="G1423" s="1" t="str">
        <f>IFERROR(IF(ventas_b_mes684[[#This Row],[CUIT]]="","-",VLOOKUP(ventas_b_mes684[[#This Row],[CUIT]],Lista_CUIT[#All],2,0)),"CUIT NO CARGADO")</f>
        <v>CUIT NO CARGADO</v>
      </c>
      <c r="H1423" s="64">
        <v>27603.31</v>
      </c>
      <c r="I1423" s="64">
        <f>ventas_b_mes684[[#This Row],[IMPORTE NETO]]*0.21</f>
        <v>5796.6950999999999</v>
      </c>
      <c r="J1423" s="64"/>
      <c r="K1423" s="64"/>
      <c r="L1423" s="64">
        <f>SUM(ventas_b_mes684[[#This Row],[IMPORTE NETO]:[EXENTO]])</f>
        <v>33400.005100000002</v>
      </c>
      <c r="M1423" s="59"/>
    </row>
    <row r="1424" spans="2:13">
      <c r="B1424" s="40" t="s">
        <v>2313</v>
      </c>
      <c r="C1424" s="41">
        <v>6</v>
      </c>
      <c r="D1424" s="42">
        <v>13</v>
      </c>
      <c r="E1424" s="43">
        <v>32525</v>
      </c>
      <c r="F1424" s="44">
        <v>31270108</v>
      </c>
      <c r="G1424" s="1" t="str">
        <f>IFERROR(IF(ventas_b_mes684[[#This Row],[CUIT]]="","-",VLOOKUP(ventas_b_mes684[[#This Row],[CUIT]],Lista_CUIT[#All],2,0)),"CUIT NO CARGADO")</f>
        <v>CUIT NO CARGADO</v>
      </c>
      <c r="H1424" s="64">
        <v>40578.51</v>
      </c>
      <c r="I1424" s="64">
        <f>ventas_b_mes684[[#This Row],[IMPORTE NETO]]*0.21</f>
        <v>8521.4871000000003</v>
      </c>
      <c r="J1424" s="64"/>
      <c r="K1424" s="64"/>
      <c r="L1424" s="64">
        <f>SUM(ventas_b_mes684[[#This Row],[IMPORTE NETO]:[EXENTO]])</f>
        <v>49099.997100000001</v>
      </c>
      <c r="M1424" s="59"/>
    </row>
    <row r="1425" spans="2:13">
      <c r="B1425" s="40" t="s">
        <v>2313</v>
      </c>
      <c r="C1425" s="41">
        <v>6</v>
      </c>
      <c r="D1425" s="42">
        <v>13</v>
      </c>
      <c r="E1425" s="43">
        <v>32527</v>
      </c>
      <c r="F1425" s="44">
        <v>93969085</v>
      </c>
      <c r="G1425" s="1" t="str">
        <f>IFERROR(IF(ventas_b_mes684[[#This Row],[CUIT]]="","-",VLOOKUP(ventas_b_mes684[[#This Row],[CUIT]],Lista_CUIT[#All],2,0)),"CUIT NO CARGADO")</f>
        <v>CUIT NO CARGADO</v>
      </c>
      <c r="H1425" s="64">
        <v>51768.59</v>
      </c>
      <c r="I1425" s="64">
        <f>ventas_b_mes684[[#This Row],[IMPORTE NETO]]*0.21</f>
        <v>10871.403899999999</v>
      </c>
      <c r="J1425" s="64"/>
      <c r="K1425" s="64"/>
      <c r="L1425" s="64">
        <f>SUM(ventas_b_mes684[[#This Row],[IMPORTE NETO]:[EXENTO]])</f>
        <v>62639.993899999994</v>
      </c>
      <c r="M1425" s="59"/>
    </row>
    <row r="1426" spans="2:13">
      <c r="B1426" s="40" t="s">
        <v>2313</v>
      </c>
      <c r="C1426" s="41">
        <v>6</v>
      </c>
      <c r="D1426" s="42">
        <v>15</v>
      </c>
      <c r="E1426" s="43">
        <v>13334</v>
      </c>
      <c r="F1426" s="44">
        <v>41245608</v>
      </c>
      <c r="G1426" s="1" t="str">
        <f>IFERROR(IF(ventas_b_mes684[[#This Row],[CUIT]]="","-",VLOOKUP(ventas_b_mes684[[#This Row],[CUIT]],Lista_CUIT[#All],2,0)),"CUIT NO CARGADO")</f>
        <v>CUIT NO CARGADO</v>
      </c>
      <c r="H1426" s="64">
        <v>20661.16</v>
      </c>
      <c r="I1426" s="64">
        <f>ventas_b_mes684[[#This Row],[IMPORTE NETO]]*0.21</f>
        <v>4338.8436000000002</v>
      </c>
      <c r="J1426" s="64"/>
      <c r="K1426" s="64"/>
      <c r="L1426" s="64">
        <f>SUM(ventas_b_mes684[[#This Row],[IMPORTE NETO]:[EXENTO]])</f>
        <v>25000.0036</v>
      </c>
      <c r="M1426" s="59"/>
    </row>
    <row r="1427" spans="2:13">
      <c r="B1427" s="40" t="s">
        <v>2313</v>
      </c>
      <c r="C1427" s="41">
        <v>6</v>
      </c>
      <c r="D1427" s="42">
        <v>12</v>
      </c>
      <c r="E1427" s="43">
        <v>29738</v>
      </c>
      <c r="F1427" s="44">
        <v>33104137</v>
      </c>
      <c r="G1427" s="1" t="str">
        <f>IFERROR(IF(ventas_b_mes684[[#This Row],[CUIT]]="","-",VLOOKUP(ventas_b_mes684[[#This Row],[CUIT]],Lista_CUIT[#All],2,0)),"CUIT NO CARGADO")</f>
        <v>CUIT NO CARGADO</v>
      </c>
      <c r="H1427" s="64">
        <v>18554.13</v>
      </c>
      <c r="I1427" s="64">
        <f>ventas_b_mes684[[#This Row],[IMPORTE NETO]]*0.21</f>
        <v>3896.3672999999999</v>
      </c>
      <c r="J1427" s="64"/>
      <c r="K1427" s="64"/>
      <c r="L1427" s="64">
        <f>SUM(ventas_b_mes684[[#This Row],[IMPORTE NETO]:[EXENTO]])</f>
        <v>22450.497300000003</v>
      </c>
      <c r="M1427" s="59"/>
    </row>
    <row r="1428" spans="2:13">
      <c r="B1428" s="40" t="s">
        <v>2313</v>
      </c>
      <c r="C1428" s="41">
        <v>6</v>
      </c>
      <c r="D1428" s="42">
        <v>10</v>
      </c>
      <c r="E1428" s="43">
        <v>54526</v>
      </c>
      <c r="F1428" s="44">
        <v>26877939</v>
      </c>
      <c r="G1428" s="1" t="str">
        <f>IFERROR(IF(ventas_b_mes684[[#This Row],[CUIT]]="","-",VLOOKUP(ventas_b_mes684[[#This Row],[CUIT]],Lista_CUIT[#All],2,0)),"CUIT NO CARGADO")</f>
        <v>CUIT NO CARGADO</v>
      </c>
      <c r="H1428" s="64">
        <v>21776.86</v>
      </c>
      <c r="I1428" s="64">
        <f>ventas_b_mes684[[#This Row],[IMPORTE NETO]]*0.21</f>
        <v>4573.1405999999997</v>
      </c>
      <c r="J1428" s="64"/>
      <c r="K1428" s="64"/>
      <c r="L1428" s="64">
        <f>SUM(ventas_b_mes684[[#This Row],[IMPORTE NETO]:[EXENTO]])</f>
        <v>26350.000599999999</v>
      </c>
      <c r="M1428" s="59"/>
    </row>
    <row r="1429" spans="2:13">
      <c r="B1429" s="40" t="s">
        <v>2313</v>
      </c>
      <c r="C1429" s="41">
        <v>6</v>
      </c>
      <c r="D1429" s="42">
        <v>10</v>
      </c>
      <c r="E1429" s="43">
        <v>54528</v>
      </c>
      <c r="F1429" s="44">
        <v>25624377</v>
      </c>
      <c r="G1429" s="1" t="str">
        <f>IFERROR(IF(ventas_b_mes684[[#This Row],[CUIT]]="","-",VLOOKUP(ventas_b_mes684[[#This Row],[CUIT]],Lista_CUIT[#All],2,0)),"CUIT NO CARGADO")</f>
        <v>CUIT NO CARGADO</v>
      </c>
      <c r="H1429" s="64">
        <v>8264.4599999999991</v>
      </c>
      <c r="I1429" s="64">
        <f>ventas_b_mes684[[#This Row],[IMPORTE NETO]]*0.21</f>
        <v>1735.5365999999997</v>
      </c>
      <c r="J1429" s="64"/>
      <c r="K1429" s="64"/>
      <c r="L1429" s="64">
        <f>SUM(ventas_b_mes684[[#This Row],[IMPORTE NETO]:[EXENTO]])</f>
        <v>9999.9965999999986</v>
      </c>
      <c r="M1429" s="59"/>
    </row>
    <row r="1430" spans="2:13">
      <c r="B1430" s="40" t="s">
        <v>2313</v>
      </c>
      <c r="C1430" s="41">
        <v>6</v>
      </c>
      <c r="D1430" s="42">
        <v>11</v>
      </c>
      <c r="E1430" s="43">
        <v>38188</v>
      </c>
      <c r="F1430" s="44">
        <v>10245963</v>
      </c>
      <c r="G1430" s="1" t="str">
        <f>IFERROR(IF(ventas_b_mes684[[#This Row],[CUIT]]="","-",VLOOKUP(ventas_b_mes684[[#This Row],[CUIT]],Lista_CUIT[#All],2,0)),"CUIT NO CARGADO")</f>
        <v>CUIT NO CARGADO</v>
      </c>
      <c r="H1430" s="64">
        <v>8264.4599999999991</v>
      </c>
      <c r="I1430" s="64">
        <f>ventas_b_mes684[[#This Row],[IMPORTE NETO]]*0.21</f>
        <v>1735.5365999999997</v>
      </c>
      <c r="J1430" s="64"/>
      <c r="K1430" s="64"/>
      <c r="L1430" s="64">
        <f>SUM(ventas_b_mes684[[#This Row],[IMPORTE NETO]:[EXENTO]])</f>
        <v>9999.9965999999986</v>
      </c>
      <c r="M1430" s="59"/>
    </row>
    <row r="1431" spans="2:13">
      <c r="B1431" s="40" t="s">
        <v>2313</v>
      </c>
      <c r="C1431" s="41">
        <v>6</v>
      </c>
      <c r="D1431" s="42">
        <v>10</v>
      </c>
      <c r="E1431" s="43">
        <v>54540</v>
      </c>
      <c r="F1431" s="44">
        <v>14642659</v>
      </c>
      <c r="G1431" s="1" t="str">
        <f>IFERROR(IF(ventas_b_mes684[[#This Row],[CUIT]]="","-",VLOOKUP(ventas_b_mes684[[#This Row],[CUIT]],Lista_CUIT[#All],2,0)),"CUIT NO CARGADO")</f>
        <v>CUIT NO CARGADO</v>
      </c>
      <c r="H1431" s="64">
        <v>28842.98</v>
      </c>
      <c r="I1431" s="64">
        <f>ventas_b_mes684[[#This Row],[IMPORTE NETO]]*0.21</f>
        <v>6057.0257999999994</v>
      </c>
      <c r="J1431" s="64"/>
      <c r="K1431" s="64"/>
      <c r="L1431" s="64">
        <f>SUM(ventas_b_mes684[[#This Row],[IMPORTE NETO]:[EXENTO]])</f>
        <v>34900.005799999999</v>
      </c>
      <c r="M1431" s="59"/>
    </row>
    <row r="1432" spans="2:13">
      <c r="B1432" s="40" t="s">
        <v>2313</v>
      </c>
      <c r="C1432" s="41">
        <v>6</v>
      </c>
      <c r="D1432" s="42">
        <v>13</v>
      </c>
      <c r="E1432" s="43">
        <v>32526</v>
      </c>
      <c r="F1432" s="44">
        <v>94402336</v>
      </c>
      <c r="G1432" s="1" t="str">
        <f>IFERROR(IF(ventas_b_mes684[[#This Row],[CUIT]]="","-",VLOOKUP(ventas_b_mes684[[#This Row],[CUIT]],Lista_CUIT[#All],2,0)),"CUIT NO CARGADO")</f>
        <v>CUIT NO CARGADO</v>
      </c>
      <c r="H1432" s="64">
        <v>30803.759999999998</v>
      </c>
      <c r="I1432" s="64">
        <f>ventas_b_mes684[[#This Row],[IMPORTE NETO]]*0.21</f>
        <v>6468.7895999999992</v>
      </c>
      <c r="J1432" s="64"/>
      <c r="K1432" s="64"/>
      <c r="L1432" s="64">
        <f>SUM(ventas_b_mes684[[#This Row],[IMPORTE NETO]:[EXENTO]])</f>
        <v>37272.549599999998</v>
      </c>
      <c r="M1432" s="59"/>
    </row>
    <row r="1433" spans="2:13">
      <c r="B1433" s="40" t="s">
        <v>2313</v>
      </c>
      <c r="C1433" s="41">
        <v>6</v>
      </c>
      <c r="D1433" s="42">
        <v>13</v>
      </c>
      <c r="E1433" s="43">
        <v>32520</v>
      </c>
      <c r="F1433" s="44">
        <v>12817223</v>
      </c>
      <c r="G1433" s="1" t="str">
        <f>IFERROR(IF(ventas_b_mes684[[#This Row],[CUIT]]="","-",VLOOKUP(ventas_b_mes684[[#This Row],[CUIT]],Lista_CUIT[#All],2,0)),"CUIT NO CARGADO")</f>
        <v>CUIT NO CARGADO</v>
      </c>
      <c r="H1433" s="64">
        <v>8264.4599999999991</v>
      </c>
      <c r="I1433" s="64">
        <f>ventas_b_mes684[[#This Row],[IMPORTE NETO]]*0.21</f>
        <v>1735.5365999999997</v>
      </c>
      <c r="J1433" s="64"/>
      <c r="K1433" s="64"/>
      <c r="L1433" s="64">
        <f>SUM(ventas_b_mes684[[#This Row],[IMPORTE NETO]:[EXENTO]])</f>
        <v>9999.9965999999986</v>
      </c>
      <c r="M1433" s="59"/>
    </row>
    <row r="1434" spans="2:13">
      <c r="B1434" s="40" t="s">
        <v>2313</v>
      </c>
      <c r="C1434" s="41">
        <v>6</v>
      </c>
      <c r="D1434" s="42">
        <v>15</v>
      </c>
      <c r="E1434" s="43">
        <v>13332</v>
      </c>
      <c r="F1434" s="44">
        <v>35183523</v>
      </c>
      <c r="G1434" s="1" t="str">
        <f>IFERROR(IF(ventas_b_mes684[[#This Row],[CUIT]]="","-",VLOOKUP(ventas_b_mes684[[#This Row],[CUIT]],Lista_CUIT[#All],2,0)),"CUIT NO CARGADO")</f>
        <v>CUIT NO CARGADO</v>
      </c>
      <c r="H1434" s="64">
        <v>6611.57</v>
      </c>
      <c r="I1434" s="64">
        <f>ventas_b_mes684[[#This Row],[IMPORTE NETO]]*0.21</f>
        <v>1388.4296999999999</v>
      </c>
      <c r="J1434" s="64"/>
      <c r="K1434" s="64"/>
      <c r="L1434" s="64">
        <f>SUM(ventas_b_mes684[[#This Row],[IMPORTE NETO]:[EXENTO]])</f>
        <v>7999.9996999999994</v>
      </c>
      <c r="M1434" s="59"/>
    </row>
    <row r="1435" spans="2:13">
      <c r="B1435" s="40" t="s">
        <v>2313</v>
      </c>
      <c r="C1435" s="41">
        <v>6</v>
      </c>
      <c r="D1435" s="42">
        <v>12</v>
      </c>
      <c r="E1435" s="43">
        <v>29741</v>
      </c>
      <c r="F1435" s="44">
        <v>20388763</v>
      </c>
      <c r="G1435" s="1" t="str">
        <f>IFERROR(IF(ventas_b_mes684[[#This Row],[CUIT]]="","-",VLOOKUP(ventas_b_mes684[[#This Row],[CUIT]],Lista_CUIT[#All],2,0)),"CUIT NO CARGADO")</f>
        <v>CUIT NO CARGADO</v>
      </c>
      <c r="H1435" s="64">
        <v>16528.93</v>
      </c>
      <c r="I1435" s="64">
        <f>ventas_b_mes684[[#This Row],[IMPORTE NETO]]*0.21</f>
        <v>3471.0753</v>
      </c>
      <c r="J1435" s="64"/>
      <c r="K1435" s="64"/>
      <c r="L1435" s="64">
        <f>SUM(ventas_b_mes684[[#This Row],[IMPORTE NETO]:[EXENTO]])</f>
        <v>20000.005300000001</v>
      </c>
      <c r="M1435" s="59"/>
    </row>
    <row r="1436" spans="2:13">
      <c r="B1436" s="40" t="s">
        <v>2313</v>
      </c>
      <c r="C1436" s="41">
        <v>6</v>
      </c>
      <c r="D1436" s="42">
        <v>10</v>
      </c>
      <c r="E1436" s="43">
        <v>54534</v>
      </c>
      <c r="F1436" s="44">
        <v>215478631</v>
      </c>
      <c r="G1436" s="1" t="str">
        <f>IFERROR(IF(ventas_b_mes684[[#This Row],[CUIT]]="","-",VLOOKUP(ventas_b_mes684[[#This Row],[CUIT]],Lista_CUIT[#All],2,0)),"CUIT NO CARGADO")</f>
        <v>CUIT NO CARGADO</v>
      </c>
      <c r="H1436" s="64">
        <v>41239.68</v>
      </c>
      <c r="I1436" s="64">
        <f>ventas_b_mes684[[#This Row],[IMPORTE NETO]]*0.21</f>
        <v>8660.3328000000001</v>
      </c>
      <c r="J1436" s="64"/>
      <c r="K1436" s="64"/>
      <c r="L1436" s="64">
        <f>SUM(ventas_b_mes684[[#This Row],[IMPORTE NETO]:[EXENTO]])</f>
        <v>49900.012799999997</v>
      </c>
      <c r="M1436" s="59"/>
    </row>
    <row r="1437" spans="2:13">
      <c r="B1437" s="40" t="s">
        <v>2313</v>
      </c>
      <c r="C1437" s="41">
        <v>6</v>
      </c>
      <c r="D1437" s="42">
        <v>11</v>
      </c>
      <c r="E1437" s="43">
        <v>38207</v>
      </c>
      <c r="F1437" s="44">
        <v>18222767</v>
      </c>
      <c r="G1437" s="1" t="str">
        <f>IFERROR(IF(ventas_b_mes684[[#This Row],[CUIT]]="","-",VLOOKUP(ventas_b_mes684[[#This Row],[CUIT]],Lista_CUIT[#All],2,0)),"CUIT NO CARGADO")</f>
        <v>CUIT NO CARGADO</v>
      </c>
      <c r="H1437" s="64">
        <v>37735.54</v>
      </c>
      <c r="I1437" s="64">
        <f>ventas_b_mes684[[#This Row],[IMPORTE NETO]]*0.21</f>
        <v>7924.4633999999996</v>
      </c>
      <c r="J1437" s="64"/>
      <c r="K1437" s="64"/>
      <c r="L1437" s="64">
        <f>SUM(ventas_b_mes684[[#This Row],[IMPORTE NETO]:[EXENTO]])</f>
        <v>45660.003400000001</v>
      </c>
      <c r="M1437" s="59"/>
    </row>
    <row r="1438" spans="2:13">
      <c r="B1438" s="40" t="s">
        <v>2313</v>
      </c>
      <c r="C1438" s="41">
        <v>6</v>
      </c>
      <c r="D1438" s="42">
        <v>11</v>
      </c>
      <c r="E1438" s="43">
        <v>38212</v>
      </c>
      <c r="F1438" s="44">
        <v>36696317</v>
      </c>
      <c r="G1438" s="1" t="str">
        <f>IFERROR(IF(ventas_b_mes684[[#This Row],[CUIT]]="","-",VLOOKUP(ventas_b_mes684[[#This Row],[CUIT]],Lista_CUIT[#All],2,0)),"CUIT NO CARGADO")</f>
        <v>CUIT NO CARGADO</v>
      </c>
      <c r="H1438" s="64">
        <v>19880.169999999998</v>
      </c>
      <c r="I1438" s="64">
        <f>ventas_b_mes684[[#This Row],[IMPORTE NETO]]*0.21</f>
        <v>4174.8356999999996</v>
      </c>
      <c r="J1438" s="64"/>
      <c r="K1438" s="64"/>
      <c r="L1438" s="64">
        <f>SUM(ventas_b_mes684[[#This Row],[IMPORTE NETO]:[EXENTO]])</f>
        <v>24055.005699999998</v>
      </c>
      <c r="M1438" s="59"/>
    </row>
    <row r="1439" spans="2:13">
      <c r="B1439" s="40" t="s">
        <v>2313</v>
      </c>
      <c r="C1439" s="41">
        <v>6</v>
      </c>
      <c r="D1439" s="42">
        <v>12</v>
      </c>
      <c r="E1439" s="43">
        <v>29737</v>
      </c>
      <c r="F1439" s="44">
        <v>20001277</v>
      </c>
      <c r="G1439" s="1" t="str">
        <f>IFERROR(IF(ventas_b_mes684[[#This Row],[CUIT]]="","-",VLOOKUP(ventas_b_mes684[[#This Row],[CUIT]],Lista_CUIT[#All],2,0)),"CUIT NO CARGADO")</f>
        <v>CUIT NO CARGADO</v>
      </c>
      <c r="H1439" s="64">
        <v>12049.59</v>
      </c>
      <c r="I1439" s="64">
        <f>ventas_b_mes684[[#This Row],[IMPORTE NETO]]*0.21</f>
        <v>2530.4139</v>
      </c>
      <c r="J1439" s="64"/>
      <c r="K1439" s="64"/>
      <c r="L1439" s="64">
        <f>SUM(ventas_b_mes684[[#This Row],[IMPORTE NETO]:[EXENTO]])</f>
        <v>14580.0039</v>
      </c>
      <c r="M1439" s="59"/>
    </row>
    <row r="1440" spans="2:13">
      <c r="B1440" s="40" t="s">
        <v>2313</v>
      </c>
      <c r="C1440" s="41">
        <v>6</v>
      </c>
      <c r="D1440" s="42">
        <v>11</v>
      </c>
      <c r="E1440" s="43">
        <v>38202</v>
      </c>
      <c r="F1440" s="44">
        <v>35267881</v>
      </c>
      <c r="G1440" s="1" t="str">
        <f>IFERROR(IF(ventas_b_mes684[[#This Row],[CUIT]]="","-",VLOOKUP(ventas_b_mes684[[#This Row],[CUIT]],Lista_CUIT[#All],2,0)),"CUIT NO CARGADO")</f>
        <v>CUIT NO CARGADO</v>
      </c>
      <c r="H1440" s="64">
        <v>20661.16</v>
      </c>
      <c r="I1440" s="64">
        <f>ventas_b_mes684[[#This Row],[IMPORTE NETO]]*0.21</f>
        <v>4338.8436000000002</v>
      </c>
      <c r="J1440" s="64"/>
      <c r="K1440" s="64"/>
      <c r="L1440" s="64">
        <f>SUM(ventas_b_mes684[[#This Row],[IMPORTE NETO]:[EXENTO]])</f>
        <v>25000.0036</v>
      </c>
      <c r="M1440" s="59"/>
    </row>
    <row r="1441" spans="2:13">
      <c r="B1441" s="40" t="s">
        <v>2313</v>
      </c>
      <c r="C1441" s="41">
        <v>6</v>
      </c>
      <c r="D1441" s="42">
        <v>11</v>
      </c>
      <c r="E1441" s="43">
        <v>38187</v>
      </c>
      <c r="F1441" s="44">
        <v>20547896</v>
      </c>
      <c r="G1441" s="1" t="str">
        <f>IFERROR(IF(ventas_b_mes684[[#This Row],[CUIT]]="","-",VLOOKUP(ventas_b_mes684[[#This Row],[CUIT]],Lista_CUIT[#All],2,0)),"CUIT NO CARGADO")</f>
        <v>CUIT NO CARGADO</v>
      </c>
      <c r="H1441" s="64">
        <v>26198.35</v>
      </c>
      <c r="I1441" s="64">
        <f>ventas_b_mes684[[#This Row],[IMPORTE NETO]]*0.21</f>
        <v>5501.6534999999994</v>
      </c>
      <c r="J1441" s="64"/>
      <c r="K1441" s="64"/>
      <c r="L1441" s="64">
        <f>SUM(ventas_b_mes684[[#This Row],[IMPORTE NETO]:[EXENTO]])</f>
        <v>31700.003499999999</v>
      </c>
      <c r="M1441" s="59"/>
    </row>
    <row r="1442" spans="2:13">
      <c r="B1442" s="40" t="s">
        <v>2313</v>
      </c>
      <c r="C1442" s="41">
        <v>6</v>
      </c>
      <c r="D1442" s="42">
        <v>11</v>
      </c>
      <c r="E1442" s="43">
        <v>38211</v>
      </c>
      <c r="F1442" s="44">
        <v>30682551107</v>
      </c>
      <c r="G1442" s="1" t="str">
        <f>IFERROR(IF(ventas_b_mes684[[#This Row],[CUIT]]="","-",VLOOKUP(ventas_b_mes684[[#This Row],[CUIT]],Lista_CUIT[#All],2,0)),"CUIT NO CARGADO")</f>
        <v>CUIT NO CARGADO</v>
      </c>
      <c r="H1442" s="64">
        <v>9768.6</v>
      </c>
      <c r="I1442" s="64">
        <f>ventas_b_mes684[[#This Row],[IMPORTE NETO]]*0.21</f>
        <v>2051.4059999999999</v>
      </c>
      <c r="J1442" s="64"/>
      <c r="K1442" s="64"/>
      <c r="L1442" s="64">
        <f>SUM(ventas_b_mes684[[#This Row],[IMPORTE NETO]:[EXENTO]])</f>
        <v>11820.006000000001</v>
      </c>
      <c r="M1442" s="59"/>
    </row>
    <row r="1443" spans="2:13">
      <c r="B1443" s="40" t="s">
        <v>2313</v>
      </c>
      <c r="C1443" s="41">
        <v>6</v>
      </c>
      <c r="D1443" s="42">
        <v>15</v>
      </c>
      <c r="E1443" s="43">
        <v>13341</v>
      </c>
      <c r="F1443" s="44">
        <v>22479614</v>
      </c>
      <c r="G1443" s="1" t="str">
        <f>IFERROR(IF(ventas_b_mes684[[#This Row],[CUIT]]="","-",VLOOKUP(ventas_b_mes684[[#This Row],[CUIT]],Lista_CUIT[#All],2,0)),"CUIT NO CARGADO")</f>
        <v>AGUIAR, MARISA</v>
      </c>
      <c r="H1443" s="64">
        <v>26495.87</v>
      </c>
      <c r="I1443" s="64">
        <f>ventas_b_mes684[[#This Row],[IMPORTE NETO]]*0.21</f>
        <v>5564.1326999999992</v>
      </c>
      <c r="J1443" s="64"/>
      <c r="K1443" s="64"/>
      <c r="L1443" s="64">
        <f>SUM(ventas_b_mes684[[#This Row],[IMPORTE NETO]:[EXENTO]])</f>
        <v>32060.002699999997</v>
      </c>
      <c r="M1443" s="59"/>
    </row>
    <row r="1444" spans="2:13">
      <c r="B1444" s="40" t="s">
        <v>2313</v>
      </c>
      <c r="C1444" s="41">
        <v>6</v>
      </c>
      <c r="D1444" s="42">
        <v>12</v>
      </c>
      <c r="E1444" s="43">
        <v>29740</v>
      </c>
      <c r="F1444" s="44">
        <v>20388763</v>
      </c>
      <c r="G1444" s="1" t="str">
        <f>IFERROR(IF(ventas_b_mes684[[#This Row],[CUIT]]="","-",VLOOKUP(ventas_b_mes684[[#This Row],[CUIT]],Lista_CUIT[#All],2,0)),"CUIT NO CARGADO")</f>
        <v>CUIT NO CARGADO</v>
      </c>
      <c r="H1444" s="64">
        <v>8264.4599999999991</v>
      </c>
      <c r="I1444" s="64">
        <f>ventas_b_mes684[[#This Row],[IMPORTE NETO]]*0.21</f>
        <v>1735.5365999999997</v>
      </c>
      <c r="J1444" s="64"/>
      <c r="K1444" s="64"/>
      <c r="L1444" s="64">
        <f>SUM(ventas_b_mes684[[#This Row],[IMPORTE NETO]:[EXENTO]])</f>
        <v>9999.9965999999986</v>
      </c>
      <c r="M1444" s="59"/>
    </row>
    <row r="1445" spans="2:13">
      <c r="B1445" s="40" t="s">
        <v>2313</v>
      </c>
      <c r="C1445" s="41">
        <v>6</v>
      </c>
      <c r="D1445" s="42">
        <v>15</v>
      </c>
      <c r="E1445" s="43">
        <v>13340</v>
      </c>
      <c r="F1445" s="44">
        <v>24767073</v>
      </c>
      <c r="G1445" s="1" t="str">
        <f>IFERROR(IF(ventas_b_mes684[[#This Row],[CUIT]]="","-",VLOOKUP(ventas_b_mes684[[#This Row],[CUIT]],Lista_CUIT[#All],2,0)),"CUIT NO CARGADO")</f>
        <v>CUIT NO CARGADO</v>
      </c>
      <c r="H1445" s="64">
        <v>41920.660000000003</v>
      </c>
      <c r="I1445" s="64">
        <f>ventas_b_mes684[[#This Row],[IMPORTE NETO]]*0.21</f>
        <v>8803.338600000001</v>
      </c>
      <c r="J1445" s="64"/>
      <c r="K1445" s="64"/>
      <c r="L1445" s="64">
        <f>SUM(ventas_b_mes684[[#This Row],[IMPORTE NETO]:[EXENTO]])</f>
        <v>50723.998600000006</v>
      </c>
      <c r="M1445" s="59"/>
    </row>
    <row r="1446" spans="2:13">
      <c r="B1446" s="40" t="s">
        <v>2313</v>
      </c>
      <c r="C1446" s="41">
        <v>6</v>
      </c>
      <c r="D1446" s="42">
        <v>15</v>
      </c>
      <c r="E1446" s="43">
        <v>13335</v>
      </c>
      <c r="F1446" s="44">
        <v>17282007</v>
      </c>
      <c r="G1446" s="1" t="str">
        <f>IFERROR(IF(ventas_b_mes684[[#This Row],[CUIT]]="","-",VLOOKUP(ventas_b_mes684[[#This Row],[CUIT]],Lista_CUIT[#All],2,0)),"CUIT NO CARGADO")</f>
        <v>FRANCK,maria elena</v>
      </c>
      <c r="H1446" s="64">
        <v>31892.560000000001</v>
      </c>
      <c r="I1446" s="64">
        <f>ventas_b_mes684[[#This Row],[IMPORTE NETO]]*0.21</f>
        <v>6697.4376000000002</v>
      </c>
      <c r="J1446" s="64"/>
      <c r="K1446" s="64"/>
      <c r="L1446" s="64">
        <f>SUM(ventas_b_mes684[[#This Row],[IMPORTE NETO]:[EXENTO]])</f>
        <v>38589.997600000002</v>
      </c>
      <c r="M1446" s="59"/>
    </row>
    <row r="1447" spans="2:13">
      <c r="B1447" s="40" t="s">
        <v>2313</v>
      </c>
      <c r="C1447" s="41">
        <v>6</v>
      </c>
      <c r="D1447" s="42">
        <v>13</v>
      </c>
      <c r="E1447" s="43">
        <v>32528</v>
      </c>
      <c r="F1447" s="44">
        <v>95833399</v>
      </c>
      <c r="G1447" s="1" t="str">
        <f>IFERROR(IF(ventas_b_mes684[[#This Row],[CUIT]]="","-",VLOOKUP(ventas_b_mes684[[#This Row],[CUIT]],Lista_CUIT[#All],2,0)),"CUIT NO CARGADO")</f>
        <v>CUIT NO CARGADO</v>
      </c>
      <c r="H1447" s="64">
        <v>13884.3</v>
      </c>
      <c r="I1447" s="64">
        <f>ventas_b_mes684[[#This Row],[IMPORTE NETO]]*0.21</f>
        <v>2915.7029999999995</v>
      </c>
      <c r="J1447" s="64"/>
      <c r="K1447" s="64"/>
      <c r="L1447" s="64">
        <f>SUM(ventas_b_mes684[[#This Row],[IMPORTE NETO]:[EXENTO]])</f>
        <v>16800.002999999997</v>
      </c>
      <c r="M1447" s="59"/>
    </row>
    <row r="1448" spans="2:13">
      <c r="B1448" s="40" t="s">
        <v>2313</v>
      </c>
      <c r="C1448" s="41">
        <v>6</v>
      </c>
      <c r="D1448" s="42">
        <v>11</v>
      </c>
      <c r="E1448" s="43">
        <v>38186</v>
      </c>
      <c r="F1448" s="44">
        <v>37223434</v>
      </c>
      <c r="G1448" s="1" t="str">
        <f>IFERROR(IF(ventas_b_mes684[[#This Row],[CUIT]]="","-",VLOOKUP(ventas_b_mes684[[#This Row],[CUIT]],Lista_CUIT[#All],2,0)),"CUIT NO CARGADO")</f>
        <v>CUIT NO CARGADO</v>
      </c>
      <c r="H1448" s="64">
        <v>23429.75</v>
      </c>
      <c r="I1448" s="64">
        <f>ventas_b_mes684[[#This Row],[IMPORTE NETO]]*0.21</f>
        <v>4920.2474999999995</v>
      </c>
      <c r="J1448" s="64"/>
      <c r="K1448" s="64"/>
      <c r="L1448" s="64">
        <f>SUM(ventas_b_mes684[[#This Row],[IMPORTE NETO]:[EXENTO]])</f>
        <v>28349.997499999998</v>
      </c>
      <c r="M1448" s="59"/>
    </row>
    <row r="1449" spans="2:13">
      <c r="B1449" s="40" t="s">
        <v>2313</v>
      </c>
      <c r="C1449" s="41">
        <v>6</v>
      </c>
      <c r="D1449" s="42">
        <v>13</v>
      </c>
      <c r="E1449" s="43">
        <v>32519</v>
      </c>
      <c r="F1449" s="44">
        <v>11712375</v>
      </c>
      <c r="G1449" s="1" t="str">
        <f>IFERROR(IF(ventas_b_mes684[[#This Row],[CUIT]]="","-",VLOOKUP(ventas_b_mes684[[#This Row],[CUIT]],Lista_CUIT[#All],2,0)),"CUIT NO CARGADO")</f>
        <v>CUIT NO CARGADO</v>
      </c>
      <c r="H1449" s="64">
        <v>43834.73</v>
      </c>
      <c r="I1449" s="64">
        <f>ventas_b_mes684[[#This Row],[IMPORTE NETO]]*0.21</f>
        <v>9205.2933000000012</v>
      </c>
      <c r="J1449" s="64"/>
      <c r="K1449" s="64"/>
      <c r="L1449" s="64">
        <f>SUM(ventas_b_mes684[[#This Row],[IMPORTE NETO]:[EXENTO]])</f>
        <v>53040.023300000001</v>
      </c>
      <c r="M1449" s="59"/>
    </row>
    <row r="1450" spans="2:13">
      <c r="B1450" s="40" t="s">
        <v>2313</v>
      </c>
      <c r="C1450" s="41">
        <v>6</v>
      </c>
      <c r="D1450" s="42">
        <v>11</v>
      </c>
      <c r="E1450" s="43">
        <v>38198</v>
      </c>
      <c r="F1450" s="44">
        <v>17819722</v>
      </c>
      <c r="G1450" s="1" t="str">
        <f>IFERROR(IF(ventas_b_mes684[[#This Row],[CUIT]]="","-",VLOOKUP(ventas_b_mes684[[#This Row],[CUIT]],Lista_CUIT[#All],2,0)),"CUIT NO CARGADO")</f>
        <v>CUIT NO CARGADO</v>
      </c>
      <c r="H1450" s="64">
        <v>34685.949999999997</v>
      </c>
      <c r="I1450" s="64">
        <f>ventas_b_mes684[[#This Row],[IMPORTE NETO]]*0.21</f>
        <v>7284.0494999999992</v>
      </c>
      <c r="J1450" s="64"/>
      <c r="K1450" s="64"/>
      <c r="L1450" s="64">
        <f>SUM(ventas_b_mes684[[#This Row],[IMPORTE NETO]:[EXENTO]])</f>
        <v>41969.999499999998</v>
      </c>
      <c r="M1450" s="59"/>
    </row>
    <row r="1451" spans="2:13">
      <c r="B1451" s="40" t="s">
        <v>2313</v>
      </c>
      <c r="C1451" s="41">
        <v>6</v>
      </c>
      <c r="D1451" s="42">
        <v>11</v>
      </c>
      <c r="E1451" s="43">
        <v>38194</v>
      </c>
      <c r="F1451" s="44">
        <v>94949663</v>
      </c>
      <c r="G1451" s="1" t="str">
        <f>IFERROR(IF(ventas_b_mes684[[#This Row],[CUIT]]="","-",VLOOKUP(ventas_b_mes684[[#This Row],[CUIT]],Lista_CUIT[#All],2,0)),"CUIT NO CARGADO")</f>
        <v>CUIT NO CARGADO</v>
      </c>
      <c r="H1451" s="64">
        <v>46818.18</v>
      </c>
      <c r="I1451" s="64">
        <f>ventas_b_mes684[[#This Row],[IMPORTE NETO]]*0.21</f>
        <v>9831.8177999999989</v>
      </c>
      <c r="J1451" s="64"/>
      <c r="K1451" s="64"/>
      <c r="L1451" s="64">
        <f>SUM(ventas_b_mes684[[#This Row],[IMPORTE NETO]:[EXENTO]])</f>
        <v>56649.997799999997</v>
      </c>
      <c r="M1451" s="59"/>
    </row>
    <row r="1452" spans="2:13">
      <c r="B1452" s="40" t="s">
        <v>2313</v>
      </c>
      <c r="C1452" s="41">
        <v>6</v>
      </c>
      <c r="D1452" s="42">
        <v>11</v>
      </c>
      <c r="E1452" s="43">
        <v>38193</v>
      </c>
      <c r="F1452" s="44">
        <v>25705603</v>
      </c>
      <c r="G1452" s="1" t="str">
        <f>IFERROR(IF(ventas_b_mes684[[#This Row],[CUIT]]="","-",VLOOKUP(ventas_b_mes684[[#This Row],[CUIT]],Lista_CUIT[#All],2,0)),"CUIT NO CARGADO")</f>
        <v>CUIT NO CARGADO</v>
      </c>
      <c r="H1452" s="64">
        <v>12958.68</v>
      </c>
      <c r="I1452" s="64">
        <f>ventas_b_mes684[[#This Row],[IMPORTE NETO]]*0.21</f>
        <v>2721.3227999999999</v>
      </c>
      <c r="J1452" s="64"/>
      <c r="K1452" s="64"/>
      <c r="L1452" s="64">
        <f>SUM(ventas_b_mes684[[#This Row],[IMPORTE NETO]:[EXENTO]])</f>
        <v>15680.0028</v>
      </c>
      <c r="M1452" s="59"/>
    </row>
    <row r="1453" spans="2:13">
      <c r="B1453" s="40" t="s">
        <v>2313</v>
      </c>
      <c r="C1453" s="41">
        <v>6</v>
      </c>
      <c r="D1453" s="42">
        <v>11</v>
      </c>
      <c r="E1453" s="43">
        <v>38201</v>
      </c>
      <c r="F1453" s="44">
        <v>10478965</v>
      </c>
      <c r="G1453" s="1" t="str">
        <f>IFERROR(IF(ventas_b_mes684[[#This Row],[CUIT]]="","-",VLOOKUP(ventas_b_mes684[[#This Row],[CUIT]],Lista_CUIT[#All],2,0)),"CUIT NO CARGADO")</f>
        <v>CUIT NO CARGADO</v>
      </c>
      <c r="H1453" s="64">
        <v>16223.14</v>
      </c>
      <c r="I1453" s="64">
        <f>ventas_b_mes684[[#This Row],[IMPORTE NETO]]*0.21</f>
        <v>3406.8593999999998</v>
      </c>
      <c r="J1453" s="64"/>
      <c r="K1453" s="64"/>
      <c r="L1453" s="64">
        <f>SUM(ventas_b_mes684[[#This Row],[IMPORTE NETO]:[EXENTO]])</f>
        <v>19629.999400000001</v>
      </c>
      <c r="M1453" s="59"/>
    </row>
    <row r="1454" spans="2:13">
      <c r="B1454" s="40" t="s">
        <v>2313</v>
      </c>
      <c r="C1454" s="41">
        <v>6</v>
      </c>
      <c r="D1454" s="42">
        <v>10</v>
      </c>
      <c r="E1454" s="43">
        <v>54537</v>
      </c>
      <c r="F1454" s="44">
        <v>33341960</v>
      </c>
      <c r="G1454" s="1" t="str">
        <f>IFERROR(IF(ventas_b_mes684[[#This Row],[CUIT]]="","-",VLOOKUP(ventas_b_mes684[[#This Row],[CUIT]],Lista_CUIT[#All],2,0)),"CUIT NO CARGADO")</f>
        <v>CUIT NO CARGADO</v>
      </c>
      <c r="H1454" s="64">
        <v>25123.97</v>
      </c>
      <c r="I1454" s="64">
        <f>ventas_b_mes684[[#This Row],[IMPORTE NETO]]*0.21</f>
        <v>5276.0337</v>
      </c>
      <c r="J1454" s="64"/>
      <c r="K1454" s="64"/>
      <c r="L1454" s="64">
        <f>SUM(ventas_b_mes684[[#This Row],[IMPORTE NETO]:[EXENTO]])</f>
        <v>30400.003700000001</v>
      </c>
      <c r="M1454" s="59"/>
    </row>
    <row r="1455" spans="2:13">
      <c r="B1455" s="40" t="s">
        <v>2313</v>
      </c>
      <c r="C1455" s="41">
        <v>6</v>
      </c>
      <c r="D1455" s="42">
        <v>11</v>
      </c>
      <c r="E1455" s="43">
        <v>38185</v>
      </c>
      <c r="F1455" s="44">
        <v>34490563</v>
      </c>
      <c r="G1455" s="1" t="str">
        <f>IFERROR(IF(ventas_b_mes684[[#This Row],[CUIT]]="","-",VLOOKUP(ventas_b_mes684[[#This Row],[CUIT]],Lista_CUIT[#All],2,0)),"CUIT NO CARGADO")</f>
        <v>CUIT NO CARGADO</v>
      </c>
      <c r="H1455" s="64">
        <v>81694.210000000006</v>
      </c>
      <c r="I1455" s="64">
        <f>ventas_b_mes684[[#This Row],[IMPORTE NETO]]*0.21</f>
        <v>17155.784100000001</v>
      </c>
      <c r="J1455" s="64"/>
      <c r="K1455" s="64"/>
      <c r="L1455" s="64">
        <f>SUM(ventas_b_mes684[[#This Row],[IMPORTE NETO]:[EXENTO]])</f>
        <v>98849.994100000011</v>
      </c>
      <c r="M1455" s="59"/>
    </row>
    <row r="1456" spans="2:13">
      <c r="B1456" s="40" t="s">
        <v>2313</v>
      </c>
      <c r="C1456" s="41">
        <v>6</v>
      </c>
      <c r="D1456" s="42">
        <v>13</v>
      </c>
      <c r="E1456" s="43">
        <v>32518</v>
      </c>
      <c r="F1456" s="44">
        <v>1111</v>
      </c>
      <c r="G1456" s="1" t="str">
        <f>IFERROR(IF(ventas_b_mes684[[#This Row],[CUIT]]="","-",VLOOKUP(ventas_b_mes684[[#This Row],[CUIT]],Lista_CUIT[#All],2,0)),"CUIT NO CARGADO")</f>
        <v>CUIT NO CARGADO</v>
      </c>
      <c r="H1456" s="64">
        <v>24446.28</v>
      </c>
      <c r="I1456" s="64">
        <f>ventas_b_mes684[[#This Row],[IMPORTE NETO]]*0.21</f>
        <v>5133.7187999999996</v>
      </c>
      <c r="J1456" s="64"/>
      <c r="K1456" s="64"/>
      <c r="L1456" s="64">
        <f>SUM(ventas_b_mes684[[#This Row],[IMPORTE NETO]:[EXENTO]])</f>
        <v>29579.998799999998</v>
      </c>
      <c r="M1456" s="59"/>
    </row>
    <row r="1457" spans="2:13">
      <c r="B1457" s="40" t="s">
        <v>2313</v>
      </c>
      <c r="C1457" s="41">
        <v>6</v>
      </c>
      <c r="D1457" s="42">
        <v>10</v>
      </c>
      <c r="E1457" s="43">
        <v>54527</v>
      </c>
      <c r="F1457" s="44">
        <v>33155729</v>
      </c>
      <c r="G1457" s="1" t="str">
        <f>IFERROR(IF(ventas_b_mes684[[#This Row],[CUIT]]="","-",VLOOKUP(ventas_b_mes684[[#This Row],[CUIT]],Lista_CUIT[#All],2,0)),"CUIT NO CARGADO")</f>
        <v>CUIT NO CARGADO</v>
      </c>
      <c r="H1457" s="64">
        <v>6842.98</v>
      </c>
      <c r="I1457" s="64">
        <f>ventas_b_mes684[[#This Row],[IMPORTE NETO]]*0.21</f>
        <v>1437.0257999999999</v>
      </c>
      <c r="J1457" s="64"/>
      <c r="K1457" s="64"/>
      <c r="L1457" s="64">
        <f>SUM(ventas_b_mes684[[#This Row],[IMPORTE NETO]:[EXENTO]])</f>
        <v>8280.005799999999</v>
      </c>
      <c r="M1457" s="59"/>
    </row>
    <row r="1458" spans="2:13">
      <c r="B1458" s="40" t="s">
        <v>2313</v>
      </c>
      <c r="C1458" s="41">
        <v>6</v>
      </c>
      <c r="D1458" s="42">
        <v>11</v>
      </c>
      <c r="E1458" s="43">
        <v>38213</v>
      </c>
      <c r="F1458" s="44">
        <v>18398933</v>
      </c>
      <c r="G1458" s="1" t="str">
        <f>IFERROR(IF(ventas_b_mes684[[#This Row],[CUIT]]="","-",VLOOKUP(ventas_b_mes684[[#This Row],[CUIT]],Lista_CUIT[#All],2,0)),"CUIT NO CARGADO")</f>
        <v>CUIT NO CARGADO</v>
      </c>
      <c r="H1458" s="64">
        <v>120247.93</v>
      </c>
      <c r="I1458" s="64">
        <f>ventas_b_mes684[[#This Row],[IMPORTE NETO]]*0.21</f>
        <v>25252.065299999998</v>
      </c>
      <c r="J1458" s="64"/>
      <c r="K1458" s="64"/>
      <c r="L1458" s="64">
        <f>SUM(ventas_b_mes684[[#This Row],[IMPORTE NETO]:[EXENTO]])</f>
        <v>145499.99529999998</v>
      </c>
      <c r="M1458" s="59"/>
    </row>
    <row r="1459" spans="2:13">
      <c r="B1459" s="40" t="s">
        <v>2313</v>
      </c>
      <c r="C1459" s="41">
        <v>8</v>
      </c>
      <c r="D1459" s="42">
        <v>13</v>
      </c>
      <c r="E1459" s="43">
        <v>831</v>
      </c>
      <c r="F1459" s="44">
        <v>18699110</v>
      </c>
      <c r="G1459" s="1" t="str">
        <f>IFERROR(IF(ventas_b_mes684[[#This Row],[CUIT]]="","-",VLOOKUP(ventas_b_mes684[[#This Row],[CUIT]],Lista_CUIT[#All],2,0)),"CUIT NO CARGADO")</f>
        <v>CUIT NO CARGADO</v>
      </c>
      <c r="H1459" s="64">
        <v>-190413.22</v>
      </c>
      <c r="I1459" s="64">
        <f>ventas_b_mes684[[#This Row],[IMPORTE NETO]]*0.21</f>
        <v>-39986.7762</v>
      </c>
      <c r="J1459" s="64"/>
      <c r="K1459" s="64"/>
      <c r="L1459" s="64">
        <f>SUM(ventas_b_mes684[[#This Row],[IMPORTE NETO]:[EXENTO]])</f>
        <v>-230399.99619999999</v>
      </c>
      <c r="M1459" s="59"/>
    </row>
    <row r="1460" spans="2:13">
      <c r="B1460" s="40" t="s">
        <v>2313</v>
      </c>
      <c r="C1460" s="41">
        <v>8</v>
      </c>
      <c r="D1460" s="42">
        <v>15</v>
      </c>
      <c r="E1460" s="43">
        <v>97</v>
      </c>
      <c r="F1460" s="44">
        <v>24767073</v>
      </c>
      <c r="G1460" s="1" t="str">
        <f>IFERROR(IF(ventas_b_mes684[[#This Row],[CUIT]]="","-",VLOOKUP(ventas_b_mes684[[#This Row],[CUIT]],Lista_CUIT[#All],2,0)),"CUIT NO CARGADO")</f>
        <v>CUIT NO CARGADO</v>
      </c>
      <c r="H1460" s="64">
        <v>-41920.660000000003</v>
      </c>
      <c r="I1460" s="64">
        <f>ventas_b_mes684[[#This Row],[IMPORTE NETO]]*0.21</f>
        <v>-8803.338600000001</v>
      </c>
      <c r="J1460" s="64"/>
      <c r="K1460" s="64"/>
      <c r="L1460" s="64">
        <f>SUM(ventas_b_mes684[[#This Row],[IMPORTE NETO]:[EXENTO]])</f>
        <v>-50723.998600000006</v>
      </c>
      <c r="M1460" s="59"/>
    </row>
    <row r="1461" spans="2:13">
      <c r="B1461" s="40" t="s">
        <v>2314</v>
      </c>
      <c r="C1461" s="41">
        <v>6</v>
      </c>
      <c r="D1461" s="42">
        <v>11</v>
      </c>
      <c r="E1461" s="43">
        <v>38222</v>
      </c>
      <c r="F1461" s="44">
        <v>11384980</v>
      </c>
      <c r="G1461" s="1" t="str">
        <f>IFERROR(IF(ventas_b_mes684[[#This Row],[CUIT]]="","-",VLOOKUP(ventas_b_mes684[[#This Row],[CUIT]],Lista_CUIT[#All],2,0)),"CUIT NO CARGADO")</f>
        <v>CUIT NO CARGADO</v>
      </c>
      <c r="H1461" s="64">
        <v>40165.29</v>
      </c>
      <c r="I1461" s="64">
        <f>ventas_b_mes684[[#This Row],[IMPORTE NETO]]*0.21</f>
        <v>8434.7109</v>
      </c>
      <c r="J1461" s="64"/>
      <c r="K1461" s="64"/>
      <c r="L1461" s="64">
        <f>SUM(ventas_b_mes684[[#This Row],[IMPORTE NETO]:[EXENTO]])</f>
        <v>48600.000899999999</v>
      </c>
      <c r="M1461" s="59"/>
    </row>
    <row r="1462" spans="2:13">
      <c r="B1462" s="40" t="s">
        <v>2314</v>
      </c>
      <c r="C1462" s="41">
        <v>6</v>
      </c>
      <c r="D1462" s="42">
        <v>10</v>
      </c>
      <c r="E1462" s="43">
        <v>54548</v>
      </c>
      <c r="F1462" s="44">
        <v>27602253</v>
      </c>
      <c r="G1462" s="1" t="str">
        <f>IFERROR(IF(ventas_b_mes684[[#This Row],[CUIT]]="","-",VLOOKUP(ventas_b_mes684[[#This Row],[CUIT]],Lista_CUIT[#All],2,0)),"CUIT NO CARGADO")</f>
        <v>CUIT NO CARGADO</v>
      </c>
      <c r="H1462" s="64">
        <v>20661.16</v>
      </c>
      <c r="I1462" s="64">
        <f>ventas_b_mes684[[#This Row],[IMPORTE NETO]]*0.21</f>
        <v>4338.8436000000002</v>
      </c>
      <c r="J1462" s="64"/>
      <c r="K1462" s="64"/>
      <c r="L1462" s="64">
        <f>SUM(ventas_b_mes684[[#This Row],[IMPORTE NETO]:[EXENTO]])</f>
        <v>25000.0036</v>
      </c>
      <c r="M1462" s="59"/>
    </row>
    <row r="1463" spans="2:13">
      <c r="B1463" s="40" t="s">
        <v>2314</v>
      </c>
      <c r="C1463" s="41">
        <v>6</v>
      </c>
      <c r="D1463" s="42">
        <v>13</v>
      </c>
      <c r="E1463" s="43">
        <v>32531</v>
      </c>
      <c r="F1463" s="44">
        <v>34085441</v>
      </c>
      <c r="G1463" s="1" t="str">
        <f>IFERROR(IF(ventas_b_mes684[[#This Row],[CUIT]]="","-",VLOOKUP(ventas_b_mes684[[#This Row],[CUIT]],Lista_CUIT[#All],2,0)),"CUIT NO CARGADO")</f>
        <v>CUIT NO CARGADO</v>
      </c>
      <c r="H1463" s="64">
        <v>60082.64</v>
      </c>
      <c r="I1463" s="64">
        <f>ventas_b_mes684[[#This Row],[IMPORTE NETO]]*0.21</f>
        <v>12617.3544</v>
      </c>
      <c r="J1463" s="64"/>
      <c r="K1463" s="64"/>
      <c r="L1463" s="64">
        <f>SUM(ventas_b_mes684[[#This Row],[IMPORTE NETO]:[EXENTO]])</f>
        <v>72699.994399999996</v>
      </c>
      <c r="M1463" s="59"/>
    </row>
    <row r="1464" spans="2:13">
      <c r="B1464" s="40" t="s">
        <v>2314</v>
      </c>
      <c r="C1464" s="41">
        <v>6</v>
      </c>
      <c r="D1464" s="42">
        <v>13</v>
      </c>
      <c r="E1464" s="43">
        <v>32530</v>
      </c>
      <c r="F1464" s="44">
        <v>6034061</v>
      </c>
      <c r="G1464" s="1" t="str">
        <f>IFERROR(IF(ventas_b_mes684[[#This Row],[CUIT]]="","-",VLOOKUP(ventas_b_mes684[[#This Row],[CUIT]],Lista_CUIT[#All],2,0)),"CUIT NO CARGADO")</f>
        <v>CUIT NO CARGADO</v>
      </c>
      <c r="H1464" s="64">
        <v>37190.080000000002</v>
      </c>
      <c r="I1464" s="64">
        <f>ventas_b_mes684[[#This Row],[IMPORTE NETO]]*0.21</f>
        <v>7809.9168</v>
      </c>
      <c r="J1464" s="64"/>
      <c r="K1464" s="64"/>
      <c r="L1464" s="64">
        <f>SUM(ventas_b_mes684[[#This Row],[IMPORTE NETO]:[EXENTO]])</f>
        <v>44999.996800000001</v>
      </c>
      <c r="M1464" s="59"/>
    </row>
    <row r="1465" spans="2:13">
      <c r="B1465" s="40" t="s">
        <v>2314</v>
      </c>
      <c r="C1465" s="41">
        <v>6</v>
      </c>
      <c r="D1465" s="42">
        <v>11</v>
      </c>
      <c r="E1465" s="43">
        <v>38221</v>
      </c>
      <c r="F1465" s="44">
        <v>13432003</v>
      </c>
      <c r="G1465" s="1" t="str">
        <f>IFERROR(IF(ventas_b_mes684[[#This Row],[CUIT]]="","-",VLOOKUP(ventas_b_mes684[[#This Row],[CUIT]],Lista_CUIT[#All],2,0)),"CUIT NO CARGADO")</f>
        <v>CUIT NO CARGADO</v>
      </c>
      <c r="H1465" s="64">
        <v>14628.1</v>
      </c>
      <c r="I1465" s="64">
        <f>ventas_b_mes684[[#This Row],[IMPORTE NETO]]*0.21</f>
        <v>3071.9009999999998</v>
      </c>
      <c r="J1465" s="64"/>
      <c r="K1465" s="64"/>
      <c r="L1465" s="64">
        <f>SUM(ventas_b_mes684[[#This Row],[IMPORTE NETO]:[EXENTO]])</f>
        <v>17700.001</v>
      </c>
      <c r="M1465" s="59"/>
    </row>
    <row r="1466" spans="2:13">
      <c r="B1466" s="40" t="s">
        <v>2314</v>
      </c>
      <c r="C1466" s="41">
        <v>6</v>
      </c>
      <c r="D1466" s="42">
        <v>10</v>
      </c>
      <c r="E1466" s="43">
        <v>54559</v>
      </c>
      <c r="F1466" s="44">
        <v>34222952</v>
      </c>
      <c r="G1466" s="1" t="str">
        <f>IFERROR(IF(ventas_b_mes684[[#This Row],[CUIT]]="","-",VLOOKUP(ventas_b_mes684[[#This Row],[CUIT]],Lista_CUIT[#All],2,0)),"CUIT NO CARGADO")</f>
        <v>CUIT NO CARGADO</v>
      </c>
      <c r="H1466" s="64">
        <v>74132.23</v>
      </c>
      <c r="I1466" s="64">
        <f>ventas_b_mes684[[#This Row],[IMPORTE NETO]]*0.21</f>
        <v>15567.768299999998</v>
      </c>
      <c r="J1466" s="64"/>
      <c r="K1466" s="64"/>
      <c r="L1466" s="64">
        <f>SUM(ventas_b_mes684[[#This Row],[IMPORTE NETO]:[EXENTO]])</f>
        <v>89699.998299999992</v>
      </c>
      <c r="M1466" s="59"/>
    </row>
    <row r="1467" spans="2:13">
      <c r="B1467" s="40" t="s">
        <v>2314</v>
      </c>
      <c r="C1467" s="41">
        <v>6</v>
      </c>
      <c r="D1467" s="42">
        <v>13</v>
      </c>
      <c r="E1467" s="43">
        <v>32533</v>
      </c>
      <c r="F1467" s="44">
        <v>29748613</v>
      </c>
      <c r="G1467" s="1" t="str">
        <f>IFERROR(IF(ventas_b_mes684[[#This Row],[CUIT]]="","-",VLOOKUP(ventas_b_mes684[[#This Row],[CUIT]],Lista_CUIT[#All],2,0)),"CUIT NO CARGADO")</f>
        <v>CUIT NO CARGADO</v>
      </c>
      <c r="H1467" s="64">
        <v>42561.98</v>
      </c>
      <c r="I1467" s="64">
        <f>ventas_b_mes684[[#This Row],[IMPORTE NETO]]*0.21</f>
        <v>8938.015800000001</v>
      </c>
      <c r="J1467" s="64"/>
      <c r="K1467" s="64"/>
      <c r="L1467" s="64">
        <f>SUM(ventas_b_mes684[[#This Row],[IMPORTE NETO]:[EXENTO]])</f>
        <v>51499.995800000004</v>
      </c>
      <c r="M1467" s="59"/>
    </row>
    <row r="1468" spans="2:13">
      <c r="B1468" s="40" t="s">
        <v>2314</v>
      </c>
      <c r="C1468" s="41">
        <v>6</v>
      </c>
      <c r="D1468" s="42">
        <v>13</v>
      </c>
      <c r="E1468" s="43">
        <v>32532</v>
      </c>
      <c r="F1468" s="44">
        <v>31592385</v>
      </c>
      <c r="G1468" s="1" t="str">
        <f>IFERROR(IF(ventas_b_mes684[[#This Row],[CUIT]]="","-",VLOOKUP(ventas_b_mes684[[#This Row],[CUIT]],Lista_CUIT[#All],2,0)),"CUIT NO CARGADO")</f>
        <v>CUIT NO CARGADO</v>
      </c>
      <c r="H1468" s="64">
        <v>35289.25</v>
      </c>
      <c r="I1468" s="64">
        <f>ventas_b_mes684[[#This Row],[IMPORTE NETO]]*0.21</f>
        <v>7410.7424999999994</v>
      </c>
      <c r="J1468" s="64"/>
      <c r="K1468" s="64"/>
      <c r="L1468" s="64">
        <f>SUM(ventas_b_mes684[[#This Row],[IMPORTE NETO]:[EXENTO]])</f>
        <v>42699.9925</v>
      </c>
      <c r="M1468" s="59"/>
    </row>
    <row r="1469" spans="2:13">
      <c r="B1469" s="40" t="s">
        <v>2314</v>
      </c>
      <c r="C1469" s="41">
        <v>6</v>
      </c>
      <c r="D1469" s="42">
        <v>11</v>
      </c>
      <c r="E1469" s="43">
        <v>38226</v>
      </c>
      <c r="F1469" s="44">
        <v>18211637</v>
      </c>
      <c r="G1469" s="1" t="str">
        <f>IFERROR(IF(ventas_b_mes684[[#This Row],[CUIT]]="","-",VLOOKUP(ventas_b_mes684[[#This Row],[CUIT]],Lista_CUIT[#All],2,0)),"CUIT NO CARGADO")</f>
        <v>CUIT NO CARGADO</v>
      </c>
      <c r="H1469" s="64">
        <v>12438.02</v>
      </c>
      <c r="I1469" s="64">
        <f>ventas_b_mes684[[#This Row],[IMPORTE NETO]]*0.21</f>
        <v>2611.9841999999999</v>
      </c>
      <c r="J1469" s="64"/>
      <c r="K1469" s="64"/>
      <c r="L1469" s="64">
        <f>SUM(ventas_b_mes684[[#This Row],[IMPORTE NETO]:[EXENTO]])</f>
        <v>15050.004199999999</v>
      </c>
      <c r="M1469" s="59"/>
    </row>
    <row r="1470" spans="2:13">
      <c r="B1470" s="40" t="s">
        <v>2314</v>
      </c>
      <c r="C1470" s="41">
        <v>6</v>
      </c>
      <c r="D1470" s="42">
        <v>10</v>
      </c>
      <c r="E1470" s="43">
        <v>54558</v>
      </c>
      <c r="F1470" s="44">
        <v>18762956</v>
      </c>
      <c r="G1470" s="1" t="str">
        <f>IFERROR(IF(ventas_b_mes684[[#This Row],[CUIT]]="","-",VLOOKUP(ventas_b_mes684[[#This Row],[CUIT]],Lista_CUIT[#All],2,0)),"CUIT NO CARGADO")</f>
        <v>CUIT NO CARGADO</v>
      </c>
      <c r="H1470" s="64">
        <v>11818.18</v>
      </c>
      <c r="I1470" s="64">
        <f>ventas_b_mes684[[#This Row],[IMPORTE NETO]]*0.21</f>
        <v>2481.8177999999998</v>
      </c>
      <c r="J1470" s="64"/>
      <c r="K1470" s="64"/>
      <c r="L1470" s="64">
        <f>SUM(ventas_b_mes684[[#This Row],[IMPORTE NETO]:[EXENTO]])</f>
        <v>14299.997800000001</v>
      </c>
      <c r="M1470" s="59"/>
    </row>
    <row r="1471" spans="2:13">
      <c r="B1471" s="40" t="s">
        <v>2314</v>
      </c>
      <c r="C1471" s="41">
        <v>6</v>
      </c>
      <c r="D1471" s="42">
        <v>12</v>
      </c>
      <c r="E1471" s="43">
        <v>29761</v>
      </c>
      <c r="F1471" s="44">
        <v>21170508</v>
      </c>
      <c r="G1471" s="1" t="str">
        <f>IFERROR(IF(ventas_b_mes684[[#This Row],[CUIT]]="","-",VLOOKUP(ventas_b_mes684[[#This Row],[CUIT]],Lista_CUIT[#All],2,0)),"CUIT NO CARGADO")</f>
        <v>CUIT NO CARGADO</v>
      </c>
      <c r="H1471" s="64">
        <v>20661.16</v>
      </c>
      <c r="I1471" s="64">
        <f>ventas_b_mes684[[#This Row],[IMPORTE NETO]]*0.21</f>
        <v>4338.8436000000002</v>
      </c>
      <c r="J1471" s="64"/>
      <c r="K1471" s="64"/>
      <c r="L1471" s="64">
        <f>SUM(ventas_b_mes684[[#This Row],[IMPORTE NETO]:[EXENTO]])</f>
        <v>25000.0036</v>
      </c>
      <c r="M1471" s="59"/>
    </row>
    <row r="1472" spans="2:13">
      <c r="B1472" s="40" t="s">
        <v>2314</v>
      </c>
      <c r="C1472" s="41">
        <v>6</v>
      </c>
      <c r="D1472" s="42">
        <v>15</v>
      </c>
      <c r="E1472" s="43">
        <v>13353</v>
      </c>
      <c r="F1472" s="44">
        <v>35329339</v>
      </c>
      <c r="G1472" s="1" t="str">
        <f>IFERROR(IF(ventas_b_mes684[[#This Row],[CUIT]]="","-",VLOOKUP(ventas_b_mes684[[#This Row],[CUIT]],Lista_CUIT[#All],2,0)),"CUIT NO CARGADO")</f>
        <v>CUIT NO CARGADO</v>
      </c>
      <c r="H1472" s="64">
        <v>20661.16</v>
      </c>
      <c r="I1472" s="64">
        <f>ventas_b_mes684[[#This Row],[IMPORTE NETO]]*0.21</f>
        <v>4338.8436000000002</v>
      </c>
      <c r="J1472" s="64"/>
      <c r="K1472" s="64"/>
      <c r="L1472" s="64">
        <f>SUM(ventas_b_mes684[[#This Row],[IMPORTE NETO]:[EXENTO]])</f>
        <v>25000.0036</v>
      </c>
      <c r="M1472" s="59"/>
    </row>
    <row r="1473" spans="2:13">
      <c r="B1473" s="40" t="s">
        <v>2314</v>
      </c>
      <c r="C1473" s="41">
        <v>6</v>
      </c>
      <c r="D1473" s="42">
        <v>10</v>
      </c>
      <c r="E1473" s="43">
        <v>54552</v>
      </c>
      <c r="F1473" s="44">
        <v>12134874</v>
      </c>
      <c r="G1473" s="1" t="str">
        <f>IFERROR(IF(ventas_b_mes684[[#This Row],[CUIT]]="","-",VLOOKUP(ventas_b_mes684[[#This Row],[CUIT]],Lista_CUIT[#All],2,0)),"CUIT NO CARGADO")</f>
        <v>CUIT NO CARGADO</v>
      </c>
      <c r="H1473" s="64">
        <v>10330.58</v>
      </c>
      <c r="I1473" s="64">
        <f>ventas_b_mes684[[#This Row],[IMPORTE NETO]]*0.21</f>
        <v>2169.4218000000001</v>
      </c>
      <c r="J1473" s="64"/>
      <c r="K1473" s="64"/>
      <c r="L1473" s="64">
        <f>SUM(ventas_b_mes684[[#This Row],[IMPORTE NETO]:[EXENTO]])</f>
        <v>12500.0018</v>
      </c>
      <c r="M1473" s="59"/>
    </row>
    <row r="1474" spans="2:13">
      <c r="B1474" s="40" t="s">
        <v>2314</v>
      </c>
      <c r="C1474" s="41">
        <v>6</v>
      </c>
      <c r="D1474" s="42">
        <v>11</v>
      </c>
      <c r="E1474" s="43">
        <v>38224</v>
      </c>
      <c r="F1474" s="44">
        <v>26577947</v>
      </c>
      <c r="G1474" s="1" t="str">
        <f>IFERROR(IF(ventas_b_mes684[[#This Row],[CUIT]]="","-",VLOOKUP(ventas_b_mes684[[#This Row],[CUIT]],Lista_CUIT[#All],2,0)),"CUIT NO CARGADO")</f>
        <v>CUIT NO CARGADO</v>
      </c>
      <c r="H1474" s="64">
        <v>55124.04</v>
      </c>
      <c r="I1474" s="64">
        <f>ventas_b_mes684[[#This Row],[IMPORTE NETO]]*0.21</f>
        <v>11576.0484</v>
      </c>
      <c r="J1474" s="64"/>
      <c r="K1474" s="64"/>
      <c r="L1474" s="64">
        <f>SUM(ventas_b_mes684[[#This Row],[IMPORTE NETO]:[EXENTO]])</f>
        <v>66700.088400000008</v>
      </c>
      <c r="M1474" s="59"/>
    </row>
    <row r="1475" spans="2:13">
      <c r="B1475" s="40" t="s">
        <v>2314</v>
      </c>
      <c r="C1475" s="41">
        <v>6</v>
      </c>
      <c r="D1475" s="42">
        <v>15</v>
      </c>
      <c r="E1475" s="43">
        <v>13355</v>
      </c>
      <c r="F1475" s="44">
        <v>47561521</v>
      </c>
      <c r="G1475" s="1" t="str">
        <f>IFERROR(IF(ventas_b_mes684[[#This Row],[CUIT]]="","-",VLOOKUP(ventas_b_mes684[[#This Row],[CUIT]],Lista_CUIT[#All],2,0)),"CUIT NO CARGADO")</f>
        <v>CUIT NO CARGADO</v>
      </c>
      <c r="H1475" s="64">
        <v>3628.1</v>
      </c>
      <c r="I1475" s="64">
        <f>ventas_b_mes684[[#This Row],[IMPORTE NETO]]*0.21</f>
        <v>761.90099999999995</v>
      </c>
      <c r="J1475" s="64"/>
      <c r="K1475" s="64"/>
      <c r="L1475" s="64">
        <f>SUM(ventas_b_mes684[[#This Row],[IMPORTE NETO]:[EXENTO]])</f>
        <v>4390.0010000000002</v>
      </c>
      <c r="M1475" s="59"/>
    </row>
    <row r="1476" spans="2:13">
      <c r="B1476" s="40" t="s">
        <v>2314</v>
      </c>
      <c r="C1476" s="41">
        <v>6</v>
      </c>
      <c r="D1476" s="42">
        <v>10</v>
      </c>
      <c r="E1476" s="43">
        <v>54546</v>
      </c>
      <c r="F1476" s="44">
        <v>36987451</v>
      </c>
      <c r="G1476" s="1" t="str">
        <f>IFERROR(IF(ventas_b_mes684[[#This Row],[CUIT]]="","-",VLOOKUP(ventas_b_mes684[[#This Row],[CUIT]],Lista_CUIT[#All],2,0)),"CUIT NO CARGADO")</f>
        <v>CUIT NO CARGADO</v>
      </c>
      <c r="H1476" s="64">
        <v>16611.57</v>
      </c>
      <c r="I1476" s="64">
        <f>ventas_b_mes684[[#This Row],[IMPORTE NETO]]*0.21</f>
        <v>3488.4296999999997</v>
      </c>
      <c r="J1476" s="64"/>
      <c r="K1476" s="64"/>
      <c r="L1476" s="64">
        <f>SUM(ventas_b_mes684[[#This Row],[IMPORTE NETO]:[EXENTO]])</f>
        <v>20099.9997</v>
      </c>
      <c r="M1476" s="59"/>
    </row>
    <row r="1477" spans="2:13">
      <c r="B1477" s="40" t="s">
        <v>2314</v>
      </c>
      <c r="C1477" s="41">
        <v>6</v>
      </c>
      <c r="D1477" s="42">
        <v>11</v>
      </c>
      <c r="E1477" s="43">
        <v>38223</v>
      </c>
      <c r="F1477" s="44">
        <v>41166418</v>
      </c>
      <c r="G1477" s="1" t="str">
        <f>IFERROR(IF(ventas_b_mes684[[#This Row],[CUIT]]="","-",VLOOKUP(ventas_b_mes684[[#This Row],[CUIT]],Lista_CUIT[#All],2,0)),"CUIT NO CARGADO")</f>
        <v>CUIT NO CARGADO</v>
      </c>
      <c r="H1477" s="64">
        <v>17396.689999999999</v>
      </c>
      <c r="I1477" s="64">
        <f>ventas_b_mes684[[#This Row],[IMPORTE NETO]]*0.21</f>
        <v>3653.3048999999996</v>
      </c>
      <c r="J1477" s="64"/>
      <c r="K1477" s="64"/>
      <c r="L1477" s="64">
        <f>SUM(ventas_b_mes684[[#This Row],[IMPORTE NETO]:[EXENTO]])</f>
        <v>21049.994899999998</v>
      </c>
      <c r="M1477" s="59"/>
    </row>
    <row r="1478" spans="2:13">
      <c r="B1478" s="40" t="s">
        <v>2314</v>
      </c>
      <c r="C1478" s="41">
        <v>6</v>
      </c>
      <c r="D1478" s="42">
        <v>10</v>
      </c>
      <c r="E1478" s="43">
        <v>54549</v>
      </c>
      <c r="F1478" s="44">
        <v>27183530629</v>
      </c>
      <c r="G1478" s="1" t="str">
        <f>IFERROR(IF(ventas_b_mes684[[#This Row],[CUIT]]="","-",VLOOKUP(ventas_b_mes684[[#This Row],[CUIT]],Lista_CUIT[#All],2,0)),"CUIT NO CARGADO")</f>
        <v>CUIT NO CARGADO</v>
      </c>
      <c r="H1478" s="64">
        <v>459007.53</v>
      </c>
      <c r="I1478" s="64">
        <f>ventas_b_mes684[[#This Row],[IMPORTE NETO]]*0.21</f>
        <v>96391.581300000005</v>
      </c>
      <c r="J1478" s="64"/>
      <c r="K1478" s="64"/>
      <c r="L1478" s="64">
        <f>SUM(ventas_b_mes684[[#This Row],[IMPORTE NETO]:[EXENTO]])</f>
        <v>555399.11129999999</v>
      </c>
      <c r="M1478" s="59"/>
    </row>
    <row r="1479" spans="2:13">
      <c r="B1479" s="40" t="s">
        <v>2314</v>
      </c>
      <c r="C1479" s="41">
        <v>6</v>
      </c>
      <c r="D1479" s="42">
        <v>13</v>
      </c>
      <c r="E1479" s="43">
        <v>32536</v>
      </c>
      <c r="F1479" s="44">
        <v>12590460</v>
      </c>
      <c r="G1479" s="1" t="str">
        <f>IFERROR(IF(ventas_b_mes684[[#This Row],[CUIT]]="","-",VLOOKUP(ventas_b_mes684[[#This Row],[CUIT]],Lista_CUIT[#All],2,0)),"CUIT NO CARGADO")</f>
        <v>CUIT NO CARGADO</v>
      </c>
      <c r="H1479" s="64">
        <v>49586.78</v>
      </c>
      <c r="I1479" s="64">
        <f>ventas_b_mes684[[#This Row],[IMPORTE NETO]]*0.21</f>
        <v>10413.2238</v>
      </c>
      <c r="J1479" s="64"/>
      <c r="K1479" s="64"/>
      <c r="L1479" s="64">
        <f>SUM(ventas_b_mes684[[#This Row],[IMPORTE NETO]:[EXENTO]])</f>
        <v>60000.003799999999</v>
      </c>
      <c r="M1479" s="59"/>
    </row>
    <row r="1480" spans="2:13">
      <c r="B1480" s="40" t="s">
        <v>2314</v>
      </c>
      <c r="C1480" s="41">
        <v>6</v>
      </c>
      <c r="D1480" s="42">
        <v>10</v>
      </c>
      <c r="E1480" s="43">
        <v>54557</v>
      </c>
      <c r="F1480" s="44">
        <v>22533211</v>
      </c>
      <c r="G1480" s="1" t="str">
        <f>IFERROR(IF(ventas_b_mes684[[#This Row],[CUIT]]="","-",VLOOKUP(ventas_b_mes684[[#This Row],[CUIT]],Lista_CUIT[#All],2,0)),"CUIT NO CARGADO")</f>
        <v>CUIT NO CARGADO</v>
      </c>
      <c r="H1480" s="64">
        <v>8264.4599999999991</v>
      </c>
      <c r="I1480" s="64">
        <f>ventas_b_mes684[[#This Row],[IMPORTE NETO]]*0.21</f>
        <v>1735.5365999999997</v>
      </c>
      <c r="J1480" s="64"/>
      <c r="K1480" s="64"/>
      <c r="L1480" s="64">
        <f>SUM(ventas_b_mes684[[#This Row],[IMPORTE NETO]:[EXENTO]])</f>
        <v>9999.9965999999986</v>
      </c>
      <c r="M1480" s="59"/>
    </row>
    <row r="1481" spans="2:13">
      <c r="B1481" s="40" t="s">
        <v>2314</v>
      </c>
      <c r="C1481" s="41">
        <v>6</v>
      </c>
      <c r="D1481" s="42">
        <v>13</v>
      </c>
      <c r="E1481" s="43">
        <v>32534</v>
      </c>
      <c r="F1481" s="44">
        <v>126456526</v>
      </c>
      <c r="G1481" s="1" t="str">
        <f>IFERROR(IF(ventas_b_mes684[[#This Row],[CUIT]]="","-",VLOOKUP(ventas_b_mes684[[#This Row],[CUIT]],Lista_CUIT[#All],2,0)),"CUIT NO CARGADO")</f>
        <v>CUIT NO CARGADO</v>
      </c>
      <c r="H1481" s="64">
        <v>33000</v>
      </c>
      <c r="I1481" s="64">
        <f>ventas_b_mes684[[#This Row],[IMPORTE NETO]]*0.21</f>
        <v>6930</v>
      </c>
      <c r="J1481" s="64"/>
      <c r="K1481" s="64"/>
      <c r="L1481" s="64">
        <f>SUM(ventas_b_mes684[[#This Row],[IMPORTE NETO]:[EXENTO]])</f>
        <v>39930</v>
      </c>
      <c r="M1481" s="59"/>
    </row>
    <row r="1482" spans="2:13">
      <c r="B1482" s="40" t="s">
        <v>2314</v>
      </c>
      <c r="C1482" s="41">
        <v>6</v>
      </c>
      <c r="D1482" s="42">
        <v>12</v>
      </c>
      <c r="E1482" s="43">
        <v>29755</v>
      </c>
      <c r="F1482" s="44">
        <v>31280893</v>
      </c>
      <c r="G1482" s="1" t="str">
        <f>IFERROR(IF(ventas_b_mes684[[#This Row],[CUIT]]="","-",VLOOKUP(ventas_b_mes684[[#This Row],[CUIT]],Lista_CUIT[#All],2,0)),"CUIT NO CARGADO")</f>
        <v>CUIT NO CARGADO</v>
      </c>
      <c r="H1482" s="64">
        <v>9008.26</v>
      </c>
      <c r="I1482" s="64">
        <f>ventas_b_mes684[[#This Row],[IMPORTE NETO]]*0.21</f>
        <v>1891.7346</v>
      </c>
      <c r="J1482" s="64"/>
      <c r="K1482" s="64"/>
      <c r="L1482" s="64">
        <f>SUM(ventas_b_mes684[[#This Row],[IMPORTE NETO]:[EXENTO]])</f>
        <v>10899.9946</v>
      </c>
      <c r="M1482" s="59"/>
    </row>
    <row r="1483" spans="2:13">
      <c r="B1483" s="40" t="s">
        <v>2314</v>
      </c>
      <c r="C1483" s="41">
        <v>6</v>
      </c>
      <c r="D1483" s="42">
        <v>11</v>
      </c>
      <c r="E1483" s="43">
        <v>38233</v>
      </c>
      <c r="F1483" s="44">
        <v>28773354</v>
      </c>
      <c r="G1483" s="1" t="str">
        <f>IFERROR(IF(ventas_b_mes684[[#This Row],[CUIT]]="","-",VLOOKUP(ventas_b_mes684[[#This Row],[CUIT]],Lista_CUIT[#All],2,0)),"CUIT NO CARGADO")</f>
        <v>CUIT NO CARGADO</v>
      </c>
      <c r="H1483" s="64">
        <v>12049.59</v>
      </c>
      <c r="I1483" s="64">
        <f>ventas_b_mes684[[#This Row],[IMPORTE NETO]]*0.21</f>
        <v>2530.4139</v>
      </c>
      <c r="J1483" s="64"/>
      <c r="K1483" s="64"/>
      <c r="L1483" s="64">
        <f>SUM(ventas_b_mes684[[#This Row],[IMPORTE NETO]:[EXENTO]])</f>
        <v>14580.0039</v>
      </c>
      <c r="M1483" s="59"/>
    </row>
    <row r="1484" spans="2:13">
      <c r="B1484" s="40" t="s">
        <v>2314</v>
      </c>
      <c r="C1484" s="41">
        <v>6</v>
      </c>
      <c r="D1484" s="42">
        <v>15</v>
      </c>
      <c r="E1484" s="43">
        <v>13356</v>
      </c>
      <c r="F1484" s="44">
        <v>25974327</v>
      </c>
      <c r="G1484" s="1" t="str">
        <f>IFERROR(IF(ventas_b_mes684[[#This Row],[CUIT]]="","-",VLOOKUP(ventas_b_mes684[[#This Row],[CUIT]],Lista_CUIT[#All],2,0)),"CUIT NO CARGADO")</f>
        <v>CUIT NO CARGADO</v>
      </c>
      <c r="H1484" s="64">
        <v>18818.18</v>
      </c>
      <c r="I1484" s="64">
        <f>ventas_b_mes684[[#This Row],[IMPORTE NETO]]*0.21</f>
        <v>3951.8177999999998</v>
      </c>
      <c r="J1484" s="64"/>
      <c r="K1484" s="64"/>
      <c r="L1484" s="64">
        <f>SUM(ventas_b_mes684[[#This Row],[IMPORTE NETO]:[EXENTO]])</f>
        <v>22769.997800000001</v>
      </c>
      <c r="M1484" s="59"/>
    </row>
    <row r="1485" spans="2:13">
      <c r="B1485" s="40" t="s">
        <v>2314</v>
      </c>
      <c r="C1485" s="41">
        <v>6</v>
      </c>
      <c r="D1485" s="42">
        <v>15</v>
      </c>
      <c r="E1485" s="43">
        <v>13352</v>
      </c>
      <c r="F1485" s="44">
        <v>13862555</v>
      </c>
      <c r="G1485" s="1" t="str">
        <f>IFERROR(IF(ventas_b_mes684[[#This Row],[CUIT]]="","-",VLOOKUP(ventas_b_mes684[[#This Row],[CUIT]],Lista_CUIT[#All],2,0)),"CUIT NO CARGADO")</f>
        <v>SAPIA PATRICIA GLADYS</v>
      </c>
      <c r="H1485" s="64">
        <v>45702.48</v>
      </c>
      <c r="I1485" s="64">
        <f>ventas_b_mes684[[#This Row],[IMPORTE NETO]]*0.21</f>
        <v>9597.5208000000002</v>
      </c>
      <c r="J1485" s="64"/>
      <c r="K1485" s="64"/>
      <c r="L1485" s="64">
        <f>SUM(ventas_b_mes684[[#This Row],[IMPORTE NETO]:[EXENTO]])</f>
        <v>55300.000800000002</v>
      </c>
      <c r="M1485" s="59"/>
    </row>
    <row r="1486" spans="2:13">
      <c r="B1486" s="40" t="s">
        <v>2314</v>
      </c>
      <c r="C1486" s="41">
        <v>6</v>
      </c>
      <c r="D1486" s="42">
        <v>15</v>
      </c>
      <c r="E1486" s="43">
        <v>13358</v>
      </c>
      <c r="F1486" s="44">
        <v>22993607</v>
      </c>
      <c r="G1486" s="1" t="str">
        <f>IFERROR(IF(ventas_b_mes684[[#This Row],[CUIT]]="","-",VLOOKUP(ventas_b_mes684[[#This Row],[CUIT]],Lista_CUIT[#All],2,0)),"CUIT NO CARGADO")</f>
        <v>MONTENEGRO,LEONOR</v>
      </c>
      <c r="H1486" s="64">
        <v>9623.9699999999993</v>
      </c>
      <c r="I1486" s="64">
        <f>ventas_b_mes684[[#This Row],[IMPORTE NETO]]*0.21</f>
        <v>2021.0336999999997</v>
      </c>
      <c r="J1486" s="64"/>
      <c r="K1486" s="64"/>
      <c r="L1486" s="64">
        <f>SUM(ventas_b_mes684[[#This Row],[IMPORTE NETO]:[EXENTO]])</f>
        <v>11645.003699999999</v>
      </c>
      <c r="M1486" s="59"/>
    </row>
    <row r="1487" spans="2:13">
      <c r="B1487" s="40" t="s">
        <v>2314</v>
      </c>
      <c r="C1487" s="41">
        <v>6</v>
      </c>
      <c r="D1487" s="42">
        <v>10</v>
      </c>
      <c r="E1487" s="43">
        <v>54550</v>
      </c>
      <c r="F1487" s="44">
        <v>20375728</v>
      </c>
      <c r="G1487" s="1" t="str">
        <f>IFERROR(IF(ventas_b_mes684[[#This Row],[CUIT]]="","-",VLOOKUP(ventas_b_mes684[[#This Row],[CUIT]],Lista_CUIT[#All],2,0)),"CUIT NO CARGADO")</f>
        <v>CUIT NO CARGADO</v>
      </c>
      <c r="H1487" s="64">
        <v>8264.4599999999991</v>
      </c>
      <c r="I1487" s="64">
        <f>ventas_b_mes684[[#This Row],[IMPORTE NETO]]*0.21</f>
        <v>1735.5365999999997</v>
      </c>
      <c r="J1487" s="64"/>
      <c r="K1487" s="64"/>
      <c r="L1487" s="64">
        <f>SUM(ventas_b_mes684[[#This Row],[IMPORTE NETO]:[EXENTO]])</f>
        <v>9999.9965999999986</v>
      </c>
      <c r="M1487" s="59"/>
    </row>
    <row r="1488" spans="2:13">
      <c r="B1488" s="40" t="s">
        <v>2314</v>
      </c>
      <c r="C1488" s="41">
        <v>6</v>
      </c>
      <c r="D1488" s="42">
        <v>12</v>
      </c>
      <c r="E1488" s="43">
        <v>29753</v>
      </c>
      <c r="F1488" s="44">
        <v>12546893</v>
      </c>
      <c r="G1488" s="1" t="str">
        <f>IFERROR(IF(ventas_b_mes684[[#This Row],[CUIT]]="","-",VLOOKUP(ventas_b_mes684[[#This Row],[CUIT]],Lista_CUIT[#All],2,0)),"CUIT NO CARGADO")</f>
        <v>CUIT NO CARGADO</v>
      </c>
      <c r="H1488" s="64">
        <v>68661.16</v>
      </c>
      <c r="I1488" s="64">
        <f>ventas_b_mes684[[#This Row],[IMPORTE NETO]]*0.21</f>
        <v>14418.8436</v>
      </c>
      <c r="J1488" s="64"/>
      <c r="K1488" s="64"/>
      <c r="L1488" s="64">
        <f>SUM(ventas_b_mes684[[#This Row],[IMPORTE NETO]:[EXENTO]])</f>
        <v>83080.003599999996</v>
      </c>
      <c r="M1488" s="59"/>
    </row>
    <row r="1489" spans="2:13">
      <c r="B1489" s="40" t="s">
        <v>2314</v>
      </c>
      <c r="C1489" s="41">
        <v>6</v>
      </c>
      <c r="D1489" s="42">
        <v>12</v>
      </c>
      <c r="E1489" s="43">
        <v>29752</v>
      </c>
      <c r="F1489" s="44">
        <v>44677110</v>
      </c>
      <c r="G1489" s="1" t="str">
        <f>IFERROR(IF(ventas_b_mes684[[#This Row],[CUIT]]="","-",VLOOKUP(ventas_b_mes684[[#This Row],[CUIT]],Lista_CUIT[#All],2,0)),"CUIT NO CARGADO")</f>
        <v>CUIT NO CARGADO</v>
      </c>
      <c r="H1489" s="64">
        <v>41322.31</v>
      </c>
      <c r="I1489" s="64">
        <f>ventas_b_mes684[[#This Row],[IMPORTE NETO]]*0.21</f>
        <v>8677.6850999999988</v>
      </c>
      <c r="J1489" s="64"/>
      <c r="K1489" s="64"/>
      <c r="L1489" s="64">
        <f>SUM(ventas_b_mes684[[#This Row],[IMPORTE NETO]:[EXENTO]])</f>
        <v>49999.9951</v>
      </c>
      <c r="M1489" s="59"/>
    </row>
    <row r="1490" spans="2:13">
      <c r="B1490" s="40" t="s">
        <v>2314</v>
      </c>
      <c r="C1490" s="41">
        <v>6</v>
      </c>
      <c r="D1490" s="42">
        <v>12</v>
      </c>
      <c r="E1490" s="43">
        <v>29760</v>
      </c>
      <c r="F1490" s="44">
        <v>27170564</v>
      </c>
      <c r="G1490" s="1" t="str">
        <f>IFERROR(IF(ventas_b_mes684[[#This Row],[CUIT]]="","-",VLOOKUP(ventas_b_mes684[[#This Row],[CUIT]],Lista_CUIT[#All],2,0)),"CUIT NO CARGADO")</f>
        <v>CUIT NO CARGADO</v>
      </c>
      <c r="H1490" s="64">
        <v>9917.36</v>
      </c>
      <c r="I1490" s="64">
        <f>ventas_b_mes684[[#This Row],[IMPORTE NETO]]*0.21</f>
        <v>2082.6455999999998</v>
      </c>
      <c r="J1490" s="64"/>
      <c r="K1490" s="64"/>
      <c r="L1490" s="64">
        <f>SUM(ventas_b_mes684[[#This Row],[IMPORTE NETO]:[EXENTO]])</f>
        <v>12000.0056</v>
      </c>
      <c r="M1490" s="59"/>
    </row>
    <row r="1491" spans="2:13">
      <c r="B1491" s="40" t="s">
        <v>2314</v>
      </c>
      <c r="C1491" s="41">
        <v>6</v>
      </c>
      <c r="D1491" s="42">
        <v>11</v>
      </c>
      <c r="E1491" s="43">
        <v>38234</v>
      </c>
      <c r="F1491" s="44">
        <v>9587412</v>
      </c>
      <c r="G1491" s="1" t="str">
        <f>IFERROR(IF(ventas_b_mes684[[#This Row],[CUIT]]="","-",VLOOKUP(ventas_b_mes684[[#This Row],[CUIT]],Lista_CUIT[#All],2,0)),"CUIT NO CARGADO")</f>
        <v>CUIT NO CARGADO</v>
      </c>
      <c r="H1491" s="64">
        <v>20826.45</v>
      </c>
      <c r="I1491" s="64">
        <f>ventas_b_mes684[[#This Row],[IMPORTE NETO]]*0.21</f>
        <v>4373.5545000000002</v>
      </c>
      <c r="J1491" s="64"/>
      <c r="K1491" s="64"/>
      <c r="L1491" s="64">
        <f>SUM(ventas_b_mes684[[#This Row],[IMPORTE NETO]:[EXENTO]])</f>
        <v>25200.004500000003</v>
      </c>
      <c r="M1491" s="59"/>
    </row>
    <row r="1492" spans="2:13">
      <c r="B1492" s="40" t="s">
        <v>2314</v>
      </c>
      <c r="C1492" s="41">
        <v>6</v>
      </c>
      <c r="D1492" s="42">
        <v>15</v>
      </c>
      <c r="E1492" s="43">
        <v>13365</v>
      </c>
      <c r="F1492" s="44">
        <v>25671318</v>
      </c>
      <c r="G1492" s="1" t="str">
        <f>IFERROR(IF(ventas_b_mes684[[#This Row],[CUIT]]="","-",VLOOKUP(ventas_b_mes684[[#This Row],[CUIT]],Lista_CUIT[#All],2,0)),"CUIT NO CARGADO")</f>
        <v>GOMEZ,Griselda graciela</v>
      </c>
      <c r="H1492" s="64">
        <v>7355.37</v>
      </c>
      <c r="I1492" s="64">
        <f>ventas_b_mes684[[#This Row],[IMPORTE NETO]]*0.21</f>
        <v>1544.6277</v>
      </c>
      <c r="J1492" s="64"/>
      <c r="K1492" s="64"/>
      <c r="L1492" s="64">
        <f>SUM(ventas_b_mes684[[#This Row],[IMPORTE NETO]:[EXENTO]])</f>
        <v>8899.9976999999999</v>
      </c>
      <c r="M1492" s="59"/>
    </row>
    <row r="1493" spans="2:13">
      <c r="B1493" s="40" t="s">
        <v>2314</v>
      </c>
      <c r="C1493" s="41">
        <v>6</v>
      </c>
      <c r="D1493" s="42">
        <v>11</v>
      </c>
      <c r="E1493" s="43">
        <v>38229</v>
      </c>
      <c r="F1493" s="44">
        <v>44278868</v>
      </c>
      <c r="G1493" s="1" t="str">
        <f>IFERROR(IF(ventas_b_mes684[[#This Row],[CUIT]]="","-",VLOOKUP(ventas_b_mes684[[#This Row],[CUIT]],Lista_CUIT[#All],2,0)),"CUIT NO CARGADO")</f>
        <v>CUIT NO CARGADO</v>
      </c>
      <c r="H1493" s="64">
        <v>3809.92</v>
      </c>
      <c r="I1493" s="64">
        <f>ventas_b_mes684[[#This Row],[IMPORTE NETO]]*0.21</f>
        <v>800.08320000000003</v>
      </c>
      <c r="J1493" s="64"/>
      <c r="K1493" s="64"/>
      <c r="L1493" s="64">
        <f>SUM(ventas_b_mes684[[#This Row],[IMPORTE NETO]:[EXENTO]])</f>
        <v>4610.0032000000001</v>
      </c>
      <c r="M1493" s="59"/>
    </row>
    <row r="1494" spans="2:13">
      <c r="B1494" s="40" t="s">
        <v>2314</v>
      </c>
      <c r="C1494" s="41">
        <v>6</v>
      </c>
      <c r="D1494" s="42">
        <v>10</v>
      </c>
      <c r="E1494" s="43">
        <v>54551</v>
      </c>
      <c r="F1494" s="44">
        <v>325644121</v>
      </c>
      <c r="G1494" s="1" t="str">
        <f>IFERROR(IF(ventas_b_mes684[[#This Row],[CUIT]]="","-",VLOOKUP(ventas_b_mes684[[#This Row],[CUIT]],Lista_CUIT[#All],2,0)),"CUIT NO CARGADO")</f>
        <v>CUIT NO CARGADO</v>
      </c>
      <c r="H1494" s="64">
        <v>53487.6</v>
      </c>
      <c r="I1494" s="64">
        <f>ventas_b_mes684[[#This Row],[IMPORTE NETO]]*0.21</f>
        <v>11232.395999999999</v>
      </c>
      <c r="J1494" s="64"/>
      <c r="K1494" s="64"/>
      <c r="L1494" s="64">
        <f>SUM(ventas_b_mes684[[#This Row],[IMPORTE NETO]:[EXENTO]])</f>
        <v>64719.995999999999</v>
      </c>
      <c r="M1494" s="59"/>
    </row>
    <row r="1495" spans="2:13">
      <c r="B1495" s="40" t="s">
        <v>2314</v>
      </c>
      <c r="C1495" s="41">
        <v>6</v>
      </c>
      <c r="D1495" s="42">
        <v>15</v>
      </c>
      <c r="E1495" s="43">
        <v>13362</v>
      </c>
      <c r="F1495" s="44">
        <v>93973048</v>
      </c>
      <c r="G1495" s="1" t="str">
        <f>IFERROR(IF(ventas_b_mes684[[#This Row],[CUIT]]="","-",VLOOKUP(ventas_b_mes684[[#This Row],[CUIT]],Lista_CUIT[#All],2,0)),"CUIT NO CARGADO")</f>
        <v>CUIT NO CARGADO</v>
      </c>
      <c r="H1495" s="64">
        <v>83826.45</v>
      </c>
      <c r="I1495" s="64">
        <f>ventas_b_mes684[[#This Row],[IMPORTE NETO]]*0.21</f>
        <v>17603.554499999998</v>
      </c>
      <c r="J1495" s="64"/>
      <c r="K1495" s="64"/>
      <c r="L1495" s="64">
        <f>SUM(ventas_b_mes684[[#This Row],[IMPORTE NETO]:[EXENTO]])</f>
        <v>101430.0045</v>
      </c>
      <c r="M1495" s="59"/>
    </row>
    <row r="1496" spans="2:13">
      <c r="B1496" s="40" t="s">
        <v>2314</v>
      </c>
      <c r="C1496" s="41">
        <v>6</v>
      </c>
      <c r="D1496" s="42">
        <v>10</v>
      </c>
      <c r="E1496" s="43">
        <v>54554</v>
      </c>
      <c r="F1496" s="44">
        <v>12134874</v>
      </c>
      <c r="G1496" s="1" t="str">
        <f>IFERROR(IF(ventas_b_mes684[[#This Row],[CUIT]]="","-",VLOOKUP(ventas_b_mes684[[#This Row],[CUIT]],Lista_CUIT[#All],2,0)),"CUIT NO CARGADO")</f>
        <v>CUIT NO CARGADO</v>
      </c>
      <c r="H1496" s="64">
        <v>16119.83</v>
      </c>
      <c r="I1496" s="64">
        <f>ventas_b_mes684[[#This Row],[IMPORTE NETO]]*0.21</f>
        <v>3385.1642999999999</v>
      </c>
      <c r="J1496" s="64"/>
      <c r="K1496" s="64"/>
      <c r="L1496" s="64">
        <f>SUM(ventas_b_mes684[[#This Row],[IMPORTE NETO]:[EXENTO]])</f>
        <v>19504.994299999998</v>
      </c>
      <c r="M1496" s="59"/>
    </row>
    <row r="1497" spans="2:13">
      <c r="B1497" s="40" t="s">
        <v>2314</v>
      </c>
      <c r="C1497" s="41">
        <v>6</v>
      </c>
      <c r="D1497" s="42">
        <v>11</v>
      </c>
      <c r="E1497" s="43">
        <v>38228</v>
      </c>
      <c r="F1497" s="44">
        <v>44278868</v>
      </c>
      <c r="G1497" s="1" t="str">
        <f>IFERROR(IF(ventas_b_mes684[[#This Row],[CUIT]]="","-",VLOOKUP(ventas_b_mes684[[#This Row],[CUIT]],Lista_CUIT[#All],2,0)),"CUIT NO CARGADO")</f>
        <v>CUIT NO CARGADO</v>
      </c>
      <c r="H1497" s="64">
        <v>12702.48</v>
      </c>
      <c r="I1497" s="64">
        <f>ventas_b_mes684[[#This Row],[IMPORTE NETO]]*0.21</f>
        <v>2667.5207999999998</v>
      </c>
      <c r="J1497" s="64"/>
      <c r="K1497" s="64"/>
      <c r="L1497" s="64">
        <f>SUM(ventas_b_mes684[[#This Row],[IMPORTE NETO]:[EXENTO]])</f>
        <v>15370.0008</v>
      </c>
      <c r="M1497" s="59"/>
    </row>
    <row r="1498" spans="2:13">
      <c r="B1498" s="40" t="s">
        <v>2314</v>
      </c>
      <c r="C1498" s="41">
        <v>6</v>
      </c>
      <c r="D1498" s="42">
        <v>13</v>
      </c>
      <c r="E1498" s="43">
        <v>32535</v>
      </c>
      <c r="F1498" s="44">
        <v>5174170</v>
      </c>
      <c r="G1498" s="1" t="str">
        <f>IFERROR(IF(ventas_b_mes684[[#This Row],[CUIT]]="","-",VLOOKUP(ventas_b_mes684[[#This Row],[CUIT]],Lista_CUIT[#All],2,0)),"CUIT NO CARGADO")</f>
        <v>CUIT NO CARGADO</v>
      </c>
      <c r="H1498" s="64">
        <v>10661.16</v>
      </c>
      <c r="I1498" s="64">
        <f>ventas_b_mes684[[#This Row],[IMPORTE NETO]]*0.21</f>
        <v>2238.8435999999997</v>
      </c>
      <c r="J1498" s="64"/>
      <c r="K1498" s="64"/>
      <c r="L1498" s="64">
        <f>SUM(ventas_b_mes684[[#This Row],[IMPORTE NETO]:[EXENTO]])</f>
        <v>12900.0036</v>
      </c>
      <c r="M1498" s="59"/>
    </row>
    <row r="1499" spans="2:13">
      <c r="B1499" s="40" t="s">
        <v>2314</v>
      </c>
      <c r="C1499" s="41">
        <v>6</v>
      </c>
      <c r="D1499" s="42">
        <v>15</v>
      </c>
      <c r="E1499" s="43">
        <v>13354</v>
      </c>
      <c r="F1499" s="44">
        <v>30005896</v>
      </c>
      <c r="G1499" s="1" t="str">
        <f>IFERROR(IF(ventas_b_mes684[[#This Row],[CUIT]]="","-",VLOOKUP(ventas_b_mes684[[#This Row],[CUIT]],Lista_CUIT[#All],2,0)),"CUIT NO CARGADO")</f>
        <v>JULIAN,Gimena</v>
      </c>
      <c r="H1499" s="64">
        <v>9752.07</v>
      </c>
      <c r="I1499" s="64">
        <f>ventas_b_mes684[[#This Row],[IMPORTE NETO]]*0.21</f>
        <v>2047.9346999999998</v>
      </c>
      <c r="J1499" s="64"/>
      <c r="K1499" s="64"/>
      <c r="L1499" s="64">
        <f>SUM(ventas_b_mes684[[#This Row],[IMPORTE NETO]:[EXENTO]])</f>
        <v>11800.0047</v>
      </c>
      <c r="M1499" s="59"/>
    </row>
    <row r="1500" spans="2:13">
      <c r="B1500" s="40" t="s">
        <v>2314</v>
      </c>
      <c r="C1500" s="41">
        <v>6</v>
      </c>
      <c r="D1500" s="42">
        <v>11</v>
      </c>
      <c r="E1500" s="43">
        <v>38220</v>
      </c>
      <c r="F1500" s="44">
        <v>39334594</v>
      </c>
      <c r="G1500" s="1" t="str">
        <f>IFERROR(IF(ventas_b_mes684[[#This Row],[CUIT]]="","-",VLOOKUP(ventas_b_mes684[[#This Row],[CUIT]],Lista_CUIT[#All],2,0)),"CUIT NO CARGADO")</f>
        <v>CUIT NO CARGADO</v>
      </c>
      <c r="H1500" s="64">
        <v>20661.16</v>
      </c>
      <c r="I1500" s="64">
        <f>ventas_b_mes684[[#This Row],[IMPORTE NETO]]*0.21</f>
        <v>4338.8436000000002</v>
      </c>
      <c r="J1500" s="64"/>
      <c r="K1500" s="64"/>
      <c r="L1500" s="64">
        <f>SUM(ventas_b_mes684[[#This Row],[IMPORTE NETO]:[EXENTO]])</f>
        <v>25000.0036</v>
      </c>
      <c r="M1500" s="59"/>
    </row>
    <row r="1501" spans="2:13">
      <c r="B1501" s="40" t="s">
        <v>2314</v>
      </c>
      <c r="C1501" s="41">
        <v>6</v>
      </c>
      <c r="D1501" s="42">
        <v>15</v>
      </c>
      <c r="E1501" s="43">
        <v>13364</v>
      </c>
      <c r="F1501" s="44">
        <v>28434680</v>
      </c>
      <c r="G1501" s="1" t="str">
        <f>IFERROR(IF(ventas_b_mes684[[#This Row],[CUIT]]="","-",VLOOKUP(ventas_b_mes684[[#This Row],[CUIT]],Lista_CUIT[#All],2,0)),"CUIT NO CARGADO")</f>
        <v>CUIT NO CARGADO</v>
      </c>
      <c r="H1501" s="64">
        <v>8677.69</v>
      </c>
      <c r="I1501" s="64">
        <f>ventas_b_mes684[[#This Row],[IMPORTE NETO]]*0.21</f>
        <v>1822.3149000000001</v>
      </c>
      <c r="J1501" s="64"/>
      <c r="K1501" s="64"/>
      <c r="L1501" s="64">
        <f>SUM(ventas_b_mes684[[#This Row],[IMPORTE NETO]:[EXENTO]])</f>
        <v>10500.0049</v>
      </c>
      <c r="M1501" s="59"/>
    </row>
    <row r="1502" spans="2:13">
      <c r="B1502" s="40" t="s">
        <v>2314</v>
      </c>
      <c r="C1502" s="41">
        <v>6</v>
      </c>
      <c r="D1502" s="42">
        <v>10</v>
      </c>
      <c r="E1502" s="43">
        <v>54545</v>
      </c>
      <c r="F1502" s="44">
        <v>24814824</v>
      </c>
      <c r="G1502" s="1" t="str">
        <f>IFERROR(IF(ventas_b_mes684[[#This Row],[CUIT]]="","-",VLOOKUP(ventas_b_mes684[[#This Row],[CUIT]],Lista_CUIT[#All],2,0)),"CUIT NO CARGADO")</f>
        <v>CUIT NO CARGADO</v>
      </c>
      <c r="H1502" s="64">
        <v>20661.16</v>
      </c>
      <c r="I1502" s="64">
        <f>ventas_b_mes684[[#This Row],[IMPORTE NETO]]*0.21</f>
        <v>4338.8436000000002</v>
      </c>
      <c r="J1502" s="64"/>
      <c r="K1502" s="64"/>
      <c r="L1502" s="64">
        <f>SUM(ventas_b_mes684[[#This Row],[IMPORTE NETO]:[EXENTO]])</f>
        <v>25000.0036</v>
      </c>
      <c r="M1502" s="59"/>
    </row>
    <row r="1503" spans="2:13">
      <c r="B1503" s="40" t="s">
        <v>2314</v>
      </c>
      <c r="C1503" s="41">
        <v>6</v>
      </c>
      <c r="D1503" s="42">
        <v>11</v>
      </c>
      <c r="E1503" s="43">
        <v>38225</v>
      </c>
      <c r="F1503" s="44">
        <v>14682695</v>
      </c>
      <c r="G1503" s="1" t="str">
        <f>IFERROR(IF(ventas_b_mes684[[#This Row],[CUIT]]="","-",VLOOKUP(ventas_b_mes684[[#This Row],[CUIT]],Lista_CUIT[#All],2,0)),"CUIT NO CARGADO")</f>
        <v>CUIT NO CARGADO</v>
      </c>
      <c r="H1503" s="64">
        <v>20661.16</v>
      </c>
      <c r="I1503" s="64">
        <f>ventas_b_mes684[[#This Row],[IMPORTE NETO]]*0.21</f>
        <v>4338.8436000000002</v>
      </c>
      <c r="J1503" s="64"/>
      <c r="K1503" s="64"/>
      <c r="L1503" s="64">
        <f>SUM(ventas_b_mes684[[#This Row],[IMPORTE NETO]:[EXENTO]])</f>
        <v>25000.0036</v>
      </c>
      <c r="M1503" s="59"/>
    </row>
    <row r="1504" spans="2:13">
      <c r="B1504" s="40" t="s">
        <v>2314</v>
      </c>
      <c r="C1504" s="41">
        <v>6</v>
      </c>
      <c r="D1504" s="42">
        <v>12</v>
      </c>
      <c r="E1504" s="43">
        <v>29754</v>
      </c>
      <c r="F1504" s="44">
        <v>22503049</v>
      </c>
      <c r="G1504" s="1" t="str">
        <f>IFERROR(IF(ventas_b_mes684[[#This Row],[CUIT]]="","-",VLOOKUP(ventas_b_mes684[[#This Row],[CUIT]],Lista_CUIT[#All],2,0)),"CUIT NO CARGADO")</f>
        <v>CUIT NO CARGADO</v>
      </c>
      <c r="H1504" s="64">
        <v>6446.28</v>
      </c>
      <c r="I1504" s="64">
        <f>ventas_b_mes684[[#This Row],[IMPORTE NETO]]*0.21</f>
        <v>1353.7187999999999</v>
      </c>
      <c r="J1504" s="64"/>
      <c r="K1504" s="64"/>
      <c r="L1504" s="64">
        <f>SUM(ventas_b_mes684[[#This Row],[IMPORTE NETO]:[EXENTO]])</f>
        <v>7799.9987999999994</v>
      </c>
      <c r="M1504" s="59"/>
    </row>
    <row r="1505" spans="2:13">
      <c r="B1505" s="40" t="s">
        <v>2314</v>
      </c>
      <c r="C1505" s="41">
        <v>6</v>
      </c>
      <c r="D1505" s="42">
        <v>15</v>
      </c>
      <c r="E1505" s="43">
        <v>13361</v>
      </c>
      <c r="F1505" s="44">
        <v>29674993</v>
      </c>
      <c r="G1505" s="1" t="str">
        <f>IFERROR(IF(ventas_b_mes684[[#This Row],[CUIT]]="","-",VLOOKUP(ventas_b_mes684[[#This Row],[CUIT]],Lista_CUIT[#All],2,0)),"CUIT NO CARGADO")</f>
        <v>CUIT NO CARGADO</v>
      </c>
      <c r="H1505" s="64">
        <v>10413.219999999999</v>
      </c>
      <c r="I1505" s="64">
        <f>ventas_b_mes684[[#This Row],[IMPORTE NETO]]*0.21</f>
        <v>2186.7761999999998</v>
      </c>
      <c r="J1505" s="64"/>
      <c r="K1505" s="64"/>
      <c r="L1505" s="64">
        <f>SUM(ventas_b_mes684[[#This Row],[IMPORTE NETO]:[EXENTO]])</f>
        <v>12599.9962</v>
      </c>
      <c r="M1505" s="59"/>
    </row>
    <row r="1506" spans="2:13">
      <c r="B1506" s="40" t="s">
        <v>2314</v>
      </c>
      <c r="C1506" s="41">
        <v>6</v>
      </c>
      <c r="D1506" s="42">
        <v>11</v>
      </c>
      <c r="E1506" s="43">
        <v>38219</v>
      </c>
      <c r="F1506" s="44">
        <v>28773354</v>
      </c>
      <c r="G1506" s="1" t="str">
        <f>IFERROR(IF(ventas_b_mes684[[#This Row],[CUIT]]="","-",VLOOKUP(ventas_b_mes684[[#This Row],[CUIT]],Lista_CUIT[#All],2,0)),"CUIT NO CARGADO")</f>
        <v>CUIT NO CARGADO</v>
      </c>
      <c r="H1506" s="64">
        <v>20661.16</v>
      </c>
      <c r="I1506" s="64">
        <f>ventas_b_mes684[[#This Row],[IMPORTE NETO]]*0.21</f>
        <v>4338.8436000000002</v>
      </c>
      <c r="J1506" s="64"/>
      <c r="K1506" s="64"/>
      <c r="L1506" s="64">
        <f>SUM(ventas_b_mes684[[#This Row],[IMPORTE NETO]:[EXENTO]])</f>
        <v>25000.0036</v>
      </c>
      <c r="M1506" s="59"/>
    </row>
    <row r="1507" spans="2:13">
      <c r="B1507" s="40" t="s">
        <v>2314</v>
      </c>
      <c r="C1507" s="41">
        <v>6</v>
      </c>
      <c r="D1507" s="42">
        <v>10</v>
      </c>
      <c r="E1507" s="43">
        <v>54547</v>
      </c>
      <c r="F1507" s="44">
        <v>23145698</v>
      </c>
      <c r="G1507" s="1" t="str">
        <f>IFERROR(IF(ventas_b_mes684[[#This Row],[CUIT]]="","-",VLOOKUP(ventas_b_mes684[[#This Row],[CUIT]],Lista_CUIT[#All],2,0)),"CUIT NO CARGADO")</f>
        <v>CUIT NO CARGADO</v>
      </c>
      <c r="H1507" s="64">
        <v>126206.61</v>
      </c>
      <c r="I1507" s="64">
        <f>ventas_b_mes684[[#This Row],[IMPORTE NETO]]*0.21</f>
        <v>26503.3881</v>
      </c>
      <c r="J1507" s="64"/>
      <c r="K1507" s="64"/>
      <c r="L1507" s="64">
        <f>SUM(ventas_b_mes684[[#This Row],[IMPORTE NETO]:[EXENTO]])</f>
        <v>152709.9981</v>
      </c>
      <c r="M1507" s="59"/>
    </row>
    <row r="1508" spans="2:13">
      <c r="B1508" s="40" t="s">
        <v>2314</v>
      </c>
      <c r="C1508" s="41">
        <v>6</v>
      </c>
      <c r="D1508" s="42">
        <v>13</v>
      </c>
      <c r="E1508" s="43">
        <v>32537</v>
      </c>
      <c r="F1508" s="44">
        <v>18281064</v>
      </c>
      <c r="G1508" s="1" t="str">
        <f>IFERROR(IF(ventas_b_mes684[[#This Row],[CUIT]]="","-",VLOOKUP(ventas_b_mes684[[#This Row],[CUIT]],Lista_CUIT[#All],2,0)),"CUIT NO CARGADO")</f>
        <v>CUIT NO CARGADO</v>
      </c>
      <c r="H1508" s="64">
        <v>79388.429999999993</v>
      </c>
      <c r="I1508" s="64">
        <f>ventas_b_mes684[[#This Row],[IMPORTE NETO]]*0.21</f>
        <v>16671.570299999999</v>
      </c>
      <c r="J1508" s="64"/>
      <c r="K1508" s="64"/>
      <c r="L1508" s="64">
        <f>SUM(ventas_b_mes684[[#This Row],[IMPORTE NETO]:[EXENTO]])</f>
        <v>96060.000299999985</v>
      </c>
      <c r="M1508" s="59"/>
    </row>
    <row r="1509" spans="2:13">
      <c r="B1509" s="40" t="s">
        <v>2314</v>
      </c>
      <c r="C1509" s="41">
        <v>6</v>
      </c>
      <c r="D1509" s="42">
        <v>12</v>
      </c>
      <c r="E1509" s="43">
        <v>29750</v>
      </c>
      <c r="F1509" s="44">
        <v>27375261</v>
      </c>
      <c r="G1509" s="1" t="str">
        <f>IFERROR(IF(ventas_b_mes684[[#This Row],[CUIT]]="","-",VLOOKUP(ventas_b_mes684[[#This Row],[CUIT]],Lista_CUIT[#All],2,0)),"CUIT NO CARGADO")</f>
        <v>CUIT NO CARGADO</v>
      </c>
      <c r="H1509" s="64">
        <v>20661.16</v>
      </c>
      <c r="I1509" s="64">
        <f>ventas_b_mes684[[#This Row],[IMPORTE NETO]]*0.21</f>
        <v>4338.8436000000002</v>
      </c>
      <c r="J1509" s="64"/>
      <c r="K1509" s="64"/>
      <c r="L1509" s="64">
        <f>SUM(ventas_b_mes684[[#This Row],[IMPORTE NETO]:[EXENTO]])</f>
        <v>25000.0036</v>
      </c>
      <c r="M1509" s="59"/>
    </row>
    <row r="1510" spans="2:13">
      <c r="B1510" s="40" t="s">
        <v>2314</v>
      </c>
      <c r="C1510" s="41">
        <v>6</v>
      </c>
      <c r="D1510" s="42">
        <v>15</v>
      </c>
      <c r="E1510" s="43">
        <v>13363</v>
      </c>
      <c r="F1510" s="44">
        <v>28434680</v>
      </c>
      <c r="G1510" s="1" t="str">
        <f>IFERROR(IF(ventas_b_mes684[[#This Row],[CUIT]]="","-",VLOOKUP(ventas_b_mes684[[#This Row],[CUIT]],Lista_CUIT[#All],2,0)),"CUIT NO CARGADO")</f>
        <v>CUIT NO CARGADO</v>
      </c>
      <c r="H1510" s="64">
        <v>28923.97</v>
      </c>
      <c r="I1510" s="64">
        <f>ventas_b_mes684[[#This Row],[IMPORTE NETO]]*0.21</f>
        <v>6074.0337</v>
      </c>
      <c r="J1510" s="64"/>
      <c r="K1510" s="64"/>
      <c r="L1510" s="64">
        <f>SUM(ventas_b_mes684[[#This Row],[IMPORTE NETO]:[EXENTO]])</f>
        <v>34998.003700000001</v>
      </c>
      <c r="M1510" s="59"/>
    </row>
    <row r="1511" spans="2:13">
      <c r="B1511" s="40" t="s">
        <v>2314</v>
      </c>
      <c r="C1511" s="41">
        <v>6</v>
      </c>
      <c r="D1511" s="42">
        <v>11</v>
      </c>
      <c r="E1511" s="43">
        <v>38232</v>
      </c>
      <c r="F1511" s="44">
        <v>6436196</v>
      </c>
      <c r="G1511" s="1" t="str">
        <f>IFERROR(IF(ventas_b_mes684[[#This Row],[CUIT]]="","-",VLOOKUP(ventas_b_mes684[[#This Row],[CUIT]],Lista_CUIT[#All],2,0)),"CUIT NO CARGADO")</f>
        <v>CUIT NO CARGADO</v>
      </c>
      <c r="H1511" s="64">
        <v>9917.36</v>
      </c>
      <c r="I1511" s="64">
        <f>ventas_b_mes684[[#This Row],[IMPORTE NETO]]*0.21</f>
        <v>2082.6455999999998</v>
      </c>
      <c r="J1511" s="64"/>
      <c r="K1511" s="64"/>
      <c r="L1511" s="64">
        <f>SUM(ventas_b_mes684[[#This Row],[IMPORTE NETO]:[EXENTO]])</f>
        <v>12000.0056</v>
      </c>
      <c r="M1511" s="59"/>
    </row>
    <row r="1512" spans="2:13">
      <c r="B1512" s="40" t="s">
        <v>2314</v>
      </c>
      <c r="C1512" s="41">
        <v>6</v>
      </c>
      <c r="D1512" s="42">
        <v>11</v>
      </c>
      <c r="E1512" s="43">
        <v>38231</v>
      </c>
      <c r="F1512" s="44">
        <v>36987989</v>
      </c>
      <c r="G1512" s="1" t="str">
        <f>IFERROR(IF(ventas_b_mes684[[#This Row],[CUIT]]="","-",VLOOKUP(ventas_b_mes684[[#This Row],[CUIT]],Lista_CUIT[#All],2,0)),"CUIT NO CARGADO")</f>
        <v>CUIT NO CARGADO</v>
      </c>
      <c r="H1512" s="64">
        <v>20661.16</v>
      </c>
      <c r="I1512" s="64">
        <f>ventas_b_mes684[[#This Row],[IMPORTE NETO]]*0.21</f>
        <v>4338.8436000000002</v>
      </c>
      <c r="J1512" s="64"/>
      <c r="K1512" s="64"/>
      <c r="L1512" s="64">
        <f>SUM(ventas_b_mes684[[#This Row],[IMPORTE NETO]:[EXENTO]])</f>
        <v>25000.0036</v>
      </c>
      <c r="M1512" s="59"/>
    </row>
    <row r="1513" spans="2:13">
      <c r="B1513" s="40" t="s">
        <v>2314</v>
      </c>
      <c r="C1513" s="41">
        <v>6</v>
      </c>
      <c r="D1513" s="42">
        <v>10</v>
      </c>
      <c r="E1513" s="43">
        <v>54553</v>
      </c>
      <c r="F1513" s="44">
        <v>14560230</v>
      </c>
      <c r="G1513" s="1" t="str">
        <f>IFERROR(IF(ventas_b_mes684[[#This Row],[CUIT]]="","-",VLOOKUP(ventas_b_mes684[[#This Row],[CUIT]],Lista_CUIT[#All],2,0)),"CUIT NO CARGADO")</f>
        <v>CUIT NO CARGADO</v>
      </c>
      <c r="H1513" s="64">
        <v>7867.77</v>
      </c>
      <c r="I1513" s="64">
        <f>ventas_b_mes684[[#This Row],[IMPORTE NETO]]*0.21</f>
        <v>1652.2317</v>
      </c>
      <c r="J1513" s="64"/>
      <c r="K1513" s="64"/>
      <c r="L1513" s="64">
        <f>SUM(ventas_b_mes684[[#This Row],[IMPORTE NETO]:[EXENTO]])</f>
        <v>9520.0017000000007</v>
      </c>
      <c r="M1513" s="59"/>
    </row>
    <row r="1514" spans="2:13">
      <c r="B1514" s="40" t="s">
        <v>2314</v>
      </c>
      <c r="C1514" s="41">
        <v>6</v>
      </c>
      <c r="D1514" s="42">
        <v>15</v>
      </c>
      <c r="E1514" s="43">
        <v>13360</v>
      </c>
      <c r="F1514" s="44">
        <v>21838047</v>
      </c>
      <c r="G1514" s="1" t="str">
        <f>IFERROR(IF(ventas_b_mes684[[#This Row],[CUIT]]="","-",VLOOKUP(ventas_b_mes684[[#This Row],[CUIT]],Lista_CUIT[#All],2,0)),"CUIT NO CARGADO")</f>
        <v>CUIT NO CARGADO</v>
      </c>
      <c r="H1514" s="64">
        <v>20661.16</v>
      </c>
      <c r="I1514" s="64">
        <f>ventas_b_mes684[[#This Row],[IMPORTE NETO]]*0.21</f>
        <v>4338.8436000000002</v>
      </c>
      <c r="J1514" s="64"/>
      <c r="K1514" s="64"/>
      <c r="L1514" s="64">
        <f>SUM(ventas_b_mes684[[#This Row],[IMPORTE NETO]:[EXENTO]])</f>
        <v>25000.0036</v>
      </c>
      <c r="M1514" s="59"/>
    </row>
    <row r="1515" spans="2:13">
      <c r="B1515" s="40" t="s">
        <v>2314</v>
      </c>
      <c r="C1515" s="41">
        <v>6</v>
      </c>
      <c r="D1515" s="42">
        <v>12</v>
      </c>
      <c r="E1515" s="43">
        <v>29749</v>
      </c>
      <c r="F1515" s="44">
        <v>11044026</v>
      </c>
      <c r="G1515" s="1" t="str">
        <f>IFERROR(IF(ventas_b_mes684[[#This Row],[CUIT]]="","-",VLOOKUP(ventas_b_mes684[[#This Row],[CUIT]],Lista_CUIT[#All],2,0)),"CUIT NO CARGADO")</f>
        <v>CUIT NO CARGADO</v>
      </c>
      <c r="H1515" s="64">
        <v>21983.47</v>
      </c>
      <c r="I1515" s="64">
        <f>ventas_b_mes684[[#This Row],[IMPORTE NETO]]*0.21</f>
        <v>4616.5286999999998</v>
      </c>
      <c r="J1515" s="64"/>
      <c r="K1515" s="64"/>
      <c r="L1515" s="64">
        <f>SUM(ventas_b_mes684[[#This Row],[IMPORTE NETO]:[EXENTO]])</f>
        <v>26599.9987</v>
      </c>
      <c r="M1515" s="59"/>
    </row>
    <row r="1516" spans="2:13">
      <c r="B1516" s="40" t="s">
        <v>2314</v>
      </c>
      <c r="C1516" s="41">
        <v>6</v>
      </c>
      <c r="D1516" s="42">
        <v>12</v>
      </c>
      <c r="E1516" s="43">
        <v>29759</v>
      </c>
      <c r="F1516" s="44">
        <v>27170564</v>
      </c>
      <c r="G1516" s="1" t="str">
        <f>IFERROR(IF(ventas_b_mes684[[#This Row],[CUIT]]="","-",VLOOKUP(ventas_b_mes684[[#This Row],[CUIT]],Lista_CUIT[#All],2,0)),"CUIT NO CARGADO")</f>
        <v>CUIT NO CARGADO</v>
      </c>
      <c r="H1516" s="64">
        <v>46293.39</v>
      </c>
      <c r="I1516" s="64">
        <f>ventas_b_mes684[[#This Row],[IMPORTE NETO]]*0.21</f>
        <v>9721.6118999999999</v>
      </c>
      <c r="J1516" s="64"/>
      <c r="K1516" s="64"/>
      <c r="L1516" s="64">
        <f>SUM(ventas_b_mes684[[#This Row],[IMPORTE NETO]:[EXENTO]])</f>
        <v>56015.001900000003</v>
      </c>
      <c r="M1516" s="59"/>
    </row>
    <row r="1517" spans="2:13">
      <c r="B1517" s="40" t="s">
        <v>2314</v>
      </c>
      <c r="C1517" s="41">
        <v>6</v>
      </c>
      <c r="D1517" s="42">
        <v>15</v>
      </c>
      <c r="E1517" s="43">
        <v>13350</v>
      </c>
      <c r="F1517" s="44">
        <v>31575282</v>
      </c>
      <c r="G1517" s="1" t="str">
        <f>IFERROR(IF(ventas_b_mes684[[#This Row],[CUIT]]="","-",VLOOKUP(ventas_b_mes684[[#This Row],[CUIT]],Lista_CUIT[#All],2,0)),"CUIT NO CARGADO")</f>
        <v>CUIT NO CARGADO</v>
      </c>
      <c r="H1517" s="64">
        <v>8347.11</v>
      </c>
      <c r="I1517" s="64">
        <f>ventas_b_mes684[[#This Row],[IMPORTE NETO]]*0.21</f>
        <v>1752.8931</v>
      </c>
      <c r="J1517" s="64"/>
      <c r="K1517" s="64"/>
      <c r="L1517" s="64">
        <f>SUM(ventas_b_mes684[[#This Row],[IMPORTE NETO]:[EXENTO]])</f>
        <v>10100.0031</v>
      </c>
      <c r="M1517" s="59"/>
    </row>
    <row r="1518" spans="2:13">
      <c r="B1518" s="40" t="s">
        <v>2314</v>
      </c>
      <c r="C1518" s="41">
        <v>6</v>
      </c>
      <c r="D1518" s="42">
        <v>15</v>
      </c>
      <c r="E1518" s="43">
        <v>13351</v>
      </c>
      <c r="F1518" s="44">
        <v>27806187</v>
      </c>
      <c r="G1518" s="1" t="str">
        <f>IFERROR(IF(ventas_b_mes684[[#This Row],[CUIT]]="","-",VLOOKUP(ventas_b_mes684[[#This Row],[CUIT]],Lista_CUIT[#All],2,0)),"CUIT NO CARGADO")</f>
        <v>CUIT NO CARGADO</v>
      </c>
      <c r="H1518" s="64">
        <v>10742.98</v>
      </c>
      <c r="I1518" s="64">
        <f>ventas_b_mes684[[#This Row],[IMPORTE NETO]]*0.21</f>
        <v>2256.0257999999999</v>
      </c>
      <c r="J1518" s="64"/>
      <c r="K1518" s="64"/>
      <c r="L1518" s="64">
        <f>SUM(ventas_b_mes684[[#This Row],[IMPORTE NETO]:[EXENTO]])</f>
        <v>12999.005799999999</v>
      </c>
      <c r="M1518" s="59"/>
    </row>
    <row r="1519" spans="2:13">
      <c r="B1519" s="40" t="s">
        <v>2314</v>
      </c>
      <c r="C1519" s="41">
        <v>6</v>
      </c>
      <c r="D1519" s="42">
        <v>10</v>
      </c>
      <c r="E1519" s="43">
        <v>54560</v>
      </c>
      <c r="F1519" s="44">
        <v>20206152</v>
      </c>
      <c r="G1519" s="1" t="str">
        <f>IFERROR(IF(ventas_b_mes684[[#This Row],[CUIT]]="","-",VLOOKUP(ventas_b_mes684[[#This Row],[CUIT]],Lista_CUIT[#All],2,0)),"CUIT NO CARGADO")</f>
        <v>CUIT NO CARGADO</v>
      </c>
      <c r="H1519" s="64">
        <v>11429.75</v>
      </c>
      <c r="I1519" s="64">
        <f>ventas_b_mes684[[#This Row],[IMPORTE NETO]]*0.21</f>
        <v>2400.2474999999999</v>
      </c>
      <c r="J1519" s="64"/>
      <c r="K1519" s="64"/>
      <c r="L1519" s="64">
        <f>SUM(ventas_b_mes684[[#This Row],[IMPORTE NETO]:[EXENTO]])</f>
        <v>13829.997499999999</v>
      </c>
      <c r="M1519" s="59"/>
    </row>
    <row r="1520" spans="2:13">
      <c r="B1520" s="40" t="s">
        <v>2314</v>
      </c>
      <c r="C1520" s="41">
        <v>6</v>
      </c>
      <c r="D1520" s="42">
        <v>12</v>
      </c>
      <c r="E1520" s="43">
        <v>29758</v>
      </c>
      <c r="F1520" s="44">
        <v>6674701</v>
      </c>
      <c r="G1520" s="1" t="str">
        <f>IFERROR(IF(ventas_b_mes684[[#This Row],[CUIT]]="","-",VLOOKUP(ventas_b_mes684[[#This Row],[CUIT]],Lista_CUIT[#All],2,0)),"CUIT NO CARGADO")</f>
        <v>CUIT NO CARGADO</v>
      </c>
      <c r="H1520" s="64">
        <v>66363.64</v>
      </c>
      <c r="I1520" s="64">
        <f>ventas_b_mes684[[#This Row],[IMPORTE NETO]]*0.21</f>
        <v>13936.364399999999</v>
      </c>
      <c r="J1520" s="64"/>
      <c r="K1520" s="64"/>
      <c r="L1520" s="64">
        <f>SUM(ventas_b_mes684[[#This Row],[IMPORTE NETO]:[EXENTO]])</f>
        <v>80300.004400000005</v>
      </c>
      <c r="M1520" s="59"/>
    </row>
    <row r="1521" spans="2:13">
      <c r="B1521" s="40" t="s">
        <v>2314</v>
      </c>
      <c r="C1521" s="41">
        <v>6</v>
      </c>
      <c r="D1521" s="42">
        <v>12</v>
      </c>
      <c r="E1521" s="43">
        <v>29757</v>
      </c>
      <c r="F1521" s="44">
        <v>27170564</v>
      </c>
      <c r="G1521" s="1" t="str">
        <f>IFERROR(IF(ventas_b_mes684[[#This Row],[CUIT]]="","-",VLOOKUP(ventas_b_mes684[[#This Row],[CUIT]],Lista_CUIT[#All],2,0)),"CUIT NO CARGADO")</f>
        <v>CUIT NO CARGADO</v>
      </c>
      <c r="H1521" s="64">
        <v>20661.16</v>
      </c>
      <c r="I1521" s="64">
        <f>ventas_b_mes684[[#This Row],[IMPORTE NETO]]*0.21</f>
        <v>4338.8436000000002</v>
      </c>
      <c r="J1521" s="64"/>
      <c r="K1521" s="64"/>
      <c r="L1521" s="64">
        <f>SUM(ventas_b_mes684[[#This Row],[IMPORTE NETO]:[EXENTO]])</f>
        <v>25000.0036</v>
      </c>
      <c r="M1521" s="59"/>
    </row>
    <row r="1522" spans="2:13">
      <c r="B1522" s="40" t="s">
        <v>2314</v>
      </c>
      <c r="C1522" s="41">
        <v>6</v>
      </c>
      <c r="D1522" s="42">
        <v>11</v>
      </c>
      <c r="E1522" s="43">
        <v>38230</v>
      </c>
      <c r="F1522" s="44">
        <v>17036111</v>
      </c>
      <c r="G1522" s="1" t="str">
        <f>IFERROR(IF(ventas_b_mes684[[#This Row],[CUIT]]="","-",VLOOKUP(ventas_b_mes684[[#This Row],[CUIT]],Lista_CUIT[#All],2,0)),"CUIT NO CARGADO")</f>
        <v>CUIT NO CARGADO</v>
      </c>
      <c r="H1522" s="64">
        <v>9545.4500000000007</v>
      </c>
      <c r="I1522" s="64">
        <f>ventas_b_mes684[[#This Row],[IMPORTE NETO]]*0.21</f>
        <v>2004.5445</v>
      </c>
      <c r="J1522" s="64"/>
      <c r="K1522" s="64"/>
      <c r="L1522" s="64">
        <f>SUM(ventas_b_mes684[[#This Row],[IMPORTE NETO]:[EXENTO]])</f>
        <v>11549.994500000001</v>
      </c>
      <c r="M1522" s="59"/>
    </row>
    <row r="1523" spans="2:13">
      <c r="B1523" s="40" t="s">
        <v>2314</v>
      </c>
      <c r="C1523" s="41">
        <v>6</v>
      </c>
      <c r="D1523" s="42">
        <v>10</v>
      </c>
      <c r="E1523" s="43">
        <v>54555</v>
      </c>
      <c r="F1523" s="44">
        <v>28860015</v>
      </c>
      <c r="G1523" s="1" t="str">
        <f>IFERROR(IF(ventas_b_mes684[[#This Row],[CUIT]]="","-",VLOOKUP(ventas_b_mes684[[#This Row],[CUIT]],Lista_CUIT[#All],2,0)),"CUIT NO CARGADO")</f>
        <v>CUIT NO CARGADO</v>
      </c>
      <c r="H1523" s="64">
        <v>8264.4599999999991</v>
      </c>
      <c r="I1523" s="64">
        <f>ventas_b_mes684[[#This Row],[IMPORTE NETO]]*0.21</f>
        <v>1735.5365999999997</v>
      </c>
      <c r="J1523" s="64"/>
      <c r="K1523" s="64"/>
      <c r="L1523" s="64">
        <f>SUM(ventas_b_mes684[[#This Row],[IMPORTE NETO]:[EXENTO]])</f>
        <v>9999.9965999999986</v>
      </c>
      <c r="M1523" s="59"/>
    </row>
    <row r="1524" spans="2:13">
      <c r="B1524" s="40" t="s">
        <v>2314</v>
      </c>
      <c r="C1524" s="41">
        <v>6</v>
      </c>
      <c r="D1524" s="42">
        <v>15</v>
      </c>
      <c r="E1524" s="43">
        <v>13357</v>
      </c>
      <c r="F1524" s="44">
        <v>35183523</v>
      </c>
      <c r="G1524" s="1" t="str">
        <f>IFERROR(IF(ventas_b_mes684[[#This Row],[CUIT]]="","-",VLOOKUP(ventas_b_mes684[[#This Row],[CUIT]],Lista_CUIT[#All],2,0)),"CUIT NO CARGADO")</f>
        <v>CUIT NO CARGADO</v>
      </c>
      <c r="H1524" s="64">
        <v>21818.18</v>
      </c>
      <c r="I1524" s="64">
        <f>ventas_b_mes684[[#This Row],[IMPORTE NETO]]*0.21</f>
        <v>4581.8177999999998</v>
      </c>
      <c r="J1524" s="64"/>
      <c r="K1524" s="64"/>
      <c r="L1524" s="64">
        <f>SUM(ventas_b_mes684[[#This Row],[IMPORTE NETO]:[EXENTO]])</f>
        <v>26399.997800000001</v>
      </c>
      <c r="M1524" s="59"/>
    </row>
    <row r="1525" spans="2:13">
      <c r="B1525" s="40" t="s">
        <v>2314</v>
      </c>
      <c r="C1525" s="41">
        <v>6</v>
      </c>
      <c r="D1525" s="42">
        <v>15</v>
      </c>
      <c r="E1525" s="43">
        <v>13359</v>
      </c>
      <c r="F1525" s="44">
        <v>34890129</v>
      </c>
      <c r="G1525" s="1" t="str">
        <f>IFERROR(IF(ventas_b_mes684[[#This Row],[CUIT]]="","-",VLOOKUP(ventas_b_mes684[[#This Row],[CUIT]],Lista_CUIT[#All],2,0)),"CUIT NO CARGADO")</f>
        <v>CUIT NO CARGADO</v>
      </c>
      <c r="H1525" s="64">
        <v>58727.27</v>
      </c>
      <c r="I1525" s="64">
        <f>ventas_b_mes684[[#This Row],[IMPORTE NETO]]*0.21</f>
        <v>12332.726699999999</v>
      </c>
      <c r="J1525" s="64"/>
      <c r="K1525" s="64"/>
      <c r="L1525" s="64">
        <f>SUM(ventas_b_mes684[[#This Row],[IMPORTE NETO]:[EXENTO]])</f>
        <v>71059.996699999989</v>
      </c>
      <c r="M1525" s="59"/>
    </row>
    <row r="1526" spans="2:13">
      <c r="B1526" s="40" t="s">
        <v>2314</v>
      </c>
      <c r="C1526" s="41">
        <v>6</v>
      </c>
      <c r="D1526" s="42">
        <v>10</v>
      </c>
      <c r="E1526" s="43">
        <v>54561</v>
      </c>
      <c r="F1526" s="44">
        <v>30871326</v>
      </c>
      <c r="G1526" s="1" t="str">
        <f>IFERROR(IF(ventas_b_mes684[[#This Row],[CUIT]]="","-",VLOOKUP(ventas_b_mes684[[#This Row],[CUIT]],Lista_CUIT[#All],2,0)),"CUIT NO CARGADO")</f>
        <v>CUIT NO CARGADO</v>
      </c>
      <c r="H1526" s="64">
        <v>20661.16</v>
      </c>
      <c r="I1526" s="64">
        <f>ventas_b_mes684[[#This Row],[IMPORTE NETO]]*0.21</f>
        <v>4338.8436000000002</v>
      </c>
      <c r="J1526" s="64"/>
      <c r="K1526" s="64"/>
      <c r="L1526" s="64">
        <f>SUM(ventas_b_mes684[[#This Row],[IMPORTE NETO]:[EXENTO]])</f>
        <v>25000.0036</v>
      </c>
      <c r="M1526" s="59"/>
    </row>
    <row r="1527" spans="2:13">
      <c r="B1527" s="40" t="s">
        <v>2314</v>
      </c>
      <c r="C1527" s="41">
        <v>6</v>
      </c>
      <c r="D1527" s="42">
        <v>11</v>
      </c>
      <c r="E1527" s="43">
        <v>38227</v>
      </c>
      <c r="F1527" s="44">
        <v>4202762</v>
      </c>
      <c r="G1527" s="1" t="str">
        <f>IFERROR(IF(ventas_b_mes684[[#This Row],[CUIT]]="","-",VLOOKUP(ventas_b_mes684[[#This Row],[CUIT]],Lista_CUIT[#All],2,0)),"CUIT NO CARGADO")</f>
        <v>CUIT NO CARGADO</v>
      </c>
      <c r="H1527" s="64">
        <v>23801.65</v>
      </c>
      <c r="I1527" s="64">
        <f>ventas_b_mes684[[#This Row],[IMPORTE NETO]]*0.21</f>
        <v>4998.3465000000006</v>
      </c>
      <c r="J1527" s="64"/>
      <c r="K1527" s="64"/>
      <c r="L1527" s="64">
        <f>SUM(ventas_b_mes684[[#This Row],[IMPORTE NETO]:[EXENTO]])</f>
        <v>28799.996500000001</v>
      </c>
      <c r="M1527" s="59"/>
    </row>
    <row r="1528" spans="2:13">
      <c r="B1528" s="40" t="s">
        <v>2314</v>
      </c>
      <c r="C1528" s="41">
        <v>6</v>
      </c>
      <c r="D1528" s="42">
        <v>12</v>
      </c>
      <c r="E1528" s="43">
        <v>29748</v>
      </c>
      <c r="F1528" s="44">
        <v>43043381</v>
      </c>
      <c r="G1528" s="1" t="str">
        <f>IFERROR(IF(ventas_b_mes684[[#This Row],[CUIT]]="","-",VLOOKUP(ventas_b_mes684[[#This Row],[CUIT]],Lista_CUIT[#All],2,0)),"CUIT NO CARGADO")</f>
        <v>CUIT NO CARGADO</v>
      </c>
      <c r="H1528" s="64">
        <v>25429.75</v>
      </c>
      <c r="I1528" s="64">
        <f>ventas_b_mes684[[#This Row],[IMPORTE NETO]]*0.21</f>
        <v>5340.2474999999995</v>
      </c>
      <c r="J1528" s="64"/>
      <c r="K1528" s="64"/>
      <c r="L1528" s="64">
        <f>SUM(ventas_b_mes684[[#This Row],[IMPORTE NETO]:[EXENTO]])</f>
        <v>30769.997499999998</v>
      </c>
      <c r="M1528" s="59"/>
    </row>
    <row r="1529" spans="2:13">
      <c r="B1529" s="40" t="s">
        <v>2314</v>
      </c>
      <c r="C1529" s="41">
        <v>6</v>
      </c>
      <c r="D1529" s="42">
        <v>10</v>
      </c>
      <c r="E1529" s="43">
        <v>54544</v>
      </c>
      <c r="F1529" s="44">
        <v>24814824</v>
      </c>
      <c r="G1529" s="1" t="str">
        <f>IFERROR(IF(ventas_b_mes684[[#This Row],[CUIT]]="","-",VLOOKUP(ventas_b_mes684[[#This Row],[CUIT]],Lista_CUIT[#All],2,0)),"CUIT NO CARGADO")</f>
        <v>CUIT NO CARGADO</v>
      </c>
      <c r="H1529" s="64">
        <v>20661.16</v>
      </c>
      <c r="I1529" s="64">
        <f>ventas_b_mes684[[#This Row],[IMPORTE NETO]]*0.21</f>
        <v>4338.8436000000002</v>
      </c>
      <c r="J1529" s="64"/>
      <c r="K1529" s="64"/>
      <c r="L1529" s="64">
        <f>SUM(ventas_b_mes684[[#This Row],[IMPORTE NETO]:[EXENTO]])</f>
        <v>25000.0036</v>
      </c>
      <c r="M1529" s="59"/>
    </row>
    <row r="1530" spans="2:13">
      <c r="B1530" s="40" t="s">
        <v>2314</v>
      </c>
      <c r="C1530" s="41">
        <v>6</v>
      </c>
      <c r="D1530" s="42">
        <v>12</v>
      </c>
      <c r="E1530" s="43">
        <v>29756</v>
      </c>
      <c r="F1530" s="44">
        <v>16018690</v>
      </c>
      <c r="G1530" s="1" t="str">
        <f>IFERROR(IF(ventas_b_mes684[[#This Row],[CUIT]]="","-",VLOOKUP(ventas_b_mes684[[#This Row],[CUIT]],Lista_CUIT[#All],2,0)),"CUIT NO CARGADO")</f>
        <v>CUIT NO CARGADO</v>
      </c>
      <c r="H1530" s="64">
        <v>8264.4599999999991</v>
      </c>
      <c r="I1530" s="64">
        <f>ventas_b_mes684[[#This Row],[IMPORTE NETO]]*0.21</f>
        <v>1735.5365999999997</v>
      </c>
      <c r="J1530" s="64"/>
      <c r="K1530" s="64"/>
      <c r="L1530" s="64">
        <f>SUM(ventas_b_mes684[[#This Row],[IMPORTE NETO]:[EXENTO]])</f>
        <v>9999.9965999999986</v>
      </c>
      <c r="M1530" s="59"/>
    </row>
    <row r="1531" spans="2:13">
      <c r="B1531" s="40" t="s">
        <v>2314</v>
      </c>
      <c r="C1531" s="41">
        <v>6</v>
      </c>
      <c r="D1531" s="42">
        <v>10</v>
      </c>
      <c r="E1531" s="43">
        <v>54556</v>
      </c>
      <c r="F1531" s="44">
        <v>28231546</v>
      </c>
      <c r="G1531" s="1" t="str">
        <f>IFERROR(IF(ventas_b_mes684[[#This Row],[CUIT]]="","-",VLOOKUP(ventas_b_mes684[[#This Row],[CUIT]],Lista_CUIT[#All],2,0)),"CUIT NO CARGADO")</f>
        <v>CUIT NO CARGADO</v>
      </c>
      <c r="H1531" s="64">
        <v>7438.02</v>
      </c>
      <c r="I1531" s="64">
        <f>ventas_b_mes684[[#This Row],[IMPORTE NETO]]*0.21</f>
        <v>1561.9842000000001</v>
      </c>
      <c r="J1531" s="64"/>
      <c r="K1531" s="64"/>
      <c r="L1531" s="64">
        <f>SUM(ventas_b_mes684[[#This Row],[IMPORTE NETO]:[EXENTO]])</f>
        <v>9000.0042000000012</v>
      </c>
      <c r="M1531" s="59"/>
    </row>
    <row r="1532" spans="2:13">
      <c r="B1532" s="40" t="s">
        <v>2314</v>
      </c>
      <c r="C1532" s="41">
        <v>6</v>
      </c>
      <c r="D1532" s="42">
        <v>12</v>
      </c>
      <c r="E1532" s="43">
        <v>29751</v>
      </c>
      <c r="F1532" s="44">
        <v>93958330</v>
      </c>
      <c r="G1532" s="1" t="str">
        <f>IFERROR(IF(ventas_b_mes684[[#This Row],[CUIT]]="","-",VLOOKUP(ventas_b_mes684[[#This Row],[CUIT]],Lista_CUIT[#All],2,0)),"CUIT NO CARGADO")</f>
        <v>CUIT NO CARGADO</v>
      </c>
      <c r="H1532" s="64">
        <v>47057.85</v>
      </c>
      <c r="I1532" s="64">
        <f>ventas_b_mes684[[#This Row],[IMPORTE NETO]]*0.21</f>
        <v>9882.1484999999993</v>
      </c>
      <c r="J1532" s="64"/>
      <c r="K1532" s="64"/>
      <c r="L1532" s="64">
        <f>SUM(ventas_b_mes684[[#This Row],[IMPORTE NETO]:[EXENTO]])</f>
        <v>56939.998500000002</v>
      </c>
      <c r="M1532" s="59"/>
    </row>
    <row r="1533" spans="2:13">
      <c r="B1533" s="40" t="s">
        <v>2315</v>
      </c>
      <c r="C1533" s="41">
        <v>6</v>
      </c>
      <c r="D1533" s="42">
        <v>13</v>
      </c>
      <c r="E1533" s="43">
        <v>32538</v>
      </c>
      <c r="F1533" s="44">
        <v>18106230</v>
      </c>
      <c r="G1533" s="1" t="str">
        <f>IFERROR(IF(ventas_b_mes684[[#This Row],[CUIT]]="","-",VLOOKUP(ventas_b_mes684[[#This Row],[CUIT]],Lista_CUIT[#All],2,0)),"CUIT NO CARGADO")</f>
        <v>PEREYRO CLAUDIA ALEJANDRA</v>
      </c>
      <c r="H1533" s="64">
        <v>11157.02</v>
      </c>
      <c r="I1533" s="64">
        <f>ventas_b_mes684[[#This Row],[IMPORTE NETO]]*0.21</f>
        <v>2342.9742000000001</v>
      </c>
      <c r="J1533" s="64"/>
      <c r="K1533" s="64"/>
      <c r="L1533" s="64">
        <f>SUM(ventas_b_mes684[[#This Row],[IMPORTE NETO]:[EXENTO]])</f>
        <v>13499.994200000001</v>
      </c>
      <c r="M1533" s="59"/>
    </row>
    <row r="1534" spans="2:13">
      <c r="B1534" s="40" t="s">
        <v>2315</v>
      </c>
      <c r="C1534" s="41">
        <v>6</v>
      </c>
      <c r="D1534" s="42">
        <v>11</v>
      </c>
      <c r="E1534" s="43">
        <v>38242</v>
      </c>
      <c r="F1534" s="44">
        <v>6436196</v>
      </c>
      <c r="G1534" s="1" t="str">
        <f>IFERROR(IF(ventas_b_mes684[[#This Row],[CUIT]]="","-",VLOOKUP(ventas_b_mes684[[#This Row],[CUIT]],Lista_CUIT[#All],2,0)),"CUIT NO CARGADO")</f>
        <v>CUIT NO CARGADO</v>
      </c>
      <c r="H1534" s="64">
        <v>10909.09</v>
      </c>
      <c r="I1534" s="64">
        <f>ventas_b_mes684[[#This Row],[IMPORTE NETO]]*0.21</f>
        <v>2290.9088999999999</v>
      </c>
      <c r="J1534" s="64"/>
      <c r="K1534" s="64"/>
      <c r="L1534" s="64">
        <f>SUM(ventas_b_mes684[[#This Row],[IMPORTE NETO]:[EXENTO]])</f>
        <v>13199.998900000001</v>
      </c>
      <c r="M1534" s="59"/>
    </row>
    <row r="1535" spans="2:13">
      <c r="B1535" s="40" t="s">
        <v>2315</v>
      </c>
      <c r="C1535" s="41">
        <v>6</v>
      </c>
      <c r="D1535" s="42">
        <v>10</v>
      </c>
      <c r="E1535" s="43">
        <v>54562</v>
      </c>
      <c r="F1535" s="44">
        <v>29857462</v>
      </c>
      <c r="G1535" s="1" t="str">
        <f>IFERROR(IF(ventas_b_mes684[[#This Row],[CUIT]]="","-",VLOOKUP(ventas_b_mes684[[#This Row],[CUIT]],Lista_CUIT[#All],2,0)),"CUIT NO CARGADO")</f>
        <v>CUIT NO CARGADO</v>
      </c>
      <c r="H1535" s="64">
        <v>12314.05</v>
      </c>
      <c r="I1535" s="64">
        <f>ventas_b_mes684[[#This Row],[IMPORTE NETO]]*0.21</f>
        <v>2585.9504999999999</v>
      </c>
      <c r="J1535" s="64"/>
      <c r="K1535" s="64"/>
      <c r="L1535" s="64">
        <f>SUM(ventas_b_mes684[[#This Row],[IMPORTE NETO]:[EXENTO]])</f>
        <v>14900.000499999998</v>
      </c>
      <c r="M1535" s="59"/>
    </row>
    <row r="1536" spans="2:13">
      <c r="B1536" s="40" t="s">
        <v>2315</v>
      </c>
      <c r="C1536" s="41">
        <v>6</v>
      </c>
      <c r="D1536" s="42">
        <v>13</v>
      </c>
      <c r="E1536" s="43">
        <v>32543</v>
      </c>
      <c r="F1536" s="44">
        <v>21555444</v>
      </c>
      <c r="G1536" s="1" t="str">
        <f>IFERROR(IF(ventas_b_mes684[[#This Row],[CUIT]]="","-",VLOOKUP(ventas_b_mes684[[#This Row],[CUIT]],Lista_CUIT[#All],2,0)),"CUIT NO CARGADO")</f>
        <v>CUIT NO CARGADO</v>
      </c>
      <c r="H1536" s="64">
        <v>65049.59</v>
      </c>
      <c r="I1536" s="64">
        <f>ventas_b_mes684[[#This Row],[IMPORTE NETO]]*0.21</f>
        <v>13660.4139</v>
      </c>
      <c r="J1536" s="64"/>
      <c r="K1536" s="64"/>
      <c r="L1536" s="64">
        <f>SUM(ventas_b_mes684[[#This Row],[IMPORTE NETO]:[EXENTO]])</f>
        <v>78710.003899999996</v>
      </c>
      <c r="M1536" s="59"/>
    </row>
    <row r="1537" spans="2:13">
      <c r="B1537" s="40" t="s">
        <v>2315</v>
      </c>
      <c r="C1537" s="41">
        <v>6</v>
      </c>
      <c r="D1537" s="42">
        <v>10</v>
      </c>
      <c r="E1537" s="43">
        <v>54572</v>
      </c>
      <c r="F1537" s="44">
        <v>93671317</v>
      </c>
      <c r="G1537" s="1" t="str">
        <f>IFERROR(IF(ventas_b_mes684[[#This Row],[CUIT]]="","-",VLOOKUP(ventas_b_mes684[[#This Row],[CUIT]],Lista_CUIT[#All],2,0)),"CUIT NO CARGADO")</f>
        <v>CUIT NO CARGADO</v>
      </c>
      <c r="H1537" s="64">
        <v>25438.02</v>
      </c>
      <c r="I1537" s="64">
        <f>ventas_b_mes684[[#This Row],[IMPORTE NETO]]*0.21</f>
        <v>5341.9841999999999</v>
      </c>
      <c r="J1537" s="64"/>
      <c r="K1537" s="64"/>
      <c r="L1537" s="64">
        <f>SUM(ventas_b_mes684[[#This Row],[IMPORTE NETO]:[EXENTO]])</f>
        <v>30780.004199999999</v>
      </c>
      <c r="M1537" s="59"/>
    </row>
    <row r="1538" spans="2:13">
      <c r="B1538" s="40" t="s">
        <v>2315</v>
      </c>
      <c r="C1538" s="41">
        <v>6</v>
      </c>
      <c r="D1538" s="42">
        <v>12</v>
      </c>
      <c r="E1538" s="43">
        <v>29783</v>
      </c>
      <c r="F1538" s="44">
        <v>11044026</v>
      </c>
      <c r="G1538" s="1" t="str">
        <f>IFERROR(IF(ventas_b_mes684[[#This Row],[CUIT]]="","-",VLOOKUP(ventas_b_mes684[[#This Row],[CUIT]],Lista_CUIT[#All],2,0)),"CUIT NO CARGADO")</f>
        <v>CUIT NO CARGADO</v>
      </c>
      <c r="H1538" s="64">
        <v>21735.54</v>
      </c>
      <c r="I1538" s="64">
        <f>ventas_b_mes684[[#This Row],[IMPORTE NETO]]*0.21</f>
        <v>4564.4633999999996</v>
      </c>
      <c r="J1538" s="64"/>
      <c r="K1538" s="64"/>
      <c r="L1538" s="64">
        <f>SUM(ventas_b_mes684[[#This Row],[IMPORTE NETO]:[EXENTO]])</f>
        <v>26300.003400000001</v>
      </c>
      <c r="M1538" s="59"/>
    </row>
    <row r="1539" spans="2:13">
      <c r="B1539" s="40" t="s">
        <v>2315</v>
      </c>
      <c r="C1539" s="41">
        <v>6</v>
      </c>
      <c r="D1539" s="42">
        <v>10</v>
      </c>
      <c r="E1539" s="43">
        <v>54577</v>
      </c>
      <c r="F1539" s="44">
        <v>26122221</v>
      </c>
      <c r="G1539" s="1" t="str">
        <f>IFERROR(IF(ventas_b_mes684[[#This Row],[CUIT]]="","-",VLOOKUP(ventas_b_mes684[[#This Row],[CUIT]],Lista_CUIT[#All],2,0)),"CUIT NO CARGADO")</f>
        <v>CUIT NO CARGADO</v>
      </c>
      <c r="H1539" s="64">
        <v>61140.5</v>
      </c>
      <c r="I1539" s="64">
        <f>ventas_b_mes684[[#This Row],[IMPORTE NETO]]*0.21</f>
        <v>12839.504999999999</v>
      </c>
      <c r="J1539" s="64"/>
      <c r="K1539" s="64"/>
      <c r="L1539" s="64">
        <f>SUM(ventas_b_mes684[[#This Row],[IMPORTE NETO]:[EXENTO]])</f>
        <v>73980.005000000005</v>
      </c>
      <c r="M1539" s="59"/>
    </row>
    <row r="1540" spans="2:13">
      <c r="B1540" s="40" t="s">
        <v>2315</v>
      </c>
      <c r="C1540" s="41">
        <v>6</v>
      </c>
      <c r="D1540" s="42">
        <v>10</v>
      </c>
      <c r="E1540" s="43">
        <v>54568</v>
      </c>
      <c r="F1540" s="44">
        <v>27027913</v>
      </c>
      <c r="G1540" s="1" t="str">
        <f>IFERROR(IF(ventas_b_mes684[[#This Row],[CUIT]]="","-",VLOOKUP(ventas_b_mes684[[#This Row],[CUIT]],Lista_CUIT[#All],2,0)),"CUIT NO CARGADO")</f>
        <v>CUIT NO CARGADO</v>
      </c>
      <c r="H1540" s="64">
        <v>17925.62</v>
      </c>
      <c r="I1540" s="64">
        <f>ventas_b_mes684[[#This Row],[IMPORTE NETO]]*0.21</f>
        <v>3764.3801999999996</v>
      </c>
      <c r="J1540" s="64"/>
      <c r="K1540" s="64"/>
      <c r="L1540" s="64">
        <f>SUM(ventas_b_mes684[[#This Row],[IMPORTE NETO]:[EXENTO]])</f>
        <v>21690.000199999999</v>
      </c>
      <c r="M1540" s="59"/>
    </row>
    <row r="1541" spans="2:13">
      <c r="B1541" s="40" t="s">
        <v>2315</v>
      </c>
      <c r="C1541" s="41">
        <v>6</v>
      </c>
      <c r="D1541" s="42">
        <v>13</v>
      </c>
      <c r="E1541" s="43">
        <v>32544</v>
      </c>
      <c r="F1541" s="44">
        <v>94006532</v>
      </c>
      <c r="G1541" s="1" t="str">
        <f>IFERROR(IF(ventas_b_mes684[[#This Row],[CUIT]]="","-",VLOOKUP(ventas_b_mes684[[#This Row],[CUIT]],Lista_CUIT[#All],2,0)),"CUIT NO CARGADO")</f>
        <v>PEREZ PECHE MARIBEL LILI</v>
      </c>
      <c r="H1541" s="64">
        <v>25991.74</v>
      </c>
      <c r="I1541" s="64">
        <f>ventas_b_mes684[[#This Row],[IMPORTE NETO]]*0.21</f>
        <v>5458.2654000000002</v>
      </c>
      <c r="J1541" s="64"/>
      <c r="K1541" s="64"/>
      <c r="L1541" s="64">
        <f>SUM(ventas_b_mes684[[#This Row],[IMPORTE NETO]:[EXENTO]])</f>
        <v>31450.005400000002</v>
      </c>
      <c r="M1541" s="59"/>
    </row>
    <row r="1542" spans="2:13">
      <c r="B1542" s="40" t="s">
        <v>2315</v>
      </c>
      <c r="C1542" s="41">
        <v>6</v>
      </c>
      <c r="D1542" s="42">
        <v>12</v>
      </c>
      <c r="E1542" s="43">
        <v>29769</v>
      </c>
      <c r="F1542" s="44">
        <v>21842628</v>
      </c>
      <c r="G1542" s="1" t="str">
        <f>IFERROR(IF(ventas_b_mes684[[#This Row],[CUIT]]="","-",VLOOKUP(ventas_b_mes684[[#This Row],[CUIT]],Lista_CUIT[#All],2,0)),"CUIT NO CARGADO")</f>
        <v>CUIT NO CARGADO</v>
      </c>
      <c r="H1542" s="64">
        <v>20661.16</v>
      </c>
      <c r="I1542" s="64">
        <f>ventas_b_mes684[[#This Row],[IMPORTE NETO]]*0.21</f>
        <v>4338.8436000000002</v>
      </c>
      <c r="J1542" s="64"/>
      <c r="K1542" s="64"/>
      <c r="L1542" s="64">
        <f>SUM(ventas_b_mes684[[#This Row],[IMPORTE NETO]:[EXENTO]])</f>
        <v>25000.0036</v>
      </c>
      <c r="M1542" s="59"/>
    </row>
    <row r="1543" spans="2:13">
      <c r="B1543" s="40" t="s">
        <v>2315</v>
      </c>
      <c r="C1543" s="41">
        <v>6</v>
      </c>
      <c r="D1543" s="42">
        <v>13</v>
      </c>
      <c r="E1543" s="43">
        <v>32539</v>
      </c>
      <c r="F1543" s="44">
        <v>22048808</v>
      </c>
      <c r="G1543" s="1" t="str">
        <f>IFERROR(IF(ventas_b_mes684[[#This Row],[CUIT]]="","-",VLOOKUP(ventas_b_mes684[[#This Row],[CUIT]],Lista_CUIT[#All],2,0)),"CUIT NO CARGADO")</f>
        <v>CUIT NO CARGADO</v>
      </c>
      <c r="H1543" s="64">
        <v>9917.36</v>
      </c>
      <c r="I1543" s="64">
        <f>ventas_b_mes684[[#This Row],[IMPORTE NETO]]*0.21</f>
        <v>2082.6455999999998</v>
      </c>
      <c r="J1543" s="64"/>
      <c r="K1543" s="64"/>
      <c r="L1543" s="64">
        <f>SUM(ventas_b_mes684[[#This Row],[IMPORTE NETO]:[EXENTO]])</f>
        <v>12000.0056</v>
      </c>
      <c r="M1543" s="59"/>
    </row>
    <row r="1544" spans="2:13">
      <c r="B1544" s="40" t="s">
        <v>2315</v>
      </c>
      <c r="C1544" s="41">
        <v>6</v>
      </c>
      <c r="D1544" s="42">
        <v>13</v>
      </c>
      <c r="E1544" s="43">
        <v>32540</v>
      </c>
      <c r="F1544" s="44">
        <v>14369013</v>
      </c>
      <c r="G1544" s="1" t="str">
        <f>IFERROR(IF(ventas_b_mes684[[#This Row],[CUIT]]="","-",VLOOKUP(ventas_b_mes684[[#This Row],[CUIT]],Lista_CUIT[#All],2,0)),"CUIT NO CARGADO")</f>
        <v>CUIT NO CARGADO</v>
      </c>
      <c r="H1544" s="64">
        <v>19041.32</v>
      </c>
      <c r="I1544" s="64">
        <f>ventas_b_mes684[[#This Row],[IMPORTE NETO]]*0.21</f>
        <v>3998.6771999999996</v>
      </c>
      <c r="J1544" s="64"/>
      <c r="K1544" s="64"/>
      <c r="L1544" s="64">
        <f>SUM(ventas_b_mes684[[#This Row],[IMPORTE NETO]:[EXENTO]])</f>
        <v>23039.997199999998</v>
      </c>
      <c r="M1544" s="59"/>
    </row>
    <row r="1545" spans="2:13">
      <c r="B1545" s="40" t="s">
        <v>2315</v>
      </c>
      <c r="C1545" s="41">
        <v>6</v>
      </c>
      <c r="D1545" s="42">
        <v>10</v>
      </c>
      <c r="E1545" s="43">
        <v>54573</v>
      </c>
      <c r="F1545" s="44">
        <v>33352266</v>
      </c>
      <c r="G1545" s="1" t="str">
        <f>IFERROR(IF(ventas_b_mes684[[#This Row],[CUIT]]="","-",VLOOKUP(ventas_b_mes684[[#This Row],[CUIT]],Lista_CUIT[#All],2,0)),"CUIT NO CARGADO")</f>
        <v>CUIT NO CARGADO</v>
      </c>
      <c r="H1545" s="64">
        <v>63892.56</v>
      </c>
      <c r="I1545" s="64">
        <f>ventas_b_mes684[[#This Row],[IMPORTE NETO]]*0.21</f>
        <v>13417.437599999999</v>
      </c>
      <c r="J1545" s="64"/>
      <c r="K1545" s="64"/>
      <c r="L1545" s="64">
        <f>SUM(ventas_b_mes684[[#This Row],[IMPORTE NETO]:[EXENTO]])</f>
        <v>77309.997600000002</v>
      </c>
      <c r="M1545" s="59"/>
    </row>
    <row r="1546" spans="2:13">
      <c r="B1546" s="40" t="s">
        <v>2315</v>
      </c>
      <c r="C1546" s="41">
        <v>6</v>
      </c>
      <c r="D1546" s="42">
        <v>12</v>
      </c>
      <c r="E1546" s="43">
        <v>29767</v>
      </c>
      <c r="F1546" s="44">
        <v>16951986</v>
      </c>
      <c r="G1546" s="1" t="str">
        <f>IFERROR(IF(ventas_b_mes684[[#This Row],[CUIT]]="","-",VLOOKUP(ventas_b_mes684[[#This Row],[CUIT]],Lista_CUIT[#All],2,0)),"CUIT NO CARGADO")</f>
        <v>CUIT NO CARGADO</v>
      </c>
      <c r="H1546" s="64">
        <v>25851.24</v>
      </c>
      <c r="I1546" s="64">
        <f>ventas_b_mes684[[#This Row],[IMPORTE NETO]]*0.21</f>
        <v>5428.7604000000001</v>
      </c>
      <c r="J1546" s="64"/>
      <c r="K1546" s="64"/>
      <c r="L1546" s="64">
        <f>SUM(ventas_b_mes684[[#This Row],[IMPORTE NETO]:[EXENTO]])</f>
        <v>31280.000400000001</v>
      </c>
      <c r="M1546" s="59"/>
    </row>
    <row r="1547" spans="2:13">
      <c r="B1547" s="40" t="s">
        <v>2315</v>
      </c>
      <c r="C1547" s="41">
        <v>6</v>
      </c>
      <c r="D1547" s="42">
        <v>11</v>
      </c>
      <c r="E1547" s="43">
        <v>38236</v>
      </c>
      <c r="F1547" s="44">
        <v>18641131</v>
      </c>
      <c r="G1547" s="1" t="str">
        <f>IFERROR(IF(ventas_b_mes684[[#This Row],[CUIT]]="","-",VLOOKUP(ventas_b_mes684[[#This Row],[CUIT]],Lista_CUIT[#All],2,0)),"CUIT NO CARGADO")</f>
        <v>CUIT NO CARGADO</v>
      </c>
      <c r="H1547" s="64">
        <v>16198.35</v>
      </c>
      <c r="I1547" s="64">
        <f>ventas_b_mes684[[#This Row],[IMPORTE NETO]]*0.21</f>
        <v>3401.6534999999999</v>
      </c>
      <c r="J1547" s="64"/>
      <c r="K1547" s="64"/>
      <c r="L1547" s="64">
        <f>SUM(ventas_b_mes684[[#This Row],[IMPORTE NETO]:[EXENTO]])</f>
        <v>19600.003499999999</v>
      </c>
      <c r="M1547" s="59"/>
    </row>
    <row r="1548" spans="2:13">
      <c r="B1548" s="40" t="s">
        <v>2315</v>
      </c>
      <c r="C1548" s="41">
        <v>6</v>
      </c>
      <c r="D1548" s="42">
        <v>11</v>
      </c>
      <c r="E1548" s="43">
        <v>38240</v>
      </c>
      <c r="F1548" s="44">
        <v>94949663</v>
      </c>
      <c r="G1548" s="1" t="str">
        <f>IFERROR(IF(ventas_b_mes684[[#This Row],[CUIT]]="","-",VLOOKUP(ventas_b_mes684[[#This Row],[CUIT]],Lista_CUIT[#All],2,0)),"CUIT NO CARGADO")</f>
        <v>CUIT NO CARGADO</v>
      </c>
      <c r="H1548" s="64">
        <v>21157.02</v>
      </c>
      <c r="I1548" s="64">
        <f>ventas_b_mes684[[#This Row],[IMPORTE NETO]]*0.21</f>
        <v>4442.9741999999997</v>
      </c>
      <c r="J1548" s="64"/>
      <c r="K1548" s="64"/>
      <c r="L1548" s="64">
        <f>SUM(ventas_b_mes684[[#This Row],[IMPORTE NETO]:[EXENTO]])</f>
        <v>25599.994200000001</v>
      </c>
      <c r="M1548" s="59"/>
    </row>
    <row r="1549" spans="2:13">
      <c r="B1549" s="40" t="s">
        <v>2315</v>
      </c>
      <c r="C1549" s="41">
        <v>6</v>
      </c>
      <c r="D1549" s="42">
        <v>15</v>
      </c>
      <c r="E1549" s="43">
        <v>13372</v>
      </c>
      <c r="F1549" s="44">
        <v>32323705</v>
      </c>
      <c r="G1549" s="1" t="str">
        <f>IFERROR(IF(ventas_b_mes684[[#This Row],[CUIT]]="","-",VLOOKUP(ventas_b_mes684[[#This Row],[CUIT]],Lista_CUIT[#All],2,0)),"CUIT NO CARGADO")</f>
        <v>CUIT NO CARGADO</v>
      </c>
      <c r="H1549" s="64">
        <v>11768.6</v>
      </c>
      <c r="I1549" s="64">
        <f>ventas_b_mes684[[#This Row],[IMPORTE NETO]]*0.21</f>
        <v>2471.4059999999999</v>
      </c>
      <c r="J1549" s="64"/>
      <c r="K1549" s="64"/>
      <c r="L1549" s="64">
        <f>SUM(ventas_b_mes684[[#This Row],[IMPORTE NETO]:[EXENTO]])</f>
        <v>14240.006000000001</v>
      </c>
      <c r="M1549" s="59"/>
    </row>
    <row r="1550" spans="2:13">
      <c r="B1550" s="40" t="s">
        <v>2315</v>
      </c>
      <c r="C1550" s="41">
        <v>6</v>
      </c>
      <c r="D1550" s="42">
        <v>15</v>
      </c>
      <c r="E1550" s="43">
        <v>13370</v>
      </c>
      <c r="F1550" s="44">
        <v>38694684</v>
      </c>
      <c r="G1550" s="1" t="str">
        <f>IFERROR(IF(ventas_b_mes684[[#This Row],[CUIT]]="","-",VLOOKUP(ventas_b_mes684[[#This Row],[CUIT]],Lista_CUIT[#All],2,0)),"CUIT NO CARGADO")</f>
        <v>CUIT NO CARGADO</v>
      </c>
      <c r="H1550" s="64">
        <v>11442.15</v>
      </c>
      <c r="I1550" s="64">
        <f>ventas_b_mes684[[#This Row],[IMPORTE NETO]]*0.21</f>
        <v>2402.8514999999998</v>
      </c>
      <c r="J1550" s="64"/>
      <c r="K1550" s="64"/>
      <c r="L1550" s="64">
        <f>SUM(ventas_b_mes684[[#This Row],[IMPORTE NETO]:[EXENTO]])</f>
        <v>13845.001499999998</v>
      </c>
      <c r="M1550" s="59"/>
    </row>
    <row r="1551" spans="2:13">
      <c r="B1551" s="40" t="s">
        <v>2315</v>
      </c>
      <c r="C1551" s="41">
        <v>6</v>
      </c>
      <c r="D1551" s="42">
        <v>13</v>
      </c>
      <c r="E1551" s="43">
        <v>32542</v>
      </c>
      <c r="F1551" s="44">
        <v>16390316</v>
      </c>
      <c r="G1551" s="1" t="str">
        <f>IFERROR(IF(ventas_b_mes684[[#This Row],[CUIT]]="","-",VLOOKUP(ventas_b_mes684[[#This Row],[CUIT]],Lista_CUIT[#All],2,0)),"CUIT NO CARGADO")</f>
        <v>CUIT NO CARGADO</v>
      </c>
      <c r="H1551" s="64">
        <v>53904.959999999999</v>
      </c>
      <c r="I1551" s="64">
        <f>ventas_b_mes684[[#This Row],[IMPORTE NETO]]*0.21</f>
        <v>11320.041599999999</v>
      </c>
      <c r="J1551" s="64"/>
      <c r="K1551" s="64"/>
      <c r="L1551" s="64">
        <f>SUM(ventas_b_mes684[[#This Row],[IMPORTE NETO]:[EXENTO]])</f>
        <v>65225.001599999996</v>
      </c>
      <c r="M1551" s="59"/>
    </row>
    <row r="1552" spans="2:13">
      <c r="B1552" s="40" t="s">
        <v>2315</v>
      </c>
      <c r="C1552" s="41">
        <v>6</v>
      </c>
      <c r="D1552" s="42">
        <v>12</v>
      </c>
      <c r="E1552" s="43">
        <v>29772</v>
      </c>
      <c r="F1552" s="44">
        <v>28452687</v>
      </c>
      <c r="G1552" s="1" t="str">
        <f>IFERROR(IF(ventas_b_mes684[[#This Row],[CUIT]]="","-",VLOOKUP(ventas_b_mes684[[#This Row],[CUIT]],Lista_CUIT[#All],2,0)),"CUIT NO CARGADO")</f>
        <v>CUIT NO CARGADO</v>
      </c>
      <c r="H1552" s="64">
        <v>44314.05</v>
      </c>
      <c r="I1552" s="64">
        <f>ventas_b_mes684[[#This Row],[IMPORTE NETO]]*0.21</f>
        <v>9305.9505000000008</v>
      </c>
      <c r="J1552" s="64"/>
      <c r="K1552" s="64"/>
      <c r="L1552" s="64">
        <f>SUM(ventas_b_mes684[[#This Row],[IMPORTE NETO]:[EXENTO]])</f>
        <v>53620.000500000002</v>
      </c>
      <c r="M1552" s="59"/>
    </row>
    <row r="1553" spans="2:13">
      <c r="B1553" s="40" t="s">
        <v>2315</v>
      </c>
      <c r="C1553" s="41">
        <v>6</v>
      </c>
      <c r="D1553" s="42">
        <v>12</v>
      </c>
      <c r="E1553" s="43">
        <v>29773</v>
      </c>
      <c r="F1553" s="44">
        <v>94971740</v>
      </c>
      <c r="G1553" s="1" t="str">
        <f>IFERROR(IF(ventas_b_mes684[[#This Row],[CUIT]]="","-",VLOOKUP(ventas_b_mes684[[#This Row],[CUIT]],Lista_CUIT[#All],2,0)),"CUIT NO CARGADO")</f>
        <v>CUIT NO CARGADO</v>
      </c>
      <c r="H1553" s="64">
        <v>20661.16</v>
      </c>
      <c r="I1553" s="64">
        <f>ventas_b_mes684[[#This Row],[IMPORTE NETO]]*0.21</f>
        <v>4338.8436000000002</v>
      </c>
      <c r="J1553" s="64"/>
      <c r="K1553" s="64"/>
      <c r="L1553" s="64">
        <f>SUM(ventas_b_mes684[[#This Row],[IMPORTE NETO]:[EXENTO]])</f>
        <v>25000.0036</v>
      </c>
      <c r="M1553" s="59"/>
    </row>
    <row r="1554" spans="2:13">
      <c r="B1554" s="40" t="s">
        <v>2315</v>
      </c>
      <c r="C1554" s="41">
        <v>6</v>
      </c>
      <c r="D1554" s="42">
        <v>15</v>
      </c>
      <c r="E1554" s="43">
        <v>13376</v>
      </c>
      <c r="F1554" s="44">
        <v>39275654</v>
      </c>
      <c r="G1554" s="1" t="str">
        <f>IFERROR(IF(ventas_b_mes684[[#This Row],[CUIT]]="","-",VLOOKUP(ventas_b_mes684[[#This Row],[CUIT]],Lista_CUIT[#All],2,0)),"CUIT NO CARGADO")</f>
        <v>CUIT NO CARGADO</v>
      </c>
      <c r="H1554" s="64">
        <v>20661.16</v>
      </c>
      <c r="I1554" s="64">
        <f>ventas_b_mes684[[#This Row],[IMPORTE NETO]]*0.21</f>
        <v>4338.8436000000002</v>
      </c>
      <c r="J1554" s="64"/>
      <c r="K1554" s="64"/>
      <c r="L1554" s="64">
        <f>SUM(ventas_b_mes684[[#This Row],[IMPORTE NETO]:[EXENTO]])</f>
        <v>25000.0036</v>
      </c>
      <c r="M1554" s="59"/>
    </row>
    <row r="1555" spans="2:13">
      <c r="B1555" s="40" t="s">
        <v>2315</v>
      </c>
      <c r="C1555" s="41">
        <v>6</v>
      </c>
      <c r="D1555" s="42">
        <v>10</v>
      </c>
      <c r="E1555" s="43">
        <v>54566</v>
      </c>
      <c r="F1555" s="44">
        <v>94284615</v>
      </c>
      <c r="G1555" s="1" t="str">
        <f>IFERROR(IF(ventas_b_mes684[[#This Row],[CUIT]]="","-",VLOOKUP(ventas_b_mes684[[#This Row],[CUIT]],Lista_CUIT[#All],2,0)),"CUIT NO CARGADO")</f>
        <v>CUIT NO CARGADO</v>
      </c>
      <c r="H1555" s="64">
        <v>40041.32</v>
      </c>
      <c r="I1555" s="64">
        <f>ventas_b_mes684[[#This Row],[IMPORTE NETO]]*0.21</f>
        <v>8408.6772000000001</v>
      </c>
      <c r="J1555" s="64"/>
      <c r="K1555" s="64"/>
      <c r="L1555" s="64">
        <f>SUM(ventas_b_mes684[[#This Row],[IMPORTE NETO]:[EXENTO]])</f>
        <v>48449.997199999998</v>
      </c>
      <c r="M1555" s="59"/>
    </row>
    <row r="1556" spans="2:13">
      <c r="B1556" s="40" t="s">
        <v>2315</v>
      </c>
      <c r="C1556" s="41">
        <v>6</v>
      </c>
      <c r="D1556" s="42">
        <v>15</v>
      </c>
      <c r="E1556" s="43">
        <v>13366</v>
      </c>
      <c r="F1556" s="44">
        <v>24001053</v>
      </c>
      <c r="G1556" s="1" t="str">
        <f>IFERROR(IF(ventas_b_mes684[[#This Row],[CUIT]]="","-",VLOOKUP(ventas_b_mes684[[#This Row],[CUIT]],Lista_CUIT[#All],2,0)),"CUIT NO CARGADO")</f>
        <v>CUIT NO CARGADO</v>
      </c>
      <c r="H1556" s="64">
        <v>6537.19</v>
      </c>
      <c r="I1556" s="64">
        <f>ventas_b_mes684[[#This Row],[IMPORTE NETO]]*0.21</f>
        <v>1372.8099</v>
      </c>
      <c r="J1556" s="64"/>
      <c r="K1556" s="64"/>
      <c r="L1556" s="64">
        <f>SUM(ventas_b_mes684[[#This Row],[IMPORTE NETO]:[EXENTO]])</f>
        <v>7909.9998999999998</v>
      </c>
      <c r="M1556" s="59"/>
    </row>
    <row r="1557" spans="2:13">
      <c r="B1557" s="40" t="s">
        <v>2315</v>
      </c>
      <c r="C1557" s="41">
        <v>6</v>
      </c>
      <c r="D1557" s="42">
        <v>12</v>
      </c>
      <c r="E1557" s="43">
        <v>29770</v>
      </c>
      <c r="F1557" s="44">
        <v>94741515</v>
      </c>
      <c r="G1557" s="1" t="str">
        <f>IFERROR(IF(ventas_b_mes684[[#This Row],[CUIT]]="","-",VLOOKUP(ventas_b_mes684[[#This Row],[CUIT]],Lista_CUIT[#All],2,0)),"CUIT NO CARGADO")</f>
        <v>CUIT NO CARGADO</v>
      </c>
      <c r="H1557" s="64">
        <v>6694.21</v>
      </c>
      <c r="I1557" s="64">
        <f>ventas_b_mes684[[#This Row],[IMPORTE NETO]]*0.21</f>
        <v>1405.7840999999999</v>
      </c>
      <c r="J1557" s="64"/>
      <c r="K1557" s="64"/>
      <c r="L1557" s="64">
        <f>SUM(ventas_b_mes684[[#This Row],[IMPORTE NETO]:[EXENTO]])</f>
        <v>8099.9940999999999</v>
      </c>
      <c r="M1557" s="59"/>
    </row>
    <row r="1558" spans="2:13">
      <c r="B1558" s="40" t="s">
        <v>2315</v>
      </c>
      <c r="C1558" s="41">
        <v>6</v>
      </c>
      <c r="D1558" s="42">
        <v>12</v>
      </c>
      <c r="E1558" s="43">
        <v>29781</v>
      </c>
      <c r="F1558" s="44">
        <v>28112929</v>
      </c>
      <c r="G1558" s="1" t="str">
        <f>IFERROR(IF(ventas_b_mes684[[#This Row],[CUIT]]="","-",VLOOKUP(ventas_b_mes684[[#This Row],[CUIT]],Lista_CUIT[#All],2,0)),"CUIT NO CARGADO")</f>
        <v>CUIT NO CARGADO</v>
      </c>
      <c r="H1558" s="64">
        <v>22760.33</v>
      </c>
      <c r="I1558" s="64">
        <f>ventas_b_mes684[[#This Row],[IMPORTE NETO]]*0.21</f>
        <v>4779.6693000000005</v>
      </c>
      <c r="J1558" s="64"/>
      <c r="K1558" s="64"/>
      <c r="L1558" s="64">
        <f>SUM(ventas_b_mes684[[#This Row],[IMPORTE NETO]:[EXENTO]])</f>
        <v>27539.999300000003</v>
      </c>
      <c r="M1558" s="59"/>
    </row>
    <row r="1559" spans="2:13">
      <c r="B1559" s="40" t="s">
        <v>2315</v>
      </c>
      <c r="C1559" s="41">
        <v>6</v>
      </c>
      <c r="D1559" s="42">
        <v>10</v>
      </c>
      <c r="E1559" s="43">
        <v>54571</v>
      </c>
      <c r="F1559" s="44">
        <v>5485</v>
      </c>
      <c r="G1559" s="1" t="str">
        <f>IFERROR(IF(ventas_b_mes684[[#This Row],[CUIT]]="","-",VLOOKUP(ventas_b_mes684[[#This Row],[CUIT]],Lista_CUIT[#All],2,0)),"CUIT NO CARGADO")</f>
        <v>CUIT NO CARGADO</v>
      </c>
      <c r="H1559" s="64">
        <v>32809.919999999998</v>
      </c>
      <c r="I1559" s="64">
        <f>ventas_b_mes684[[#This Row],[IMPORTE NETO]]*0.21</f>
        <v>6890.0831999999991</v>
      </c>
      <c r="J1559" s="64"/>
      <c r="K1559" s="64"/>
      <c r="L1559" s="64">
        <f>SUM(ventas_b_mes684[[#This Row],[IMPORTE NETO]:[EXENTO]])</f>
        <v>39700.003199999999</v>
      </c>
      <c r="M1559" s="59"/>
    </row>
    <row r="1560" spans="2:13">
      <c r="B1560" s="40" t="s">
        <v>2315</v>
      </c>
      <c r="C1560" s="41">
        <v>6</v>
      </c>
      <c r="D1560" s="42">
        <v>12</v>
      </c>
      <c r="E1560" s="43">
        <v>29776</v>
      </c>
      <c r="F1560" s="44">
        <v>35238331</v>
      </c>
      <c r="G1560" s="1" t="str">
        <f>IFERROR(IF(ventas_b_mes684[[#This Row],[CUIT]]="","-",VLOOKUP(ventas_b_mes684[[#This Row],[CUIT]],Lista_CUIT[#All],2,0)),"CUIT NO CARGADO")</f>
        <v>CUIT NO CARGADO</v>
      </c>
      <c r="H1560" s="64">
        <v>6537.19</v>
      </c>
      <c r="I1560" s="64">
        <f>ventas_b_mes684[[#This Row],[IMPORTE NETO]]*0.21</f>
        <v>1372.8099</v>
      </c>
      <c r="J1560" s="64"/>
      <c r="K1560" s="64"/>
      <c r="L1560" s="64">
        <f>SUM(ventas_b_mes684[[#This Row],[IMPORTE NETO]:[EXENTO]])</f>
        <v>7909.9998999999998</v>
      </c>
      <c r="M1560" s="59"/>
    </row>
    <row r="1561" spans="2:13">
      <c r="B1561" s="40" t="s">
        <v>2315</v>
      </c>
      <c r="C1561" s="41">
        <v>6</v>
      </c>
      <c r="D1561" s="42">
        <v>12</v>
      </c>
      <c r="E1561" s="43">
        <v>29768</v>
      </c>
      <c r="F1561" s="44">
        <v>12826745</v>
      </c>
      <c r="G1561" s="1" t="str">
        <f>IFERROR(IF(ventas_b_mes684[[#This Row],[CUIT]]="","-",VLOOKUP(ventas_b_mes684[[#This Row],[CUIT]],Lista_CUIT[#All],2,0)),"CUIT NO CARGADO")</f>
        <v>CUIT NO CARGADO</v>
      </c>
      <c r="H1561" s="64">
        <v>8264.4599999999991</v>
      </c>
      <c r="I1561" s="64">
        <f>ventas_b_mes684[[#This Row],[IMPORTE NETO]]*0.21</f>
        <v>1735.5365999999997</v>
      </c>
      <c r="J1561" s="64"/>
      <c r="K1561" s="64"/>
      <c r="L1561" s="64">
        <f>SUM(ventas_b_mes684[[#This Row],[IMPORTE NETO]:[EXENTO]])</f>
        <v>9999.9965999999986</v>
      </c>
      <c r="M1561" s="59"/>
    </row>
    <row r="1562" spans="2:13">
      <c r="B1562" s="40" t="s">
        <v>2315</v>
      </c>
      <c r="C1562" s="41">
        <v>6</v>
      </c>
      <c r="D1562" s="42">
        <v>12</v>
      </c>
      <c r="E1562" s="43">
        <v>29766</v>
      </c>
      <c r="F1562" s="44">
        <v>17815696</v>
      </c>
      <c r="G1562" s="1" t="str">
        <f>IFERROR(IF(ventas_b_mes684[[#This Row],[CUIT]]="","-",VLOOKUP(ventas_b_mes684[[#This Row],[CUIT]],Lista_CUIT[#All],2,0)),"CUIT NO CARGADO")</f>
        <v>CUIT NO CARGADO</v>
      </c>
      <c r="H1562" s="64">
        <v>32148.76</v>
      </c>
      <c r="I1562" s="64">
        <f>ventas_b_mes684[[#This Row],[IMPORTE NETO]]*0.21</f>
        <v>6751.239599999999</v>
      </c>
      <c r="J1562" s="64"/>
      <c r="K1562" s="64"/>
      <c r="L1562" s="64">
        <f>SUM(ventas_b_mes684[[#This Row],[IMPORTE NETO]:[EXENTO]])</f>
        <v>38899.999599999996</v>
      </c>
      <c r="M1562" s="59"/>
    </row>
    <row r="1563" spans="2:13">
      <c r="B1563" s="40" t="s">
        <v>2315</v>
      </c>
      <c r="C1563" s="41">
        <v>6</v>
      </c>
      <c r="D1563" s="42">
        <v>12</v>
      </c>
      <c r="E1563" s="43">
        <v>29765</v>
      </c>
      <c r="F1563" s="44">
        <v>31988015</v>
      </c>
      <c r="G1563" s="1" t="str">
        <f>IFERROR(IF(ventas_b_mes684[[#This Row],[CUIT]]="","-",VLOOKUP(ventas_b_mes684[[#This Row],[CUIT]],Lista_CUIT[#All],2,0)),"CUIT NO CARGADO")</f>
        <v>CUIT NO CARGADO</v>
      </c>
      <c r="H1563" s="64">
        <v>20661.16</v>
      </c>
      <c r="I1563" s="64">
        <f>ventas_b_mes684[[#This Row],[IMPORTE NETO]]*0.21</f>
        <v>4338.8436000000002</v>
      </c>
      <c r="J1563" s="64"/>
      <c r="K1563" s="64"/>
      <c r="L1563" s="64">
        <f>SUM(ventas_b_mes684[[#This Row],[IMPORTE NETO]:[EXENTO]])</f>
        <v>25000.0036</v>
      </c>
      <c r="M1563" s="59"/>
    </row>
    <row r="1564" spans="2:13">
      <c r="B1564" s="40" t="s">
        <v>2315</v>
      </c>
      <c r="C1564" s="41">
        <v>6</v>
      </c>
      <c r="D1564" s="42">
        <v>11</v>
      </c>
      <c r="E1564" s="43">
        <v>38238</v>
      </c>
      <c r="F1564" s="44">
        <v>30545195</v>
      </c>
      <c r="G1564" s="1" t="str">
        <f>IFERROR(IF(ventas_b_mes684[[#This Row],[CUIT]]="","-",VLOOKUP(ventas_b_mes684[[#This Row],[CUIT]],Lista_CUIT[#All],2,0)),"CUIT NO CARGADO")</f>
        <v>CUIT NO CARGADO</v>
      </c>
      <c r="H1564" s="64">
        <v>16262.4</v>
      </c>
      <c r="I1564" s="64">
        <f>ventas_b_mes684[[#This Row],[IMPORTE NETO]]*0.21</f>
        <v>3415.1039999999998</v>
      </c>
      <c r="J1564" s="64"/>
      <c r="K1564" s="64"/>
      <c r="L1564" s="64">
        <f>SUM(ventas_b_mes684[[#This Row],[IMPORTE NETO]:[EXENTO]])</f>
        <v>19677.504000000001</v>
      </c>
      <c r="M1564" s="59"/>
    </row>
    <row r="1565" spans="2:13">
      <c r="B1565" s="40" t="s">
        <v>2315</v>
      </c>
      <c r="C1565" s="41">
        <v>6</v>
      </c>
      <c r="D1565" s="42">
        <v>15</v>
      </c>
      <c r="E1565" s="43">
        <v>13369</v>
      </c>
      <c r="F1565" s="44">
        <v>45226021</v>
      </c>
      <c r="G1565" s="1" t="str">
        <f>IFERROR(IF(ventas_b_mes684[[#This Row],[CUIT]]="","-",VLOOKUP(ventas_b_mes684[[#This Row],[CUIT]],Lista_CUIT[#All],2,0)),"CUIT NO CARGADO")</f>
        <v>CUIT NO CARGADO</v>
      </c>
      <c r="H1565" s="64">
        <v>17979.34</v>
      </c>
      <c r="I1565" s="64">
        <f>ventas_b_mes684[[#This Row],[IMPORTE NETO]]*0.21</f>
        <v>3775.6614</v>
      </c>
      <c r="J1565" s="64"/>
      <c r="K1565" s="64"/>
      <c r="L1565" s="64">
        <f>SUM(ventas_b_mes684[[#This Row],[IMPORTE NETO]:[EXENTO]])</f>
        <v>21755.001400000001</v>
      </c>
      <c r="M1565" s="59"/>
    </row>
    <row r="1566" spans="2:13">
      <c r="B1566" s="40" t="s">
        <v>2315</v>
      </c>
      <c r="C1566" s="41">
        <v>6</v>
      </c>
      <c r="D1566" s="42">
        <v>15</v>
      </c>
      <c r="E1566" s="43">
        <v>13368</v>
      </c>
      <c r="F1566" s="44">
        <v>45226021</v>
      </c>
      <c r="G1566" s="1" t="str">
        <f>IFERROR(IF(ventas_b_mes684[[#This Row],[CUIT]]="","-",VLOOKUP(ventas_b_mes684[[#This Row],[CUIT]],Lista_CUIT[#All],2,0)),"CUIT NO CARGADO")</f>
        <v>CUIT NO CARGADO</v>
      </c>
      <c r="H1566" s="64">
        <v>20661.16</v>
      </c>
      <c r="I1566" s="64">
        <f>ventas_b_mes684[[#This Row],[IMPORTE NETO]]*0.21</f>
        <v>4338.8436000000002</v>
      </c>
      <c r="J1566" s="64"/>
      <c r="K1566" s="64"/>
      <c r="L1566" s="64">
        <f>SUM(ventas_b_mes684[[#This Row],[IMPORTE NETO]:[EXENTO]])</f>
        <v>25000.0036</v>
      </c>
      <c r="M1566" s="59"/>
    </row>
    <row r="1567" spans="2:13">
      <c r="B1567" s="40" t="s">
        <v>2315</v>
      </c>
      <c r="C1567" s="41">
        <v>6</v>
      </c>
      <c r="D1567" s="42">
        <v>10</v>
      </c>
      <c r="E1567" s="43">
        <v>54565</v>
      </c>
      <c r="F1567" s="44">
        <v>33042822</v>
      </c>
      <c r="G1567" s="1" t="str">
        <f>IFERROR(IF(ventas_b_mes684[[#This Row],[CUIT]]="","-",VLOOKUP(ventas_b_mes684[[#This Row],[CUIT]],Lista_CUIT[#All],2,0)),"CUIT NO CARGADO")</f>
        <v>CUIT NO CARGADO</v>
      </c>
      <c r="H1567" s="64">
        <v>40834.71</v>
      </c>
      <c r="I1567" s="64">
        <f>ventas_b_mes684[[#This Row],[IMPORTE NETO]]*0.21</f>
        <v>8575.2891</v>
      </c>
      <c r="J1567" s="64"/>
      <c r="K1567" s="64"/>
      <c r="L1567" s="64">
        <f>SUM(ventas_b_mes684[[#This Row],[IMPORTE NETO]:[EXENTO]])</f>
        <v>49409.999100000001</v>
      </c>
      <c r="M1567" s="59"/>
    </row>
    <row r="1568" spans="2:13">
      <c r="B1568" s="40" t="s">
        <v>2315</v>
      </c>
      <c r="C1568" s="41">
        <v>6</v>
      </c>
      <c r="D1568" s="42">
        <v>11</v>
      </c>
      <c r="E1568" s="43">
        <v>38245</v>
      </c>
      <c r="F1568" s="44">
        <v>28112173</v>
      </c>
      <c r="G1568" s="1" t="str">
        <f>IFERROR(IF(ventas_b_mes684[[#This Row],[CUIT]]="","-",VLOOKUP(ventas_b_mes684[[#This Row],[CUIT]],Lista_CUIT[#All],2,0)),"CUIT NO CARGADO")</f>
        <v>CUIT NO CARGADO</v>
      </c>
      <c r="H1568" s="64">
        <v>4611.57</v>
      </c>
      <c r="I1568" s="64">
        <f>ventas_b_mes684[[#This Row],[IMPORTE NETO]]*0.21</f>
        <v>968.42969999999991</v>
      </c>
      <c r="J1568" s="64"/>
      <c r="K1568" s="64"/>
      <c r="L1568" s="64">
        <f>SUM(ventas_b_mes684[[#This Row],[IMPORTE NETO]:[EXENTO]])</f>
        <v>5579.9996999999994</v>
      </c>
      <c r="M1568" s="59"/>
    </row>
    <row r="1569" spans="2:13">
      <c r="B1569" s="40" t="s">
        <v>2315</v>
      </c>
      <c r="C1569" s="41">
        <v>6</v>
      </c>
      <c r="D1569" s="42">
        <v>11</v>
      </c>
      <c r="E1569" s="43">
        <v>38241</v>
      </c>
      <c r="F1569" s="44">
        <v>6436196</v>
      </c>
      <c r="G1569" s="1" t="str">
        <f>IFERROR(IF(ventas_b_mes684[[#This Row],[CUIT]]="","-",VLOOKUP(ventas_b_mes684[[#This Row],[CUIT]],Lista_CUIT[#All],2,0)),"CUIT NO CARGADO")</f>
        <v>CUIT NO CARGADO</v>
      </c>
      <c r="H1569" s="64">
        <v>61854.55</v>
      </c>
      <c r="I1569" s="64">
        <f>ventas_b_mes684[[#This Row],[IMPORTE NETO]]*0.21</f>
        <v>12989.4555</v>
      </c>
      <c r="J1569" s="64"/>
      <c r="K1569" s="64"/>
      <c r="L1569" s="64">
        <f>SUM(ventas_b_mes684[[#This Row],[IMPORTE NETO]:[EXENTO]])</f>
        <v>74844.005499999999</v>
      </c>
      <c r="M1569" s="59"/>
    </row>
    <row r="1570" spans="2:13">
      <c r="B1570" s="40" t="s">
        <v>2315</v>
      </c>
      <c r="C1570" s="41">
        <v>6</v>
      </c>
      <c r="D1570" s="42">
        <v>11</v>
      </c>
      <c r="E1570" s="43">
        <v>38243</v>
      </c>
      <c r="F1570" s="44">
        <v>11352321</v>
      </c>
      <c r="G1570" s="1" t="str">
        <f>IFERROR(IF(ventas_b_mes684[[#This Row],[CUIT]]="","-",VLOOKUP(ventas_b_mes684[[#This Row],[CUIT]],Lista_CUIT[#All],2,0)),"CUIT NO CARGADO")</f>
        <v>CUIT NO CARGADO</v>
      </c>
      <c r="H1570" s="64">
        <v>25438.02</v>
      </c>
      <c r="I1570" s="64">
        <f>ventas_b_mes684[[#This Row],[IMPORTE NETO]]*0.21</f>
        <v>5341.9841999999999</v>
      </c>
      <c r="J1570" s="64"/>
      <c r="K1570" s="64"/>
      <c r="L1570" s="64">
        <f>SUM(ventas_b_mes684[[#This Row],[IMPORTE NETO]:[EXENTO]])</f>
        <v>30780.004199999999</v>
      </c>
      <c r="M1570" s="59"/>
    </row>
    <row r="1571" spans="2:13">
      <c r="B1571" s="40" t="s">
        <v>2315</v>
      </c>
      <c r="C1571" s="41">
        <v>6</v>
      </c>
      <c r="D1571" s="42">
        <v>15</v>
      </c>
      <c r="E1571" s="43">
        <v>13378</v>
      </c>
      <c r="F1571" s="44">
        <v>23251656</v>
      </c>
      <c r="G1571" s="1" t="str">
        <f>IFERROR(IF(ventas_b_mes684[[#This Row],[CUIT]]="","-",VLOOKUP(ventas_b_mes684[[#This Row],[CUIT]],Lista_CUIT[#All],2,0)),"CUIT NO CARGADO")</f>
        <v>CUIT NO CARGADO</v>
      </c>
      <c r="H1571" s="64">
        <v>16528.93</v>
      </c>
      <c r="I1571" s="64">
        <f>ventas_b_mes684[[#This Row],[IMPORTE NETO]]*0.21</f>
        <v>3471.0753</v>
      </c>
      <c r="J1571" s="64"/>
      <c r="K1571" s="64"/>
      <c r="L1571" s="64">
        <f>SUM(ventas_b_mes684[[#This Row],[IMPORTE NETO]:[EXENTO]])</f>
        <v>20000.005300000001</v>
      </c>
      <c r="M1571" s="59"/>
    </row>
    <row r="1572" spans="2:13">
      <c r="B1572" s="40" t="s">
        <v>2315</v>
      </c>
      <c r="C1572" s="41">
        <v>6</v>
      </c>
      <c r="D1572" s="42">
        <v>10</v>
      </c>
      <c r="E1572" s="43">
        <v>54567</v>
      </c>
      <c r="F1572" s="44">
        <v>24389955</v>
      </c>
      <c r="G1572" s="1" t="str">
        <f>IFERROR(IF(ventas_b_mes684[[#This Row],[CUIT]]="","-",VLOOKUP(ventas_b_mes684[[#This Row],[CUIT]],Lista_CUIT[#All],2,0)),"CUIT NO CARGADO")</f>
        <v>CUIT NO CARGADO</v>
      </c>
      <c r="H1572" s="64">
        <v>22605.33</v>
      </c>
      <c r="I1572" s="64">
        <f>ventas_b_mes684[[#This Row],[IMPORTE NETO]]*0.21</f>
        <v>4747.1193000000003</v>
      </c>
      <c r="J1572" s="64"/>
      <c r="K1572" s="64"/>
      <c r="L1572" s="64">
        <f>SUM(ventas_b_mes684[[#This Row],[IMPORTE NETO]:[EXENTO]])</f>
        <v>27352.4493</v>
      </c>
      <c r="M1572" s="59"/>
    </row>
    <row r="1573" spans="2:13">
      <c r="B1573" s="40" t="s">
        <v>2315</v>
      </c>
      <c r="C1573" s="41">
        <v>6</v>
      </c>
      <c r="D1573" s="42">
        <v>12</v>
      </c>
      <c r="E1573" s="43">
        <v>29774</v>
      </c>
      <c r="F1573" s="44">
        <v>30365363</v>
      </c>
      <c r="G1573" s="1" t="str">
        <f>IFERROR(IF(ventas_b_mes684[[#This Row],[CUIT]]="","-",VLOOKUP(ventas_b_mes684[[#This Row],[CUIT]],Lista_CUIT[#All],2,0)),"CUIT NO CARGADO")</f>
        <v>CUIT NO CARGADO</v>
      </c>
      <c r="H1573" s="64">
        <v>6537.19</v>
      </c>
      <c r="I1573" s="64">
        <f>ventas_b_mes684[[#This Row],[IMPORTE NETO]]*0.21</f>
        <v>1372.8099</v>
      </c>
      <c r="J1573" s="64"/>
      <c r="K1573" s="64"/>
      <c r="L1573" s="64">
        <f>SUM(ventas_b_mes684[[#This Row],[IMPORTE NETO]:[EXENTO]])</f>
        <v>7909.9998999999998</v>
      </c>
      <c r="M1573" s="59"/>
    </row>
    <row r="1574" spans="2:13">
      <c r="B1574" s="40" t="s">
        <v>2315</v>
      </c>
      <c r="C1574" s="41">
        <v>6</v>
      </c>
      <c r="D1574" s="42">
        <v>12</v>
      </c>
      <c r="E1574" s="43">
        <v>29775</v>
      </c>
      <c r="F1574" s="44">
        <v>42961023</v>
      </c>
      <c r="G1574" s="1" t="str">
        <f>IFERROR(IF(ventas_b_mes684[[#This Row],[CUIT]]="","-",VLOOKUP(ventas_b_mes684[[#This Row],[CUIT]],Lista_CUIT[#All],2,0)),"CUIT NO CARGADO")</f>
        <v>CUIT NO CARGADO</v>
      </c>
      <c r="H1574" s="64">
        <v>6537.19</v>
      </c>
      <c r="I1574" s="64">
        <f>ventas_b_mes684[[#This Row],[IMPORTE NETO]]*0.21</f>
        <v>1372.8099</v>
      </c>
      <c r="J1574" s="64"/>
      <c r="K1574" s="64"/>
      <c r="L1574" s="64">
        <f>SUM(ventas_b_mes684[[#This Row],[IMPORTE NETO]:[EXENTO]])</f>
        <v>7909.9998999999998</v>
      </c>
      <c r="M1574" s="59"/>
    </row>
    <row r="1575" spans="2:13">
      <c r="B1575" s="40" t="s">
        <v>2315</v>
      </c>
      <c r="C1575" s="41">
        <v>6</v>
      </c>
      <c r="D1575" s="42">
        <v>10</v>
      </c>
      <c r="E1575" s="43">
        <v>54570</v>
      </c>
      <c r="F1575" s="44">
        <v>24777464</v>
      </c>
      <c r="G1575" s="1" t="str">
        <f>IFERROR(IF(ventas_b_mes684[[#This Row],[CUIT]]="","-",VLOOKUP(ventas_b_mes684[[#This Row],[CUIT]],Lista_CUIT[#All],2,0)),"CUIT NO CARGADO")</f>
        <v>CUIT NO CARGADO</v>
      </c>
      <c r="H1575" s="64">
        <v>16528.93</v>
      </c>
      <c r="I1575" s="64">
        <f>ventas_b_mes684[[#This Row],[IMPORTE NETO]]*0.21</f>
        <v>3471.0753</v>
      </c>
      <c r="J1575" s="64"/>
      <c r="K1575" s="64"/>
      <c r="L1575" s="64">
        <f>SUM(ventas_b_mes684[[#This Row],[IMPORTE NETO]:[EXENTO]])</f>
        <v>20000.005300000001</v>
      </c>
      <c r="M1575" s="59"/>
    </row>
    <row r="1576" spans="2:13">
      <c r="B1576" s="40" t="s">
        <v>2315</v>
      </c>
      <c r="C1576" s="41">
        <v>6</v>
      </c>
      <c r="D1576" s="42">
        <v>12</v>
      </c>
      <c r="E1576" s="43">
        <v>29780</v>
      </c>
      <c r="F1576" s="44">
        <v>33936455</v>
      </c>
      <c r="G1576" s="1" t="str">
        <f>IFERROR(IF(ventas_b_mes684[[#This Row],[CUIT]]="","-",VLOOKUP(ventas_b_mes684[[#This Row],[CUIT]],Lista_CUIT[#All],2,0)),"CUIT NO CARGADO")</f>
        <v>CUIT NO CARGADO</v>
      </c>
      <c r="H1576" s="64">
        <v>11768.6</v>
      </c>
      <c r="I1576" s="64">
        <f>ventas_b_mes684[[#This Row],[IMPORTE NETO]]*0.21</f>
        <v>2471.4059999999999</v>
      </c>
      <c r="J1576" s="64"/>
      <c r="K1576" s="64"/>
      <c r="L1576" s="64">
        <f>SUM(ventas_b_mes684[[#This Row],[IMPORTE NETO]:[EXENTO]])</f>
        <v>14240.006000000001</v>
      </c>
      <c r="M1576" s="59"/>
    </row>
    <row r="1577" spans="2:13">
      <c r="B1577" s="40" t="s">
        <v>2315</v>
      </c>
      <c r="C1577" s="41">
        <v>6</v>
      </c>
      <c r="D1577" s="42">
        <v>12</v>
      </c>
      <c r="E1577" s="43">
        <v>29779</v>
      </c>
      <c r="F1577" s="44">
        <v>36158678</v>
      </c>
      <c r="G1577" s="1" t="str">
        <f>IFERROR(IF(ventas_b_mes684[[#This Row],[CUIT]]="","-",VLOOKUP(ventas_b_mes684[[#This Row],[CUIT]],Lista_CUIT[#All],2,0)),"CUIT NO CARGADO")</f>
        <v>CUIT NO CARGADO</v>
      </c>
      <c r="H1577" s="64">
        <v>45809.919999999998</v>
      </c>
      <c r="I1577" s="64">
        <f>ventas_b_mes684[[#This Row],[IMPORTE NETO]]*0.21</f>
        <v>9620.0831999999991</v>
      </c>
      <c r="J1577" s="64"/>
      <c r="K1577" s="64"/>
      <c r="L1577" s="64">
        <f>SUM(ventas_b_mes684[[#This Row],[IMPORTE NETO]:[EXENTO]])</f>
        <v>55430.003199999999</v>
      </c>
      <c r="M1577" s="59"/>
    </row>
    <row r="1578" spans="2:13">
      <c r="B1578" s="40" t="s">
        <v>2315</v>
      </c>
      <c r="C1578" s="41">
        <v>6</v>
      </c>
      <c r="D1578" s="42">
        <v>13</v>
      </c>
      <c r="E1578" s="43">
        <v>32541</v>
      </c>
      <c r="F1578" s="44">
        <v>111</v>
      </c>
      <c r="G1578" s="1" t="str">
        <f>IFERROR(IF(ventas_b_mes684[[#This Row],[CUIT]]="","-",VLOOKUP(ventas_b_mes684[[#This Row],[CUIT]],Lista_CUIT[#All],2,0)),"CUIT NO CARGADO")</f>
        <v>LOPEZ,Sandra</v>
      </c>
      <c r="H1578" s="64">
        <v>38206.61</v>
      </c>
      <c r="I1578" s="64">
        <f>ventas_b_mes684[[#This Row],[IMPORTE NETO]]*0.21</f>
        <v>8023.3881000000001</v>
      </c>
      <c r="J1578" s="64"/>
      <c r="K1578" s="64"/>
      <c r="L1578" s="64">
        <f>SUM(ventas_b_mes684[[#This Row],[IMPORTE NETO]:[EXENTO]])</f>
        <v>46229.998099999997</v>
      </c>
      <c r="M1578" s="59"/>
    </row>
    <row r="1579" spans="2:13">
      <c r="B1579" s="40" t="s">
        <v>2315</v>
      </c>
      <c r="C1579" s="41">
        <v>6</v>
      </c>
      <c r="D1579" s="42">
        <v>11</v>
      </c>
      <c r="E1579" s="43">
        <v>38235</v>
      </c>
      <c r="F1579" s="44">
        <v>95108435</v>
      </c>
      <c r="G1579" s="1" t="str">
        <f>IFERROR(IF(ventas_b_mes684[[#This Row],[CUIT]]="","-",VLOOKUP(ventas_b_mes684[[#This Row],[CUIT]],Lista_CUIT[#All],2,0)),"CUIT NO CARGADO")</f>
        <v>CUIT NO CARGADO</v>
      </c>
      <c r="H1579" s="64">
        <v>20661.16</v>
      </c>
      <c r="I1579" s="64">
        <f>ventas_b_mes684[[#This Row],[IMPORTE NETO]]*0.21</f>
        <v>4338.8436000000002</v>
      </c>
      <c r="J1579" s="64"/>
      <c r="K1579" s="64"/>
      <c r="L1579" s="64">
        <f>SUM(ventas_b_mes684[[#This Row],[IMPORTE NETO]:[EXENTO]])</f>
        <v>25000.0036</v>
      </c>
      <c r="M1579" s="59"/>
    </row>
    <row r="1580" spans="2:13">
      <c r="B1580" s="40" t="s">
        <v>2315</v>
      </c>
      <c r="C1580" s="41">
        <v>6</v>
      </c>
      <c r="D1580" s="42">
        <v>12</v>
      </c>
      <c r="E1580" s="43">
        <v>29771</v>
      </c>
      <c r="F1580" s="44">
        <v>28112929</v>
      </c>
      <c r="G1580" s="1" t="str">
        <f>IFERROR(IF(ventas_b_mes684[[#This Row],[CUIT]]="","-",VLOOKUP(ventas_b_mes684[[#This Row],[CUIT]],Lista_CUIT[#All],2,0)),"CUIT NO CARGADO")</f>
        <v>CUIT NO CARGADO</v>
      </c>
      <c r="H1580" s="64">
        <v>18975.21</v>
      </c>
      <c r="I1580" s="64">
        <f>ventas_b_mes684[[#This Row],[IMPORTE NETO]]*0.21</f>
        <v>3984.7940999999996</v>
      </c>
      <c r="J1580" s="64"/>
      <c r="K1580" s="64"/>
      <c r="L1580" s="64">
        <f>SUM(ventas_b_mes684[[#This Row],[IMPORTE NETO]:[EXENTO]])</f>
        <v>22960.004099999998</v>
      </c>
      <c r="M1580" s="59"/>
    </row>
    <row r="1581" spans="2:13">
      <c r="B1581" s="40" t="s">
        <v>2315</v>
      </c>
      <c r="C1581" s="41">
        <v>6</v>
      </c>
      <c r="D1581" s="42">
        <v>12</v>
      </c>
      <c r="E1581" s="43">
        <v>29778</v>
      </c>
      <c r="F1581" s="44">
        <v>28112929</v>
      </c>
      <c r="G1581" s="1" t="str">
        <f>IFERROR(IF(ventas_b_mes684[[#This Row],[CUIT]]="","-",VLOOKUP(ventas_b_mes684[[#This Row],[CUIT]],Lista_CUIT[#All],2,0)),"CUIT NO CARGADO")</f>
        <v>CUIT NO CARGADO</v>
      </c>
      <c r="H1581" s="64">
        <v>15384.3</v>
      </c>
      <c r="I1581" s="64">
        <f>ventas_b_mes684[[#This Row],[IMPORTE NETO]]*0.21</f>
        <v>3230.7029999999995</v>
      </c>
      <c r="J1581" s="64"/>
      <c r="K1581" s="64"/>
      <c r="L1581" s="64">
        <f>SUM(ventas_b_mes684[[#This Row],[IMPORTE NETO]:[EXENTO]])</f>
        <v>18615.002999999997</v>
      </c>
      <c r="M1581" s="59"/>
    </row>
    <row r="1582" spans="2:13">
      <c r="B1582" s="40" t="s">
        <v>2315</v>
      </c>
      <c r="C1582" s="41">
        <v>6</v>
      </c>
      <c r="D1582" s="42">
        <v>10</v>
      </c>
      <c r="E1582" s="43">
        <v>54576</v>
      </c>
      <c r="F1582" s="44">
        <v>42628377</v>
      </c>
      <c r="G1582" s="1" t="str">
        <f>IFERROR(IF(ventas_b_mes684[[#This Row],[CUIT]]="","-",VLOOKUP(ventas_b_mes684[[#This Row],[CUIT]],Lista_CUIT[#All],2,0)),"CUIT NO CARGADO")</f>
        <v>CUIT NO CARGADO</v>
      </c>
      <c r="H1582" s="64">
        <v>20661.16</v>
      </c>
      <c r="I1582" s="64">
        <f>ventas_b_mes684[[#This Row],[IMPORTE NETO]]*0.21</f>
        <v>4338.8436000000002</v>
      </c>
      <c r="J1582" s="64"/>
      <c r="K1582" s="64"/>
      <c r="L1582" s="64">
        <f>SUM(ventas_b_mes684[[#This Row],[IMPORTE NETO]:[EXENTO]])</f>
        <v>25000.0036</v>
      </c>
      <c r="M1582" s="59"/>
    </row>
    <row r="1583" spans="2:13">
      <c r="B1583" s="40" t="s">
        <v>2315</v>
      </c>
      <c r="C1583" s="41">
        <v>6</v>
      </c>
      <c r="D1583" s="42">
        <v>12</v>
      </c>
      <c r="E1583" s="43">
        <v>29764</v>
      </c>
      <c r="F1583" s="44">
        <v>29771554</v>
      </c>
      <c r="G1583" s="1" t="str">
        <f>IFERROR(IF(ventas_b_mes684[[#This Row],[CUIT]]="","-",VLOOKUP(ventas_b_mes684[[#This Row],[CUIT]],Lista_CUIT[#All],2,0)),"CUIT NO CARGADO")</f>
        <v>CUIT NO CARGADO</v>
      </c>
      <c r="H1583" s="64">
        <v>4462.8100000000004</v>
      </c>
      <c r="I1583" s="64">
        <f>ventas_b_mes684[[#This Row],[IMPORTE NETO]]*0.21</f>
        <v>937.19010000000003</v>
      </c>
      <c r="J1583" s="64"/>
      <c r="K1583" s="64"/>
      <c r="L1583" s="64">
        <f>SUM(ventas_b_mes684[[#This Row],[IMPORTE NETO]:[EXENTO]])</f>
        <v>5400.0001000000002</v>
      </c>
      <c r="M1583" s="59"/>
    </row>
    <row r="1584" spans="2:13">
      <c r="B1584" s="40" t="s">
        <v>2315</v>
      </c>
      <c r="C1584" s="41">
        <v>6</v>
      </c>
      <c r="D1584" s="42">
        <v>15</v>
      </c>
      <c r="E1584" s="43">
        <v>13367</v>
      </c>
      <c r="F1584" s="44">
        <v>46994136</v>
      </c>
      <c r="G1584" s="1" t="str">
        <f>IFERROR(IF(ventas_b_mes684[[#This Row],[CUIT]]="","-",VLOOKUP(ventas_b_mes684[[#This Row],[CUIT]],Lista_CUIT[#All],2,0)),"CUIT NO CARGADO")</f>
        <v>CUIT NO CARGADO</v>
      </c>
      <c r="H1584" s="64">
        <v>3512.4</v>
      </c>
      <c r="I1584" s="64">
        <f>ventas_b_mes684[[#This Row],[IMPORTE NETO]]*0.21</f>
        <v>737.60400000000004</v>
      </c>
      <c r="J1584" s="64"/>
      <c r="K1584" s="64"/>
      <c r="L1584" s="64">
        <f>SUM(ventas_b_mes684[[#This Row],[IMPORTE NETO]:[EXENTO]])</f>
        <v>4250.0039999999999</v>
      </c>
      <c r="M1584" s="59"/>
    </row>
    <row r="1585" spans="2:13">
      <c r="B1585" s="40" t="s">
        <v>2315</v>
      </c>
      <c r="C1585" s="41">
        <v>6</v>
      </c>
      <c r="D1585" s="42">
        <v>10</v>
      </c>
      <c r="E1585" s="43">
        <v>54578</v>
      </c>
      <c r="F1585" s="44">
        <v>23073695</v>
      </c>
      <c r="G1585" s="1" t="str">
        <f>IFERROR(IF(ventas_b_mes684[[#This Row],[CUIT]]="","-",VLOOKUP(ventas_b_mes684[[#This Row],[CUIT]],Lista_CUIT[#All],2,0)),"CUIT NO CARGADO")</f>
        <v>CUIT NO CARGADO</v>
      </c>
      <c r="H1585" s="64">
        <v>13983.47</v>
      </c>
      <c r="I1585" s="64">
        <f>ventas_b_mes684[[#This Row],[IMPORTE NETO]]*0.21</f>
        <v>2936.5286999999998</v>
      </c>
      <c r="J1585" s="64"/>
      <c r="K1585" s="64"/>
      <c r="L1585" s="64">
        <f>SUM(ventas_b_mes684[[#This Row],[IMPORTE NETO]:[EXENTO]])</f>
        <v>16919.9987</v>
      </c>
      <c r="M1585" s="59"/>
    </row>
    <row r="1586" spans="2:13">
      <c r="B1586" s="40" t="s">
        <v>2315</v>
      </c>
      <c r="C1586" s="41">
        <v>6</v>
      </c>
      <c r="D1586" s="42">
        <v>12</v>
      </c>
      <c r="E1586" s="43">
        <v>29777</v>
      </c>
      <c r="F1586" s="44">
        <v>40496647</v>
      </c>
      <c r="G1586" s="1" t="str">
        <f>IFERROR(IF(ventas_b_mes684[[#This Row],[CUIT]]="","-",VLOOKUP(ventas_b_mes684[[#This Row],[CUIT]],Lista_CUIT[#All],2,0)),"CUIT NO CARGADO")</f>
        <v>CUIT NO CARGADO</v>
      </c>
      <c r="H1586" s="64">
        <v>8140.5</v>
      </c>
      <c r="I1586" s="64">
        <f>ventas_b_mes684[[#This Row],[IMPORTE NETO]]*0.21</f>
        <v>1709.5049999999999</v>
      </c>
      <c r="J1586" s="64"/>
      <c r="K1586" s="64"/>
      <c r="L1586" s="64">
        <f>SUM(ventas_b_mes684[[#This Row],[IMPORTE NETO]:[EXENTO]])</f>
        <v>9850.0049999999992</v>
      </c>
      <c r="M1586" s="59"/>
    </row>
    <row r="1587" spans="2:13">
      <c r="B1587" s="40" t="s">
        <v>2315</v>
      </c>
      <c r="C1587" s="41">
        <v>6</v>
      </c>
      <c r="D1587" s="42">
        <v>15</v>
      </c>
      <c r="E1587" s="43">
        <v>13374</v>
      </c>
      <c r="F1587" s="44">
        <v>26505491</v>
      </c>
      <c r="G1587" s="1" t="str">
        <f>IFERROR(IF(ventas_b_mes684[[#This Row],[CUIT]]="","-",VLOOKUP(ventas_b_mes684[[#This Row],[CUIT]],Lista_CUIT[#All],2,0)),"CUIT NO CARGADO")</f>
        <v>CUIT NO CARGADO</v>
      </c>
      <c r="H1587" s="64">
        <v>11157.02</v>
      </c>
      <c r="I1587" s="64">
        <f>ventas_b_mes684[[#This Row],[IMPORTE NETO]]*0.21</f>
        <v>2342.9742000000001</v>
      </c>
      <c r="J1587" s="64"/>
      <c r="K1587" s="64"/>
      <c r="L1587" s="64">
        <f>SUM(ventas_b_mes684[[#This Row],[IMPORTE NETO]:[EXENTO]])</f>
        <v>13499.994200000001</v>
      </c>
      <c r="M1587" s="59"/>
    </row>
    <row r="1588" spans="2:13">
      <c r="B1588" s="40" t="s">
        <v>2315</v>
      </c>
      <c r="C1588" s="41">
        <v>6</v>
      </c>
      <c r="D1588" s="42">
        <v>12</v>
      </c>
      <c r="E1588" s="43">
        <v>29782</v>
      </c>
      <c r="F1588" s="44">
        <v>28112929</v>
      </c>
      <c r="G1588" s="1" t="str">
        <f>IFERROR(IF(ventas_b_mes684[[#This Row],[CUIT]]="","-",VLOOKUP(ventas_b_mes684[[#This Row],[CUIT]],Lista_CUIT[#All],2,0)),"CUIT NO CARGADO")</f>
        <v>CUIT NO CARGADO</v>
      </c>
      <c r="H1588" s="64">
        <v>8479.34</v>
      </c>
      <c r="I1588" s="64">
        <f>ventas_b_mes684[[#This Row],[IMPORTE NETO]]*0.21</f>
        <v>1780.6614</v>
      </c>
      <c r="J1588" s="64"/>
      <c r="K1588" s="64"/>
      <c r="L1588" s="64">
        <f>SUM(ventas_b_mes684[[#This Row],[IMPORTE NETO]:[EXENTO]])</f>
        <v>10260.001400000001</v>
      </c>
      <c r="M1588" s="59"/>
    </row>
    <row r="1589" spans="2:13">
      <c r="B1589" s="40" t="s">
        <v>2315</v>
      </c>
      <c r="C1589" s="41">
        <v>6</v>
      </c>
      <c r="D1589" s="42">
        <v>12</v>
      </c>
      <c r="E1589" s="43">
        <v>29762</v>
      </c>
      <c r="F1589" s="44">
        <v>37162594</v>
      </c>
      <c r="G1589" s="1" t="str">
        <f>IFERROR(IF(ventas_b_mes684[[#This Row],[CUIT]]="","-",VLOOKUP(ventas_b_mes684[[#This Row],[CUIT]],Lista_CUIT[#All],2,0)),"CUIT NO CARGADO")</f>
        <v>CUIT NO CARGADO</v>
      </c>
      <c r="H1589" s="64">
        <v>20661.16</v>
      </c>
      <c r="I1589" s="64">
        <f>ventas_b_mes684[[#This Row],[IMPORTE NETO]]*0.21</f>
        <v>4338.8436000000002</v>
      </c>
      <c r="J1589" s="64"/>
      <c r="K1589" s="64"/>
      <c r="L1589" s="64">
        <f>SUM(ventas_b_mes684[[#This Row],[IMPORTE NETO]:[EXENTO]])</f>
        <v>25000.0036</v>
      </c>
      <c r="M1589" s="59"/>
    </row>
    <row r="1590" spans="2:13">
      <c r="B1590" s="40" t="s">
        <v>2315</v>
      </c>
      <c r="C1590" s="41">
        <v>6</v>
      </c>
      <c r="D1590" s="42">
        <v>15</v>
      </c>
      <c r="E1590" s="43">
        <v>13380</v>
      </c>
      <c r="F1590" s="44">
        <v>36408763</v>
      </c>
      <c r="G1590" s="1" t="str">
        <f>IFERROR(IF(ventas_b_mes684[[#This Row],[CUIT]]="","-",VLOOKUP(ventas_b_mes684[[#This Row],[CUIT]],Lista_CUIT[#All],2,0)),"CUIT NO CARGADO")</f>
        <v>CUIT NO CARGADO</v>
      </c>
      <c r="H1590" s="64">
        <v>11000</v>
      </c>
      <c r="I1590" s="64">
        <f>ventas_b_mes684[[#This Row],[IMPORTE NETO]]*0.21</f>
        <v>2310</v>
      </c>
      <c r="J1590" s="64"/>
      <c r="K1590" s="64"/>
      <c r="L1590" s="64">
        <f>SUM(ventas_b_mes684[[#This Row],[IMPORTE NETO]:[EXENTO]])</f>
        <v>13310</v>
      </c>
      <c r="M1590" s="59"/>
    </row>
    <row r="1591" spans="2:13">
      <c r="B1591" s="40" t="s">
        <v>2315</v>
      </c>
      <c r="C1591" s="41">
        <v>6</v>
      </c>
      <c r="D1591" s="42">
        <v>12</v>
      </c>
      <c r="E1591" s="43">
        <v>29784</v>
      </c>
      <c r="F1591" s="44">
        <v>42961023</v>
      </c>
      <c r="G1591" s="1" t="str">
        <f>IFERROR(IF(ventas_b_mes684[[#This Row],[CUIT]]="","-",VLOOKUP(ventas_b_mes684[[#This Row],[CUIT]],Lista_CUIT[#All],2,0)),"CUIT NO CARGADO")</f>
        <v>CUIT NO CARGADO</v>
      </c>
      <c r="H1591" s="64">
        <v>6537.19</v>
      </c>
      <c r="I1591" s="64">
        <f>ventas_b_mes684[[#This Row],[IMPORTE NETO]]*0.21</f>
        <v>1372.8099</v>
      </c>
      <c r="J1591" s="64"/>
      <c r="K1591" s="64"/>
      <c r="L1591" s="64">
        <f>SUM(ventas_b_mes684[[#This Row],[IMPORTE NETO]:[EXENTO]])</f>
        <v>7909.9998999999998</v>
      </c>
      <c r="M1591" s="59"/>
    </row>
    <row r="1592" spans="2:13">
      <c r="B1592" s="40" t="s">
        <v>2315</v>
      </c>
      <c r="C1592" s="41">
        <v>6</v>
      </c>
      <c r="D1592" s="42">
        <v>11</v>
      </c>
      <c r="E1592" s="43">
        <v>38244</v>
      </c>
      <c r="F1592" s="44">
        <v>13256715</v>
      </c>
      <c r="G1592" s="1" t="str">
        <f>IFERROR(IF(ventas_b_mes684[[#This Row],[CUIT]]="","-",VLOOKUP(ventas_b_mes684[[#This Row],[CUIT]],Lista_CUIT[#All],2,0)),"CUIT NO CARGADO")</f>
        <v>CUIT NO CARGADO</v>
      </c>
      <c r="H1592" s="64">
        <v>14214.88</v>
      </c>
      <c r="I1592" s="64">
        <f>ventas_b_mes684[[#This Row],[IMPORTE NETO]]*0.21</f>
        <v>2985.1247999999996</v>
      </c>
      <c r="J1592" s="64"/>
      <c r="K1592" s="64"/>
      <c r="L1592" s="64">
        <f>SUM(ventas_b_mes684[[#This Row],[IMPORTE NETO]:[EXENTO]])</f>
        <v>17200.004799999999</v>
      </c>
      <c r="M1592" s="59"/>
    </row>
    <row r="1593" spans="2:13">
      <c r="B1593" s="40" t="s">
        <v>2315</v>
      </c>
      <c r="C1593" s="41">
        <v>6</v>
      </c>
      <c r="D1593" s="42">
        <v>10</v>
      </c>
      <c r="E1593" s="43">
        <v>54574</v>
      </c>
      <c r="F1593" s="44">
        <v>53049257</v>
      </c>
      <c r="G1593" s="1" t="str">
        <f>IFERROR(IF(ventas_b_mes684[[#This Row],[CUIT]]="","-",VLOOKUP(ventas_b_mes684[[#This Row],[CUIT]],Lista_CUIT[#All],2,0)),"CUIT NO CARGADO")</f>
        <v>CUIT NO CARGADO</v>
      </c>
      <c r="H1593" s="64">
        <v>71074.38</v>
      </c>
      <c r="I1593" s="64">
        <f>ventas_b_mes684[[#This Row],[IMPORTE NETO]]*0.21</f>
        <v>14925.6198</v>
      </c>
      <c r="J1593" s="64"/>
      <c r="K1593" s="64"/>
      <c r="L1593" s="64">
        <f>SUM(ventas_b_mes684[[#This Row],[IMPORTE NETO]:[EXENTO]])</f>
        <v>85999.999800000005</v>
      </c>
      <c r="M1593" s="59"/>
    </row>
    <row r="1594" spans="2:13">
      <c r="B1594" s="40" t="s">
        <v>2315</v>
      </c>
      <c r="C1594" s="41">
        <v>6</v>
      </c>
      <c r="D1594" s="42">
        <v>10</v>
      </c>
      <c r="E1594" s="43">
        <v>54575</v>
      </c>
      <c r="F1594" s="44">
        <v>53049257</v>
      </c>
      <c r="G1594" s="1" t="str">
        <f>IFERROR(IF(ventas_b_mes684[[#This Row],[CUIT]]="","-",VLOOKUP(ventas_b_mes684[[#This Row],[CUIT]],Lista_CUIT[#All],2,0)),"CUIT NO CARGADO")</f>
        <v>CUIT NO CARGADO</v>
      </c>
      <c r="H1594" s="64">
        <v>11603.31</v>
      </c>
      <c r="I1594" s="64">
        <f>ventas_b_mes684[[#This Row],[IMPORTE NETO]]*0.21</f>
        <v>2436.6950999999999</v>
      </c>
      <c r="J1594" s="64"/>
      <c r="K1594" s="64"/>
      <c r="L1594" s="64">
        <f>SUM(ventas_b_mes684[[#This Row],[IMPORTE NETO]:[EXENTO]])</f>
        <v>14040.005099999998</v>
      </c>
      <c r="M1594" s="59"/>
    </row>
    <row r="1595" spans="2:13">
      <c r="B1595" s="40" t="s">
        <v>2315</v>
      </c>
      <c r="C1595" s="41">
        <v>6</v>
      </c>
      <c r="D1595" s="42">
        <v>10</v>
      </c>
      <c r="E1595" s="43">
        <v>54563</v>
      </c>
      <c r="F1595" s="44">
        <v>21321366</v>
      </c>
      <c r="G1595" s="1" t="str">
        <f>IFERROR(IF(ventas_b_mes684[[#This Row],[CUIT]]="","-",VLOOKUP(ventas_b_mes684[[#This Row],[CUIT]],Lista_CUIT[#All],2,0)),"CUIT NO CARGADO")</f>
        <v>CUIT NO CARGADO</v>
      </c>
      <c r="H1595" s="64">
        <v>30991.74</v>
      </c>
      <c r="I1595" s="64">
        <f>ventas_b_mes684[[#This Row],[IMPORTE NETO]]*0.21</f>
        <v>6508.2654000000002</v>
      </c>
      <c r="J1595" s="64"/>
      <c r="K1595" s="64"/>
      <c r="L1595" s="64">
        <f>SUM(ventas_b_mes684[[#This Row],[IMPORTE NETO]:[EXENTO]])</f>
        <v>37500.005400000002</v>
      </c>
      <c r="M1595" s="59"/>
    </row>
    <row r="1596" spans="2:13">
      <c r="B1596" s="40" t="s">
        <v>2315</v>
      </c>
      <c r="C1596" s="41">
        <v>6</v>
      </c>
      <c r="D1596" s="42">
        <v>15</v>
      </c>
      <c r="E1596" s="43">
        <v>13373</v>
      </c>
      <c r="F1596" s="44">
        <v>32323705</v>
      </c>
      <c r="G1596" s="1" t="str">
        <f>IFERROR(IF(ventas_b_mes684[[#This Row],[CUIT]]="","-",VLOOKUP(ventas_b_mes684[[#This Row],[CUIT]],Lista_CUIT[#All],2,0)),"CUIT NO CARGADO")</f>
        <v>CUIT NO CARGADO</v>
      </c>
      <c r="H1596" s="64">
        <v>5950.41</v>
      </c>
      <c r="I1596" s="64">
        <f>ventas_b_mes684[[#This Row],[IMPORTE NETO]]*0.21</f>
        <v>1249.5861</v>
      </c>
      <c r="J1596" s="64"/>
      <c r="K1596" s="64"/>
      <c r="L1596" s="64">
        <f>SUM(ventas_b_mes684[[#This Row],[IMPORTE NETO]:[EXENTO]])</f>
        <v>7199.9961000000003</v>
      </c>
      <c r="M1596" s="59"/>
    </row>
    <row r="1597" spans="2:13">
      <c r="B1597" s="40" t="s">
        <v>2315</v>
      </c>
      <c r="C1597" s="41">
        <v>6</v>
      </c>
      <c r="D1597" s="42">
        <v>15</v>
      </c>
      <c r="E1597" s="43">
        <v>13375</v>
      </c>
      <c r="F1597" s="44">
        <v>43264331</v>
      </c>
      <c r="G1597" s="1" t="str">
        <f>IFERROR(IF(ventas_b_mes684[[#This Row],[CUIT]]="","-",VLOOKUP(ventas_b_mes684[[#This Row],[CUIT]],Lista_CUIT[#All],2,0)),"CUIT NO CARGADO")</f>
        <v>CUIT NO CARGADO</v>
      </c>
      <c r="H1597" s="64">
        <v>9917.36</v>
      </c>
      <c r="I1597" s="64">
        <f>ventas_b_mes684[[#This Row],[IMPORTE NETO]]*0.21</f>
        <v>2082.6455999999998</v>
      </c>
      <c r="J1597" s="64"/>
      <c r="K1597" s="64"/>
      <c r="L1597" s="64">
        <f>SUM(ventas_b_mes684[[#This Row],[IMPORTE NETO]:[EXENTO]])</f>
        <v>12000.0056</v>
      </c>
      <c r="M1597" s="59"/>
    </row>
    <row r="1598" spans="2:13">
      <c r="B1598" s="40" t="s">
        <v>2315</v>
      </c>
      <c r="C1598" s="41">
        <v>6</v>
      </c>
      <c r="D1598" s="42">
        <v>15</v>
      </c>
      <c r="E1598" s="43">
        <v>13377</v>
      </c>
      <c r="F1598" s="44">
        <v>31508290</v>
      </c>
      <c r="G1598" s="1" t="str">
        <f>IFERROR(IF(ventas_b_mes684[[#This Row],[CUIT]]="","-",VLOOKUP(ventas_b_mes684[[#This Row],[CUIT]],Lista_CUIT[#All],2,0)),"CUIT NO CARGADO")</f>
        <v>CARLETTI, MARIELA ANDREA (ESTUDIANTE)</v>
      </c>
      <c r="H1598" s="64">
        <v>16528.93</v>
      </c>
      <c r="I1598" s="64">
        <f>ventas_b_mes684[[#This Row],[IMPORTE NETO]]*0.21</f>
        <v>3471.0753</v>
      </c>
      <c r="J1598" s="64"/>
      <c r="K1598" s="64"/>
      <c r="L1598" s="64">
        <f>SUM(ventas_b_mes684[[#This Row],[IMPORTE NETO]:[EXENTO]])</f>
        <v>20000.005300000001</v>
      </c>
      <c r="M1598" s="59"/>
    </row>
    <row r="1599" spans="2:13">
      <c r="B1599" s="40" t="s">
        <v>2315</v>
      </c>
      <c r="C1599" s="41">
        <v>6</v>
      </c>
      <c r="D1599" s="42">
        <v>10</v>
      </c>
      <c r="E1599" s="43">
        <v>54569</v>
      </c>
      <c r="F1599" s="44">
        <v>27027913</v>
      </c>
      <c r="G1599" s="1" t="str">
        <f>IFERROR(IF(ventas_b_mes684[[#This Row],[CUIT]]="","-",VLOOKUP(ventas_b_mes684[[#This Row],[CUIT]],Lista_CUIT[#All],2,0)),"CUIT NO CARGADO")</f>
        <v>CUIT NO CARGADO</v>
      </c>
      <c r="H1599" s="64">
        <v>20661.16</v>
      </c>
      <c r="I1599" s="64">
        <f>ventas_b_mes684[[#This Row],[IMPORTE NETO]]*0.21</f>
        <v>4338.8436000000002</v>
      </c>
      <c r="J1599" s="64"/>
      <c r="K1599" s="64"/>
      <c r="L1599" s="64">
        <f>SUM(ventas_b_mes684[[#This Row],[IMPORTE NETO]:[EXENTO]])</f>
        <v>25000.0036</v>
      </c>
      <c r="M1599" s="59"/>
    </row>
    <row r="1600" spans="2:13">
      <c r="B1600" s="40" t="s">
        <v>2315</v>
      </c>
      <c r="C1600" s="41">
        <v>6</v>
      </c>
      <c r="D1600" s="42">
        <v>11</v>
      </c>
      <c r="E1600" s="43">
        <v>38239</v>
      </c>
      <c r="F1600" s="44">
        <v>34123901</v>
      </c>
      <c r="G1600" s="1" t="str">
        <f>IFERROR(IF(ventas_b_mes684[[#This Row],[CUIT]]="","-",VLOOKUP(ventas_b_mes684[[#This Row],[CUIT]],Lista_CUIT[#All],2,0)),"CUIT NO CARGADO")</f>
        <v>CUIT NO CARGADO</v>
      </c>
      <c r="H1600" s="64">
        <v>23305.79</v>
      </c>
      <c r="I1600" s="64">
        <f>ventas_b_mes684[[#This Row],[IMPORTE NETO]]*0.21</f>
        <v>4894.2159000000001</v>
      </c>
      <c r="J1600" s="64"/>
      <c r="K1600" s="64"/>
      <c r="L1600" s="64">
        <f>SUM(ventas_b_mes684[[#This Row],[IMPORTE NETO]:[EXENTO]])</f>
        <v>28200.0059</v>
      </c>
      <c r="M1600" s="59"/>
    </row>
    <row r="1601" spans="2:13">
      <c r="B1601" s="40" t="s">
        <v>2315</v>
      </c>
      <c r="C1601" s="41">
        <v>6</v>
      </c>
      <c r="D1601" s="42">
        <v>15</v>
      </c>
      <c r="E1601" s="43">
        <v>13371</v>
      </c>
      <c r="F1601" s="44">
        <v>27687487</v>
      </c>
      <c r="G1601" s="1" t="str">
        <f>IFERROR(IF(ventas_b_mes684[[#This Row],[CUIT]]="","-",VLOOKUP(ventas_b_mes684[[#This Row],[CUIT]],Lista_CUIT[#All],2,0)),"CUIT NO CARGADO")</f>
        <v>CUIT NO CARGADO</v>
      </c>
      <c r="H1601" s="64">
        <v>21289.26</v>
      </c>
      <c r="I1601" s="64">
        <f>ventas_b_mes684[[#This Row],[IMPORTE NETO]]*0.21</f>
        <v>4470.7445999999991</v>
      </c>
      <c r="J1601" s="64"/>
      <c r="K1601" s="64"/>
      <c r="L1601" s="64">
        <f>SUM(ventas_b_mes684[[#This Row],[IMPORTE NETO]:[EXENTO]])</f>
        <v>25760.004599999997</v>
      </c>
      <c r="M1601" s="59"/>
    </row>
    <row r="1602" spans="2:13">
      <c r="B1602" s="40" t="s">
        <v>2315</v>
      </c>
      <c r="C1602" s="41">
        <v>6</v>
      </c>
      <c r="D1602" s="42">
        <v>12</v>
      </c>
      <c r="E1602" s="43">
        <v>29763</v>
      </c>
      <c r="F1602" s="44">
        <v>24111399</v>
      </c>
      <c r="G1602" s="1" t="str">
        <f>IFERROR(IF(ventas_b_mes684[[#This Row],[CUIT]]="","-",VLOOKUP(ventas_b_mes684[[#This Row],[CUIT]],Lista_CUIT[#All],2,0)),"CUIT NO CARGADO")</f>
        <v>CUIT NO CARGADO</v>
      </c>
      <c r="H1602" s="64">
        <v>47933.88</v>
      </c>
      <c r="I1602" s="64">
        <f>ventas_b_mes684[[#This Row],[IMPORTE NETO]]*0.21</f>
        <v>10066.114799999999</v>
      </c>
      <c r="J1602" s="64"/>
      <c r="K1602" s="64"/>
      <c r="L1602" s="64">
        <f>SUM(ventas_b_mes684[[#This Row],[IMPORTE NETO]:[EXENTO]])</f>
        <v>57999.9948</v>
      </c>
      <c r="M1602" s="59"/>
    </row>
    <row r="1603" spans="2:13">
      <c r="B1603" s="40" t="s">
        <v>2315</v>
      </c>
      <c r="C1603" s="41">
        <v>6</v>
      </c>
      <c r="D1603" s="42">
        <v>11</v>
      </c>
      <c r="E1603" s="43">
        <v>38237</v>
      </c>
      <c r="F1603" s="44">
        <v>18641131</v>
      </c>
      <c r="G1603" s="1" t="str">
        <f>IFERROR(IF(ventas_b_mes684[[#This Row],[CUIT]]="","-",VLOOKUP(ventas_b_mes684[[#This Row],[CUIT]],Lista_CUIT[#All],2,0)),"CUIT NO CARGADO")</f>
        <v>CUIT NO CARGADO</v>
      </c>
      <c r="H1603" s="64">
        <v>4462.8100000000004</v>
      </c>
      <c r="I1603" s="64">
        <f>ventas_b_mes684[[#This Row],[IMPORTE NETO]]*0.21</f>
        <v>937.19010000000003</v>
      </c>
      <c r="J1603" s="64"/>
      <c r="K1603" s="64"/>
      <c r="L1603" s="64">
        <f>SUM(ventas_b_mes684[[#This Row],[IMPORTE NETO]:[EXENTO]])</f>
        <v>5400.0001000000002</v>
      </c>
      <c r="M1603" s="59"/>
    </row>
    <row r="1604" spans="2:13">
      <c r="B1604" s="40" t="s">
        <v>2315</v>
      </c>
      <c r="C1604" s="41">
        <v>6</v>
      </c>
      <c r="D1604" s="42">
        <v>15</v>
      </c>
      <c r="E1604" s="43">
        <v>13379</v>
      </c>
      <c r="F1604" s="44">
        <v>31508290</v>
      </c>
      <c r="G1604" s="1" t="str">
        <f>IFERROR(IF(ventas_b_mes684[[#This Row],[CUIT]]="","-",VLOOKUP(ventas_b_mes684[[#This Row],[CUIT]],Lista_CUIT[#All],2,0)),"CUIT NO CARGADO")</f>
        <v>CARLETTI, MARIELA ANDREA (ESTUDIANTE)</v>
      </c>
      <c r="H1604" s="64">
        <v>38190.080000000002</v>
      </c>
      <c r="I1604" s="64">
        <f>ventas_b_mes684[[#This Row],[IMPORTE NETO]]*0.21</f>
        <v>8019.9168</v>
      </c>
      <c r="J1604" s="64"/>
      <c r="K1604" s="64"/>
      <c r="L1604" s="64">
        <f>SUM(ventas_b_mes684[[#This Row],[IMPORTE NETO]:[EXENTO]])</f>
        <v>46209.996800000001</v>
      </c>
      <c r="M1604" s="59"/>
    </row>
    <row r="1605" spans="2:13">
      <c r="B1605" s="40" t="s">
        <v>2315</v>
      </c>
      <c r="C1605" s="41">
        <v>6</v>
      </c>
      <c r="D1605" s="42">
        <v>13</v>
      </c>
      <c r="E1605" s="43">
        <v>32545</v>
      </c>
      <c r="F1605" s="44">
        <v>95881710</v>
      </c>
      <c r="G1605" s="1" t="str">
        <f>IFERROR(IF(ventas_b_mes684[[#This Row],[CUIT]]="","-",VLOOKUP(ventas_b_mes684[[#This Row],[CUIT]],Lista_CUIT[#All],2,0)),"CUIT NO CARGADO")</f>
        <v>CUIT NO CARGADO</v>
      </c>
      <c r="H1605" s="64">
        <v>47685.95</v>
      </c>
      <c r="I1605" s="64">
        <f>ventas_b_mes684[[#This Row],[IMPORTE NETO]]*0.21</f>
        <v>10014.049499999999</v>
      </c>
      <c r="J1605" s="64"/>
      <c r="K1605" s="64"/>
      <c r="L1605" s="64">
        <f>SUM(ventas_b_mes684[[#This Row],[IMPORTE NETO]:[EXENTO]])</f>
        <v>57699.999499999998</v>
      </c>
      <c r="M1605" s="59"/>
    </row>
    <row r="1606" spans="2:13">
      <c r="B1606" s="40" t="s">
        <v>2315</v>
      </c>
      <c r="C1606" s="41">
        <v>6</v>
      </c>
      <c r="D1606" s="42">
        <v>11</v>
      </c>
      <c r="E1606" s="43">
        <v>38246</v>
      </c>
      <c r="F1606" s="44">
        <v>16919860</v>
      </c>
      <c r="G1606" s="1" t="str">
        <f>IFERROR(IF(ventas_b_mes684[[#This Row],[CUIT]]="","-",VLOOKUP(ventas_b_mes684[[#This Row],[CUIT]],Lista_CUIT[#All],2,0)),"CUIT NO CARGADO")</f>
        <v>CUIT NO CARGADO</v>
      </c>
      <c r="H1606" s="64">
        <v>16280.99</v>
      </c>
      <c r="I1606" s="64">
        <f>ventas_b_mes684[[#This Row],[IMPORTE NETO]]*0.21</f>
        <v>3419.0078999999996</v>
      </c>
      <c r="J1606" s="64"/>
      <c r="K1606" s="64"/>
      <c r="L1606" s="64">
        <f>SUM(ventas_b_mes684[[#This Row],[IMPORTE NETO]:[EXENTO]])</f>
        <v>19699.997899999998</v>
      </c>
      <c r="M1606" s="59"/>
    </row>
    <row r="1607" spans="2:13">
      <c r="B1607" s="40" t="s">
        <v>2315</v>
      </c>
      <c r="C1607" s="41">
        <v>6</v>
      </c>
      <c r="D1607" s="42">
        <v>10</v>
      </c>
      <c r="E1607" s="43">
        <v>54564</v>
      </c>
      <c r="F1607" s="44">
        <v>17427645</v>
      </c>
      <c r="G1607" s="1" t="str">
        <f>IFERROR(IF(ventas_b_mes684[[#This Row],[CUIT]]="","-",VLOOKUP(ventas_b_mes684[[#This Row],[CUIT]],Lista_CUIT[#All],2,0)),"CUIT NO CARGADO")</f>
        <v>CUIT NO CARGADO</v>
      </c>
      <c r="H1607" s="64">
        <v>8264.4599999999991</v>
      </c>
      <c r="I1607" s="64">
        <f>ventas_b_mes684[[#This Row],[IMPORTE NETO]]*0.21</f>
        <v>1735.5365999999997</v>
      </c>
      <c r="J1607" s="64"/>
      <c r="K1607" s="64"/>
      <c r="L1607" s="64">
        <f>SUM(ventas_b_mes684[[#This Row],[IMPORTE NETO]:[EXENTO]])</f>
        <v>9999.9965999999986</v>
      </c>
      <c r="M1607" s="59"/>
    </row>
    <row r="1608" spans="2:13">
      <c r="B1608" s="40" t="s">
        <v>2315</v>
      </c>
      <c r="C1608" s="41">
        <v>8</v>
      </c>
      <c r="D1608" s="42">
        <v>13</v>
      </c>
      <c r="E1608" s="43">
        <v>832</v>
      </c>
      <c r="F1608" s="44">
        <v>18699110</v>
      </c>
      <c r="G1608" s="1" t="str">
        <f>IFERROR(IF(ventas_b_mes684[[#This Row],[CUIT]]="","-",VLOOKUP(ventas_b_mes684[[#This Row],[CUIT]],Lista_CUIT[#All],2,0)),"CUIT NO CARGADO")</f>
        <v>CUIT NO CARGADO</v>
      </c>
      <c r="H1608" s="64">
        <v>-190413.22</v>
      </c>
      <c r="I1608" s="64">
        <f>ventas_b_mes684[[#This Row],[IMPORTE NETO]]*0.21</f>
        <v>-39986.7762</v>
      </c>
      <c r="J1608" s="64"/>
      <c r="K1608" s="64"/>
      <c r="L1608" s="64">
        <f>SUM(ventas_b_mes684[[#This Row],[IMPORTE NETO]:[EXENTO]])</f>
        <v>-230399.99619999999</v>
      </c>
      <c r="M1608" s="59"/>
    </row>
    <row r="1609" spans="2:13">
      <c r="B1609" s="40" t="s">
        <v>2315</v>
      </c>
      <c r="C1609" s="41">
        <v>8</v>
      </c>
      <c r="D1609" s="42">
        <v>12</v>
      </c>
      <c r="E1609" s="43">
        <v>912</v>
      </c>
      <c r="F1609" s="44">
        <v>17815696</v>
      </c>
      <c r="G1609" s="1" t="str">
        <f>IFERROR(IF(ventas_b_mes684[[#This Row],[CUIT]]="","-",VLOOKUP(ventas_b_mes684[[#This Row],[CUIT]],Lista_CUIT[#All],2,0)),"CUIT NO CARGADO")</f>
        <v>CUIT NO CARGADO</v>
      </c>
      <c r="H1609" s="64">
        <v>-32148.76</v>
      </c>
      <c r="I1609" s="64">
        <f>ventas_b_mes684[[#This Row],[IMPORTE NETO]]*0.21</f>
        <v>-6751.239599999999</v>
      </c>
      <c r="J1609" s="64"/>
      <c r="K1609" s="64"/>
      <c r="L1609" s="64">
        <f>SUM(ventas_b_mes684[[#This Row],[IMPORTE NETO]:[EXENTO]])</f>
        <v>-38899.999599999996</v>
      </c>
      <c r="M1609" s="59"/>
    </row>
    <row r="1610" spans="2:13">
      <c r="B1610" s="40" t="s">
        <v>2315</v>
      </c>
      <c r="C1610" s="41">
        <v>8</v>
      </c>
      <c r="D1610" s="42">
        <v>12</v>
      </c>
      <c r="E1610" s="43">
        <v>913</v>
      </c>
      <c r="F1610" s="44">
        <v>42961023</v>
      </c>
      <c r="G1610" s="1" t="str">
        <f>IFERROR(IF(ventas_b_mes684[[#This Row],[CUIT]]="","-",VLOOKUP(ventas_b_mes684[[#This Row],[CUIT]],Lista_CUIT[#All],2,0)),"CUIT NO CARGADO")</f>
        <v>CUIT NO CARGADO</v>
      </c>
      <c r="H1610" s="64">
        <v>-6537.19</v>
      </c>
      <c r="I1610" s="64">
        <f>ventas_b_mes684[[#This Row],[IMPORTE NETO]]*0.21</f>
        <v>-1372.8099</v>
      </c>
      <c r="J1610" s="64"/>
      <c r="K1610" s="64"/>
      <c r="L1610" s="64">
        <f>SUM(ventas_b_mes684[[#This Row],[IMPORTE NETO]:[EXENTO]])</f>
        <v>-7909.9998999999998</v>
      </c>
      <c r="M1610" s="59"/>
    </row>
    <row r="1611" spans="2:13">
      <c r="B1611" s="40" t="s">
        <v>2316</v>
      </c>
      <c r="C1611" s="41">
        <v>6</v>
      </c>
      <c r="D1611" s="42">
        <v>11</v>
      </c>
      <c r="E1611" s="43">
        <v>38252</v>
      </c>
      <c r="F1611" s="44">
        <v>92708396</v>
      </c>
      <c r="G1611" s="1" t="str">
        <f>IFERROR(IF(ventas_b_mes684[[#This Row],[CUIT]]="","-",VLOOKUP(ventas_b_mes684[[#This Row],[CUIT]],Lista_CUIT[#All],2,0)),"CUIT NO CARGADO")</f>
        <v>CUIT NO CARGADO</v>
      </c>
      <c r="H1611" s="64">
        <v>10785.12</v>
      </c>
      <c r="I1611" s="64">
        <f>ventas_b_mes684[[#This Row],[IMPORTE NETO]]*0.21</f>
        <v>2264.8751999999999</v>
      </c>
      <c r="J1611" s="64"/>
      <c r="K1611" s="64"/>
      <c r="L1611" s="64">
        <f>SUM(ventas_b_mes684[[#This Row],[IMPORTE NETO]:[EXENTO]])</f>
        <v>13049.995200000001</v>
      </c>
      <c r="M1611" s="59"/>
    </row>
    <row r="1612" spans="2:13">
      <c r="B1612" s="40" t="s">
        <v>2316</v>
      </c>
      <c r="C1612" s="41">
        <v>6</v>
      </c>
      <c r="D1612" s="42">
        <v>13</v>
      </c>
      <c r="E1612" s="43">
        <v>32556</v>
      </c>
      <c r="F1612" s="44">
        <v>92761508</v>
      </c>
      <c r="G1612" s="1" t="str">
        <f>IFERROR(IF(ventas_b_mes684[[#This Row],[CUIT]]="","-",VLOOKUP(ventas_b_mes684[[#This Row],[CUIT]],Lista_CUIT[#All],2,0)),"CUIT NO CARGADO")</f>
        <v>CUIT NO CARGADO</v>
      </c>
      <c r="H1612" s="64">
        <v>6917.36</v>
      </c>
      <c r="I1612" s="64">
        <f>ventas_b_mes684[[#This Row],[IMPORTE NETO]]*0.21</f>
        <v>1452.6455999999998</v>
      </c>
      <c r="J1612" s="64"/>
      <c r="K1612" s="64"/>
      <c r="L1612" s="64">
        <f>SUM(ventas_b_mes684[[#This Row],[IMPORTE NETO]:[EXENTO]])</f>
        <v>8370.0056000000004</v>
      </c>
      <c r="M1612" s="59"/>
    </row>
    <row r="1613" spans="2:13">
      <c r="B1613" s="40" t="s">
        <v>2316</v>
      </c>
      <c r="C1613" s="41">
        <v>6</v>
      </c>
      <c r="D1613" s="42">
        <v>13</v>
      </c>
      <c r="E1613" s="43">
        <v>32557</v>
      </c>
      <c r="F1613" s="44">
        <v>944408921</v>
      </c>
      <c r="G1613" s="1" t="str">
        <f>IFERROR(IF(ventas_b_mes684[[#This Row],[CUIT]]="","-",VLOOKUP(ventas_b_mes684[[#This Row],[CUIT]],Lista_CUIT[#All],2,0)),"CUIT NO CARGADO")</f>
        <v>CUIT NO CARGADO</v>
      </c>
      <c r="H1613" s="64">
        <v>26272.73</v>
      </c>
      <c r="I1613" s="64">
        <f>ventas_b_mes684[[#This Row],[IMPORTE NETO]]*0.21</f>
        <v>5517.2732999999998</v>
      </c>
      <c r="J1613" s="64"/>
      <c r="K1613" s="64"/>
      <c r="L1613" s="64">
        <f>SUM(ventas_b_mes684[[#This Row],[IMPORTE NETO]:[EXENTO]])</f>
        <v>31790.0033</v>
      </c>
      <c r="M1613" s="59"/>
    </row>
    <row r="1614" spans="2:13">
      <c r="B1614" s="40" t="s">
        <v>2316</v>
      </c>
      <c r="C1614" s="41">
        <v>6</v>
      </c>
      <c r="D1614" s="42">
        <v>11</v>
      </c>
      <c r="E1614" s="43">
        <v>38251</v>
      </c>
      <c r="F1614" s="44">
        <v>30547963</v>
      </c>
      <c r="G1614" s="1" t="str">
        <f>IFERROR(IF(ventas_b_mes684[[#This Row],[CUIT]]="","-",VLOOKUP(ventas_b_mes684[[#This Row],[CUIT]],Lista_CUIT[#All],2,0)),"CUIT NO CARGADO")</f>
        <v>CUIT NO CARGADO</v>
      </c>
      <c r="H1614" s="64">
        <v>63884.3</v>
      </c>
      <c r="I1614" s="64">
        <f>ventas_b_mes684[[#This Row],[IMPORTE NETO]]*0.21</f>
        <v>13415.703</v>
      </c>
      <c r="J1614" s="64"/>
      <c r="K1614" s="64"/>
      <c r="L1614" s="64">
        <f>SUM(ventas_b_mes684[[#This Row],[IMPORTE NETO]:[EXENTO]])</f>
        <v>77300.002999999997</v>
      </c>
      <c r="M1614" s="59"/>
    </row>
    <row r="1615" spans="2:13">
      <c r="B1615" s="40" t="s">
        <v>2316</v>
      </c>
      <c r="C1615" s="41">
        <v>6</v>
      </c>
      <c r="D1615" s="42">
        <v>12</v>
      </c>
      <c r="E1615" s="43">
        <v>29787</v>
      </c>
      <c r="F1615" s="44">
        <v>13529092</v>
      </c>
      <c r="G1615" s="1" t="str">
        <f>IFERROR(IF(ventas_b_mes684[[#This Row],[CUIT]]="","-",VLOOKUP(ventas_b_mes684[[#This Row],[CUIT]],Lista_CUIT[#All],2,0)),"CUIT NO CARGADO")</f>
        <v>CUIT NO CARGADO</v>
      </c>
      <c r="H1615" s="64">
        <v>46280.99</v>
      </c>
      <c r="I1615" s="64">
        <f>ventas_b_mes684[[#This Row],[IMPORTE NETO]]*0.21</f>
        <v>9719.0078999999987</v>
      </c>
      <c r="J1615" s="64"/>
      <c r="K1615" s="64"/>
      <c r="L1615" s="64">
        <f>SUM(ventas_b_mes684[[#This Row],[IMPORTE NETO]:[EXENTO]])</f>
        <v>55999.997899999995</v>
      </c>
      <c r="M1615" s="59"/>
    </row>
    <row r="1616" spans="2:13">
      <c r="B1616" s="40" t="s">
        <v>2316</v>
      </c>
      <c r="C1616" s="41">
        <v>6</v>
      </c>
      <c r="D1616" s="42">
        <v>11</v>
      </c>
      <c r="E1616" s="43">
        <v>38263</v>
      </c>
      <c r="F1616" s="44">
        <v>9587412</v>
      </c>
      <c r="G1616" s="1" t="str">
        <f>IFERROR(IF(ventas_b_mes684[[#This Row],[CUIT]]="","-",VLOOKUP(ventas_b_mes684[[#This Row],[CUIT]],Lista_CUIT[#All],2,0)),"CUIT NO CARGADO")</f>
        <v>CUIT NO CARGADO</v>
      </c>
      <c r="H1616" s="64">
        <v>70331.399999999994</v>
      </c>
      <c r="I1616" s="64">
        <f>ventas_b_mes684[[#This Row],[IMPORTE NETO]]*0.21</f>
        <v>14769.593999999997</v>
      </c>
      <c r="J1616" s="64"/>
      <c r="K1616" s="64"/>
      <c r="L1616" s="64">
        <f>SUM(ventas_b_mes684[[#This Row],[IMPORTE NETO]:[EXENTO]])</f>
        <v>85100.993999999992</v>
      </c>
      <c r="M1616" s="59"/>
    </row>
    <row r="1617" spans="2:13">
      <c r="B1617" s="40" t="s">
        <v>2316</v>
      </c>
      <c r="C1617" s="41">
        <v>6</v>
      </c>
      <c r="D1617" s="42">
        <v>11</v>
      </c>
      <c r="E1617" s="43">
        <v>38254</v>
      </c>
      <c r="F1617" s="44">
        <v>95930427</v>
      </c>
      <c r="G1617" s="1" t="str">
        <f>IFERROR(IF(ventas_b_mes684[[#This Row],[CUIT]]="","-",VLOOKUP(ventas_b_mes684[[#This Row],[CUIT]],Lista_CUIT[#All],2,0)),"CUIT NO CARGADO")</f>
        <v>CUIT NO CARGADO</v>
      </c>
      <c r="H1617" s="64">
        <v>31541.32</v>
      </c>
      <c r="I1617" s="64">
        <f>ventas_b_mes684[[#This Row],[IMPORTE NETO]]*0.21</f>
        <v>6623.6772000000001</v>
      </c>
      <c r="J1617" s="64"/>
      <c r="K1617" s="64"/>
      <c r="L1617" s="64">
        <f>SUM(ventas_b_mes684[[#This Row],[IMPORTE NETO]:[EXENTO]])</f>
        <v>38164.997199999998</v>
      </c>
      <c r="M1617" s="59"/>
    </row>
    <row r="1618" spans="2:13">
      <c r="B1618" s="40" t="s">
        <v>2316</v>
      </c>
      <c r="C1618" s="41">
        <v>6</v>
      </c>
      <c r="D1618" s="42">
        <v>15</v>
      </c>
      <c r="E1618" s="43">
        <v>13387</v>
      </c>
      <c r="F1618" s="44">
        <v>17951227</v>
      </c>
      <c r="G1618" s="1" t="str">
        <f>IFERROR(IF(ventas_b_mes684[[#This Row],[CUIT]]="","-",VLOOKUP(ventas_b_mes684[[#This Row],[CUIT]],Lista_CUIT[#All],2,0)),"CUIT NO CARGADO")</f>
        <v>CUIT NO CARGADO</v>
      </c>
      <c r="H1618" s="64">
        <v>7438.02</v>
      </c>
      <c r="I1618" s="64">
        <f>ventas_b_mes684[[#This Row],[IMPORTE NETO]]*0.21</f>
        <v>1561.9842000000001</v>
      </c>
      <c r="J1618" s="64"/>
      <c r="K1618" s="64"/>
      <c r="L1618" s="64">
        <f>SUM(ventas_b_mes684[[#This Row],[IMPORTE NETO]:[EXENTO]])</f>
        <v>9000.0042000000012</v>
      </c>
      <c r="M1618" s="59"/>
    </row>
    <row r="1619" spans="2:13">
      <c r="B1619" s="40" t="s">
        <v>2316</v>
      </c>
      <c r="C1619" s="41">
        <v>6</v>
      </c>
      <c r="D1619" s="42">
        <v>13</v>
      </c>
      <c r="E1619" s="43">
        <v>32547</v>
      </c>
      <c r="F1619" s="44">
        <v>44598152</v>
      </c>
      <c r="G1619" s="1" t="str">
        <f>IFERROR(IF(ventas_b_mes684[[#This Row],[CUIT]]="","-",VLOOKUP(ventas_b_mes684[[#This Row],[CUIT]],Lista_CUIT[#All],2,0)),"CUIT NO CARGADO")</f>
        <v>CUIT NO CARGADO</v>
      </c>
      <c r="H1619" s="64">
        <v>6570.25</v>
      </c>
      <c r="I1619" s="64">
        <f>ventas_b_mes684[[#This Row],[IMPORTE NETO]]*0.21</f>
        <v>1379.7525000000001</v>
      </c>
      <c r="J1619" s="64"/>
      <c r="K1619" s="64"/>
      <c r="L1619" s="64">
        <f>SUM(ventas_b_mes684[[#This Row],[IMPORTE NETO]:[EXENTO]])</f>
        <v>7950.0025000000005</v>
      </c>
      <c r="M1619" s="59"/>
    </row>
    <row r="1620" spans="2:13">
      <c r="B1620" s="40" t="s">
        <v>2316</v>
      </c>
      <c r="C1620" s="41">
        <v>6</v>
      </c>
      <c r="D1620" s="42">
        <v>11</v>
      </c>
      <c r="E1620" s="43">
        <v>38260</v>
      </c>
      <c r="F1620" s="44">
        <v>28664336</v>
      </c>
      <c r="G1620" s="1" t="str">
        <f>IFERROR(IF(ventas_b_mes684[[#This Row],[CUIT]]="","-",VLOOKUP(ventas_b_mes684[[#This Row],[CUIT]],Lista_CUIT[#All],2,0)),"CUIT NO CARGADO")</f>
        <v>CUIT NO CARGADO</v>
      </c>
      <c r="H1620" s="64">
        <v>6471.07</v>
      </c>
      <c r="I1620" s="64">
        <f>ventas_b_mes684[[#This Row],[IMPORTE NETO]]*0.21</f>
        <v>1358.9246999999998</v>
      </c>
      <c r="J1620" s="64"/>
      <c r="K1620" s="64"/>
      <c r="L1620" s="64">
        <f>SUM(ventas_b_mes684[[#This Row],[IMPORTE NETO]:[EXENTO]])</f>
        <v>7829.9946999999993</v>
      </c>
      <c r="M1620" s="59"/>
    </row>
    <row r="1621" spans="2:13">
      <c r="B1621" s="40" t="s">
        <v>2316</v>
      </c>
      <c r="C1621" s="41">
        <v>6</v>
      </c>
      <c r="D1621" s="42">
        <v>11</v>
      </c>
      <c r="E1621" s="43">
        <v>38262</v>
      </c>
      <c r="F1621" s="44">
        <v>18294194</v>
      </c>
      <c r="G1621" s="1" t="str">
        <f>IFERROR(IF(ventas_b_mes684[[#This Row],[CUIT]]="","-",VLOOKUP(ventas_b_mes684[[#This Row],[CUIT]],Lista_CUIT[#All],2,0)),"CUIT NO CARGADO")</f>
        <v>CUIT NO CARGADO</v>
      </c>
      <c r="H1621" s="64">
        <v>61818.18</v>
      </c>
      <c r="I1621" s="64">
        <f>ventas_b_mes684[[#This Row],[IMPORTE NETO]]*0.21</f>
        <v>12981.817799999999</v>
      </c>
      <c r="J1621" s="64"/>
      <c r="K1621" s="64"/>
      <c r="L1621" s="64">
        <f>SUM(ventas_b_mes684[[#This Row],[IMPORTE NETO]:[EXENTO]])</f>
        <v>74799.997799999997</v>
      </c>
      <c r="M1621" s="59"/>
    </row>
    <row r="1622" spans="2:13">
      <c r="B1622" s="40" t="s">
        <v>2316</v>
      </c>
      <c r="C1622" s="41">
        <v>6</v>
      </c>
      <c r="D1622" s="42">
        <v>15</v>
      </c>
      <c r="E1622" s="43">
        <v>13383</v>
      </c>
      <c r="F1622" s="44">
        <v>35402739</v>
      </c>
      <c r="G1622" s="1" t="str">
        <f>IFERROR(IF(ventas_b_mes684[[#This Row],[CUIT]]="","-",VLOOKUP(ventas_b_mes684[[#This Row],[CUIT]],Lista_CUIT[#All],2,0)),"CUIT NO CARGADO")</f>
        <v>CUIT NO CARGADO</v>
      </c>
      <c r="H1622" s="64">
        <v>11768.6</v>
      </c>
      <c r="I1622" s="64">
        <f>ventas_b_mes684[[#This Row],[IMPORTE NETO]]*0.21</f>
        <v>2471.4059999999999</v>
      </c>
      <c r="J1622" s="64"/>
      <c r="K1622" s="64"/>
      <c r="L1622" s="64">
        <f>SUM(ventas_b_mes684[[#This Row],[IMPORTE NETO]:[EXENTO]])</f>
        <v>14240.006000000001</v>
      </c>
      <c r="M1622" s="59"/>
    </row>
    <row r="1623" spans="2:13">
      <c r="B1623" s="40" t="s">
        <v>2316</v>
      </c>
      <c r="C1623" s="41">
        <v>6</v>
      </c>
      <c r="D1623" s="42">
        <v>12</v>
      </c>
      <c r="E1623" s="43">
        <v>29791</v>
      </c>
      <c r="F1623" s="44">
        <v>26626528</v>
      </c>
      <c r="G1623" s="1" t="str">
        <f>IFERROR(IF(ventas_b_mes684[[#This Row],[CUIT]]="","-",VLOOKUP(ventas_b_mes684[[#This Row],[CUIT]],Lista_CUIT[#All],2,0)),"CUIT NO CARGADO")</f>
        <v>CUIT NO CARGADO</v>
      </c>
      <c r="H1623" s="64">
        <v>5280.99</v>
      </c>
      <c r="I1623" s="64">
        <f>ventas_b_mes684[[#This Row],[IMPORTE NETO]]*0.21</f>
        <v>1109.0078999999998</v>
      </c>
      <c r="J1623" s="64"/>
      <c r="K1623" s="64"/>
      <c r="L1623" s="64">
        <f>SUM(ventas_b_mes684[[#This Row],[IMPORTE NETO]:[EXENTO]])</f>
        <v>6389.9978999999994</v>
      </c>
      <c r="M1623" s="59"/>
    </row>
    <row r="1624" spans="2:13">
      <c r="B1624" s="40" t="s">
        <v>2316</v>
      </c>
      <c r="C1624" s="41">
        <v>6</v>
      </c>
      <c r="D1624" s="42">
        <v>12</v>
      </c>
      <c r="E1624" s="43">
        <v>29792</v>
      </c>
      <c r="F1624" s="44">
        <v>15489457</v>
      </c>
      <c r="G1624" s="1" t="str">
        <f>IFERROR(IF(ventas_b_mes684[[#This Row],[CUIT]]="","-",VLOOKUP(ventas_b_mes684[[#This Row],[CUIT]],Lista_CUIT[#All],2,0)),"CUIT NO CARGADO")</f>
        <v>CUIT NO CARGADO</v>
      </c>
      <c r="H1624" s="64">
        <v>10330.58</v>
      </c>
      <c r="I1624" s="64">
        <f>ventas_b_mes684[[#This Row],[IMPORTE NETO]]*0.21</f>
        <v>2169.4218000000001</v>
      </c>
      <c r="J1624" s="64"/>
      <c r="K1624" s="64"/>
      <c r="L1624" s="64">
        <f>SUM(ventas_b_mes684[[#This Row],[IMPORTE NETO]:[EXENTO]])</f>
        <v>12500.0018</v>
      </c>
      <c r="M1624" s="59"/>
    </row>
    <row r="1625" spans="2:13">
      <c r="B1625" s="40" t="s">
        <v>2316</v>
      </c>
      <c r="C1625" s="41">
        <v>6</v>
      </c>
      <c r="D1625" s="42">
        <v>12</v>
      </c>
      <c r="E1625" s="43">
        <v>29788</v>
      </c>
      <c r="F1625" s="44">
        <v>34060650</v>
      </c>
      <c r="G1625" s="1" t="str">
        <f>IFERROR(IF(ventas_b_mes684[[#This Row],[CUIT]]="","-",VLOOKUP(ventas_b_mes684[[#This Row],[CUIT]],Lista_CUIT[#All],2,0)),"CUIT NO CARGADO")</f>
        <v>CUIT NO CARGADO</v>
      </c>
      <c r="H1625" s="64">
        <v>5867.77</v>
      </c>
      <c r="I1625" s="64">
        <f>ventas_b_mes684[[#This Row],[IMPORTE NETO]]*0.21</f>
        <v>1232.2317</v>
      </c>
      <c r="J1625" s="64"/>
      <c r="K1625" s="64"/>
      <c r="L1625" s="64">
        <f>SUM(ventas_b_mes684[[#This Row],[IMPORTE NETO]:[EXENTO]])</f>
        <v>7100.0017000000007</v>
      </c>
      <c r="M1625" s="59"/>
    </row>
    <row r="1626" spans="2:13">
      <c r="B1626" s="40" t="s">
        <v>2316</v>
      </c>
      <c r="C1626" s="41">
        <v>6</v>
      </c>
      <c r="D1626" s="42">
        <v>11</v>
      </c>
      <c r="E1626" s="43">
        <v>38248</v>
      </c>
      <c r="F1626" s="44">
        <v>31510366</v>
      </c>
      <c r="G1626" s="1" t="str">
        <f>IFERROR(IF(ventas_b_mes684[[#This Row],[CUIT]]="","-",VLOOKUP(ventas_b_mes684[[#This Row],[CUIT]],Lista_CUIT[#All],2,0)),"CUIT NO CARGADO")</f>
        <v>CUIT NO CARGADO</v>
      </c>
      <c r="H1626" s="64">
        <v>78466.94</v>
      </c>
      <c r="I1626" s="64">
        <f>ventas_b_mes684[[#This Row],[IMPORTE NETO]]*0.21</f>
        <v>16478.057400000002</v>
      </c>
      <c r="J1626" s="64"/>
      <c r="K1626" s="64"/>
      <c r="L1626" s="64">
        <f>SUM(ventas_b_mes684[[#This Row],[IMPORTE NETO]:[EXENTO]])</f>
        <v>94944.997400000007</v>
      </c>
      <c r="M1626" s="59"/>
    </row>
    <row r="1627" spans="2:13">
      <c r="B1627" s="40" t="s">
        <v>2316</v>
      </c>
      <c r="C1627" s="41">
        <v>6</v>
      </c>
      <c r="D1627" s="42">
        <v>15</v>
      </c>
      <c r="E1627" s="43">
        <v>13382</v>
      </c>
      <c r="F1627" s="44">
        <v>16518873</v>
      </c>
      <c r="G1627" s="1" t="str">
        <f>IFERROR(IF(ventas_b_mes684[[#This Row],[CUIT]]="","-",VLOOKUP(ventas_b_mes684[[#This Row],[CUIT]],Lista_CUIT[#All],2,0)),"CUIT NO CARGADO")</f>
        <v>CUIT NO CARGADO</v>
      </c>
      <c r="H1627" s="64">
        <v>7256.2</v>
      </c>
      <c r="I1627" s="64">
        <f>ventas_b_mes684[[#This Row],[IMPORTE NETO]]*0.21</f>
        <v>1523.8019999999999</v>
      </c>
      <c r="J1627" s="64"/>
      <c r="K1627" s="64"/>
      <c r="L1627" s="64">
        <f>SUM(ventas_b_mes684[[#This Row],[IMPORTE NETO]:[EXENTO]])</f>
        <v>8780.0020000000004</v>
      </c>
      <c r="M1627" s="59"/>
    </row>
    <row r="1628" spans="2:13">
      <c r="B1628" s="40" t="s">
        <v>2316</v>
      </c>
      <c r="C1628" s="41">
        <v>6</v>
      </c>
      <c r="D1628" s="42">
        <v>13</v>
      </c>
      <c r="E1628" s="43">
        <v>32555</v>
      </c>
      <c r="F1628" s="44">
        <v>27253996469</v>
      </c>
      <c r="G1628" s="1" t="str">
        <f>IFERROR(IF(ventas_b_mes684[[#This Row],[CUIT]]="","-",VLOOKUP(ventas_b_mes684[[#This Row],[CUIT]],Lista_CUIT[#All],2,0)),"CUIT NO CARGADO")</f>
        <v>CUIT NO CARGADO</v>
      </c>
      <c r="H1628" s="64">
        <v>58834.71</v>
      </c>
      <c r="I1628" s="64">
        <f>ventas_b_mes684[[#This Row],[IMPORTE NETO]]*0.21</f>
        <v>12355.2891</v>
      </c>
      <c r="J1628" s="64"/>
      <c r="K1628" s="64"/>
      <c r="L1628" s="64">
        <f>SUM(ventas_b_mes684[[#This Row],[IMPORTE NETO]:[EXENTO]])</f>
        <v>71189.999100000001</v>
      </c>
      <c r="M1628" s="59"/>
    </row>
    <row r="1629" spans="2:13">
      <c r="B1629" s="40" t="s">
        <v>2316</v>
      </c>
      <c r="C1629" s="41">
        <v>6</v>
      </c>
      <c r="D1629" s="42">
        <v>12</v>
      </c>
      <c r="E1629" s="43">
        <v>29790</v>
      </c>
      <c r="F1629" s="44">
        <v>92339988</v>
      </c>
      <c r="G1629" s="1" t="str">
        <f>IFERROR(IF(ventas_b_mes684[[#This Row],[CUIT]]="","-",VLOOKUP(ventas_b_mes684[[#This Row],[CUIT]],Lista_CUIT[#All],2,0)),"CUIT NO CARGADO")</f>
        <v>CUIT NO CARGADO</v>
      </c>
      <c r="H1629" s="64">
        <v>43425.62</v>
      </c>
      <c r="I1629" s="64">
        <f>ventas_b_mes684[[#This Row],[IMPORTE NETO]]*0.21</f>
        <v>9119.3801999999996</v>
      </c>
      <c r="J1629" s="64"/>
      <c r="K1629" s="64"/>
      <c r="L1629" s="64">
        <f>SUM(ventas_b_mes684[[#This Row],[IMPORTE NETO]:[EXENTO]])</f>
        <v>52545.000200000002</v>
      </c>
      <c r="M1629" s="59"/>
    </row>
    <row r="1630" spans="2:13">
      <c r="B1630" s="40" t="s">
        <v>2316</v>
      </c>
      <c r="C1630" s="41">
        <v>6</v>
      </c>
      <c r="D1630" s="42">
        <v>15</v>
      </c>
      <c r="E1630" s="43">
        <v>13386</v>
      </c>
      <c r="F1630" s="44">
        <v>32611236</v>
      </c>
      <c r="G1630" s="1" t="str">
        <f>IFERROR(IF(ventas_b_mes684[[#This Row],[CUIT]]="","-",VLOOKUP(ventas_b_mes684[[#This Row],[CUIT]],Lista_CUIT[#All],2,0)),"CUIT NO CARGADO")</f>
        <v>CUIT NO CARGADO</v>
      </c>
      <c r="H1630" s="64">
        <v>9123.9699999999993</v>
      </c>
      <c r="I1630" s="64">
        <f>ventas_b_mes684[[#This Row],[IMPORTE NETO]]*0.21</f>
        <v>1916.0336999999997</v>
      </c>
      <c r="J1630" s="64"/>
      <c r="K1630" s="64"/>
      <c r="L1630" s="64">
        <f>SUM(ventas_b_mes684[[#This Row],[IMPORTE NETO]:[EXENTO]])</f>
        <v>11040.003699999999</v>
      </c>
      <c r="M1630" s="59"/>
    </row>
    <row r="1631" spans="2:13">
      <c r="B1631" s="40" t="s">
        <v>2316</v>
      </c>
      <c r="C1631" s="41">
        <v>6</v>
      </c>
      <c r="D1631" s="42">
        <v>13</v>
      </c>
      <c r="E1631" s="43">
        <v>32548</v>
      </c>
      <c r="F1631" s="44">
        <v>20560897</v>
      </c>
      <c r="G1631" s="1" t="str">
        <f>IFERROR(IF(ventas_b_mes684[[#This Row],[CUIT]]="","-",VLOOKUP(ventas_b_mes684[[#This Row],[CUIT]],Lista_CUIT[#All],2,0)),"CUIT NO CARGADO")</f>
        <v>CUIT NO CARGADO</v>
      </c>
      <c r="H1631" s="64">
        <v>34876.03</v>
      </c>
      <c r="I1631" s="64">
        <f>ventas_b_mes684[[#This Row],[IMPORTE NETO]]*0.21</f>
        <v>7323.9662999999991</v>
      </c>
      <c r="J1631" s="64"/>
      <c r="K1631" s="64"/>
      <c r="L1631" s="64">
        <f>SUM(ventas_b_mes684[[#This Row],[IMPORTE NETO]:[EXENTO]])</f>
        <v>42199.996299999999</v>
      </c>
      <c r="M1631" s="59"/>
    </row>
    <row r="1632" spans="2:13">
      <c r="B1632" s="40" t="s">
        <v>2316</v>
      </c>
      <c r="C1632" s="41">
        <v>6</v>
      </c>
      <c r="D1632" s="42">
        <v>10</v>
      </c>
      <c r="E1632" s="43">
        <v>54580</v>
      </c>
      <c r="F1632" s="44">
        <v>95840615</v>
      </c>
      <c r="G1632" s="1" t="str">
        <f>IFERROR(IF(ventas_b_mes684[[#This Row],[CUIT]]="","-",VLOOKUP(ventas_b_mes684[[#This Row],[CUIT]],Lista_CUIT[#All],2,0)),"CUIT NO CARGADO")</f>
        <v>CUIT NO CARGADO</v>
      </c>
      <c r="H1632" s="64">
        <v>1338.84</v>
      </c>
      <c r="I1632" s="64">
        <f>ventas_b_mes684[[#This Row],[IMPORTE NETO]]*0.21</f>
        <v>281.15639999999996</v>
      </c>
      <c r="J1632" s="64"/>
      <c r="K1632" s="64"/>
      <c r="L1632" s="64">
        <f>SUM(ventas_b_mes684[[#This Row],[IMPORTE NETO]:[EXENTO]])</f>
        <v>1619.9964</v>
      </c>
      <c r="M1632" s="59"/>
    </row>
    <row r="1633" spans="2:13">
      <c r="B1633" s="40" t="s">
        <v>2316</v>
      </c>
      <c r="C1633" s="41">
        <v>6</v>
      </c>
      <c r="D1633" s="42">
        <v>10</v>
      </c>
      <c r="E1633" s="43">
        <v>54579</v>
      </c>
      <c r="F1633" s="44">
        <v>95840615</v>
      </c>
      <c r="G1633" s="1" t="str">
        <f>IFERROR(IF(ventas_b_mes684[[#This Row],[CUIT]]="","-",VLOOKUP(ventas_b_mes684[[#This Row],[CUIT]],Lista_CUIT[#All],2,0)),"CUIT NO CARGADO")</f>
        <v>CUIT NO CARGADO</v>
      </c>
      <c r="H1633" s="64">
        <v>7438.02</v>
      </c>
      <c r="I1633" s="64">
        <f>ventas_b_mes684[[#This Row],[IMPORTE NETO]]*0.21</f>
        <v>1561.9842000000001</v>
      </c>
      <c r="J1633" s="64"/>
      <c r="K1633" s="64"/>
      <c r="L1633" s="64">
        <f>SUM(ventas_b_mes684[[#This Row],[IMPORTE NETO]:[EXENTO]])</f>
        <v>9000.0042000000012</v>
      </c>
      <c r="M1633" s="59"/>
    </row>
    <row r="1634" spans="2:13">
      <c r="B1634" s="40" t="s">
        <v>2316</v>
      </c>
      <c r="C1634" s="41">
        <v>6</v>
      </c>
      <c r="D1634" s="42">
        <v>12</v>
      </c>
      <c r="E1634" s="43">
        <v>29785</v>
      </c>
      <c r="F1634" s="44">
        <v>23037138</v>
      </c>
      <c r="G1634" s="1" t="str">
        <f>IFERROR(IF(ventas_b_mes684[[#This Row],[CUIT]]="","-",VLOOKUP(ventas_b_mes684[[#This Row],[CUIT]],Lista_CUIT[#All],2,0)),"CUIT NO CARGADO")</f>
        <v>CUIT NO CARGADO</v>
      </c>
      <c r="H1634" s="64">
        <v>8925.6200000000008</v>
      </c>
      <c r="I1634" s="64">
        <f>ventas_b_mes684[[#This Row],[IMPORTE NETO]]*0.21</f>
        <v>1874.3802000000001</v>
      </c>
      <c r="J1634" s="64"/>
      <c r="K1634" s="64"/>
      <c r="L1634" s="64">
        <f>SUM(ventas_b_mes684[[#This Row],[IMPORTE NETO]:[EXENTO]])</f>
        <v>10800.0002</v>
      </c>
      <c r="M1634" s="59"/>
    </row>
    <row r="1635" spans="2:13">
      <c r="B1635" s="40" t="s">
        <v>2316</v>
      </c>
      <c r="C1635" s="41">
        <v>6</v>
      </c>
      <c r="D1635" s="42">
        <v>11</v>
      </c>
      <c r="E1635" s="43">
        <v>38261</v>
      </c>
      <c r="F1635" s="44">
        <v>22317946</v>
      </c>
      <c r="G1635" s="1" t="str">
        <f>IFERROR(IF(ventas_b_mes684[[#This Row],[CUIT]]="","-",VLOOKUP(ventas_b_mes684[[#This Row],[CUIT]],Lista_CUIT[#All],2,0)),"CUIT NO CARGADO")</f>
        <v>CUIT NO CARGADO</v>
      </c>
      <c r="H1635" s="64">
        <v>36115.699999999997</v>
      </c>
      <c r="I1635" s="64">
        <f>ventas_b_mes684[[#This Row],[IMPORTE NETO]]*0.21</f>
        <v>7584.2969999999987</v>
      </c>
      <c r="J1635" s="64"/>
      <c r="K1635" s="64"/>
      <c r="L1635" s="64">
        <f>SUM(ventas_b_mes684[[#This Row],[IMPORTE NETO]:[EXENTO]])</f>
        <v>43699.996999999996</v>
      </c>
      <c r="M1635" s="59"/>
    </row>
    <row r="1636" spans="2:13">
      <c r="B1636" s="40" t="s">
        <v>2316</v>
      </c>
      <c r="C1636" s="41">
        <v>6</v>
      </c>
      <c r="D1636" s="42">
        <v>13</v>
      </c>
      <c r="E1636" s="43">
        <v>32553</v>
      </c>
      <c r="F1636" s="44">
        <v>20560897</v>
      </c>
      <c r="G1636" s="1" t="str">
        <f>IFERROR(IF(ventas_b_mes684[[#This Row],[CUIT]]="","-",VLOOKUP(ventas_b_mes684[[#This Row],[CUIT]],Lista_CUIT[#All],2,0)),"CUIT NO CARGADO")</f>
        <v>CUIT NO CARGADO</v>
      </c>
      <c r="H1636" s="64">
        <v>36942.15</v>
      </c>
      <c r="I1636" s="64">
        <f>ventas_b_mes684[[#This Row],[IMPORTE NETO]]*0.21</f>
        <v>7757.8514999999998</v>
      </c>
      <c r="J1636" s="64"/>
      <c r="K1636" s="64"/>
      <c r="L1636" s="64">
        <f>SUM(ventas_b_mes684[[#This Row],[IMPORTE NETO]:[EXENTO]])</f>
        <v>44700.001499999998</v>
      </c>
      <c r="M1636" s="59"/>
    </row>
    <row r="1637" spans="2:13">
      <c r="B1637" s="40" t="s">
        <v>2316</v>
      </c>
      <c r="C1637" s="41">
        <v>6</v>
      </c>
      <c r="D1637" s="42">
        <v>10</v>
      </c>
      <c r="E1637" s="43">
        <v>54585</v>
      </c>
      <c r="F1637" s="44">
        <v>19041098</v>
      </c>
      <c r="G1637" s="1" t="str">
        <f>IFERROR(IF(ventas_b_mes684[[#This Row],[CUIT]]="","-",VLOOKUP(ventas_b_mes684[[#This Row],[CUIT]],Lista_CUIT[#All],2,0)),"CUIT NO CARGADO")</f>
        <v>CUIT NO CARGADO</v>
      </c>
      <c r="H1637" s="64">
        <v>24049.59</v>
      </c>
      <c r="I1637" s="64">
        <f>ventas_b_mes684[[#This Row],[IMPORTE NETO]]*0.21</f>
        <v>5050.4138999999996</v>
      </c>
      <c r="J1637" s="64"/>
      <c r="K1637" s="64"/>
      <c r="L1637" s="64">
        <f>SUM(ventas_b_mes684[[#This Row],[IMPORTE NETO]:[EXENTO]])</f>
        <v>29100.0039</v>
      </c>
      <c r="M1637" s="59"/>
    </row>
    <row r="1638" spans="2:13">
      <c r="B1638" s="40" t="s">
        <v>2316</v>
      </c>
      <c r="C1638" s="41">
        <v>6</v>
      </c>
      <c r="D1638" s="42">
        <v>12</v>
      </c>
      <c r="E1638" s="43">
        <v>29789</v>
      </c>
      <c r="F1638" s="44">
        <v>25802713</v>
      </c>
      <c r="G1638" s="1" t="str">
        <f>IFERROR(IF(ventas_b_mes684[[#This Row],[CUIT]]="","-",VLOOKUP(ventas_b_mes684[[#This Row],[CUIT]],Lista_CUIT[#All],2,0)),"CUIT NO CARGADO")</f>
        <v>CUIT NO CARGADO</v>
      </c>
      <c r="H1638" s="64">
        <v>46328.56</v>
      </c>
      <c r="I1638" s="64">
        <f>ventas_b_mes684[[#This Row],[IMPORTE NETO]]*0.21</f>
        <v>9728.9975999999988</v>
      </c>
      <c r="J1638" s="64"/>
      <c r="K1638" s="64"/>
      <c r="L1638" s="64">
        <f>SUM(ventas_b_mes684[[#This Row],[IMPORTE NETO]:[EXENTO]])</f>
        <v>56057.5576</v>
      </c>
      <c r="M1638" s="59"/>
    </row>
    <row r="1639" spans="2:13">
      <c r="B1639" s="40" t="s">
        <v>2316</v>
      </c>
      <c r="C1639" s="41">
        <v>6</v>
      </c>
      <c r="D1639" s="42">
        <v>15</v>
      </c>
      <c r="E1639" s="43">
        <v>13385</v>
      </c>
      <c r="F1639" s="44">
        <v>38700947</v>
      </c>
      <c r="G1639" s="1" t="str">
        <f>IFERROR(IF(ventas_b_mes684[[#This Row],[CUIT]]="","-",VLOOKUP(ventas_b_mes684[[#This Row],[CUIT]],Lista_CUIT[#All],2,0)),"CUIT NO CARGADO")</f>
        <v>CUIT NO CARGADO</v>
      </c>
      <c r="H1639" s="64">
        <v>4561.9799999999996</v>
      </c>
      <c r="I1639" s="64">
        <f>ventas_b_mes684[[#This Row],[IMPORTE NETO]]*0.21</f>
        <v>958.0157999999999</v>
      </c>
      <c r="J1639" s="64"/>
      <c r="K1639" s="64"/>
      <c r="L1639" s="64">
        <f>SUM(ventas_b_mes684[[#This Row],[IMPORTE NETO]:[EXENTO]])</f>
        <v>5519.9957999999997</v>
      </c>
      <c r="M1639" s="59"/>
    </row>
    <row r="1640" spans="2:13">
      <c r="B1640" s="40" t="s">
        <v>2316</v>
      </c>
      <c r="C1640" s="41">
        <v>6</v>
      </c>
      <c r="D1640" s="42">
        <v>11</v>
      </c>
      <c r="E1640" s="43">
        <v>38259</v>
      </c>
      <c r="F1640" s="44">
        <v>38890414</v>
      </c>
      <c r="G1640" s="1" t="str">
        <f>IFERROR(IF(ventas_b_mes684[[#This Row],[CUIT]]="","-",VLOOKUP(ventas_b_mes684[[#This Row],[CUIT]],Lista_CUIT[#All],2,0)),"CUIT NO CARGADO")</f>
        <v>CUIT NO CARGADO</v>
      </c>
      <c r="H1640" s="64">
        <v>20661.16</v>
      </c>
      <c r="I1640" s="64">
        <f>ventas_b_mes684[[#This Row],[IMPORTE NETO]]*0.21</f>
        <v>4338.8436000000002</v>
      </c>
      <c r="J1640" s="64"/>
      <c r="K1640" s="64"/>
      <c r="L1640" s="64">
        <f>SUM(ventas_b_mes684[[#This Row],[IMPORTE NETO]:[EXENTO]])</f>
        <v>25000.0036</v>
      </c>
      <c r="M1640" s="59"/>
    </row>
    <row r="1641" spans="2:13">
      <c r="B1641" s="40" t="s">
        <v>2316</v>
      </c>
      <c r="C1641" s="41">
        <v>6</v>
      </c>
      <c r="D1641" s="42">
        <v>11</v>
      </c>
      <c r="E1641" s="43">
        <v>38247</v>
      </c>
      <c r="F1641" s="44">
        <v>18641131</v>
      </c>
      <c r="G1641" s="1" t="str">
        <f>IFERROR(IF(ventas_b_mes684[[#This Row],[CUIT]]="","-",VLOOKUP(ventas_b_mes684[[#This Row],[CUIT]],Lista_CUIT[#All],2,0)),"CUIT NO CARGADO")</f>
        <v>CUIT NO CARGADO</v>
      </c>
      <c r="H1641" s="64">
        <v>9966.94</v>
      </c>
      <c r="I1641" s="64">
        <f>ventas_b_mes684[[#This Row],[IMPORTE NETO]]*0.21</f>
        <v>2093.0574000000001</v>
      </c>
      <c r="J1641" s="64"/>
      <c r="K1641" s="64"/>
      <c r="L1641" s="64">
        <f>SUM(ventas_b_mes684[[#This Row],[IMPORTE NETO]:[EXENTO]])</f>
        <v>12059.9974</v>
      </c>
      <c r="M1641" s="59"/>
    </row>
    <row r="1642" spans="2:13">
      <c r="B1642" s="40" t="s">
        <v>2316</v>
      </c>
      <c r="C1642" s="41">
        <v>6</v>
      </c>
      <c r="D1642" s="42">
        <v>15</v>
      </c>
      <c r="E1642" s="43">
        <v>13381</v>
      </c>
      <c r="F1642" s="44">
        <v>21649880</v>
      </c>
      <c r="G1642" s="1" t="str">
        <f>IFERROR(IF(ventas_b_mes684[[#This Row],[CUIT]]="","-",VLOOKUP(ventas_b_mes684[[#This Row],[CUIT]],Lista_CUIT[#All],2,0)),"CUIT NO CARGADO")</f>
        <v>CUIT NO CARGADO</v>
      </c>
      <c r="H1642" s="64">
        <v>61900.83</v>
      </c>
      <c r="I1642" s="64">
        <f>ventas_b_mes684[[#This Row],[IMPORTE NETO]]*0.21</f>
        <v>12999.174300000001</v>
      </c>
      <c r="J1642" s="64"/>
      <c r="K1642" s="64"/>
      <c r="L1642" s="64">
        <f>SUM(ventas_b_mes684[[#This Row],[IMPORTE NETO]:[EXENTO]])</f>
        <v>74900.004300000001</v>
      </c>
      <c r="M1642" s="59"/>
    </row>
    <row r="1643" spans="2:13">
      <c r="B1643" s="40" t="s">
        <v>2316</v>
      </c>
      <c r="C1643" s="41">
        <v>6</v>
      </c>
      <c r="D1643" s="42">
        <v>11</v>
      </c>
      <c r="E1643" s="43">
        <v>38249</v>
      </c>
      <c r="F1643" s="44">
        <v>96314358</v>
      </c>
      <c r="G1643" s="1" t="str">
        <f>IFERROR(IF(ventas_b_mes684[[#This Row],[CUIT]]="","-",VLOOKUP(ventas_b_mes684[[#This Row],[CUIT]],Lista_CUIT[#All],2,0)),"CUIT NO CARGADO")</f>
        <v>CUIT NO CARGADO</v>
      </c>
      <c r="H1643" s="64">
        <v>9090.91</v>
      </c>
      <c r="I1643" s="64">
        <f>ventas_b_mes684[[#This Row],[IMPORTE NETO]]*0.21</f>
        <v>1909.0910999999999</v>
      </c>
      <c r="J1643" s="64"/>
      <c r="K1643" s="64"/>
      <c r="L1643" s="64">
        <f>SUM(ventas_b_mes684[[#This Row],[IMPORTE NETO]:[EXENTO]])</f>
        <v>11000.001099999999</v>
      </c>
      <c r="M1643" s="59"/>
    </row>
    <row r="1644" spans="2:13">
      <c r="B1644" s="40" t="s">
        <v>2316</v>
      </c>
      <c r="C1644" s="41">
        <v>6</v>
      </c>
      <c r="D1644" s="42">
        <v>10</v>
      </c>
      <c r="E1644" s="43">
        <v>54586</v>
      </c>
      <c r="F1644" s="44">
        <v>16254111</v>
      </c>
      <c r="G1644" s="1" t="str">
        <f>IFERROR(IF(ventas_b_mes684[[#This Row],[CUIT]]="","-",VLOOKUP(ventas_b_mes684[[#This Row],[CUIT]],Lista_CUIT[#All],2,0)),"CUIT NO CARGADO")</f>
        <v>CUIT NO CARGADO</v>
      </c>
      <c r="H1644" s="64">
        <v>33619.83</v>
      </c>
      <c r="I1644" s="64">
        <f>ventas_b_mes684[[#This Row],[IMPORTE NETO]]*0.21</f>
        <v>7060.1643000000004</v>
      </c>
      <c r="J1644" s="64"/>
      <c r="K1644" s="64"/>
      <c r="L1644" s="64">
        <f>SUM(ventas_b_mes684[[#This Row],[IMPORTE NETO]:[EXENTO]])</f>
        <v>40679.994300000006</v>
      </c>
      <c r="M1644" s="59"/>
    </row>
    <row r="1645" spans="2:13">
      <c r="B1645" s="40" t="s">
        <v>2316</v>
      </c>
      <c r="C1645" s="41">
        <v>6</v>
      </c>
      <c r="D1645" s="42">
        <v>10</v>
      </c>
      <c r="E1645" s="43">
        <v>54584</v>
      </c>
      <c r="F1645" s="44">
        <v>22157020</v>
      </c>
      <c r="G1645" s="1" t="str">
        <f>IFERROR(IF(ventas_b_mes684[[#This Row],[CUIT]]="","-",VLOOKUP(ventas_b_mes684[[#This Row],[CUIT]],Lista_CUIT[#All],2,0)),"CUIT NO CARGADO")</f>
        <v>CUIT NO CARGADO</v>
      </c>
      <c r="H1645" s="64">
        <v>26280.99</v>
      </c>
      <c r="I1645" s="64">
        <f>ventas_b_mes684[[#This Row],[IMPORTE NETO]]*0.21</f>
        <v>5519.0079000000005</v>
      </c>
      <c r="J1645" s="64"/>
      <c r="K1645" s="64"/>
      <c r="L1645" s="64">
        <f>SUM(ventas_b_mes684[[#This Row],[IMPORTE NETO]:[EXENTO]])</f>
        <v>31799.997900000002</v>
      </c>
      <c r="M1645" s="59"/>
    </row>
    <row r="1646" spans="2:13">
      <c r="B1646" s="40" t="s">
        <v>2316</v>
      </c>
      <c r="C1646" s="41">
        <v>6</v>
      </c>
      <c r="D1646" s="42">
        <v>15</v>
      </c>
      <c r="E1646" s="43">
        <v>13384</v>
      </c>
      <c r="F1646" s="44">
        <v>24001394</v>
      </c>
      <c r="G1646" s="1" t="str">
        <f>IFERROR(IF(ventas_b_mes684[[#This Row],[CUIT]]="","-",VLOOKUP(ventas_b_mes684[[#This Row],[CUIT]],Lista_CUIT[#All],2,0)),"CUIT NO CARGADO")</f>
        <v>CUIT NO CARGADO</v>
      </c>
      <c r="H1646" s="64">
        <v>9661.16</v>
      </c>
      <c r="I1646" s="64">
        <f>ventas_b_mes684[[#This Row],[IMPORTE NETO]]*0.21</f>
        <v>2028.8435999999999</v>
      </c>
      <c r="J1646" s="64"/>
      <c r="K1646" s="64"/>
      <c r="L1646" s="64">
        <f>SUM(ventas_b_mes684[[#This Row],[IMPORTE NETO]:[EXENTO]])</f>
        <v>11690.0036</v>
      </c>
      <c r="M1646" s="59"/>
    </row>
    <row r="1647" spans="2:13">
      <c r="B1647" s="40" t="s">
        <v>2316</v>
      </c>
      <c r="C1647" s="41">
        <v>6</v>
      </c>
      <c r="D1647" s="42">
        <v>13</v>
      </c>
      <c r="E1647" s="43">
        <v>32546</v>
      </c>
      <c r="F1647" s="44">
        <v>12785466</v>
      </c>
      <c r="G1647" s="1" t="str">
        <f>IFERROR(IF(ventas_b_mes684[[#This Row],[CUIT]]="","-",VLOOKUP(ventas_b_mes684[[#This Row],[CUIT]],Lista_CUIT[#All],2,0)),"CUIT NO CARGADO")</f>
        <v>CUIT NO CARGADO</v>
      </c>
      <c r="H1647" s="64">
        <v>21487.599999999999</v>
      </c>
      <c r="I1647" s="64">
        <f>ventas_b_mes684[[#This Row],[IMPORTE NETO]]*0.21</f>
        <v>4512.3959999999997</v>
      </c>
      <c r="J1647" s="64"/>
      <c r="K1647" s="64"/>
      <c r="L1647" s="64">
        <f>SUM(ventas_b_mes684[[#This Row],[IMPORTE NETO]:[EXENTO]])</f>
        <v>25999.995999999999</v>
      </c>
      <c r="M1647" s="59"/>
    </row>
    <row r="1648" spans="2:13">
      <c r="B1648" s="40" t="s">
        <v>2316</v>
      </c>
      <c r="C1648" s="41">
        <v>6</v>
      </c>
      <c r="D1648" s="42">
        <v>11</v>
      </c>
      <c r="E1648" s="43">
        <v>38258</v>
      </c>
      <c r="F1648" s="44">
        <v>31661683</v>
      </c>
      <c r="G1648" s="1" t="str">
        <f>IFERROR(IF(ventas_b_mes684[[#This Row],[CUIT]]="","-",VLOOKUP(ventas_b_mes684[[#This Row],[CUIT]],Lista_CUIT[#All],2,0)),"CUIT NO CARGADO")</f>
        <v>CUIT NO CARGADO</v>
      </c>
      <c r="H1648" s="64">
        <v>20661.16</v>
      </c>
      <c r="I1648" s="64">
        <f>ventas_b_mes684[[#This Row],[IMPORTE NETO]]*0.21</f>
        <v>4338.8436000000002</v>
      </c>
      <c r="J1648" s="64"/>
      <c r="K1648" s="64"/>
      <c r="L1648" s="64">
        <f>SUM(ventas_b_mes684[[#This Row],[IMPORTE NETO]:[EXENTO]])</f>
        <v>25000.0036</v>
      </c>
      <c r="M1648" s="59"/>
    </row>
    <row r="1649" spans="2:13">
      <c r="B1649" s="40" t="s">
        <v>2316</v>
      </c>
      <c r="C1649" s="41">
        <v>6</v>
      </c>
      <c r="D1649" s="42">
        <v>11</v>
      </c>
      <c r="E1649" s="43">
        <v>38257</v>
      </c>
      <c r="F1649" s="44">
        <v>31661683</v>
      </c>
      <c r="G1649" s="1" t="str">
        <f>IFERROR(IF(ventas_b_mes684[[#This Row],[CUIT]]="","-",VLOOKUP(ventas_b_mes684[[#This Row],[CUIT]],Lista_CUIT[#All],2,0)),"CUIT NO CARGADO")</f>
        <v>CUIT NO CARGADO</v>
      </c>
      <c r="H1649" s="64">
        <v>6917.36</v>
      </c>
      <c r="I1649" s="64">
        <f>ventas_b_mes684[[#This Row],[IMPORTE NETO]]*0.21</f>
        <v>1452.6455999999998</v>
      </c>
      <c r="J1649" s="64"/>
      <c r="K1649" s="64"/>
      <c r="L1649" s="64">
        <f>SUM(ventas_b_mes684[[#This Row],[IMPORTE NETO]:[EXENTO]])</f>
        <v>8370.0056000000004</v>
      </c>
      <c r="M1649" s="59"/>
    </row>
    <row r="1650" spans="2:13">
      <c r="B1650" s="40" t="s">
        <v>2316</v>
      </c>
      <c r="C1650" s="41">
        <v>6</v>
      </c>
      <c r="D1650" s="42">
        <v>10</v>
      </c>
      <c r="E1650" s="43">
        <v>54583</v>
      </c>
      <c r="F1650" s="44">
        <v>26589455</v>
      </c>
      <c r="G1650" s="1" t="str">
        <f>IFERROR(IF(ventas_b_mes684[[#This Row],[CUIT]]="","-",VLOOKUP(ventas_b_mes684[[#This Row],[CUIT]],Lista_CUIT[#All],2,0)),"CUIT NO CARGADO")</f>
        <v>CUIT NO CARGADO</v>
      </c>
      <c r="H1650" s="64">
        <v>44541.38</v>
      </c>
      <c r="I1650" s="64">
        <f>ventas_b_mes684[[#This Row],[IMPORTE NETO]]*0.21</f>
        <v>9353.6897999999983</v>
      </c>
      <c r="J1650" s="64"/>
      <c r="K1650" s="64"/>
      <c r="L1650" s="64">
        <f>SUM(ventas_b_mes684[[#This Row],[IMPORTE NETO]:[EXENTO]])</f>
        <v>53895.069799999997</v>
      </c>
      <c r="M1650" s="59"/>
    </row>
    <row r="1651" spans="2:13">
      <c r="B1651" s="40" t="s">
        <v>2316</v>
      </c>
      <c r="C1651" s="41">
        <v>6</v>
      </c>
      <c r="D1651" s="42">
        <v>13</v>
      </c>
      <c r="E1651" s="43">
        <v>32552</v>
      </c>
      <c r="F1651" s="44">
        <v>96274940</v>
      </c>
      <c r="G1651" s="1" t="str">
        <f>IFERROR(IF(ventas_b_mes684[[#This Row],[CUIT]]="","-",VLOOKUP(ventas_b_mes684[[#This Row],[CUIT]],Lista_CUIT[#All],2,0)),"CUIT NO CARGADO")</f>
        <v>CUIT NO CARGADO</v>
      </c>
      <c r="H1651" s="64">
        <v>3421.49</v>
      </c>
      <c r="I1651" s="64">
        <f>ventas_b_mes684[[#This Row],[IMPORTE NETO]]*0.21</f>
        <v>718.51289999999995</v>
      </c>
      <c r="J1651" s="64"/>
      <c r="K1651" s="64"/>
      <c r="L1651" s="64">
        <f>SUM(ventas_b_mes684[[#This Row],[IMPORTE NETO]:[EXENTO]])</f>
        <v>4140.0028999999995</v>
      </c>
      <c r="M1651" s="59"/>
    </row>
    <row r="1652" spans="2:13">
      <c r="B1652" s="40" t="s">
        <v>2316</v>
      </c>
      <c r="C1652" s="41">
        <v>6</v>
      </c>
      <c r="D1652" s="42">
        <v>11</v>
      </c>
      <c r="E1652" s="43">
        <v>38256</v>
      </c>
      <c r="F1652" s="44">
        <v>95854288</v>
      </c>
      <c r="G1652" s="1" t="str">
        <f>IFERROR(IF(ventas_b_mes684[[#This Row],[CUIT]]="","-",VLOOKUP(ventas_b_mes684[[#This Row],[CUIT]],Lista_CUIT[#All],2,0)),"CUIT NO CARGADO")</f>
        <v>CUIT NO CARGADO</v>
      </c>
      <c r="H1652" s="64">
        <v>20661.16</v>
      </c>
      <c r="I1652" s="64">
        <f>ventas_b_mes684[[#This Row],[IMPORTE NETO]]*0.21</f>
        <v>4338.8436000000002</v>
      </c>
      <c r="J1652" s="64"/>
      <c r="K1652" s="64"/>
      <c r="L1652" s="64">
        <f>SUM(ventas_b_mes684[[#This Row],[IMPORTE NETO]:[EXENTO]])</f>
        <v>25000.0036</v>
      </c>
      <c r="M1652" s="59"/>
    </row>
    <row r="1653" spans="2:13">
      <c r="B1653" s="40" t="s">
        <v>2316</v>
      </c>
      <c r="C1653" s="41">
        <v>6</v>
      </c>
      <c r="D1653" s="42">
        <v>10</v>
      </c>
      <c r="E1653" s="43">
        <v>54588</v>
      </c>
      <c r="F1653" s="44">
        <v>38308116</v>
      </c>
      <c r="G1653" s="1" t="str">
        <f>IFERROR(IF(ventas_b_mes684[[#This Row],[CUIT]]="","-",VLOOKUP(ventas_b_mes684[[#This Row],[CUIT]],Lista_CUIT[#All],2,0)),"CUIT NO CARGADO")</f>
        <v>CUIT NO CARGADO</v>
      </c>
      <c r="H1653" s="64">
        <v>14280.99</v>
      </c>
      <c r="I1653" s="64">
        <f>ventas_b_mes684[[#This Row],[IMPORTE NETO]]*0.21</f>
        <v>2999.0079000000001</v>
      </c>
      <c r="J1653" s="64"/>
      <c r="K1653" s="64"/>
      <c r="L1653" s="64">
        <f>SUM(ventas_b_mes684[[#This Row],[IMPORTE NETO]:[EXENTO]])</f>
        <v>17279.997899999998</v>
      </c>
      <c r="M1653" s="59"/>
    </row>
    <row r="1654" spans="2:13">
      <c r="B1654" s="40" t="s">
        <v>2316</v>
      </c>
      <c r="C1654" s="41">
        <v>6</v>
      </c>
      <c r="D1654" s="42">
        <v>10</v>
      </c>
      <c r="E1654" s="43">
        <v>54582</v>
      </c>
      <c r="F1654" s="44">
        <v>16950810</v>
      </c>
      <c r="G1654" s="1" t="str">
        <f>IFERROR(IF(ventas_b_mes684[[#This Row],[CUIT]]="","-",VLOOKUP(ventas_b_mes684[[#This Row],[CUIT]],Lista_CUIT[#All],2,0)),"CUIT NO CARGADO")</f>
        <v>CUIT NO CARGADO</v>
      </c>
      <c r="H1654" s="64">
        <v>15702.48</v>
      </c>
      <c r="I1654" s="64">
        <f>ventas_b_mes684[[#This Row],[IMPORTE NETO]]*0.21</f>
        <v>3297.5207999999998</v>
      </c>
      <c r="J1654" s="64"/>
      <c r="K1654" s="64"/>
      <c r="L1654" s="64">
        <f>SUM(ventas_b_mes684[[#This Row],[IMPORTE NETO]:[EXENTO]])</f>
        <v>19000.000799999998</v>
      </c>
      <c r="M1654" s="59"/>
    </row>
    <row r="1655" spans="2:13">
      <c r="B1655" s="40" t="s">
        <v>2316</v>
      </c>
      <c r="C1655" s="41">
        <v>6</v>
      </c>
      <c r="D1655" s="42">
        <v>11</v>
      </c>
      <c r="E1655" s="43">
        <v>38253</v>
      </c>
      <c r="F1655" s="44">
        <v>95930427</v>
      </c>
      <c r="G1655" s="1" t="str">
        <f>IFERROR(IF(ventas_b_mes684[[#This Row],[CUIT]]="","-",VLOOKUP(ventas_b_mes684[[#This Row],[CUIT]],Lista_CUIT[#All],2,0)),"CUIT NO CARGADO")</f>
        <v>CUIT NO CARGADO</v>
      </c>
      <c r="H1655" s="64">
        <v>20661.16</v>
      </c>
      <c r="I1655" s="64">
        <f>ventas_b_mes684[[#This Row],[IMPORTE NETO]]*0.21</f>
        <v>4338.8436000000002</v>
      </c>
      <c r="J1655" s="64"/>
      <c r="K1655" s="64"/>
      <c r="L1655" s="64">
        <f>SUM(ventas_b_mes684[[#This Row],[IMPORTE NETO]:[EXENTO]])</f>
        <v>25000.0036</v>
      </c>
      <c r="M1655" s="59"/>
    </row>
    <row r="1656" spans="2:13">
      <c r="B1656" s="40" t="s">
        <v>2316</v>
      </c>
      <c r="C1656" s="41">
        <v>6</v>
      </c>
      <c r="D1656" s="42">
        <v>10</v>
      </c>
      <c r="E1656" s="43">
        <v>54581</v>
      </c>
      <c r="F1656" s="44">
        <v>26200300</v>
      </c>
      <c r="G1656" s="1" t="str">
        <f>IFERROR(IF(ventas_b_mes684[[#This Row],[CUIT]]="","-",VLOOKUP(ventas_b_mes684[[#This Row],[CUIT]],Lista_CUIT[#All],2,0)),"CUIT NO CARGADO")</f>
        <v>CUIT NO CARGADO</v>
      </c>
      <c r="H1656" s="64">
        <v>9545.4500000000007</v>
      </c>
      <c r="I1656" s="64">
        <f>ventas_b_mes684[[#This Row],[IMPORTE NETO]]*0.21</f>
        <v>2004.5445</v>
      </c>
      <c r="J1656" s="64"/>
      <c r="K1656" s="64"/>
      <c r="L1656" s="64">
        <f>SUM(ventas_b_mes684[[#This Row],[IMPORTE NETO]:[EXENTO]])</f>
        <v>11549.994500000001</v>
      </c>
      <c r="M1656" s="59"/>
    </row>
    <row r="1657" spans="2:13">
      <c r="B1657" s="40" t="s">
        <v>2316</v>
      </c>
      <c r="C1657" s="41">
        <v>6</v>
      </c>
      <c r="D1657" s="42">
        <v>11</v>
      </c>
      <c r="E1657" s="43">
        <v>38255</v>
      </c>
      <c r="F1657" s="44">
        <v>14560989</v>
      </c>
      <c r="G1657" s="1" t="str">
        <f>IFERROR(IF(ventas_b_mes684[[#This Row],[CUIT]]="","-",VLOOKUP(ventas_b_mes684[[#This Row],[CUIT]],Lista_CUIT[#All],2,0)),"CUIT NO CARGADO")</f>
        <v>CUIT NO CARGADO</v>
      </c>
      <c r="H1657" s="64">
        <v>29338.84</v>
      </c>
      <c r="I1657" s="64">
        <f>ventas_b_mes684[[#This Row],[IMPORTE NETO]]*0.21</f>
        <v>6161.1563999999998</v>
      </c>
      <c r="J1657" s="64"/>
      <c r="K1657" s="64"/>
      <c r="L1657" s="64">
        <f>SUM(ventas_b_mes684[[#This Row],[IMPORTE NETO]:[EXENTO]])</f>
        <v>35499.996400000004</v>
      </c>
      <c r="M1657" s="59"/>
    </row>
    <row r="1658" spans="2:13">
      <c r="B1658" s="40" t="s">
        <v>2316</v>
      </c>
      <c r="C1658" s="41">
        <v>6</v>
      </c>
      <c r="D1658" s="42">
        <v>13</v>
      </c>
      <c r="E1658" s="43">
        <v>32554</v>
      </c>
      <c r="F1658" s="44">
        <v>20560897</v>
      </c>
      <c r="G1658" s="1" t="str">
        <f>IFERROR(IF(ventas_b_mes684[[#This Row],[CUIT]]="","-",VLOOKUP(ventas_b_mes684[[#This Row],[CUIT]],Lista_CUIT[#All],2,0)),"CUIT NO CARGADO")</f>
        <v>CUIT NO CARGADO</v>
      </c>
      <c r="H1658" s="64">
        <v>18785.12</v>
      </c>
      <c r="I1658" s="64">
        <f>ventas_b_mes684[[#This Row],[IMPORTE NETO]]*0.21</f>
        <v>3944.8751999999995</v>
      </c>
      <c r="J1658" s="64"/>
      <c r="K1658" s="64"/>
      <c r="L1658" s="64">
        <f>SUM(ventas_b_mes684[[#This Row],[IMPORTE NETO]:[EXENTO]])</f>
        <v>22729.995199999998</v>
      </c>
      <c r="M1658" s="59"/>
    </row>
    <row r="1659" spans="2:13">
      <c r="B1659" s="40" t="s">
        <v>2316</v>
      </c>
      <c r="C1659" s="41">
        <v>6</v>
      </c>
      <c r="D1659" s="42">
        <v>13</v>
      </c>
      <c r="E1659" s="43">
        <v>32550</v>
      </c>
      <c r="F1659" s="44">
        <v>96274940</v>
      </c>
      <c r="G1659" s="1" t="str">
        <f>IFERROR(IF(ventas_b_mes684[[#This Row],[CUIT]]="","-",VLOOKUP(ventas_b_mes684[[#This Row],[CUIT]],Lista_CUIT[#All],2,0)),"CUIT NO CARGADO")</f>
        <v>CUIT NO CARGADO</v>
      </c>
      <c r="H1659" s="64">
        <v>20661.16</v>
      </c>
      <c r="I1659" s="64">
        <f>ventas_b_mes684[[#This Row],[IMPORTE NETO]]*0.21</f>
        <v>4338.8436000000002</v>
      </c>
      <c r="J1659" s="64"/>
      <c r="K1659" s="64"/>
      <c r="L1659" s="64">
        <f>SUM(ventas_b_mes684[[#This Row],[IMPORTE NETO]:[EXENTO]])</f>
        <v>25000.0036</v>
      </c>
      <c r="M1659" s="59"/>
    </row>
    <row r="1660" spans="2:13">
      <c r="B1660" s="40" t="s">
        <v>2316</v>
      </c>
      <c r="C1660" s="41">
        <v>6</v>
      </c>
      <c r="D1660" s="42">
        <v>13</v>
      </c>
      <c r="E1660" s="43">
        <v>32549</v>
      </c>
      <c r="F1660" s="44">
        <v>338489280</v>
      </c>
      <c r="G1660" s="1" t="str">
        <f>IFERROR(IF(ventas_b_mes684[[#This Row],[CUIT]]="","-",VLOOKUP(ventas_b_mes684[[#This Row],[CUIT]],Lista_CUIT[#All],2,0)),"CUIT NO CARGADO")</f>
        <v>CUIT NO CARGADO</v>
      </c>
      <c r="H1660" s="64">
        <v>18512.400000000001</v>
      </c>
      <c r="I1660" s="64">
        <f>ventas_b_mes684[[#This Row],[IMPORTE NETO]]*0.21</f>
        <v>3887.6040000000003</v>
      </c>
      <c r="J1660" s="64"/>
      <c r="K1660" s="64"/>
      <c r="L1660" s="64">
        <f>SUM(ventas_b_mes684[[#This Row],[IMPORTE NETO]:[EXENTO]])</f>
        <v>22400.004000000001</v>
      </c>
      <c r="M1660" s="59"/>
    </row>
    <row r="1661" spans="2:13">
      <c r="B1661" s="40" t="s">
        <v>2316</v>
      </c>
      <c r="C1661" s="41">
        <v>6</v>
      </c>
      <c r="D1661" s="42">
        <v>12</v>
      </c>
      <c r="E1661" s="43">
        <v>29786</v>
      </c>
      <c r="F1661" s="44">
        <v>23037138</v>
      </c>
      <c r="G1661" s="1" t="str">
        <f>IFERROR(IF(ventas_b_mes684[[#This Row],[CUIT]]="","-",VLOOKUP(ventas_b_mes684[[#This Row],[CUIT]],Lista_CUIT[#All],2,0)),"CUIT NO CARGADO")</f>
        <v>CUIT NO CARGADO</v>
      </c>
      <c r="H1661" s="64">
        <v>20661.16</v>
      </c>
      <c r="I1661" s="64">
        <f>ventas_b_mes684[[#This Row],[IMPORTE NETO]]*0.21</f>
        <v>4338.8436000000002</v>
      </c>
      <c r="J1661" s="64"/>
      <c r="K1661" s="64"/>
      <c r="L1661" s="64">
        <f>SUM(ventas_b_mes684[[#This Row],[IMPORTE NETO]:[EXENTO]])</f>
        <v>25000.0036</v>
      </c>
      <c r="M1661" s="59"/>
    </row>
    <row r="1662" spans="2:13">
      <c r="B1662" s="40" t="s">
        <v>2316</v>
      </c>
      <c r="C1662" s="41">
        <v>6</v>
      </c>
      <c r="D1662" s="42">
        <v>11</v>
      </c>
      <c r="E1662" s="43">
        <v>38250</v>
      </c>
      <c r="F1662" s="44">
        <v>31510366</v>
      </c>
      <c r="G1662" s="1" t="str">
        <f>IFERROR(IF(ventas_b_mes684[[#This Row],[CUIT]]="","-",VLOOKUP(ventas_b_mes684[[#This Row],[CUIT]],Lista_CUIT[#All],2,0)),"CUIT NO CARGADO")</f>
        <v>CUIT NO CARGADO</v>
      </c>
      <c r="H1662" s="64">
        <v>9090.91</v>
      </c>
      <c r="I1662" s="64">
        <f>ventas_b_mes684[[#This Row],[IMPORTE NETO]]*0.21</f>
        <v>1909.0910999999999</v>
      </c>
      <c r="J1662" s="64"/>
      <c r="K1662" s="64"/>
      <c r="L1662" s="64">
        <f>SUM(ventas_b_mes684[[#This Row],[IMPORTE NETO]:[EXENTO]])</f>
        <v>11000.001099999999</v>
      </c>
      <c r="M1662" s="59"/>
    </row>
    <row r="1663" spans="2:13">
      <c r="B1663" s="40" t="s">
        <v>2316</v>
      </c>
      <c r="C1663" s="41">
        <v>6</v>
      </c>
      <c r="D1663" s="42">
        <v>11</v>
      </c>
      <c r="E1663" s="43">
        <v>38264</v>
      </c>
      <c r="F1663" s="44">
        <v>21476196</v>
      </c>
      <c r="G1663" s="1" t="str">
        <f>IFERROR(IF(ventas_b_mes684[[#This Row],[CUIT]]="","-",VLOOKUP(ventas_b_mes684[[#This Row],[CUIT]],Lista_CUIT[#All],2,0)),"CUIT NO CARGADO")</f>
        <v>CUIT NO CARGADO</v>
      </c>
      <c r="H1663" s="64">
        <v>40231.4</v>
      </c>
      <c r="I1663" s="64">
        <f>ventas_b_mes684[[#This Row],[IMPORTE NETO]]*0.21</f>
        <v>8448.5939999999991</v>
      </c>
      <c r="J1663" s="64"/>
      <c r="K1663" s="64"/>
      <c r="L1663" s="64">
        <f>SUM(ventas_b_mes684[[#This Row],[IMPORTE NETO]:[EXENTO]])</f>
        <v>48679.993999999999</v>
      </c>
      <c r="M1663" s="59"/>
    </row>
    <row r="1664" spans="2:13">
      <c r="B1664" s="40" t="s">
        <v>2316</v>
      </c>
      <c r="C1664" s="41">
        <v>6</v>
      </c>
      <c r="D1664" s="42">
        <v>13</v>
      </c>
      <c r="E1664" s="43">
        <v>32551</v>
      </c>
      <c r="F1664" s="44">
        <v>36444012</v>
      </c>
      <c r="G1664" s="1" t="str">
        <f>IFERROR(IF(ventas_b_mes684[[#This Row],[CUIT]]="","-",VLOOKUP(ventas_b_mes684[[#This Row],[CUIT]],Lista_CUIT[#All],2,0)),"CUIT NO CARGADO")</f>
        <v>CUIT NO CARGADO</v>
      </c>
      <c r="H1664" s="64">
        <v>20661.16</v>
      </c>
      <c r="I1664" s="64">
        <f>ventas_b_mes684[[#This Row],[IMPORTE NETO]]*0.21</f>
        <v>4338.8436000000002</v>
      </c>
      <c r="J1664" s="64"/>
      <c r="K1664" s="64"/>
      <c r="L1664" s="64">
        <f>SUM(ventas_b_mes684[[#This Row],[IMPORTE NETO]:[EXENTO]])</f>
        <v>25000.0036</v>
      </c>
      <c r="M1664" s="59"/>
    </row>
    <row r="1665" spans="2:13">
      <c r="B1665" s="40" t="s">
        <v>2316</v>
      </c>
      <c r="C1665" s="41">
        <v>6</v>
      </c>
      <c r="D1665" s="42">
        <v>10</v>
      </c>
      <c r="E1665" s="43">
        <v>54587</v>
      </c>
      <c r="F1665" s="44">
        <v>38308116</v>
      </c>
      <c r="G1665" s="1" t="str">
        <f>IFERROR(IF(ventas_b_mes684[[#This Row],[CUIT]]="","-",VLOOKUP(ventas_b_mes684[[#This Row],[CUIT]],Lista_CUIT[#All],2,0)),"CUIT NO CARGADO")</f>
        <v>CUIT NO CARGADO</v>
      </c>
      <c r="H1665" s="64">
        <v>20661.16</v>
      </c>
      <c r="I1665" s="64">
        <f>ventas_b_mes684[[#This Row],[IMPORTE NETO]]*0.21</f>
        <v>4338.8436000000002</v>
      </c>
      <c r="J1665" s="64"/>
      <c r="K1665" s="64"/>
      <c r="L1665" s="64">
        <f>SUM(ventas_b_mes684[[#This Row],[IMPORTE NETO]:[EXENTO]])</f>
        <v>25000.0036</v>
      </c>
      <c r="M1665" s="59"/>
    </row>
    <row r="1666" spans="2:13">
      <c r="B1666" s="40" t="s">
        <v>2317</v>
      </c>
      <c r="C1666" s="41">
        <v>6</v>
      </c>
      <c r="D1666" s="42">
        <v>13</v>
      </c>
      <c r="E1666" s="43">
        <v>32562</v>
      </c>
      <c r="F1666" s="44">
        <v>20560897</v>
      </c>
      <c r="G1666" s="1" t="str">
        <f>IFERROR(IF(ventas_b_mes684[[#This Row],[CUIT]]="","-",VLOOKUP(ventas_b_mes684[[#This Row],[CUIT]],Lista_CUIT[#All],2,0)),"CUIT NO CARGADO")</f>
        <v>CUIT NO CARGADO</v>
      </c>
      <c r="H1666" s="64">
        <v>7933.88</v>
      </c>
      <c r="I1666" s="64">
        <f>ventas_b_mes684[[#This Row],[IMPORTE NETO]]*0.21</f>
        <v>1666.1148000000001</v>
      </c>
      <c r="J1666" s="64"/>
      <c r="K1666" s="64"/>
      <c r="L1666" s="64">
        <f>SUM(ventas_b_mes684[[#This Row],[IMPORTE NETO]:[EXENTO]])</f>
        <v>9599.9948000000004</v>
      </c>
      <c r="M1666" s="59"/>
    </row>
    <row r="1667" spans="2:13">
      <c r="B1667" s="40" t="s">
        <v>2317</v>
      </c>
      <c r="C1667" s="41">
        <v>6</v>
      </c>
      <c r="D1667" s="42">
        <v>11</v>
      </c>
      <c r="E1667" s="43">
        <v>38272</v>
      </c>
      <c r="F1667" s="44">
        <v>17856747</v>
      </c>
      <c r="G1667" s="1" t="str">
        <f>IFERROR(IF(ventas_b_mes684[[#This Row],[CUIT]]="","-",VLOOKUP(ventas_b_mes684[[#This Row],[CUIT]],Lista_CUIT[#All],2,0)),"CUIT NO CARGADO")</f>
        <v>CUIT NO CARGADO</v>
      </c>
      <c r="H1667" s="64">
        <v>106611.57</v>
      </c>
      <c r="I1667" s="64">
        <f>ventas_b_mes684[[#This Row],[IMPORTE NETO]]*0.21</f>
        <v>22388.429700000001</v>
      </c>
      <c r="J1667" s="64"/>
      <c r="K1667" s="64"/>
      <c r="L1667" s="64">
        <f>SUM(ventas_b_mes684[[#This Row],[IMPORTE NETO]:[EXENTO]])</f>
        <v>128999.99970000001</v>
      </c>
      <c r="M1667" s="59"/>
    </row>
    <row r="1668" spans="2:13">
      <c r="B1668" s="40" t="s">
        <v>2317</v>
      </c>
      <c r="C1668" s="41">
        <v>6</v>
      </c>
      <c r="D1668" s="42">
        <v>12</v>
      </c>
      <c r="E1668" s="43">
        <v>29796</v>
      </c>
      <c r="F1668" s="44">
        <v>23865285</v>
      </c>
      <c r="G1668" s="1" t="str">
        <f>IFERROR(IF(ventas_b_mes684[[#This Row],[CUIT]]="","-",VLOOKUP(ventas_b_mes684[[#This Row],[CUIT]],Lista_CUIT[#All],2,0)),"CUIT NO CARGADO")</f>
        <v>CUIT NO CARGADO</v>
      </c>
      <c r="H1668" s="64">
        <v>25123.97</v>
      </c>
      <c r="I1668" s="64">
        <f>ventas_b_mes684[[#This Row],[IMPORTE NETO]]*0.21</f>
        <v>5276.0337</v>
      </c>
      <c r="J1668" s="64"/>
      <c r="K1668" s="64"/>
      <c r="L1668" s="64">
        <f>SUM(ventas_b_mes684[[#This Row],[IMPORTE NETO]:[EXENTO]])</f>
        <v>30400.003700000001</v>
      </c>
      <c r="M1668" s="59"/>
    </row>
    <row r="1669" spans="2:13">
      <c r="B1669" s="40" t="s">
        <v>2317</v>
      </c>
      <c r="C1669" s="41">
        <v>6</v>
      </c>
      <c r="D1669" s="42">
        <v>13</v>
      </c>
      <c r="E1669" s="43">
        <v>32558</v>
      </c>
      <c r="F1669" s="44">
        <v>18268285</v>
      </c>
      <c r="G1669" s="1" t="str">
        <f>IFERROR(IF(ventas_b_mes684[[#This Row],[CUIT]]="","-",VLOOKUP(ventas_b_mes684[[#This Row],[CUIT]],Lista_CUIT[#All],2,0)),"CUIT NO CARGADO")</f>
        <v>CUIT NO CARGADO</v>
      </c>
      <c r="H1669" s="64">
        <v>7735.54</v>
      </c>
      <c r="I1669" s="64">
        <f>ventas_b_mes684[[#This Row],[IMPORTE NETO]]*0.21</f>
        <v>1624.4633999999999</v>
      </c>
      <c r="J1669" s="64"/>
      <c r="K1669" s="64"/>
      <c r="L1669" s="64">
        <f>SUM(ventas_b_mes684[[#This Row],[IMPORTE NETO]:[EXENTO]])</f>
        <v>9360.0033999999996</v>
      </c>
      <c r="M1669" s="59"/>
    </row>
    <row r="1670" spans="2:13">
      <c r="B1670" s="40" t="s">
        <v>2317</v>
      </c>
      <c r="C1670" s="41">
        <v>6</v>
      </c>
      <c r="D1670" s="42">
        <v>12</v>
      </c>
      <c r="E1670" s="43">
        <v>29794</v>
      </c>
      <c r="F1670" s="44">
        <v>33116945</v>
      </c>
      <c r="G1670" s="1" t="str">
        <f>IFERROR(IF(ventas_b_mes684[[#This Row],[CUIT]]="","-",VLOOKUP(ventas_b_mes684[[#This Row],[CUIT]],Lista_CUIT[#All],2,0)),"CUIT NO CARGADO")</f>
        <v>CUIT NO CARGADO</v>
      </c>
      <c r="H1670" s="64">
        <v>35785.120000000003</v>
      </c>
      <c r="I1670" s="64">
        <f>ventas_b_mes684[[#This Row],[IMPORTE NETO]]*0.21</f>
        <v>7514.8752000000004</v>
      </c>
      <c r="J1670" s="64"/>
      <c r="K1670" s="64"/>
      <c r="L1670" s="64">
        <f>SUM(ventas_b_mes684[[#This Row],[IMPORTE NETO]:[EXENTO]])</f>
        <v>43299.995200000005</v>
      </c>
      <c r="M1670" s="59"/>
    </row>
    <row r="1671" spans="2:13">
      <c r="B1671" s="40" t="s">
        <v>2317</v>
      </c>
      <c r="C1671" s="41">
        <v>6</v>
      </c>
      <c r="D1671" s="42">
        <v>11</v>
      </c>
      <c r="E1671" s="43">
        <v>38270</v>
      </c>
      <c r="F1671" s="44">
        <v>26174498</v>
      </c>
      <c r="G1671" s="1" t="str">
        <f>IFERROR(IF(ventas_b_mes684[[#This Row],[CUIT]]="","-",VLOOKUP(ventas_b_mes684[[#This Row],[CUIT]],Lista_CUIT[#All],2,0)),"CUIT NO CARGADO")</f>
        <v>CUIT NO CARGADO</v>
      </c>
      <c r="H1671" s="64">
        <v>9223.14</v>
      </c>
      <c r="I1671" s="64">
        <f>ventas_b_mes684[[#This Row],[IMPORTE NETO]]*0.21</f>
        <v>1936.8593999999998</v>
      </c>
      <c r="J1671" s="64"/>
      <c r="K1671" s="64"/>
      <c r="L1671" s="64">
        <f>SUM(ventas_b_mes684[[#This Row],[IMPORTE NETO]:[EXENTO]])</f>
        <v>11159.999399999999</v>
      </c>
      <c r="M1671" s="59"/>
    </row>
    <row r="1672" spans="2:13">
      <c r="B1672" s="40" t="s">
        <v>2317</v>
      </c>
      <c r="C1672" s="41">
        <v>6</v>
      </c>
      <c r="D1672" s="42">
        <v>15</v>
      </c>
      <c r="E1672" s="43">
        <v>13391</v>
      </c>
      <c r="F1672" s="44">
        <v>35758093</v>
      </c>
      <c r="G1672" s="1" t="str">
        <f>IFERROR(IF(ventas_b_mes684[[#This Row],[CUIT]]="","-",VLOOKUP(ventas_b_mes684[[#This Row],[CUIT]],Lista_CUIT[#All],2,0)),"CUIT NO CARGADO")</f>
        <v>CUIT NO CARGADO</v>
      </c>
      <c r="H1672" s="64">
        <v>16528.93</v>
      </c>
      <c r="I1672" s="64">
        <f>ventas_b_mes684[[#This Row],[IMPORTE NETO]]*0.21</f>
        <v>3471.0753</v>
      </c>
      <c r="J1672" s="64"/>
      <c r="K1672" s="64"/>
      <c r="L1672" s="64">
        <f>SUM(ventas_b_mes684[[#This Row],[IMPORTE NETO]:[EXENTO]])</f>
        <v>20000.005300000001</v>
      </c>
      <c r="M1672" s="59"/>
    </row>
    <row r="1673" spans="2:13">
      <c r="B1673" s="40" t="s">
        <v>2317</v>
      </c>
      <c r="C1673" s="41">
        <v>6</v>
      </c>
      <c r="D1673" s="42">
        <v>11</v>
      </c>
      <c r="E1673" s="43">
        <v>38268</v>
      </c>
      <c r="F1673" s="44">
        <v>29573787</v>
      </c>
      <c r="G1673" s="1" t="str">
        <f>IFERROR(IF(ventas_b_mes684[[#This Row],[CUIT]]="","-",VLOOKUP(ventas_b_mes684[[#This Row],[CUIT]],Lista_CUIT[#All],2,0)),"CUIT NO CARGADO")</f>
        <v>CUIT NO CARGADO</v>
      </c>
      <c r="H1673" s="64">
        <v>20661.16</v>
      </c>
      <c r="I1673" s="64">
        <f>ventas_b_mes684[[#This Row],[IMPORTE NETO]]*0.21</f>
        <v>4338.8436000000002</v>
      </c>
      <c r="J1673" s="64"/>
      <c r="K1673" s="64"/>
      <c r="L1673" s="64">
        <f>SUM(ventas_b_mes684[[#This Row],[IMPORTE NETO]:[EXENTO]])</f>
        <v>25000.0036</v>
      </c>
      <c r="M1673" s="59"/>
    </row>
    <row r="1674" spans="2:13">
      <c r="B1674" s="40" t="s">
        <v>2317</v>
      </c>
      <c r="C1674" s="41">
        <v>6</v>
      </c>
      <c r="D1674" s="42">
        <v>10</v>
      </c>
      <c r="E1674" s="43">
        <v>54601</v>
      </c>
      <c r="F1674" s="44">
        <v>27174908503</v>
      </c>
      <c r="G1674" s="1" t="str">
        <f>IFERROR(IF(ventas_b_mes684[[#This Row],[CUIT]]="","-",VLOOKUP(ventas_b_mes684[[#This Row],[CUIT]],Lista_CUIT[#All],2,0)),"CUIT NO CARGADO")</f>
        <v>CUIT NO CARGADO</v>
      </c>
      <c r="H1674" s="64">
        <v>56768.6</v>
      </c>
      <c r="I1674" s="64">
        <f>ventas_b_mes684[[#This Row],[IMPORTE NETO]]*0.21</f>
        <v>11921.405999999999</v>
      </c>
      <c r="J1674" s="64"/>
      <c r="K1674" s="64"/>
      <c r="L1674" s="64">
        <f>SUM(ventas_b_mes684[[#This Row],[IMPORTE NETO]:[EXENTO]])</f>
        <v>68690.005999999994</v>
      </c>
      <c r="M1674" s="59"/>
    </row>
    <row r="1675" spans="2:13">
      <c r="B1675" s="40" t="s">
        <v>2317</v>
      </c>
      <c r="C1675" s="41">
        <v>6</v>
      </c>
      <c r="D1675" s="42">
        <v>10</v>
      </c>
      <c r="E1675" s="43">
        <v>54600</v>
      </c>
      <c r="F1675" s="44">
        <v>25869848</v>
      </c>
      <c r="G1675" s="1" t="str">
        <f>IFERROR(IF(ventas_b_mes684[[#This Row],[CUIT]]="","-",VLOOKUP(ventas_b_mes684[[#This Row],[CUIT]],Lista_CUIT[#All],2,0)),"CUIT NO CARGADO")</f>
        <v>SAJAMA EVANGELINA PATRICIA</v>
      </c>
      <c r="H1675" s="64">
        <v>42280.99</v>
      </c>
      <c r="I1675" s="64">
        <f>ventas_b_mes684[[#This Row],[IMPORTE NETO]]*0.21</f>
        <v>8879.0078999999987</v>
      </c>
      <c r="J1675" s="64"/>
      <c r="K1675" s="64"/>
      <c r="L1675" s="64">
        <f>SUM(ventas_b_mes684[[#This Row],[IMPORTE NETO]:[EXENTO]])</f>
        <v>51159.997899999995</v>
      </c>
      <c r="M1675" s="59"/>
    </row>
    <row r="1676" spans="2:13">
      <c r="B1676" s="40" t="s">
        <v>2317</v>
      </c>
      <c r="C1676" s="41">
        <v>6</v>
      </c>
      <c r="D1676" s="42">
        <v>13</v>
      </c>
      <c r="E1676" s="43">
        <v>32564</v>
      </c>
      <c r="F1676" s="44">
        <v>338489280</v>
      </c>
      <c r="G1676" s="1" t="str">
        <f>IFERROR(IF(ventas_b_mes684[[#This Row],[CUIT]]="","-",VLOOKUP(ventas_b_mes684[[#This Row],[CUIT]],Lista_CUIT[#All],2,0)),"CUIT NO CARGADO")</f>
        <v>CUIT NO CARGADO</v>
      </c>
      <c r="H1676" s="64">
        <v>17768.599999999999</v>
      </c>
      <c r="I1676" s="64">
        <f>ventas_b_mes684[[#This Row],[IMPORTE NETO]]*0.21</f>
        <v>3731.4059999999995</v>
      </c>
      <c r="J1676" s="64"/>
      <c r="K1676" s="64"/>
      <c r="L1676" s="64">
        <f>SUM(ventas_b_mes684[[#This Row],[IMPORTE NETO]:[EXENTO]])</f>
        <v>21500.005999999998</v>
      </c>
      <c r="M1676" s="59"/>
    </row>
    <row r="1677" spans="2:13">
      <c r="B1677" s="40" t="s">
        <v>2317</v>
      </c>
      <c r="C1677" s="41">
        <v>6</v>
      </c>
      <c r="D1677" s="42">
        <v>10</v>
      </c>
      <c r="E1677" s="43">
        <v>54611</v>
      </c>
      <c r="F1677" s="44">
        <v>31905023</v>
      </c>
      <c r="G1677" s="1" t="str">
        <f>IFERROR(IF(ventas_b_mes684[[#This Row],[CUIT]]="","-",VLOOKUP(ventas_b_mes684[[#This Row],[CUIT]],Lista_CUIT[#All],2,0)),"CUIT NO CARGADO")</f>
        <v>CUIT NO CARGADO</v>
      </c>
      <c r="H1677" s="64">
        <v>38039.26</v>
      </c>
      <c r="I1677" s="64">
        <f>ventas_b_mes684[[#This Row],[IMPORTE NETO]]*0.21</f>
        <v>7988.2446</v>
      </c>
      <c r="J1677" s="64"/>
      <c r="K1677" s="64"/>
      <c r="L1677" s="64">
        <f>SUM(ventas_b_mes684[[#This Row],[IMPORTE NETO]:[EXENTO]])</f>
        <v>46027.5046</v>
      </c>
      <c r="M1677" s="59"/>
    </row>
    <row r="1678" spans="2:13">
      <c r="B1678" s="40" t="s">
        <v>2317</v>
      </c>
      <c r="C1678" s="41">
        <v>6</v>
      </c>
      <c r="D1678" s="42">
        <v>11</v>
      </c>
      <c r="E1678" s="43">
        <v>38299</v>
      </c>
      <c r="F1678" s="44">
        <v>96083515</v>
      </c>
      <c r="G1678" s="1" t="str">
        <f>IFERROR(IF(ventas_b_mes684[[#This Row],[CUIT]]="","-",VLOOKUP(ventas_b_mes684[[#This Row],[CUIT]],Lista_CUIT[#All],2,0)),"CUIT NO CARGADO")</f>
        <v>CUIT NO CARGADO</v>
      </c>
      <c r="H1678" s="64">
        <v>29123.97</v>
      </c>
      <c r="I1678" s="64">
        <f>ventas_b_mes684[[#This Row],[IMPORTE NETO]]*0.21</f>
        <v>6116.0337</v>
      </c>
      <c r="J1678" s="64"/>
      <c r="K1678" s="64"/>
      <c r="L1678" s="64">
        <f>SUM(ventas_b_mes684[[#This Row],[IMPORTE NETO]:[EXENTO]])</f>
        <v>35240.003700000001</v>
      </c>
      <c r="M1678" s="59"/>
    </row>
    <row r="1679" spans="2:13">
      <c r="B1679" s="40" t="s">
        <v>2317</v>
      </c>
      <c r="C1679" s="41">
        <v>6</v>
      </c>
      <c r="D1679" s="42">
        <v>15</v>
      </c>
      <c r="E1679" s="43">
        <v>13389</v>
      </c>
      <c r="F1679" s="44">
        <v>12980812</v>
      </c>
      <c r="G1679" s="1" t="str">
        <f>IFERROR(IF(ventas_b_mes684[[#This Row],[CUIT]]="","-",VLOOKUP(ventas_b_mes684[[#This Row],[CUIT]],Lista_CUIT[#All],2,0)),"CUIT NO CARGADO")</f>
        <v>CAÑOS,Olga Beatriz</v>
      </c>
      <c r="H1679" s="64">
        <v>55371.9</v>
      </c>
      <c r="I1679" s="64">
        <f>ventas_b_mes684[[#This Row],[IMPORTE NETO]]*0.21</f>
        <v>11628.099</v>
      </c>
      <c r="J1679" s="64"/>
      <c r="K1679" s="64"/>
      <c r="L1679" s="64">
        <f>SUM(ventas_b_mes684[[#This Row],[IMPORTE NETO]:[EXENTO]])</f>
        <v>66999.998999999996</v>
      </c>
      <c r="M1679" s="59"/>
    </row>
    <row r="1680" spans="2:13">
      <c r="B1680" s="40" t="s">
        <v>2317</v>
      </c>
      <c r="C1680" s="41">
        <v>6</v>
      </c>
      <c r="D1680" s="42">
        <v>10</v>
      </c>
      <c r="E1680" s="43">
        <v>54615</v>
      </c>
      <c r="F1680" s="44">
        <v>95008053</v>
      </c>
      <c r="G1680" s="1" t="str">
        <f>IFERROR(IF(ventas_b_mes684[[#This Row],[CUIT]]="","-",VLOOKUP(ventas_b_mes684[[#This Row],[CUIT]],Lista_CUIT[#All],2,0)),"CUIT NO CARGADO")</f>
        <v>CUIT NO CARGADO</v>
      </c>
      <c r="H1680" s="64">
        <v>20661.16</v>
      </c>
      <c r="I1680" s="64">
        <f>ventas_b_mes684[[#This Row],[IMPORTE NETO]]*0.21</f>
        <v>4338.8436000000002</v>
      </c>
      <c r="J1680" s="64"/>
      <c r="K1680" s="64"/>
      <c r="L1680" s="64">
        <f>SUM(ventas_b_mes684[[#This Row],[IMPORTE NETO]:[EXENTO]])</f>
        <v>25000.0036</v>
      </c>
      <c r="M1680" s="59"/>
    </row>
    <row r="1681" spans="2:13">
      <c r="B1681" s="40" t="s">
        <v>2317</v>
      </c>
      <c r="C1681" s="41">
        <v>6</v>
      </c>
      <c r="D1681" s="42">
        <v>11</v>
      </c>
      <c r="E1681" s="43">
        <v>38271</v>
      </c>
      <c r="F1681" s="44">
        <v>10620384</v>
      </c>
      <c r="G1681" s="1" t="str">
        <f>IFERROR(IF(ventas_b_mes684[[#This Row],[CUIT]]="","-",VLOOKUP(ventas_b_mes684[[#This Row],[CUIT]],Lista_CUIT[#All],2,0)),"CUIT NO CARGADO")</f>
        <v>CUIT NO CARGADO</v>
      </c>
      <c r="H1681" s="64">
        <v>28586.78</v>
      </c>
      <c r="I1681" s="64">
        <f>ventas_b_mes684[[#This Row],[IMPORTE NETO]]*0.21</f>
        <v>6003.2237999999998</v>
      </c>
      <c r="J1681" s="64"/>
      <c r="K1681" s="64"/>
      <c r="L1681" s="64">
        <f>SUM(ventas_b_mes684[[#This Row],[IMPORTE NETO]:[EXENTO]])</f>
        <v>34590.003799999999</v>
      </c>
      <c r="M1681" s="59"/>
    </row>
    <row r="1682" spans="2:13">
      <c r="B1682" s="40" t="s">
        <v>2317</v>
      </c>
      <c r="C1682" s="41">
        <v>6</v>
      </c>
      <c r="D1682" s="42">
        <v>12</v>
      </c>
      <c r="E1682" s="43">
        <v>29793</v>
      </c>
      <c r="F1682" s="44">
        <v>12474858</v>
      </c>
      <c r="G1682" s="1" t="str">
        <f>IFERROR(IF(ventas_b_mes684[[#This Row],[CUIT]]="","-",VLOOKUP(ventas_b_mes684[[#This Row],[CUIT]],Lista_CUIT[#All],2,0)),"CUIT NO CARGADO")</f>
        <v>CUIT NO CARGADO</v>
      </c>
      <c r="H1682" s="64">
        <v>7619.83</v>
      </c>
      <c r="I1682" s="64">
        <f>ventas_b_mes684[[#This Row],[IMPORTE NETO]]*0.21</f>
        <v>1600.1642999999999</v>
      </c>
      <c r="J1682" s="64"/>
      <c r="K1682" s="64"/>
      <c r="L1682" s="64">
        <f>SUM(ventas_b_mes684[[#This Row],[IMPORTE NETO]:[EXENTO]])</f>
        <v>9219.9943000000003</v>
      </c>
      <c r="M1682" s="59"/>
    </row>
    <row r="1683" spans="2:13">
      <c r="B1683" s="40" t="s">
        <v>2317</v>
      </c>
      <c r="C1683" s="41">
        <v>6</v>
      </c>
      <c r="D1683" s="42">
        <v>11</v>
      </c>
      <c r="E1683" s="43">
        <v>38283</v>
      </c>
      <c r="F1683" s="44">
        <v>32359939</v>
      </c>
      <c r="G1683" s="1" t="str">
        <f>IFERROR(IF(ventas_b_mes684[[#This Row],[CUIT]]="","-",VLOOKUP(ventas_b_mes684[[#This Row],[CUIT]],Lista_CUIT[#All],2,0)),"CUIT NO CARGADO")</f>
        <v>CUIT NO CARGADO</v>
      </c>
      <c r="H1683" s="64">
        <v>20661.16</v>
      </c>
      <c r="I1683" s="64">
        <f>ventas_b_mes684[[#This Row],[IMPORTE NETO]]*0.21</f>
        <v>4338.8436000000002</v>
      </c>
      <c r="J1683" s="64"/>
      <c r="K1683" s="64"/>
      <c r="L1683" s="64">
        <f>SUM(ventas_b_mes684[[#This Row],[IMPORTE NETO]:[EXENTO]])</f>
        <v>25000.0036</v>
      </c>
      <c r="M1683" s="59"/>
    </row>
    <row r="1684" spans="2:13">
      <c r="B1684" s="40" t="s">
        <v>2317</v>
      </c>
      <c r="C1684" s="41">
        <v>6</v>
      </c>
      <c r="D1684" s="42">
        <v>10</v>
      </c>
      <c r="E1684" s="43">
        <v>54603</v>
      </c>
      <c r="F1684" s="44">
        <v>33503514</v>
      </c>
      <c r="G1684" s="1" t="str">
        <f>IFERROR(IF(ventas_b_mes684[[#This Row],[CUIT]]="","-",VLOOKUP(ventas_b_mes684[[#This Row],[CUIT]],Lista_CUIT[#All],2,0)),"CUIT NO CARGADO")</f>
        <v>CUIT NO CARGADO</v>
      </c>
      <c r="H1684" s="64">
        <v>24165.29</v>
      </c>
      <c r="I1684" s="64">
        <f>ventas_b_mes684[[#This Row],[IMPORTE NETO]]*0.21</f>
        <v>5074.7109</v>
      </c>
      <c r="J1684" s="64"/>
      <c r="K1684" s="64"/>
      <c r="L1684" s="64">
        <f>SUM(ventas_b_mes684[[#This Row],[IMPORTE NETO]:[EXENTO]])</f>
        <v>29240.000899999999</v>
      </c>
      <c r="M1684" s="59"/>
    </row>
    <row r="1685" spans="2:13">
      <c r="B1685" s="40" t="s">
        <v>2317</v>
      </c>
      <c r="C1685" s="41">
        <v>6</v>
      </c>
      <c r="D1685" s="42">
        <v>11</v>
      </c>
      <c r="E1685" s="43">
        <v>38291</v>
      </c>
      <c r="F1685" s="44">
        <v>46753234</v>
      </c>
      <c r="G1685" s="1" t="str">
        <f>IFERROR(IF(ventas_b_mes684[[#This Row],[CUIT]]="","-",VLOOKUP(ventas_b_mes684[[#This Row],[CUIT]],Lista_CUIT[#All],2,0)),"CUIT NO CARGADO")</f>
        <v>CUIT NO CARGADO</v>
      </c>
      <c r="H1685" s="64">
        <v>52194.22</v>
      </c>
      <c r="I1685" s="64">
        <f>ventas_b_mes684[[#This Row],[IMPORTE NETO]]*0.21</f>
        <v>10960.7862</v>
      </c>
      <c r="J1685" s="64"/>
      <c r="K1685" s="64"/>
      <c r="L1685" s="64">
        <f>SUM(ventas_b_mes684[[#This Row],[IMPORTE NETO]:[EXENTO]])</f>
        <v>63155.006200000003</v>
      </c>
      <c r="M1685" s="59"/>
    </row>
    <row r="1686" spans="2:13">
      <c r="B1686" s="40" t="s">
        <v>2317</v>
      </c>
      <c r="C1686" s="41">
        <v>6</v>
      </c>
      <c r="D1686" s="42">
        <v>11</v>
      </c>
      <c r="E1686" s="43">
        <v>38296</v>
      </c>
      <c r="F1686" s="44">
        <v>95573083</v>
      </c>
      <c r="G1686" s="1" t="str">
        <f>IFERROR(IF(ventas_b_mes684[[#This Row],[CUIT]]="","-",VLOOKUP(ventas_b_mes684[[#This Row],[CUIT]],Lista_CUIT[#All],2,0)),"CUIT NO CARGADO")</f>
        <v>CUIT NO CARGADO</v>
      </c>
      <c r="H1686" s="64">
        <v>1041.32</v>
      </c>
      <c r="I1686" s="64">
        <f>ventas_b_mes684[[#This Row],[IMPORTE NETO]]*0.21</f>
        <v>218.67719999999997</v>
      </c>
      <c r="J1686" s="64"/>
      <c r="K1686" s="64"/>
      <c r="L1686" s="64">
        <f>SUM(ventas_b_mes684[[#This Row],[IMPORTE NETO]:[EXENTO]])</f>
        <v>1259.9971999999998</v>
      </c>
      <c r="M1686" s="59"/>
    </row>
    <row r="1687" spans="2:13">
      <c r="B1687" s="40" t="s">
        <v>2317</v>
      </c>
      <c r="C1687" s="41">
        <v>6</v>
      </c>
      <c r="D1687" s="42">
        <v>10</v>
      </c>
      <c r="E1687" s="43">
        <v>54595</v>
      </c>
      <c r="F1687" s="44">
        <v>11172681</v>
      </c>
      <c r="G1687" s="1" t="str">
        <f>IFERROR(IF(ventas_b_mes684[[#This Row],[CUIT]]="","-",VLOOKUP(ventas_b_mes684[[#This Row],[CUIT]],Lista_CUIT[#All],2,0)),"CUIT NO CARGADO")</f>
        <v>CUIT NO CARGADO</v>
      </c>
      <c r="H1687" s="64">
        <v>61942.15</v>
      </c>
      <c r="I1687" s="64">
        <f>ventas_b_mes684[[#This Row],[IMPORTE NETO]]*0.21</f>
        <v>13007.851500000001</v>
      </c>
      <c r="J1687" s="64"/>
      <c r="K1687" s="64"/>
      <c r="L1687" s="64">
        <f>SUM(ventas_b_mes684[[#This Row],[IMPORTE NETO]:[EXENTO]])</f>
        <v>74950.001499999998</v>
      </c>
      <c r="M1687" s="59"/>
    </row>
    <row r="1688" spans="2:13">
      <c r="B1688" s="40" t="s">
        <v>2317</v>
      </c>
      <c r="C1688" s="41">
        <v>6</v>
      </c>
      <c r="D1688" s="42">
        <v>13</v>
      </c>
      <c r="E1688" s="43">
        <v>32563</v>
      </c>
      <c r="F1688" s="44">
        <v>907428965</v>
      </c>
      <c r="G1688" s="1" t="str">
        <f>IFERROR(IF(ventas_b_mes684[[#This Row],[CUIT]]="","-",VLOOKUP(ventas_b_mes684[[#This Row],[CUIT]],Lista_CUIT[#All],2,0)),"CUIT NO CARGADO")</f>
        <v>CUIT NO CARGADO</v>
      </c>
      <c r="H1688" s="64">
        <v>20826.45</v>
      </c>
      <c r="I1688" s="64">
        <f>ventas_b_mes684[[#This Row],[IMPORTE NETO]]*0.21</f>
        <v>4373.5545000000002</v>
      </c>
      <c r="J1688" s="64"/>
      <c r="K1688" s="64"/>
      <c r="L1688" s="64">
        <f>SUM(ventas_b_mes684[[#This Row],[IMPORTE NETO]:[EXENTO]])</f>
        <v>25200.004500000003</v>
      </c>
      <c r="M1688" s="59"/>
    </row>
    <row r="1689" spans="2:13">
      <c r="B1689" s="40" t="s">
        <v>2317</v>
      </c>
      <c r="C1689" s="41">
        <v>6</v>
      </c>
      <c r="D1689" s="42">
        <v>11</v>
      </c>
      <c r="E1689" s="43">
        <v>38281</v>
      </c>
      <c r="F1689" s="44">
        <v>22996629</v>
      </c>
      <c r="G1689" s="1" t="str">
        <f>IFERROR(IF(ventas_b_mes684[[#This Row],[CUIT]]="","-",VLOOKUP(ventas_b_mes684[[#This Row],[CUIT]],Lista_CUIT[#All],2,0)),"CUIT NO CARGADO")</f>
        <v>CUIT NO CARGADO</v>
      </c>
      <c r="H1689" s="64">
        <v>16119.83</v>
      </c>
      <c r="I1689" s="64">
        <f>ventas_b_mes684[[#This Row],[IMPORTE NETO]]*0.21</f>
        <v>3385.1642999999999</v>
      </c>
      <c r="J1689" s="64"/>
      <c r="K1689" s="64"/>
      <c r="L1689" s="64">
        <f>SUM(ventas_b_mes684[[#This Row],[IMPORTE NETO]:[EXENTO]])</f>
        <v>19504.994299999998</v>
      </c>
      <c r="M1689" s="59"/>
    </row>
    <row r="1690" spans="2:13">
      <c r="B1690" s="40" t="s">
        <v>2317</v>
      </c>
      <c r="C1690" s="41">
        <v>6</v>
      </c>
      <c r="D1690" s="42">
        <v>10</v>
      </c>
      <c r="E1690" s="43">
        <v>54607</v>
      </c>
      <c r="F1690" s="44">
        <v>45041334</v>
      </c>
      <c r="G1690" s="1" t="str">
        <f>IFERROR(IF(ventas_b_mes684[[#This Row],[CUIT]]="","-",VLOOKUP(ventas_b_mes684[[#This Row],[CUIT]],Lista_CUIT[#All],2,0)),"CUIT NO CARGADO")</f>
        <v>CUIT NO CARGADO</v>
      </c>
      <c r="H1690" s="64">
        <v>13223.14</v>
      </c>
      <c r="I1690" s="64">
        <f>ventas_b_mes684[[#This Row],[IMPORTE NETO]]*0.21</f>
        <v>2776.8593999999998</v>
      </c>
      <c r="J1690" s="64"/>
      <c r="K1690" s="64"/>
      <c r="L1690" s="64">
        <f>SUM(ventas_b_mes684[[#This Row],[IMPORTE NETO]:[EXENTO]])</f>
        <v>15999.999399999999</v>
      </c>
      <c r="M1690" s="59"/>
    </row>
    <row r="1691" spans="2:13">
      <c r="B1691" s="40" t="s">
        <v>2317</v>
      </c>
      <c r="C1691" s="41">
        <v>6</v>
      </c>
      <c r="D1691" s="42">
        <v>11</v>
      </c>
      <c r="E1691" s="43">
        <v>38277</v>
      </c>
      <c r="F1691" s="44">
        <v>42102205</v>
      </c>
      <c r="G1691" s="1" t="str">
        <f>IFERROR(IF(ventas_b_mes684[[#This Row],[CUIT]]="","-",VLOOKUP(ventas_b_mes684[[#This Row],[CUIT]],Lista_CUIT[#All],2,0)),"CUIT NO CARGADO")</f>
        <v>CUIT NO CARGADO</v>
      </c>
      <c r="H1691" s="64">
        <v>7512.4</v>
      </c>
      <c r="I1691" s="64">
        <f>ventas_b_mes684[[#This Row],[IMPORTE NETO]]*0.21</f>
        <v>1577.6039999999998</v>
      </c>
      <c r="J1691" s="64"/>
      <c r="K1691" s="64"/>
      <c r="L1691" s="64">
        <f>SUM(ventas_b_mes684[[#This Row],[IMPORTE NETO]:[EXENTO]])</f>
        <v>9090.003999999999</v>
      </c>
      <c r="M1691" s="59"/>
    </row>
    <row r="1692" spans="2:13">
      <c r="B1692" s="40" t="s">
        <v>2317</v>
      </c>
      <c r="C1692" s="41">
        <v>6</v>
      </c>
      <c r="D1692" s="42">
        <v>12</v>
      </c>
      <c r="E1692" s="43">
        <v>29798</v>
      </c>
      <c r="F1692" s="44">
        <v>20842045</v>
      </c>
      <c r="G1692" s="1" t="str">
        <f>IFERROR(IF(ventas_b_mes684[[#This Row],[CUIT]]="","-",VLOOKUP(ventas_b_mes684[[#This Row],[CUIT]],Lista_CUIT[#All],2,0)),"CUIT NO CARGADO")</f>
        <v>CUIT NO CARGADO</v>
      </c>
      <c r="H1692" s="64">
        <v>11311.57</v>
      </c>
      <c r="I1692" s="64">
        <f>ventas_b_mes684[[#This Row],[IMPORTE NETO]]*0.21</f>
        <v>2375.4296999999997</v>
      </c>
      <c r="J1692" s="64"/>
      <c r="K1692" s="64"/>
      <c r="L1692" s="64">
        <f>SUM(ventas_b_mes684[[#This Row],[IMPORTE NETO]:[EXENTO]])</f>
        <v>13686.9997</v>
      </c>
      <c r="M1692" s="59"/>
    </row>
    <row r="1693" spans="2:13">
      <c r="B1693" s="40" t="s">
        <v>2317</v>
      </c>
      <c r="C1693" s="41">
        <v>6</v>
      </c>
      <c r="D1693" s="42">
        <v>12</v>
      </c>
      <c r="E1693" s="43">
        <v>29799</v>
      </c>
      <c r="F1693" s="44">
        <v>20842045</v>
      </c>
      <c r="G1693" s="1" t="str">
        <f>IFERROR(IF(ventas_b_mes684[[#This Row],[CUIT]]="","-",VLOOKUP(ventas_b_mes684[[#This Row],[CUIT]],Lista_CUIT[#All],2,0)),"CUIT NO CARGADO")</f>
        <v>CUIT NO CARGADO</v>
      </c>
      <c r="H1693" s="64">
        <v>87727.27</v>
      </c>
      <c r="I1693" s="64">
        <f>ventas_b_mes684[[#This Row],[IMPORTE NETO]]*0.21</f>
        <v>18422.726699999999</v>
      </c>
      <c r="J1693" s="64"/>
      <c r="K1693" s="64"/>
      <c r="L1693" s="64">
        <f>SUM(ventas_b_mes684[[#This Row],[IMPORTE NETO]:[EXENTO]])</f>
        <v>106149.9967</v>
      </c>
      <c r="M1693" s="59"/>
    </row>
    <row r="1694" spans="2:13">
      <c r="B1694" s="40" t="s">
        <v>2317</v>
      </c>
      <c r="C1694" s="41">
        <v>6</v>
      </c>
      <c r="D1694" s="42">
        <v>11</v>
      </c>
      <c r="E1694" s="43">
        <v>38265</v>
      </c>
      <c r="F1694" s="44">
        <v>35271208</v>
      </c>
      <c r="G1694" s="1" t="str">
        <f>IFERROR(IF(ventas_b_mes684[[#This Row],[CUIT]]="","-",VLOOKUP(ventas_b_mes684[[#This Row],[CUIT]],Lista_CUIT[#All],2,0)),"CUIT NO CARGADO")</f>
        <v>CUIT NO CARGADO</v>
      </c>
      <c r="H1694" s="64">
        <v>31123.97</v>
      </c>
      <c r="I1694" s="64">
        <f>ventas_b_mes684[[#This Row],[IMPORTE NETO]]*0.21</f>
        <v>6536.0337</v>
      </c>
      <c r="J1694" s="64"/>
      <c r="K1694" s="64"/>
      <c r="L1694" s="64">
        <f>SUM(ventas_b_mes684[[#This Row],[IMPORTE NETO]:[EXENTO]])</f>
        <v>37660.003700000001</v>
      </c>
      <c r="M1694" s="59"/>
    </row>
    <row r="1695" spans="2:13">
      <c r="B1695" s="40" t="s">
        <v>2317</v>
      </c>
      <c r="C1695" s="41">
        <v>6</v>
      </c>
      <c r="D1695" s="42">
        <v>12</v>
      </c>
      <c r="E1695" s="43">
        <v>29797</v>
      </c>
      <c r="F1695" s="44">
        <v>24463311</v>
      </c>
      <c r="G1695" s="1" t="str">
        <f>IFERROR(IF(ventas_b_mes684[[#This Row],[CUIT]]="","-",VLOOKUP(ventas_b_mes684[[#This Row],[CUIT]],Lista_CUIT[#All],2,0)),"CUIT NO CARGADO")</f>
        <v>CUIT NO CARGADO</v>
      </c>
      <c r="H1695" s="64">
        <v>21157.02</v>
      </c>
      <c r="I1695" s="64">
        <f>ventas_b_mes684[[#This Row],[IMPORTE NETO]]*0.21</f>
        <v>4442.9741999999997</v>
      </c>
      <c r="J1695" s="64"/>
      <c r="K1695" s="64"/>
      <c r="L1695" s="64">
        <f>SUM(ventas_b_mes684[[#This Row],[IMPORTE NETO]:[EXENTO]])</f>
        <v>25599.994200000001</v>
      </c>
      <c r="M1695" s="59"/>
    </row>
    <row r="1696" spans="2:13">
      <c r="B1696" s="40" t="s">
        <v>2317</v>
      </c>
      <c r="C1696" s="41">
        <v>6</v>
      </c>
      <c r="D1696" s="42">
        <v>10</v>
      </c>
      <c r="E1696" s="43">
        <v>54612</v>
      </c>
      <c r="F1696" s="44">
        <v>39335362</v>
      </c>
      <c r="G1696" s="1" t="str">
        <f>IFERROR(IF(ventas_b_mes684[[#This Row],[CUIT]]="","-",VLOOKUP(ventas_b_mes684[[#This Row],[CUIT]],Lista_CUIT[#All],2,0)),"CUIT NO CARGADO")</f>
        <v>CUIT NO CARGADO</v>
      </c>
      <c r="H1696" s="64">
        <v>4462.8100000000004</v>
      </c>
      <c r="I1696" s="64">
        <f>ventas_b_mes684[[#This Row],[IMPORTE NETO]]*0.21</f>
        <v>937.19010000000003</v>
      </c>
      <c r="J1696" s="64"/>
      <c r="K1696" s="64"/>
      <c r="L1696" s="64">
        <f>SUM(ventas_b_mes684[[#This Row],[IMPORTE NETO]:[EXENTO]])</f>
        <v>5400.0001000000002</v>
      </c>
      <c r="M1696" s="59"/>
    </row>
    <row r="1697" spans="2:13">
      <c r="B1697" s="40" t="s">
        <v>2317</v>
      </c>
      <c r="C1697" s="41">
        <v>6</v>
      </c>
      <c r="D1697" s="42">
        <v>15</v>
      </c>
      <c r="E1697" s="43">
        <v>13394</v>
      </c>
      <c r="F1697" s="44">
        <v>29064496</v>
      </c>
      <c r="G1697" s="1" t="str">
        <f>IFERROR(IF(ventas_b_mes684[[#This Row],[CUIT]]="","-",VLOOKUP(ventas_b_mes684[[#This Row],[CUIT]],Lista_CUIT[#All],2,0)),"CUIT NO CARGADO")</f>
        <v>CUIT NO CARGADO</v>
      </c>
      <c r="H1697" s="64">
        <v>21280.99</v>
      </c>
      <c r="I1697" s="64">
        <f>ventas_b_mes684[[#This Row],[IMPORTE NETO]]*0.21</f>
        <v>4469.0079000000005</v>
      </c>
      <c r="J1697" s="64"/>
      <c r="K1697" s="64"/>
      <c r="L1697" s="64">
        <f>SUM(ventas_b_mes684[[#This Row],[IMPORTE NETO]:[EXENTO]])</f>
        <v>25749.997900000002</v>
      </c>
      <c r="M1697" s="59"/>
    </row>
    <row r="1698" spans="2:13">
      <c r="B1698" s="40" t="s">
        <v>2317</v>
      </c>
      <c r="C1698" s="41">
        <v>6</v>
      </c>
      <c r="D1698" s="42">
        <v>10</v>
      </c>
      <c r="E1698" s="43">
        <v>54599</v>
      </c>
      <c r="F1698" s="44">
        <v>28907328</v>
      </c>
      <c r="G1698" s="1" t="str">
        <f>IFERROR(IF(ventas_b_mes684[[#This Row],[CUIT]]="","-",VLOOKUP(ventas_b_mes684[[#This Row],[CUIT]],Lista_CUIT[#All],2,0)),"CUIT NO CARGADO")</f>
        <v>CUIT NO CARGADO</v>
      </c>
      <c r="H1698" s="64">
        <v>20661.16</v>
      </c>
      <c r="I1698" s="64">
        <f>ventas_b_mes684[[#This Row],[IMPORTE NETO]]*0.21</f>
        <v>4338.8436000000002</v>
      </c>
      <c r="J1698" s="64"/>
      <c r="K1698" s="64"/>
      <c r="L1698" s="64">
        <f>SUM(ventas_b_mes684[[#This Row],[IMPORTE NETO]:[EXENTO]])</f>
        <v>25000.0036</v>
      </c>
      <c r="M1698" s="59"/>
    </row>
    <row r="1699" spans="2:13">
      <c r="B1699" s="40" t="s">
        <v>2317</v>
      </c>
      <c r="C1699" s="41">
        <v>6</v>
      </c>
      <c r="D1699" s="42">
        <v>11</v>
      </c>
      <c r="E1699" s="43">
        <v>38289</v>
      </c>
      <c r="F1699" s="44">
        <v>20802193</v>
      </c>
      <c r="G1699" s="1" t="str">
        <f>IFERROR(IF(ventas_b_mes684[[#This Row],[CUIT]]="","-",VLOOKUP(ventas_b_mes684[[#This Row],[CUIT]],Lista_CUIT[#All],2,0)),"CUIT NO CARGADO")</f>
        <v>CUIT NO CARGADO</v>
      </c>
      <c r="H1699" s="64">
        <v>10495.87</v>
      </c>
      <c r="I1699" s="64">
        <f>ventas_b_mes684[[#This Row],[IMPORTE NETO]]*0.21</f>
        <v>2204.1327000000001</v>
      </c>
      <c r="J1699" s="64"/>
      <c r="K1699" s="64"/>
      <c r="L1699" s="64">
        <f>SUM(ventas_b_mes684[[#This Row],[IMPORTE NETO]:[EXENTO]])</f>
        <v>12700.002700000001</v>
      </c>
      <c r="M1699" s="59"/>
    </row>
    <row r="1700" spans="2:13">
      <c r="B1700" s="40" t="s">
        <v>2317</v>
      </c>
      <c r="C1700" s="41">
        <v>6</v>
      </c>
      <c r="D1700" s="42">
        <v>11</v>
      </c>
      <c r="E1700" s="43">
        <v>38295</v>
      </c>
      <c r="F1700" s="44">
        <v>11389103</v>
      </c>
      <c r="G1700" s="1" t="str">
        <f>IFERROR(IF(ventas_b_mes684[[#This Row],[CUIT]]="","-",VLOOKUP(ventas_b_mes684[[#This Row],[CUIT]],Lista_CUIT[#All],2,0)),"CUIT NO CARGADO")</f>
        <v>CUIT NO CARGADO</v>
      </c>
      <c r="H1700" s="64">
        <v>9942.15</v>
      </c>
      <c r="I1700" s="64">
        <f>ventas_b_mes684[[#This Row],[IMPORTE NETO]]*0.21</f>
        <v>2087.8514999999998</v>
      </c>
      <c r="J1700" s="64"/>
      <c r="K1700" s="64"/>
      <c r="L1700" s="64">
        <f>SUM(ventas_b_mes684[[#This Row],[IMPORTE NETO]:[EXENTO]])</f>
        <v>12030.001499999998</v>
      </c>
      <c r="M1700" s="59"/>
    </row>
    <row r="1701" spans="2:13">
      <c r="B1701" s="40" t="s">
        <v>2317</v>
      </c>
      <c r="C1701" s="41">
        <v>6</v>
      </c>
      <c r="D1701" s="42">
        <v>15</v>
      </c>
      <c r="E1701" s="43">
        <v>13402</v>
      </c>
      <c r="F1701" s="44">
        <v>19015786</v>
      </c>
      <c r="G1701" s="1" t="str">
        <f>IFERROR(IF(ventas_b_mes684[[#This Row],[CUIT]]="","-",VLOOKUP(ventas_b_mes684[[#This Row],[CUIT]],Lista_CUIT[#All],2,0)),"CUIT NO CARGADO")</f>
        <v>PILE, LUCERO MARIELA</v>
      </c>
      <c r="H1701" s="64">
        <v>98132.23</v>
      </c>
      <c r="I1701" s="64">
        <f>ventas_b_mes684[[#This Row],[IMPORTE NETO]]*0.21</f>
        <v>20607.7683</v>
      </c>
      <c r="J1701" s="64"/>
      <c r="K1701" s="64"/>
      <c r="L1701" s="64">
        <f>SUM(ventas_b_mes684[[#This Row],[IMPORTE NETO]:[EXENTO]])</f>
        <v>118739.99829999999</v>
      </c>
      <c r="M1701" s="59"/>
    </row>
    <row r="1702" spans="2:13">
      <c r="B1702" s="40" t="s">
        <v>2317</v>
      </c>
      <c r="C1702" s="41">
        <v>6</v>
      </c>
      <c r="D1702" s="42">
        <v>10</v>
      </c>
      <c r="E1702" s="43">
        <v>54613</v>
      </c>
      <c r="F1702" s="44">
        <v>33150093</v>
      </c>
      <c r="G1702" s="1" t="str">
        <f>IFERROR(IF(ventas_b_mes684[[#This Row],[CUIT]]="","-",VLOOKUP(ventas_b_mes684[[#This Row],[CUIT]],Lista_CUIT[#All],2,0)),"CUIT NO CARGADO")</f>
        <v>CUIT NO CARGADO</v>
      </c>
      <c r="H1702" s="64">
        <v>4462.8100000000004</v>
      </c>
      <c r="I1702" s="64">
        <f>ventas_b_mes684[[#This Row],[IMPORTE NETO]]*0.21</f>
        <v>937.19010000000003</v>
      </c>
      <c r="J1702" s="64"/>
      <c r="K1702" s="64"/>
      <c r="L1702" s="64">
        <f>SUM(ventas_b_mes684[[#This Row],[IMPORTE NETO]:[EXENTO]])</f>
        <v>5400.0001000000002</v>
      </c>
      <c r="M1702" s="59"/>
    </row>
    <row r="1703" spans="2:13">
      <c r="B1703" s="40" t="s">
        <v>2317</v>
      </c>
      <c r="C1703" s="41">
        <v>6</v>
      </c>
      <c r="D1703" s="42">
        <v>11</v>
      </c>
      <c r="E1703" s="43">
        <v>38294</v>
      </c>
      <c r="F1703" s="44">
        <v>95573083</v>
      </c>
      <c r="G1703" s="1" t="str">
        <f>IFERROR(IF(ventas_b_mes684[[#This Row],[CUIT]]="","-",VLOOKUP(ventas_b_mes684[[#This Row],[CUIT]],Lista_CUIT[#All],2,0)),"CUIT NO CARGADO")</f>
        <v>CUIT NO CARGADO</v>
      </c>
      <c r="H1703" s="64">
        <v>8925.6200000000008</v>
      </c>
      <c r="I1703" s="64">
        <f>ventas_b_mes684[[#This Row],[IMPORTE NETO]]*0.21</f>
        <v>1874.3802000000001</v>
      </c>
      <c r="J1703" s="64"/>
      <c r="K1703" s="64"/>
      <c r="L1703" s="64">
        <f>SUM(ventas_b_mes684[[#This Row],[IMPORTE NETO]:[EXENTO]])</f>
        <v>10800.0002</v>
      </c>
      <c r="M1703" s="59"/>
    </row>
    <row r="1704" spans="2:13">
      <c r="B1704" s="40" t="s">
        <v>2317</v>
      </c>
      <c r="C1704" s="41">
        <v>6</v>
      </c>
      <c r="D1704" s="42">
        <v>11</v>
      </c>
      <c r="E1704" s="43">
        <v>38269</v>
      </c>
      <c r="F1704" s="44">
        <v>26174498</v>
      </c>
      <c r="G1704" s="1" t="str">
        <f>IFERROR(IF(ventas_b_mes684[[#This Row],[CUIT]]="","-",VLOOKUP(ventas_b_mes684[[#This Row],[CUIT]],Lista_CUIT[#All],2,0)),"CUIT NO CARGADO")</f>
        <v>CUIT NO CARGADO</v>
      </c>
      <c r="H1704" s="64">
        <v>19842.97</v>
      </c>
      <c r="I1704" s="64">
        <f>ventas_b_mes684[[#This Row],[IMPORTE NETO]]*0.21</f>
        <v>4167.0236999999997</v>
      </c>
      <c r="J1704" s="64"/>
      <c r="K1704" s="64"/>
      <c r="L1704" s="64">
        <f>SUM(ventas_b_mes684[[#This Row],[IMPORTE NETO]:[EXENTO]])</f>
        <v>24009.993699999999</v>
      </c>
      <c r="M1704" s="59"/>
    </row>
    <row r="1705" spans="2:13">
      <c r="B1705" s="40" t="s">
        <v>2317</v>
      </c>
      <c r="C1705" s="41">
        <v>6</v>
      </c>
      <c r="D1705" s="42">
        <v>10</v>
      </c>
      <c r="E1705" s="43">
        <v>54604</v>
      </c>
      <c r="F1705" s="44">
        <v>14596392</v>
      </c>
      <c r="G1705" s="1" t="str">
        <f>IFERROR(IF(ventas_b_mes684[[#This Row],[CUIT]]="","-",VLOOKUP(ventas_b_mes684[[#This Row],[CUIT]],Lista_CUIT[#All],2,0)),"CUIT NO CARGADO")</f>
        <v>CUIT NO CARGADO</v>
      </c>
      <c r="H1705" s="64">
        <v>55520.66</v>
      </c>
      <c r="I1705" s="64">
        <f>ventas_b_mes684[[#This Row],[IMPORTE NETO]]*0.21</f>
        <v>11659.338600000001</v>
      </c>
      <c r="J1705" s="64"/>
      <c r="K1705" s="64"/>
      <c r="L1705" s="64">
        <f>SUM(ventas_b_mes684[[#This Row],[IMPORTE NETO]:[EXENTO]])</f>
        <v>67179.998600000006</v>
      </c>
      <c r="M1705" s="59"/>
    </row>
    <row r="1706" spans="2:13">
      <c r="B1706" s="40" t="s">
        <v>2317</v>
      </c>
      <c r="C1706" s="41">
        <v>6</v>
      </c>
      <c r="D1706" s="42">
        <v>15</v>
      </c>
      <c r="E1706" s="43">
        <v>13400</v>
      </c>
      <c r="F1706" s="44">
        <v>42622446</v>
      </c>
      <c r="G1706" s="1" t="str">
        <f>IFERROR(IF(ventas_b_mes684[[#This Row],[CUIT]]="","-",VLOOKUP(ventas_b_mes684[[#This Row],[CUIT]],Lista_CUIT[#All],2,0)),"CUIT NO CARGADO")</f>
        <v>SORIA, AYLEN CAMILA (ALUMNA)</v>
      </c>
      <c r="H1706" s="64">
        <v>6198.35</v>
      </c>
      <c r="I1706" s="64">
        <f>ventas_b_mes684[[#This Row],[IMPORTE NETO]]*0.21</f>
        <v>1301.6535000000001</v>
      </c>
      <c r="J1706" s="64"/>
      <c r="K1706" s="64"/>
      <c r="L1706" s="64">
        <f>SUM(ventas_b_mes684[[#This Row],[IMPORTE NETO]:[EXENTO]])</f>
        <v>7500.0035000000007</v>
      </c>
      <c r="M1706" s="59"/>
    </row>
    <row r="1707" spans="2:13">
      <c r="B1707" s="40" t="s">
        <v>2317</v>
      </c>
      <c r="C1707" s="41">
        <v>6</v>
      </c>
      <c r="D1707" s="42">
        <v>10</v>
      </c>
      <c r="E1707" s="43">
        <v>54606</v>
      </c>
      <c r="F1707" s="44">
        <v>20840158</v>
      </c>
      <c r="G1707" s="1" t="str">
        <f>IFERROR(IF(ventas_b_mes684[[#This Row],[CUIT]]="","-",VLOOKUP(ventas_b_mes684[[#This Row],[CUIT]],Lista_CUIT[#All],2,0)),"CUIT NO CARGADO")</f>
        <v>CUIT NO CARGADO</v>
      </c>
      <c r="H1707" s="64">
        <v>8264.4599999999991</v>
      </c>
      <c r="I1707" s="64">
        <f>ventas_b_mes684[[#This Row],[IMPORTE NETO]]*0.21</f>
        <v>1735.5365999999997</v>
      </c>
      <c r="J1707" s="64"/>
      <c r="K1707" s="64"/>
      <c r="L1707" s="64">
        <f>SUM(ventas_b_mes684[[#This Row],[IMPORTE NETO]:[EXENTO]])</f>
        <v>9999.9965999999986</v>
      </c>
      <c r="M1707" s="59"/>
    </row>
    <row r="1708" spans="2:13">
      <c r="B1708" s="40" t="s">
        <v>2317</v>
      </c>
      <c r="C1708" s="41">
        <v>6</v>
      </c>
      <c r="D1708" s="42">
        <v>13</v>
      </c>
      <c r="E1708" s="43">
        <v>32559</v>
      </c>
      <c r="F1708" s="44">
        <v>25905150</v>
      </c>
      <c r="G1708" s="1" t="str">
        <f>IFERROR(IF(ventas_b_mes684[[#This Row],[CUIT]]="","-",VLOOKUP(ventas_b_mes684[[#This Row],[CUIT]],Lista_CUIT[#All],2,0)),"CUIT NO CARGADO")</f>
        <v>CUIT NO CARGADO</v>
      </c>
      <c r="H1708" s="64">
        <v>9446.2800000000007</v>
      </c>
      <c r="I1708" s="64">
        <f>ventas_b_mes684[[#This Row],[IMPORTE NETO]]*0.21</f>
        <v>1983.7188000000001</v>
      </c>
      <c r="J1708" s="64"/>
      <c r="K1708" s="64"/>
      <c r="L1708" s="64">
        <f>SUM(ventas_b_mes684[[#This Row],[IMPORTE NETO]:[EXENTO]])</f>
        <v>11429.998800000001</v>
      </c>
      <c r="M1708" s="59"/>
    </row>
    <row r="1709" spans="2:13">
      <c r="B1709" s="40" t="s">
        <v>2317</v>
      </c>
      <c r="C1709" s="41">
        <v>6</v>
      </c>
      <c r="D1709" s="42">
        <v>11</v>
      </c>
      <c r="E1709" s="43">
        <v>38273</v>
      </c>
      <c r="F1709" s="44">
        <v>20765234</v>
      </c>
      <c r="G1709" s="1" t="str">
        <f>IFERROR(IF(ventas_b_mes684[[#This Row],[CUIT]]="","-",VLOOKUP(ventas_b_mes684[[#This Row],[CUIT]],Lista_CUIT[#All],2,0)),"CUIT NO CARGADO")</f>
        <v>CUIT NO CARGADO</v>
      </c>
      <c r="H1709" s="64">
        <v>20661.16</v>
      </c>
      <c r="I1709" s="64">
        <f>ventas_b_mes684[[#This Row],[IMPORTE NETO]]*0.21</f>
        <v>4338.8436000000002</v>
      </c>
      <c r="J1709" s="64"/>
      <c r="K1709" s="64"/>
      <c r="L1709" s="64">
        <f>SUM(ventas_b_mes684[[#This Row],[IMPORTE NETO]:[EXENTO]])</f>
        <v>25000.0036</v>
      </c>
      <c r="M1709" s="59"/>
    </row>
    <row r="1710" spans="2:13">
      <c r="B1710" s="40" t="s">
        <v>2317</v>
      </c>
      <c r="C1710" s="41">
        <v>6</v>
      </c>
      <c r="D1710" s="42">
        <v>13</v>
      </c>
      <c r="E1710" s="43">
        <v>32565</v>
      </c>
      <c r="F1710" s="44">
        <v>20560897</v>
      </c>
      <c r="G1710" s="1" t="str">
        <f>IFERROR(IF(ventas_b_mes684[[#This Row],[CUIT]]="","-",VLOOKUP(ventas_b_mes684[[#This Row],[CUIT]],Lista_CUIT[#All],2,0)),"CUIT NO CARGADO")</f>
        <v>CUIT NO CARGADO</v>
      </c>
      <c r="H1710" s="64">
        <v>17355.37</v>
      </c>
      <c r="I1710" s="64">
        <f>ventas_b_mes684[[#This Row],[IMPORTE NETO]]*0.21</f>
        <v>3644.6276999999995</v>
      </c>
      <c r="J1710" s="64"/>
      <c r="K1710" s="64"/>
      <c r="L1710" s="64">
        <f>SUM(ventas_b_mes684[[#This Row],[IMPORTE NETO]:[EXENTO]])</f>
        <v>20999.9977</v>
      </c>
      <c r="M1710" s="59"/>
    </row>
    <row r="1711" spans="2:13">
      <c r="B1711" s="40" t="s">
        <v>2317</v>
      </c>
      <c r="C1711" s="41">
        <v>6</v>
      </c>
      <c r="D1711" s="42">
        <v>11</v>
      </c>
      <c r="E1711" s="43">
        <v>38300</v>
      </c>
      <c r="F1711" s="44">
        <v>6282551</v>
      </c>
      <c r="G1711" s="1" t="str">
        <f>IFERROR(IF(ventas_b_mes684[[#This Row],[CUIT]]="","-",VLOOKUP(ventas_b_mes684[[#This Row],[CUIT]],Lista_CUIT[#All],2,0)),"CUIT NO CARGADO")</f>
        <v>CUIT NO CARGADO</v>
      </c>
      <c r="H1711" s="64">
        <v>60495.87</v>
      </c>
      <c r="I1711" s="64">
        <f>ventas_b_mes684[[#This Row],[IMPORTE NETO]]*0.21</f>
        <v>12704.1327</v>
      </c>
      <c r="J1711" s="64"/>
      <c r="K1711" s="64"/>
      <c r="L1711" s="64">
        <f>SUM(ventas_b_mes684[[#This Row],[IMPORTE NETO]:[EXENTO]])</f>
        <v>73200.002699999997</v>
      </c>
      <c r="M1711" s="59"/>
    </row>
    <row r="1712" spans="2:13">
      <c r="B1712" s="40" t="s">
        <v>2317</v>
      </c>
      <c r="C1712" s="41">
        <v>6</v>
      </c>
      <c r="D1712" s="42">
        <v>15</v>
      </c>
      <c r="E1712" s="43">
        <v>13390</v>
      </c>
      <c r="F1712" s="44">
        <v>22879235</v>
      </c>
      <c r="G1712" s="1" t="str">
        <f>IFERROR(IF(ventas_b_mes684[[#This Row],[CUIT]]="","-",VLOOKUP(ventas_b_mes684[[#This Row],[CUIT]],Lista_CUIT[#All],2,0)),"CUIT NO CARGADO")</f>
        <v>CUIT NO CARGADO</v>
      </c>
      <c r="H1712" s="64">
        <v>1652.89</v>
      </c>
      <c r="I1712" s="64">
        <f>ventas_b_mes684[[#This Row],[IMPORTE NETO]]*0.21</f>
        <v>347.1069</v>
      </c>
      <c r="J1712" s="64"/>
      <c r="K1712" s="64"/>
      <c r="L1712" s="64">
        <f>SUM(ventas_b_mes684[[#This Row],[IMPORTE NETO]:[EXENTO]])</f>
        <v>1999.9969000000001</v>
      </c>
      <c r="M1712" s="59"/>
    </row>
    <row r="1713" spans="2:13">
      <c r="B1713" s="40" t="s">
        <v>2317</v>
      </c>
      <c r="C1713" s="41">
        <v>6</v>
      </c>
      <c r="D1713" s="42">
        <v>11</v>
      </c>
      <c r="E1713" s="43">
        <v>38279</v>
      </c>
      <c r="F1713" s="44">
        <v>18445255</v>
      </c>
      <c r="G1713" s="1" t="str">
        <f>IFERROR(IF(ventas_b_mes684[[#This Row],[CUIT]]="","-",VLOOKUP(ventas_b_mes684[[#This Row],[CUIT]],Lista_CUIT[#All],2,0)),"CUIT NO CARGADO")</f>
        <v>CUIT NO CARGADO</v>
      </c>
      <c r="H1713" s="64">
        <v>9917.36</v>
      </c>
      <c r="I1713" s="64">
        <f>ventas_b_mes684[[#This Row],[IMPORTE NETO]]*0.21</f>
        <v>2082.6455999999998</v>
      </c>
      <c r="J1713" s="64"/>
      <c r="K1713" s="64"/>
      <c r="L1713" s="64">
        <f>SUM(ventas_b_mes684[[#This Row],[IMPORTE NETO]:[EXENTO]])</f>
        <v>12000.0056</v>
      </c>
      <c r="M1713" s="59"/>
    </row>
    <row r="1714" spans="2:13">
      <c r="B1714" s="40" t="s">
        <v>2317</v>
      </c>
      <c r="C1714" s="41">
        <v>6</v>
      </c>
      <c r="D1714" s="42">
        <v>11</v>
      </c>
      <c r="E1714" s="43">
        <v>38278</v>
      </c>
      <c r="F1714" s="44">
        <v>30073418</v>
      </c>
      <c r="G1714" s="1" t="str">
        <f>IFERROR(IF(ventas_b_mes684[[#This Row],[CUIT]]="","-",VLOOKUP(ventas_b_mes684[[#This Row],[CUIT]],Lista_CUIT[#All],2,0)),"CUIT NO CARGADO")</f>
        <v>CUIT NO CARGADO</v>
      </c>
      <c r="H1714" s="64">
        <v>53826.45</v>
      </c>
      <c r="I1714" s="64">
        <f>ventas_b_mes684[[#This Row],[IMPORTE NETO]]*0.21</f>
        <v>11303.554499999998</v>
      </c>
      <c r="J1714" s="64"/>
      <c r="K1714" s="64"/>
      <c r="L1714" s="64">
        <f>SUM(ventas_b_mes684[[#This Row],[IMPORTE NETO]:[EXENTO]])</f>
        <v>65130.004499999995</v>
      </c>
      <c r="M1714" s="59"/>
    </row>
    <row r="1715" spans="2:13">
      <c r="B1715" s="40" t="s">
        <v>2317</v>
      </c>
      <c r="C1715" s="41">
        <v>6</v>
      </c>
      <c r="D1715" s="42">
        <v>13</v>
      </c>
      <c r="E1715" s="43">
        <v>32561</v>
      </c>
      <c r="F1715" s="44">
        <v>26194587</v>
      </c>
      <c r="G1715" s="1" t="str">
        <f>IFERROR(IF(ventas_b_mes684[[#This Row],[CUIT]]="","-",VLOOKUP(ventas_b_mes684[[#This Row],[CUIT]],Lista_CUIT[#All],2,0)),"CUIT NO CARGADO")</f>
        <v>CUIT NO CARGADO</v>
      </c>
      <c r="H1715" s="64">
        <v>8347.11</v>
      </c>
      <c r="I1715" s="64">
        <f>ventas_b_mes684[[#This Row],[IMPORTE NETO]]*0.21</f>
        <v>1752.8931</v>
      </c>
      <c r="J1715" s="64"/>
      <c r="K1715" s="64"/>
      <c r="L1715" s="64">
        <f>SUM(ventas_b_mes684[[#This Row],[IMPORTE NETO]:[EXENTO]])</f>
        <v>10100.0031</v>
      </c>
      <c r="M1715" s="59"/>
    </row>
    <row r="1716" spans="2:13">
      <c r="B1716" s="40" t="s">
        <v>2317</v>
      </c>
      <c r="C1716" s="41">
        <v>6</v>
      </c>
      <c r="D1716" s="42">
        <v>10</v>
      </c>
      <c r="E1716" s="43">
        <v>54598</v>
      </c>
      <c r="F1716" s="44">
        <v>40399600</v>
      </c>
      <c r="G1716" s="1" t="str">
        <f>IFERROR(IF(ventas_b_mes684[[#This Row],[CUIT]]="","-",VLOOKUP(ventas_b_mes684[[#This Row],[CUIT]],Lista_CUIT[#All],2,0)),"CUIT NO CARGADO")</f>
        <v>CUIT NO CARGADO</v>
      </c>
      <c r="H1716" s="64">
        <v>20661.16</v>
      </c>
      <c r="I1716" s="64">
        <f>ventas_b_mes684[[#This Row],[IMPORTE NETO]]*0.21</f>
        <v>4338.8436000000002</v>
      </c>
      <c r="J1716" s="64"/>
      <c r="K1716" s="64"/>
      <c r="L1716" s="64">
        <f>SUM(ventas_b_mes684[[#This Row],[IMPORTE NETO]:[EXENTO]])</f>
        <v>25000.0036</v>
      </c>
      <c r="M1716" s="59"/>
    </row>
    <row r="1717" spans="2:13">
      <c r="B1717" s="40" t="s">
        <v>2317</v>
      </c>
      <c r="C1717" s="41">
        <v>6</v>
      </c>
      <c r="D1717" s="42">
        <v>15</v>
      </c>
      <c r="E1717" s="43">
        <v>13401</v>
      </c>
      <c r="F1717" s="44">
        <v>40663205</v>
      </c>
      <c r="G1717" s="1" t="str">
        <f>IFERROR(IF(ventas_b_mes684[[#This Row],[CUIT]]="","-",VLOOKUP(ventas_b_mes684[[#This Row],[CUIT]],Lista_CUIT[#All],2,0)),"CUIT NO CARGADO")</f>
        <v>CUIT NO CARGADO</v>
      </c>
      <c r="H1717" s="64">
        <v>11074.38</v>
      </c>
      <c r="I1717" s="64">
        <f>ventas_b_mes684[[#This Row],[IMPORTE NETO]]*0.21</f>
        <v>2325.6197999999999</v>
      </c>
      <c r="J1717" s="64"/>
      <c r="K1717" s="64"/>
      <c r="L1717" s="64">
        <f>SUM(ventas_b_mes684[[#This Row],[IMPORTE NETO]:[EXENTO]])</f>
        <v>13399.9998</v>
      </c>
      <c r="M1717" s="59"/>
    </row>
    <row r="1718" spans="2:13">
      <c r="B1718" s="40" t="s">
        <v>2317</v>
      </c>
      <c r="C1718" s="41">
        <v>6</v>
      </c>
      <c r="D1718" s="42">
        <v>10</v>
      </c>
      <c r="E1718" s="43">
        <v>54592</v>
      </c>
      <c r="F1718" s="44">
        <v>1245638</v>
      </c>
      <c r="G1718" s="1" t="str">
        <f>IFERROR(IF(ventas_b_mes684[[#This Row],[CUIT]]="","-",VLOOKUP(ventas_b_mes684[[#This Row],[CUIT]],Lista_CUIT[#All],2,0)),"CUIT NO CARGADO")</f>
        <v>CUIT NO CARGADO</v>
      </c>
      <c r="H1718" s="64">
        <v>68111.69</v>
      </c>
      <c r="I1718" s="64">
        <f>ventas_b_mes684[[#This Row],[IMPORTE NETO]]*0.21</f>
        <v>14303.454900000001</v>
      </c>
      <c r="J1718" s="64"/>
      <c r="K1718" s="64"/>
      <c r="L1718" s="64">
        <f>SUM(ventas_b_mes684[[#This Row],[IMPORTE NETO]:[EXENTO]])</f>
        <v>82415.144899999999</v>
      </c>
      <c r="M1718" s="59"/>
    </row>
    <row r="1719" spans="2:13">
      <c r="B1719" s="40" t="s">
        <v>2317</v>
      </c>
      <c r="C1719" s="41">
        <v>6</v>
      </c>
      <c r="D1719" s="42">
        <v>10</v>
      </c>
      <c r="E1719" s="43">
        <v>54590</v>
      </c>
      <c r="F1719" s="44">
        <v>23447892</v>
      </c>
      <c r="G1719" s="1" t="str">
        <f>IFERROR(IF(ventas_b_mes684[[#This Row],[CUIT]]="","-",VLOOKUP(ventas_b_mes684[[#This Row],[CUIT]],Lista_CUIT[#All],2,0)),"CUIT NO CARGADO")</f>
        <v>CUIT NO CARGADO</v>
      </c>
      <c r="H1719" s="64">
        <v>8264.4599999999991</v>
      </c>
      <c r="I1719" s="64">
        <f>ventas_b_mes684[[#This Row],[IMPORTE NETO]]*0.21</f>
        <v>1735.5365999999997</v>
      </c>
      <c r="J1719" s="64"/>
      <c r="K1719" s="64"/>
      <c r="L1719" s="64">
        <f>SUM(ventas_b_mes684[[#This Row],[IMPORTE NETO]:[EXENTO]])</f>
        <v>9999.9965999999986</v>
      </c>
      <c r="M1719" s="59"/>
    </row>
    <row r="1720" spans="2:13">
      <c r="B1720" s="40" t="s">
        <v>2317</v>
      </c>
      <c r="C1720" s="41">
        <v>6</v>
      </c>
      <c r="D1720" s="42">
        <v>15</v>
      </c>
      <c r="E1720" s="43">
        <v>13395</v>
      </c>
      <c r="F1720" s="44">
        <v>34651132</v>
      </c>
      <c r="G1720" s="1" t="str">
        <f>IFERROR(IF(ventas_b_mes684[[#This Row],[CUIT]]="","-",VLOOKUP(ventas_b_mes684[[#This Row],[CUIT]],Lista_CUIT[#All],2,0)),"CUIT NO CARGADO")</f>
        <v>EURO BOLUMBURU, MARIA FERNANDA</v>
      </c>
      <c r="H1720" s="64">
        <v>8925.6</v>
      </c>
      <c r="I1720" s="64">
        <f>ventas_b_mes684[[#This Row],[IMPORTE NETO]]*0.21</f>
        <v>1874.376</v>
      </c>
      <c r="J1720" s="64"/>
      <c r="K1720" s="64"/>
      <c r="L1720" s="64">
        <f>SUM(ventas_b_mes684[[#This Row],[IMPORTE NETO]:[EXENTO]])</f>
        <v>10799.976000000001</v>
      </c>
      <c r="M1720" s="59"/>
    </row>
    <row r="1721" spans="2:13">
      <c r="B1721" s="40" t="s">
        <v>2317</v>
      </c>
      <c r="C1721" s="41">
        <v>6</v>
      </c>
      <c r="D1721" s="42">
        <v>11</v>
      </c>
      <c r="E1721" s="43">
        <v>38275</v>
      </c>
      <c r="F1721" s="44">
        <v>23864789</v>
      </c>
      <c r="G1721" s="1" t="str">
        <f>IFERROR(IF(ventas_b_mes684[[#This Row],[CUIT]]="","-",VLOOKUP(ventas_b_mes684[[#This Row],[CUIT]],Lista_CUIT[#All],2,0)),"CUIT NO CARGADO")</f>
        <v>CUIT NO CARGADO</v>
      </c>
      <c r="H1721" s="64">
        <v>15123.97</v>
      </c>
      <c r="I1721" s="64">
        <f>ventas_b_mes684[[#This Row],[IMPORTE NETO]]*0.21</f>
        <v>3176.0337</v>
      </c>
      <c r="J1721" s="64"/>
      <c r="K1721" s="64"/>
      <c r="L1721" s="64">
        <f>SUM(ventas_b_mes684[[#This Row],[IMPORTE NETO]:[EXENTO]])</f>
        <v>18300.003700000001</v>
      </c>
      <c r="M1721" s="59"/>
    </row>
    <row r="1722" spans="2:13">
      <c r="B1722" s="40" t="s">
        <v>2317</v>
      </c>
      <c r="C1722" s="41">
        <v>6</v>
      </c>
      <c r="D1722" s="42">
        <v>11</v>
      </c>
      <c r="E1722" s="43">
        <v>38276</v>
      </c>
      <c r="F1722" s="44">
        <v>23864789</v>
      </c>
      <c r="G1722" s="1" t="str">
        <f>IFERROR(IF(ventas_b_mes684[[#This Row],[CUIT]]="","-",VLOOKUP(ventas_b_mes684[[#This Row],[CUIT]],Lista_CUIT[#All],2,0)),"CUIT NO CARGADO")</f>
        <v>CUIT NO CARGADO</v>
      </c>
      <c r="H1722" s="64">
        <v>37355.370000000003</v>
      </c>
      <c r="I1722" s="64">
        <f>ventas_b_mes684[[#This Row],[IMPORTE NETO]]*0.21</f>
        <v>7844.6277</v>
      </c>
      <c r="J1722" s="64"/>
      <c r="K1722" s="64"/>
      <c r="L1722" s="64">
        <f>SUM(ventas_b_mes684[[#This Row],[IMPORTE NETO]:[EXENTO]])</f>
        <v>45199.9977</v>
      </c>
      <c r="M1722" s="59"/>
    </row>
    <row r="1723" spans="2:13">
      <c r="B1723" s="40" t="s">
        <v>2317</v>
      </c>
      <c r="C1723" s="41">
        <v>6</v>
      </c>
      <c r="D1723" s="42">
        <v>11</v>
      </c>
      <c r="E1723" s="43">
        <v>38288</v>
      </c>
      <c r="F1723" s="44">
        <v>25174784</v>
      </c>
      <c r="G1723" s="1" t="str">
        <f>IFERROR(IF(ventas_b_mes684[[#This Row],[CUIT]]="","-",VLOOKUP(ventas_b_mes684[[#This Row],[CUIT]],Lista_CUIT[#All],2,0)),"CUIT NO CARGADO")</f>
        <v>CUIT NO CARGADO</v>
      </c>
      <c r="H1723" s="64">
        <v>11157.02</v>
      </c>
      <c r="I1723" s="64">
        <f>ventas_b_mes684[[#This Row],[IMPORTE NETO]]*0.21</f>
        <v>2342.9742000000001</v>
      </c>
      <c r="J1723" s="64"/>
      <c r="K1723" s="64"/>
      <c r="L1723" s="64">
        <f>SUM(ventas_b_mes684[[#This Row],[IMPORTE NETO]:[EXENTO]])</f>
        <v>13499.994200000001</v>
      </c>
      <c r="M1723" s="59"/>
    </row>
    <row r="1724" spans="2:13">
      <c r="B1724" s="40" t="s">
        <v>2317</v>
      </c>
      <c r="C1724" s="41">
        <v>6</v>
      </c>
      <c r="D1724" s="42">
        <v>11</v>
      </c>
      <c r="E1724" s="43">
        <v>38292</v>
      </c>
      <c r="F1724" s="44">
        <v>46030695</v>
      </c>
      <c r="G1724" s="1" t="str">
        <f>IFERROR(IF(ventas_b_mes684[[#This Row],[CUIT]]="","-",VLOOKUP(ventas_b_mes684[[#This Row],[CUIT]],Lista_CUIT[#All],2,0)),"CUIT NO CARGADO")</f>
        <v>CUIT NO CARGADO</v>
      </c>
      <c r="H1724" s="64">
        <v>20661.16</v>
      </c>
      <c r="I1724" s="64">
        <f>ventas_b_mes684[[#This Row],[IMPORTE NETO]]*0.21</f>
        <v>4338.8436000000002</v>
      </c>
      <c r="J1724" s="64"/>
      <c r="K1724" s="64"/>
      <c r="L1724" s="64">
        <f>SUM(ventas_b_mes684[[#This Row],[IMPORTE NETO]:[EXENTO]])</f>
        <v>25000.0036</v>
      </c>
      <c r="M1724" s="59"/>
    </row>
    <row r="1725" spans="2:13">
      <c r="B1725" s="40" t="s">
        <v>2317</v>
      </c>
      <c r="C1725" s="41">
        <v>6</v>
      </c>
      <c r="D1725" s="42">
        <v>10</v>
      </c>
      <c r="E1725" s="43">
        <v>54614</v>
      </c>
      <c r="F1725" s="44">
        <v>12401240</v>
      </c>
      <c r="G1725" s="1" t="str">
        <f>IFERROR(IF(ventas_b_mes684[[#This Row],[CUIT]]="","-",VLOOKUP(ventas_b_mes684[[#This Row],[CUIT]],Lista_CUIT[#All],2,0)),"CUIT NO CARGADO")</f>
        <v>CUIT NO CARGADO</v>
      </c>
      <c r="H1725" s="64">
        <v>8264.4599999999991</v>
      </c>
      <c r="I1725" s="64">
        <f>ventas_b_mes684[[#This Row],[IMPORTE NETO]]*0.21</f>
        <v>1735.5365999999997</v>
      </c>
      <c r="J1725" s="64"/>
      <c r="K1725" s="64"/>
      <c r="L1725" s="64">
        <f>SUM(ventas_b_mes684[[#This Row],[IMPORTE NETO]:[EXENTO]])</f>
        <v>9999.9965999999986</v>
      </c>
      <c r="M1725" s="59"/>
    </row>
    <row r="1726" spans="2:13">
      <c r="B1726" s="40" t="s">
        <v>2317</v>
      </c>
      <c r="C1726" s="41">
        <v>6</v>
      </c>
      <c r="D1726" s="42">
        <v>15</v>
      </c>
      <c r="E1726" s="43">
        <v>13396</v>
      </c>
      <c r="F1726" s="44">
        <v>25865604</v>
      </c>
      <c r="G1726" s="1" t="str">
        <f>IFERROR(IF(ventas_b_mes684[[#This Row],[CUIT]]="","-",VLOOKUP(ventas_b_mes684[[#This Row],[CUIT]],Lista_CUIT[#All],2,0)),"CUIT NO CARGADO")</f>
        <v>CUIT NO CARGADO</v>
      </c>
      <c r="H1726" s="64">
        <v>29421.49</v>
      </c>
      <c r="I1726" s="64">
        <f>ventas_b_mes684[[#This Row],[IMPORTE NETO]]*0.21</f>
        <v>6178.5128999999997</v>
      </c>
      <c r="J1726" s="64"/>
      <c r="K1726" s="64"/>
      <c r="L1726" s="64">
        <f>SUM(ventas_b_mes684[[#This Row],[IMPORTE NETO]:[EXENTO]])</f>
        <v>35600.002899999999</v>
      </c>
      <c r="M1726" s="59"/>
    </row>
    <row r="1727" spans="2:13">
      <c r="B1727" s="40" t="s">
        <v>2317</v>
      </c>
      <c r="C1727" s="41">
        <v>6</v>
      </c>
      <c r="D1727" s="42">
        <v>10</v>
      </c>
      <c r="E1727" s="43">
        <v>54594</v>
      </c>
      <c r="F1727" s="44">
        <v>40377405</v>
      </c>
      <c r="G1727" s="1" t="str">
        <f>IFERROR(IF(ventas_b_mes684[[#This Row],[CUIT]]="","-",VLOOKUP(ventas_b_mes684[[#This Row],[CUIT]],Lista_CUIT[#All],2,0)),"CUIT NO CARGADO")</f>
        <v>CUIT NO CARGADO</v>
      </c>
      <c r="H1727" s="64">
        <v>30553.72</v>
      </c>
      <c r="I1727" s="64">
        <f>ventas_b_mes684[[#This Row],[IMPORTE NETO]]*0.21</f>
        <v>6416.2812000000004</v>
      </c>
      <c r="J1727" s="64"/>
      <c r="K1727" s="64"/>
      <c r="L1727" s="64">
        <f>SUM(ventas_b_mes684[[#This Row],[IMPORTE NETO]:[EXENTO]])</f>
        <v>36970.001199999999</v>
      </c>
      <c r="M1727" s="59"/>
    </row>
    <row r="1728" spans="2:13">
      <c r="B1728" s="40" t="s">
        <v>2317</v>
      </c>
      <c r="C1728" s="41">
        <v>6</v>
      </c>
      <c r="D1728" s="42">
        <v>11</v>
      </c>
      <c r="E1728" s="43">
        <v>38285</v>
      </c>
      <c r="F1728" s="44">
        <v>16253145</v>
      </c>
      <c r="G1728" s="1" t="str">
        <f>IFERROR(IF(ventas_b_mes684[[#This Row],[CUIT]]="","-",VLOOKUP(ventas_b_mes684[[#This Row],[CUIT]],Lista_CUIT[#All],2,0)),"CUIT NO CARGADO")</f>
        <v>CUIT NO CARGADO</v>
      </c>
      <c r="H1728" s="64">
        <v>23537.27</v>
      </c>
      <c r="I1728" s="64">
        <f>ventas_b_mes684[[#This Row],[IMPORTE NETO]]*0.21</f>
        <v>4942.8266999999996</v>
      </c>
      <c r="J1728" s="64"/>
      <c r="K1728" s="64"/>
      <c r="L1728" s="64">
        <f>SUM(ventas_b_mes684[[#This Row],[IMPORTE NETO]:[EXENTO]])</f>
        <v>28480.096700000002</v>
      </c>
      <c r="M1728" s="59"/>
    </row>
    <row r="1729" spans="2:13">
      <c r="B1729" s="40" t="s">
        <v>2317</v>
      </c>
      <c r="C1729" s="41">
        <v>6</v>
      </c>
      <c r="D1729" s="42">
        <v>11</v>
      </c>
      <c r="E1729" s="43">
        <v>38280</v>
      </c>
      <c r="F1729" s="44">
        <v>45524372</v>
      </c>
      <c r="G1729" s="1" t="str">
        <f>IFERROR(IF(ventas_b_mes684[[#This Row],[CUIT]]="","-",VLOOKUP(ventas_b_mes684[[#This Row],[CUIT]],Lista_CUIT[#All],2,0)),"CUIT NO CARGADO")</f>
        <v>CUIT NO CARGADO</v>
      </c>
      <c r="H1729" s="64">
        <v>20661.16</v>
      </c>
      <c r="I1729" s="64">
        <f>ventas_b_mes684[[#This Row],[IMPORTE NETO]]*0.21</f>
        <v>4338.8436000000002</v>
      </c>
      <c r="J1729" s="64"/>
      <c r="K1729" s="64"/>
      <c r="L1729" s="64">
        <f>SUM(ventas_b_mes684[[#This Row],[IMPORTE NETO]:[EXENTO]])</f>
        <v>25000.0036</v>
      </c>
      <c r="M1729" s="59"/>
    </row>
    <row r="1730" spans="2:13">
      <c r="B1730" s="40" t="s">
        <v>2317</v>
      </c>
      <c r="C1730" s="41">
        <v>6</v>
      </c>
      <c r="D1730" s="42">
        <v>15</v>
      </c>
      <c r="E1730" s="43">
        <v>13388</v>
      </c>
      <c r="F1730" s="44">
        <v>14837628</v>
      </c>
      <c r="G1730" s="1" t="str">
        <f>IFERROR(IF(ventas_b_mes684[[#This Row],[CUIT]]="","-",VLOOKUP(ventas_b_mes684[[#This Row],[CUIT]],Lista_CUIT[#All],2,0)),"CUIT NO CARGADO")</f>
        <v>CUIT NO CARGADO</v>
      </c>
      <c r="H1730" s="64">
        <v>26528.93</v>
      </c>
      <c r="I1730" s="64">
        <f>ventas_b_mes684[[#This Row],[IMPORTE NETO]]*0.21</f>
        <v>5571.0752999999995</v>
      </c>
      <c r="J1730" s="64"/>
      <c r="K1730" s="64"/>
      <c r="L1730" s="64">
        <f>SUM(ventas_b_mes684[[#This Row],[IMPORTE NETO]:[EXENTO]])</f>
        <v>32100.005300000001</v>
      </c>
      <c r="M1730" s="59"/>
    </row>
    <row r="1731" spans="2:13">
      <c r="B1731" s="40" t="s">
        <v>2317</v>
      </c>
      <c r="C1731" s="41">
        <v>6</v>
      </c>
      <c r="D1731" s="42">
        <v>11</v>
      </c>
      <c r="E1731" s="43">
        <v>38274</v>
      </c>
      <c r="F1731" s="44">
        <v>32990545</v>
      </c>
      <c r="G1731" s="1" t="str">
        <f>IFERROR(IF(ventas_b_mes684[[#This Row],[CUIT]]="","-",VLOOKUP(ventas_b_mes684[[#This Row],[CUIT]],Lista_CUIT[#All],2,0)),"CUIT NO CARGADO")</f>
        <v>CUIT NO CARGADO</v>
      </c>
      <c r="H1731" s="64">
        <v>7685.95</v>
      </c>
      <c r="I1731" s="64">
        <f>ventas_b_mes684[[#This Row],[IMPORTE NETO]]*0.21</f>
        <v>1614.0494999999999</v>
      </c>
      <c r="J1731" s="64"/>
      <c r="K1731" s="64"/>
      <c r="L1731" s="64">
        <f>SUM(ventas_b_mes684[[#This Row],[IMPORTE NETO]:[EXENTO]])</f>
        <v>9299.9994999999999</v>
      </c>
      <c r="M1731" s="59"/>
    </row>
    <row r="1732" spans="2:13">
      <c r="B1732" s="40" t="s">
        <v>2317</v>
      </c>
      <c r="C1732" s="41">
        <v>6</v>
      </c>
      <c r="D1732" s="42">
        <v>10</v>
      </c>
      <c r="E1732" s="43">
        <v>54596</v>
      </c>
      <c r="F1732" s="44">
        <v>27321588536</v>
      </c>
      <c r="G1732" s="1" t="str">
        <f>IFERROR(IF(ventas_b_mes684[[#This Row],[CUIT]]="","-",VLOOKUP(ventas_b_mes684[[#This Row],[CUIT]],Lista_CUIT[#All],2,0)),"CUIT NO CARGADO")</f>
        <v>CUIT NO CARGADO</v>
      </c>
      <c r="H1732" s="64">
        <v>68855.360000000001</v>
      </c>
      <c r="I1732" s="64">
        <f>ventas_b_mes684[[#This Row],[IMPORTE NETO]]*0.21</f>
        <v>14459.625599999999</v>
      </c>
      <c r="J1732" s="64"/>
      <c r="K1732" s="64"/>
      <c r="L1732" s="64">
        <f>SUM(ventas_b_mes684[[#This Row],[IMPORTE NETO]:[EXENTO]])</f>
        <v>83314.9856</v>
      </c>
      <c r="M1732" s="59"/>
    </row>
    <row r="1733" spans="2:13">
      <c r="B1733" s="40" t="s">
        <v>2317</v>
      </c>
      <c r="C1733" s="41">
        <v>6</v>
      </c>
      <c r="D1733" s="42">
        <v>11</v>
      </c>
      <c r="E1733" s="43">
        <v>38287</v>
      </c>
      <c r="F1733" s="44">
        <v>25174784</v>
      </c>
      <c r="G1733" s="1" t="str">
        <f>IFERROR(IF(ventas_b_mes684[[#This Row],[CUIT]]="","-",VLOOKUP(ventas_b_mes684[[#This Row],[CUIT]],Lista_CUIT[#All],2,0)),"CUIT NO CARGADO")</f>
        <v>CUIT NO CARGADO</v>
      </c>
      <c r="H1733" s="64">
        <v>57892.56</v>
      </c>
      <c r="I1733" s="64">
        <f>ventas_b_mes684[[#This Row],[IMPORTE NETO]]*0.21</f>
        <v>12157.437599999999</v>
      </c>
      <c r="J1733" s="64"/>
      <c r="K1733" s="64"/>
      <c r="L1733" s="64">
        <f>SUM(ventas_b_mes684[[#This Row],[IMPORTE NETO]:[EXENTO]])</f>
        <v>70049.997600000002</v>
      </c>
      <c r="M1733" s="59"/>
    </row>
    <row r="1734" spans="2:13">
      <c r="B1734" s="40" t="s">
        <v>2317</v>
      </c>
      <c r="C1734" s="41">
        <v>6</v>
      </c>
      <c r="D1734" s="42">
        <v>10</v>
      </c>
      <c r="E1734" s="43">
        <v>54589</v>
      </c>
      <c r="F1734" s="44">
        <v>37453958</v>
      </c>
      <c r="G1734" s="1" t="str">
        <f>IFERROR(IF(ventas_b_mes684[[#This Row],[CUIT]]="","-",VLOOKUP(ventas_b_mes684[[#This Row],[CUIT]],Lista_CUIT[#All],2,0)),"CUIT NO CARGADO")</f>
        <v>CUIT NO CARGADO</v>
      </c>
      <c r="H1734" s="64">
        <v>20661.16</v>
      </c>
      <c r="I1734" s="64">
        <f>ventas_b_mes684[[#This Row],[IMPORTE NETO]]*0.21</f>
        <v>4338.8436000000002</v>
      </c>
      <c r="J1734" s="64"/>
      <c r="K1734" s="64"/>
      <c r="L1734" s="64">
        <f>SUM(ventas_b_mes684[[#This Row],[IMPORTE NETO]:[EXENTO]])</f>
        <v>25000.0036</v>
      </c>
      <c r="M1734" s="59"/>
    </row>
    <row r="1735" spans="2:13">
      <c r="B1735" s="40" t="s">
        <v>2317</v>
      </c>
      <c r="C1735" s="41">
        <v>6</v>
      </c>
      <c r="D1735" s="42">
        <v>12</v>
      </c>
      <c r="E1735" s="43">
        <v>29795</v>
      </c>
      <c r="F1735" s="44">
        <v>22859299</v>
      </c>
      <c r="G1735" s="1" t="str">
        <f>IFERROR(IF(ventas_b_mes684[[#This Row],[CUIT]]="","-",VLOOKUP(ventas_b_mes684[[#This Row],[CUIT]],Lista_CUIT[#All],2,0)),"CUIT NO CARGADO")</f>
        <v>CUIT NO CARGADO</v>
      </c>
      <c r="H1735" s="64">
        <v>8264.4599999999991</v>
      </c>
      <c r="I1735" s="64">
        <f>ventas_b_mes684[[#This Row],[IMPORTE NETO]]*0.21</f>
        <v>1735.5365999999997</v>
      </c>
      <c r="J1735" s="64"/>
      <c r="K1735" s="64"/>
      <c r="L1735" s="64">
        <f>SUM(ventas_b_mes684[[#This Row],[IMPORTE NETO]:[EXENTO]])</f>
        <v>9999.9965999999986</v>
      </c>
      <c r="M1735" s="59"/>
    </row>
    <row r="1736" spans="2:13">
      <c r="B1736" s="40" t="s">
        <v>2317</v>
      </c>
      <c r="C1736" s="41">
        <v>6</v>
      </c>
      <c r="D1736" s="42">
        <v>10</v>
      </c>
      <c r="E1736" s="43">
        <v>54602</v>
      </c>
      <c r="F1736" s="44">
        <v>95953496</v>
      </c>
      <c r="G1736" s="1" t="str">
        <f>IFERROR(IF(ventas_b_mes684[[#This Row],[CUIT]]="","-",VLOOKUP(ventas_b_mes684[[#This Row],[CUIT]],Lista_CUIT[#All],2,0)),"CUIT NO CARGADO")</f>
        <v>CUIT NO CARGADO</v>
      </c>
      <c r="H1736" s="64">
        <v>92169.42</v>
      </c>
      <c r="I1736" s="64">
        <f>ventas_b_mes684[[#This Row],[IMPORTE NETO]]*0.21</f>
        <v>19355.5782</v>
      </c>
      <c r="J1736" s="64"/>
      <c r="K1736" s="64"/>
      <c r="L1736" s="64">
        <f>SUM(ventas_b_mes684[[#This Row],[IMPORTE NETO]:[EXENTO]])</f>
        <v>111524.9982</v>
      </c>
      <c r="M1736" s="59"/>
    </row>
    <row r="1737" spans="2:13">
      <c r="B1737" s="40" t="s">
        <v>2317</v>
      </c>
      <c r="C1737" s="41">
        <v>6</v>
      </c>
      <c r="D1737" s="42">
        <v>15</v>
      </c>
      <c r="E1737" s="43">
        <v>13403</v>
      </c>
      <c r="F1737" s="44">
        <v>19015786</v>
      </c>
      <c r="G1737" s="1" t="str">
        <f>IFERROR(IF(ventas_b_mes684[[#This Row],[CUIT]]="","-",VLOOKUP(ventas_b_mes684[[#This Row],[CUIT]],Lista_CUIT[#All],2,0)),"CUIT NO CARGADO")</f>
        <v>PILE, LUCERO MARIELA</v>
      </c>
      <c r="H1737" s="64">
        <v>67636.36</v>
      </c>
      <c r="I1737" s="64">
        <f>ventas_b_mes684[[#This Row],[IMPORTE NETO]]*0.21</f>
        <v>14203.6356</v>
      </c>
      <c r="J1737" s="64"/>
      <c r="K1737" s="64"/>
      <c r="L1737" s="64">
        <f>SUM(ventas_b_mes684[[#This Row],[IMPORTE NETO]:[EXENTO]])</f>
        <v>81839.995599999995</v>
      </c>
      <c r="M1737" s="59"/>
    </row>
    <row r="1738" spans="2:13">
      <c r="B1738" s="40" t="s">
        <v>2317</v>
      </c>
      <c r="C1738" s="41">
        <v>6</v>
      </c>
      <c r="D1738" s="42">
        <v>10</v>
      </c>
      <c r="E1738" s="43">
        <v>54593</v>
      </c>
      <c r="F1738" s="44">
        <v>94080888</v>
      </c>
      <c r="G1738" s="1" t="str">
        <f>IFERROR(IF(ventas_b_mes684[[#This Row],[CUIT]]="","-",VLOOKUP(ventas_b_mes684[[#This Row],[CUIT]],Lista_CUIT[#All],2,0)),"CUIT NO CARGADO")</f>
        <v>CUIT NO CARGADO</v>
      </c>
      <c r="H1738" s="64">
        <v>8264.4599999999991</v>
      </c>
      <c r="I1738" s="64">
        <f>ventas_b_mes684[[#This Row],[IMPORTE NETO]]*0.21</f>
        <v>1735.5365999999997</v>
      </c>
      <c r="J1738" s="64"/>
      <c r="K1738" s="64"/>
      <c r="L1738" s="64">
        <f>SUM(ventas_b_mes684[[#This Row],[IMPORTE NETO]:[EXENTO]])</f>
        <v>9999.9965999999986</v>
      </c>
      <c r="M1738" s="59"/>
    </row>
    <row r="1739" spans="2:13">
      <c r="B1739" s="40" t="s">
        <v>2317</v>
      </c>
      <c r="C1739" s="41">
        <v>6</v>
      </c>
      <c r="D1739" s="42">
        <v>15</v>
      </c>
      <c r="E1739" s="43">
        <v>13393</v>
      </c>
      <c r="F1739" s="44">
        <v>28434680</v>
      </c>
      <c r="G1739" s="1" t="str">
        <f>IFERROR(IF(ventas_b_mes684[[#This Row],[CUIT]]="","-",VLOOKUP(ventas_b_mes684[[#This Row],[CUIT]],Lista_CUIT[#All],2,0)),"CUIT NO CARGADO")</f>
        <v>CUIT NO CARGADO</v>
      </c>
      <c r="H1739" s="64">
        <v>4049.59</v>
      </c>
      <c r="I1739" s="64">
        <f>ventas_b_mes684[[#This Row],[IMPORTE NETO]]*0.21</f>
        <v>850.41390000000001</v>
      </c>
      <c r="J1739" s="64"/>
      <c r="K1739" s="64"/>
      <c r="L1739" s="64">
        <f>SUM(ventas_b_mes684[[#This Row],[IMPORTE NETO]:[EXENTO]])</f>
        <v>4900.0038999999997</v>
      </c>
      <c r="M1739" s="59"/>
    </row>
    <row r="1740" spans="2:13">
      <c r="B1740" s="40" t="s">
        <v>2317</v>
      </c>
      <c r="C1740" s="41">
        <v>6</v>
      </c>
      <c r="D1740" s="42">
        <v>10</v>
      </c>
      <c r="E1740" s="43">
        <v>54609</v>
      </c>
      <c r="F1740" s="44">
        <v>95783621</v>
      </c>
      <c r="G1740" s="1" t="str">
        <f>IFERROR(IF(ventas_b_mes684[[#This Row],[CUIT]]="","-",VLOOKUP(ventas_b_mes684[[#This Row],[CUIT]],Lista_CUIT[#All],2,0)),"CUIT NO CARGADO")</f>
        <v>CUIT NO CARGADO</v>
      </c>
      <c r="H1740" s="64">
        <v>20661.16</v>
      </c>
      <c r="I1740" s="64">
        <f>ventas_b_mes684[[#This Row],[IMPORTE NETO]]*0.21</f>
        <v>4338.8436000000002</v>
      </c>
      <c r="J1740" s="64"/>
      <c r="K1740" s="64"/>
      <c r="L1740" s="64">
        <f>SUM(ventas_b_mes684[[#This Row],[IMPORTE NETO]:[EXENTO]])</f>
        <v>25000.0036</v>
      </c>
      <c r="M1740" s="59"/>
    </row>
    <row r="1741" spans="2:13">
      <c r="B1741" s="40" t="s">
        <v>2317</v>
      </c>
      <c r="C1741" s="41">
        <v>6</v>
      </c>
      <c r="D1741" s="42">
        <v>11</v>
      </c>
      <c r="E1741" s="43">
        <v>38282</v>
      </c>
      <c r="F1741" s="44">
        <v>22363452</v>
      </c>
      <c r="G1741" s="1" t="str">
        <f>IFERROR(IF(ventas_b_mes684[[#This Row],[CUIT]]="","-",VLOOKUP(ventas_b_mes684[[#This Row],[CUIT]],Lista_CUIT[#All],2,0)),"CUIT NO CARGADO")</f>
        <v>CUIT NO CARGADO</v>
      </c>
      <c r="H1741" s="64">
        <v>69008.259999999995</v>
      </c>
      <c r="I1741" s="64">
        <f>ventas_b_mes684[[#This Row],[IMPORTE NETO]]*0.21</f>
        <v>14491.734599999998</v>
      </c>
      <c r="J1741" s="64"/>
      <c r="K1741" s="64"/>
      <c r="L1741" s="64">
        <f>SUM(ventas_b_mes684[[#This Row],[IMPORTE NETO]:[EXENTO]])</f>
        <v>83499.994599999991</v>
      </c>
      <c r="M1741" s="59"/>
    </row>
    <row r="1742" spans="2:13">
      <c r="B1742" s="40" t="s">
        <v>2317</v>
      </c>
      <c r="C1742" s="41">
        <v>6</v>
      </c>
      <c r="D1742" s="42">
        <v>10</v>
      </c>
      <c r="E1742" s="43">
        <v>54608</v>
      </c>
      <c r="F1742" s="44">
        <v>10969522</v>
      </c>
      <c r="G1742" s="1" t="str">
        <f>IFERROR(IF(ventas_b_mes684[[#This Row],[CUIT]]="","-",VLOOKUP(ventas_b_mes684[[#This Row],[CUIT]],Lista_CUIT[#All],2,0)),"CUIT NO CARGADO")</f>
        <v>CUIT NO CARGADO</v>
      </c>
      <c r="H1742" s="64">
        <v>20661.16</v>
      </c>
      <c r="I1742" s="64">
        <f>ventas_b_mes684[[#This Row],[IMPORTE NETO]]*0.21</f>
        <v>4338.8436000000002</v>
      </c>
      <c r="J1742" s="64"/>
      <c r="K1742" s="64"/>
      <c r="L1742" s="64">
        <f>SUM(ventas_b_mes684[[#This Row],[IMPORTE NETO]:[EXENTO]])</f>
        <v>25000.0036</v>
      </c>
      <c r="M1742" s="59"/>
    </row>
    <row r="1743" spans="2:13">
      <c r="B1743" s="40" t="s">
        <v>2317</v>
      </c>
      <c r="C1743" s="41">
        <v>6</v>
      </c>
      <c r="D1743" s="42">
        <v>11</v>
      </c>
      <c r="E1743" s="43">
        <v>38293</v>
      </c>
      <c r="F1743" s="44">
        <v>95573083</v>
      </c>
      <c r="G1743" s="1" t="str">
        <f>IFERROR(IF(ventas_b_mes684[[#This Row],[CUIT]]="","-",VLOOKUP(ventas_b_mes684[[#This Row],[CUIT]],Lista_CUIT[#All],2,0)),"CUIT NO CARGADO")</f>
        <v>CUIT NO CARGADO</v>
      </c>
      <c r="H1743" s="64">
        <v>9917.36</v>
      </c>
      <c r="I1743" s="64">
        <f>ventas_b_mes684[[#This Row],[IMPORTE NETO]]*0.21</f>
        <v>2082.6455999999998</v>
      </c>
      <c r="J1743" s="64"/>
      <c r="K1743" s="64"/>
      <c r="L1743" s="64">
        <f>SUM(ventas_b_mes684[[#This Row],[IMPORTE NETO]:[EXENTO]])</f>
        <v>12000.0056</v>
      </c>
      <c r="M1743" s="59"/>
    </row>
    <row r="1744" spans="2:13">
      <c r="B1744" s="40" t="s">
        <v>2317</v>
      </c>
      <c r="C1744" s="41">
        <v>6</v>
      </c>
      <c r="D1744" s="42">
        <v>11</v>
      </c>
      <c r="E1744" s="43">
        <v>38267</v>
      </c>
      <c r="F1744" s="44">
        <v>96234599</v>
      </c>
      <c r="G1744" s="1" t="str">
        <f>IFERROR(IF(ventas_b_mes684[[#This Row],[CUIT]]="","-",VLOOKUP(ventas_b_mes684[[#This Row],[CUIT]],Lista_CUIT[#All],2,0)),"CUIT NO CARGADO")</f>
        <v>CUIT NO CARGADO</v>
      </c>
      <c r="H1744" s="64">
        <v>2479.34</v>
      </c>
      <c r="I1744" s="64">
        <f>ventas_b_mes684[[#This Row],[IMPORTE NETO]]*0.21</f>
        <v>520.66139999999996</v>
      </c>
      <c r="J1744" s="64"/>
      <c r="K1744" s="64"/>
      <c r="L1744" s="64">
        <f>SUM(ventas_b_mes684[[#This Row],[IMPORTE NETO]:[EXENTO]])</f>
        <v>3000.0014000000001</v>
      </c>
      <c r="M1744" s="59"/>
    </row>
    <row r="1745" spans="2:13">
      <c r="B1745" s="40" t="s">
        <v>2317</v>
      </c>
      <c r="C1745" s="41">
        <v>6</v>
      </c>
      <c r="D1745" s="42">
        <v>10</v>
      </c>
      <c r="E1745" s="43">
        <v>54591</v>
      </c>
      <c r="F1745" s="44">
        <v>44852150</v>
      </c>
      <c r="G1745" s="1" t="str">
        <f>IFERROR(IF(ventas_b_mes684[[#This Row],[CUIT]]="","-",VLOOKUP(ventas_b_mes684[[#This Row],[CUIT]],Lista_CUIT[#All],2,0)),"CUIT NO CARGADO")</f>
        <v>CUIT NO CARGADO</v>
      </c>
      <c r="H1745" s="64">
        <v>4462.8100000000004</v>
      </c>
      <c r="I1745" s="64">
        <f>ventas_b_mes684[[#This Row],[IMPORTE NETO]]*0.21</f>
        <v>937.19010000000003</v>
      </c>
      <c r="J1745" s="64"/>
      <c r="K1745" s="64"/>
      <c r="L1745" s="64">
        <f>SUM(ventas_b_mes684[[#This Row],[IMPORTE NETO]:[EXENTO]])</f>
        <v>5400.0001000000002</v>
      </c>
      <c r="M1745" s="59"/>
    </row>
    <row r="1746" spans="2:13">
      <c r="B1746" s="40" t="s">
        <v>2317</v>
      </c>
      <c r="C1746" s="41">
        <v>6</v>
      </c>
      <c r="D1746" s="42">
        <v>15</v>
      </c>
      <c r="E1746" s="43">
        <v>13397</v>
      </c>
      <c r="F1746" s="44">
        <v>18496709</v>
      </c>
      <c r="G1746" s="1" t="str">
        <f>IFERROR(IF(ventas_b_mes684[[#This Row],[CUIT]]="","-",VLOOKUP(ventas_b_mes684[[#This Row],[CUIT]],Lista_CUIT[#All],2,0)),"CUIT NO CARGADO")</f>
        <v>SANTAMARIA, MARIA EUGENIA</v>
      </c>
      <c r="H1746" s="64">
        <v>9966.94</v>
      </c>
      <c r="I1746" s="64">
        <f>ventas_b_mes684[[#This Row],[IMPORTE NETO]]*0.21</f>
        <v>2093.0574000000001</v>
      </c>
      <c r="J1746" s="64"/>
      <c r="K1746" s="64"/>
      <c r="L1746" s="64">
        <f>SUM(ventas_b_mes684[[#This Row],[IMPORTE NETO]:[EXENTO]])</f>
        <v>12059.9974</v>
      </c>
      <c r="M1746" s="59"/>
    </row>
    <row r="1747" spans="2:13">
      <c r="B1747" s="40" t="s">
        <v>2317</v>
      </c>
      <c r="C1747" s="41">
        <v>6</v>
      </c>
      <c r="D1747" s="42">
        <v>11</v>
      </c>
      <c r="E1747" s="43">
        <v>38286</v>
      </c>
      <c r="F1747" s="44">
        <v>16253145</v>
      </c>
      <c r="G1747" s="1" t="str">
        <f>IFERROR(IF(ventas_b_mes684[[#This Row],[CUIT]]="","-",VLOOKUP(ventas_b_mes684[[#This Row],[CUIT]],Lista_CUIT[#All],2,0)),"CUIT NO CARGADO")</f>
        <v>CUIT NO CARGADO</v>
      </c>
      <c r="H1747" s="64">
        <v>20661.16</v>
      </c>
      <c r="I1747" s="64">
        <f>ventas_b_mes684[[#This Row],[IMPORTE NETO]]*0.21</f>
        <v>4338.8436000000002</v>
      </c>
      <c r="J1747" s="64"/>
      <c r="K1747" s="64"/>
      <c r="L1747" s="64">
        <f>SUM(ventas_b_mes684[[#This Row],[IMPORTE NETO]:[EXENTO]])</f>
        <v>25000.0036</v>
      </c>
      <c r="M1747" s="59"/>
    </row>
    <row r="1748" spans="2:13">
      <c r="B1748" s="40" t="s">
        <v>2317</v>
      </c>
      <c r="C1748" s="41">
        <v>6</v>
      </c>
      <c r="D1748" s="42">
        <v>15</v>
      </c>
      <c r="E1748" s="43">
        <v>13399</v>
      </c>
      <c r="F1748" s="44">
        <v>32147224</v>
      </c>
      <c r="G1748" s="1" t="str">
        <f>IFERROR(IF(ventas_b_mes684[[#This Row],[CUIT]]="","-",VLOOKUP(ventas_b_mes684[[#This Row],[CUIT]],Lista_CUIT[#All],2,0)),"CUIT NO CARGADO")</f>
        <v>CUIT NO CARGADO</v>
      </c>
      <c r="H1748" s="64">
        <v>8264.4599999999991</v>
      </c>
      <c r="I1748" s="64">
        <f>ventas_b_mes684[[#This Row],[IMPORTE NETO]]*0.21</f>
        <v>1735.5365999999997</v>
      </c>
      <c r="J1748" s="64"/>
      <c r="K1748" s="64"/>
      <c r="L1748" s="64">
        <f>SUM(ventas_b_mes684[[#This Row],[IMPORTE NETO]:[EXENTO]])</f>
        <v>9999.9965999999986</v>
      </c>
      <c r="M1748" s="59"/>
    </row>
    <row r="1749" spans="2:13">
      <c r="B1749" s="40" t="s">
        <v>2317</v>
      </c>
      <c r="C1749" s="41">
        <v>6</v>
      </c>
      <c r="D1749" s="42">
        <v>10</v>
      </c>
      <c r="E1749" s="43">
        <v>54610</v>
      </c>
      <c r="F1749" s="44">
        <v>96018531</v>
      </c>
      <c r="G1749" s="1" t="str">
        <f>IFERROR(IF(ventas_b_mes684[[#This Row],[CUIT]]="","-",VLOOKUP(ventas_b_mes684[[#This Row],[CUIT]],Lista_CUIT[#All],2,0)),"CUIT NO CARGADO")</f>
        <v>CUIT NO CARGADO</v>
      </c>
      <c r="H1749" s="64">
        <v>39256.199999999997</v>
      </c>
      <c r="I1749" s="64">
        <f>ventas_b_mes684[[#This Row],[IMPORTE NETO]]*0.21</f>
        <v>8243.8019999999997</v>
      </c>
      <c r="J1749" s="64"/>
      <c r="K1749" s="64"/>
      <c r="L1749" s="64">
        <f>SUM(ventas_b_mes684[[#This Row],[IMPORTE NETO]:[EXENTO]])</f>
        <v>47500.001999999993</v>
      </c>
      <c r="M1749" s="59"/>
    </row>
    <row r="1750" spans="2:13">
      <c r="B1750" s="40" t="s">
        <v>2317</v>
      </c>
      <c r="C1750" s="41">
        <v>6</v>
      </c>
      <c r="D1750" s="42">
        <v>11</v>
      </c>
      <c r="E1750" s="43">
        <v>38298</v>
      </c>
      <c r="F1750" s="44">
        <v>9587412</v>
      </c>
      <c r="G1750" s="1" t="str">
        <f>IFERROR(IF(ventas_b_mes684[[#This Row],[CUIT]]="","-",VLOOKUP(ventas_b_mes684[[#This Row],[CUIT]],Lista_CUIT[#All],2,0)),"CUIT NO CARGADO")</f>
        <v>CUIT NO CARGADO</v>
      </c>
      <c r="H1750" s="64">
        <v>33305.79</v>
      </c>
      <c r="I1750" s="64">
        <f>ventas_b_mes684[[#This Row],[IMPORTE NETO]]*0.21</f>
        <v>6994.2159000000001</v>
      </c>
      <c r="J1750" s="64"/>
      <c r="K1750" s="64"/>
      <c r="L1750" s="64">
        <f>SUM(ventas_b_mes684[[#This Row],[IMPORTE NETO]:[EXENTO]])</f>
        <v>40300.005900000004</v>
      </c>
      <c r="M1750" s="59"/>
    </row>
    <row r="1751" spans="2:13">
      <c r="B1751" s="40" t="s">
        <v>2317</v>
      </c>
      <c r="C1751" s="41">
        <v>6</v>
      </c>
      <c r="D1751" s="42">
        <v>10</v>
      </c>
      <c r="E1751" s="43">
        <v>54597</v>
      </c>
      <c r="F1751" s="44">
        <v>10425545</v>
      </c>
      <c r="G1751" s="1" t="str">
        <f>IFERROR(IF(ventas_b_mes684[[#This Row],[CUIT]]="","-",VLOOKUP(ventas_b_mes684[[#This Row],[CUIT]],Lista_CUIT[#All],2,0)),"CUIT NO CARGADO")</f>
        <v>CUIT NO CARGADO</v>
      </c>
      <c r="H1751" s="64">
        <v>21239.67</v>
      </c>
      <c r="I1751" s="64">
        <f>ventas_b_mes684[[#This Row],[IMPORTE NETO]]*0.21</f>
        <v>4460.3306999999995</v>
      </c>
      <c r="J1751" s="64"/>
      <c r="K1751" s="64"/>
      <c r="L1751" s="64">
        <f>SUM(ventas_b_mes684[[#This Row],[IMPORTE NETO]:[EXENTO]])</f>
        <v>25700.000699999997</v>
      </c>
      <c r="M1751" s="59"/>
    </row>
    <row r="1752" spans="2:13">
      <c r="B1752" s="40" t="s">
        <v>2317</v>
      </c>
      <c r="C1752" s="41">
        <v>6</v>
      </c>
      <c r="D1752" s="42">
        <v>15</v>
      </c>
      <c r="E1752" s="43">
        <v>13398</v>
      </c>
      <c r="F1752" s="44">
        <v>25988510</v>
      </c>
      <c r="G1752" s="1" t="str">
        <f>IFERROR(IF(ventas_b_mes684[[#This Row],[CUIT]]="","-",VLOOKUP(ventas_b_mes684[[#This Row],[CUIT]],Lista_CUIT[#All],2,0)),"CUIT NO CARGADO")</f>
        <v>CUIT NO CARGADO</v>
      </c>
      <c r="H1752" s="64">
        <v>20661.16</v>
      </c>
      <c r="I1752" s="64">
        <f>ventas_b_mes684[[#This Row],[IMPORTE NETO]]*0.21</f>
        <v>4338.8436000000002</v>
      </c>
      <c r="J1752" s="64"/>
      <c r="K1752" s="64"/>
      <c r="L1752" s="64">
        <f>SUM(ventas_b_mes684[[#This Row],[IMPORTE NETO]:[EXENTO]])</f>
        <v>25000.0036</v>
      </c>
      <c r="M1752" s="59"/>
    </row>
    <row r="1753" spans="2:13">
      <c r="B1753" s="40" t="s">
        <v>2317</v>
      </c>
      <c r="C1753" s="41">
        <v>6</v>
      </c>
      <c r="D1753" s="42">
        <v>10</v>
      </c>
      <c r="E1753" s="43">
        <v>54605</v>
      </c>
      <c r="F1753" s="44">
        <v>95881305</v>
      </c>
      <c r="G1753" s="1" t="str">
        <f>IFERROR(IF(ventas_b_mes684[[#This Row],[CUIT]]="","-",VLOOKUP(ventas_b_mes684[[#This Row],[CUIT]],Lista_CUIT[#All],2,0)),"CUIT NO CARGADO")</f>
        <v>CUIT NO CARGADO</v>
      </c>
      <c r="H1753" s="64">
        <v>20661.16</v>
      </c>
      <c r="I1753" s="64">
        <f>ventas_b_mes684[[#This Row],[IMPORTE NETO]]*0.21</f>
        <v>4338.8436000000002</v>
      </c>
      <c r="J1753" s="64"/>
      <c r="K1753" s="64"/>
      <c r="L1753" s="64">
        <f>SUM(ventas_b_mes684[[#This Row],[IMPORTE NETO]:[EXENTO]])</f>
        <v>25000.0036</v>
      </c>
      <c r="M1753" s="59"/>
    </row>
    <row r="1754" spans="2:13">
      <c r="B1754" s="40" t="s">
        <v>2317</v>
      </c>
      <c r="C1754" s="41">
        <v>6</v>
      </c>
      <c r="D1754" s="42">
        <v>13</v>
      </c>
      <c r="E1754" s="43">
        <v>32560</v>
      </c>
      <c r="F1754" s="44">
        <v>111</v>
      </c>
      <c r="G1754" s="1" t="str">
        <f>IFERROR(IF(ventas_b_mes684[[#This Row],[CUIT]]="","-",VLOOKUP(ventas_b_mes684[[#This Row],[CUIT]],Lista_CUIT[#All],2,0)),"CUIT NO CARGADO")</f>
        <v>LOPEZ,Sandra</v>
      </c>
      <c r="H1754" s="64">
        <v>18520.66</v>
      </c>
      <c r="I1754" s="64">
        <f>ventas_b_mes684[[#This Row],[IMPORTE NETO]]*0.21</f>
        <v>3889.3386</v>
      </c>
      <c r="J1754" s="64"/>
      <c r="K1754" s="64"/>
      <c r="L1754" s="64">
        <f>SUM(ventas_b_mes684[[#This Row],[IMPORTE NETO]:[EXENTO]])</f>
        <v>22409.998599999999</v>
      </c>
      <c r="M1754" s="59"/>
    </row>
    <row r="1755" spans="2:13">
      <c r="B1755" s="40" t="s">
        <v>2317</v>
      </c>
      <c r="C1755" s="41">
        <v>6</v>
      </c>
      <c r="D1755" s="42">
        <v>11</v>
      </c>
      <c r="E1755" s="43">
        <v>38284</v>
      </c>
      <c r="F1755" s="44">
        <v>91355478</v>
      </c>
      <c r="G1755" s="1" t="str">
        <f>IFERROR(IF(ventas_b_mes684[[#This Row],[CUIT]]="","-",VLOOKUP(ventas_b_mes684[[#This Row],[CUIT]],Lista_CUIT[#All],2,0)),"CUIT NO CARGADO")</f>
        <v>CUIT NO CARGADO</v>
      </c>
      <c r="H1755" s="64">
        <v>38516.53</v>
      </c>
      <c r="I1755" s="64">
        <f>ventas_b_mes684[[#This Row],[IMPORTE NETO]]*0.21</f>
        <v>8088.4712999999992</v>
      </c>
      <c r="J1755" s="64"/>
      <c r="K1755" s="64"/>
      <c r="L1755" s="64">
        <f>SUM(ventas_b_mes684[[#This Row],[IMPORTE NETO]:[EXENTO]])</f>
        <v>46605.001299999996</v>
      </c>
      <c r="M1755" s="59"/>
    </row>
    <row r="1756" spans="2:13">
      <c r="B1756" s="40" t="s">
        <v>2317</v>
      </c>
      <c r="C1756" s="41">
        <v>6</v>
      </c>
      <c r="D1756" s="42">
        <v>10</v>
      </c>
      <c r="E1756" s="43">
        <v>54616</v>
      </c>
      <c r="F1756" s="44">
        <v>25316927</v>
      </c>
      <c r="G1756" s="1" t="str">
        <f>IFERROR(IF(ventas_b_mes684[[#This Row],[CUIT]]="","-",VLOOKUP(ventas_b_mes684[[#This Row],[CUIT]],Lista_CUIT[#All],2,0)),"CUIT NO CARGADO")</f>
        <v>CUIT NO CARGADO</v>
      </c>
      <c r="H1756" s="64">
        <v>40743.800000000003</v>
      </c>
      <c r="I1756" s="64">
        <f>ventas_b_mes684[[#This Row],[IMPORTE NETO]]*0.21</f>
        <v>8556.1980000000003</v>
      </c>
      <c r="J1756" s="64"/>
      <c r="K1756" s="64"/>
      <c r="L1756" s="64">
        <f>SUM(ventas_b_mes684[[#This Row],[IMPORTE NETO]:[EXENTO]])</f>
        <v>49299.998000000007</v>
      </c>
      <c r="M1756" s="59"/>
    </row>
    <row r="1757" spans="2:13">
      <c r="B1757" s="40" t="s">
        <v>2317</v>
      </c>
      <c r="C1757" s="41">
        <v>6</v>
      </c>
      <c r="D1757" s="42">
        <v>15</v>
      </c>
      <c r="E1757" s="43">
        <v>13392</v>
      </c>
      <c r="F1757" s="44">
        <v>35183523</v>
      </c>
      <c r="G1757" s="1" t="str">
        <f>IFERROR(IF(ventas_b_mes684[[#This Row],[CUIT]]="","-",VLOOKUP(ventas_b_mes684[[#This Row],[CUIT]],Lista_CUIT[#All],2,0)),"CUIT NO CARGADO")</f>
        <v>CUIT NO CARGADO</v>
      </c>
      <c r="H1757" s="64">
        <v>21652.89</v>
      </c>
      <c r="I1757" s="64">
        <f>ventas_b_mes684[[#This Row],[IMPORTE NETO]]*0.21</f>
        <v>4547.1068999999998</v>
      </c>
      <c r="J1757" s="64"/>
      <c r="K1757" s="64"/>
      <c r="L1757" s="64">
        <f>SUM(ventas_b_mes684[[#This Row],[IMPORTE NETO]:[EXENTO]])</f>
        <v>26199.996899999998</v>
      </c>
      <c r="M1757" s="59"/>
    </row>
    <row r="1758" spans="2:13">
      <c r="B1758" s="40" t="s">
        <v>2317</v>
      </c>
      <c r="C1758" s="41">
        <v>6</v>
      </c>
      <c r="D1758" s="42">
        <v>11</v>
      </c>
      <c r="E1758" s="43">
        <v>38266</v>
      </c>
      <c r="F1758" s="44">
        <v>95646957</v>
      </c>
      <c r="G1758" s="1" t="str">
        <f>IFERROR(IF(ventas_b_mes684[[#This Row],[CUIT]]="","-",VLOOKUP(ventas_b_mes684[[#This Row],[CUIT]],Lista_CUIT[#All],2,0)),"CUIT NO CARGADO")</f>
        <v>CUIT NO CARGADO</v>
      </c>
      <c r="H1758" s="64">
        <v>5446.28</v>
      </c>
      <c r="I1758" s="64">
        <f>ventas_b_mes684[[#This Row],[IMPORTE NETO]]*0.21</f>
        <v>1143.7187999999999</v>
      </c>
      <c r="J1758" s="64"/>
      <c r="K1758" s="64"/>
      <c r="L1758" s="64">
        <f>SUM(ventas_b_mes684[[#This Row],[IMPORTE NETO]:[EXENTO]])</f>
        <v>6589.9987999999994</v>
      </c>
      <c r="M1758" s="59"/>
    </row>
    <row r="1759" spans="2:13">
      <c r="B1759" s="40" t="s">
        <v>2317</v>
      </c>
      <c r="C1759" s="41">
        <v>6</v>
      </c>
      <c r="D1759" s="42">
        <v>11</v>
      </c>
      <c r="E1759" s="43">
        <v>38290</v>
      </c>
      <c r="F1759" s="44">
        <v>40665972</v>
      </c>
      <c r="G1759" s="1" t="str">
        <f>IFERROR(IF(ventas_b_mes684[[#This Row],[CUIT]]="","-",VLOOKUP(ventas_b_mes684[[#This Row],[CUIT]],Lista_CUIT[#All],2,0)),"CUIT NO CARGADO")</f>
        <v>CUIT NO CARGADO</v>
      </c>
      <c r="H1759" s="64">
        <v>2264.46</v>
      </c>
      <c r="I1759" s="64">
        <f>ventas_b_mes684[[#This Row],[IMPORTE NETO]]*0.21</f>
        <v>475.53659999999996</v>
      </c>
      <c r="J1759" s="64"/>
      <c r="K1759" s="64"/>
      <c r="L1759" s="64">
        <f>SUM(ventas_b_mes684[[#This Row],[IMPORTE NETO]:[EXENTO]])</f>
        <v>2739.9965999999999</v>
      </c>
      <c r="M1759" s="59"/>
    </row>
    <row r="1760" spans="2:13">
      <c r="B1760" s="40" t="s">
        <v>2317</v>
      </c>
      <c r="C1760" s="41">
        <v>6</v>
      </c>
      <c r="D1760" s="42">
        <v>11</v>
      </c>
      <c r="E1760" s="43">
        <v>38297</v>
      </c>
      <c r="F1760" s="44">
        <v>9587412</v>
      </c>
      <c r="G1760" s="1" t="str">
        <f>IFERROR(IF(ventas_b_mes684[[#This Row],[CUIT]]="","-",VLOOKUP(ventas_b_mes684[[#This Row],[CUIT]],Lista_CUIT[#All],2,0)),"CUIT NO CARGADO")</f>
        <v>CUIT NO CARGADO</v>
      </c>
      <c r="H1760" s="64">
        <v>70331.399999999994</v>
      </c>
      <c r="I1760" s="64">
        <f>ventas_b_mes684[[#This Row],[IMPORTE NETO]]*0.21</f>
        <v>14769.593999999997</v>
      </c>
      <c r="J1760" s="64"/>
      <c r="K1760" s="64"/>
      <c r="L1760" s="64">
        <f>SUM(ventas_b_mes684[[#This Row],[IMPORTE NETO]:[EXENTO]])</f>
        <v>85100.993999999992</v>
      </c>
      <c r="M1760" s="59"/>
    </row>
    <row r="1761" spans="2:13">
      <c r="B1761" s="40" t="s">
        <v>2317</v>
      </c>
      <c r="C1761" s="41">
        <v>8</v>
      </c>
      <c r="D1761" s="42">
        <v>11</v>
      </c>
      <c r="E1761" s="43">
        <v>1037</v>
      </c>
      <c r="F1761" s="44">
        <v>26174498</v>
      </c>
      <c r="G1761" s="1" t="str">
        <f>IFERROR(IF(ventas_b_mes684[[#This Row],[CUIT]]="","-",VLOOKUP(ventas_b_mes684[[#This Row],[CUIT]],Lista_CUIT[#All],2,0)),"CUIT NO CARGADO")</f>
        <v>CUIT NO CARGADO</v>
      </c>
      <c r="H1761" s="64">
        <v>-8776.86</v>
      </c>
      <c r="I1761" s="64">
        <f>ventas_b_mes684[[#This Row],[IMPORTE NETO]]*0.21</f>
        <v>-1843.1405999999999</v>
      </c>
      <c r="J1761" s="64"/>
      <c r="K1761" s="64"/>
      <c r="L1761" s="64">
        <f>SUM(ventas_b_mes684[[#This Row],[IMPORTE NETO]:[EXENTO]])</f>
        <v>-10620.000600000001</v>
      </c>
      <c r="M1761" s="59"/>
    </row>
    <row r="1762" spans="2:13">
      <c r="B1762" s="40" t="s">
        <v>2317</v>
      </c>
      <c r="C1762" s="41">
        <v>8</v>
      </c>
      <c r="D1762" s="42">
        <v>11</v>
      </c>
      <c r="E1762" s="43">
        <v>1038</v>
      </c>
      <c r="F1762" s="44">
        <v>95573083</v>
      </c>
      <c r="G1762" s="1" t="str">
        <f>IFERROR(IF(ventas_b_mes684[[#This Row],[CUIT]]="","-",VLOOKUP(ventas_b_mes684[[#This Row],[CUIT]],Lista_CUIT[#All],2,0)),"CUIT NO CARGADO")</f>
        <v>CUIT NO CARGADO</v>
      </c>
      <c r="H1762" s="64">
        <v>-9917.36</v>
      </c>
      <c r="I1762" s="64">
        <f>ventas_b_mes684[[#This Row],[IMPORTE NETO]]*0.21</f>
        <v>-2082.6455999999998</v>
      </c>
      <c r="J1762" s="64"/>
      <c r="K1762" s="64"/>
      <c r="L1762" s="64">
        <f>SUM(ventas_b_mes684[[#This Row],[IMPORTE NETO]:[EXENTO]])</f>
        <v>-12000.0056</v>
      </c>
      <c r="M1762" s="59"/>
    </row>
    <row r="1763" spans="2:13">
      <c r="B1763" s="40" t="s">
        <v>2317</v>
      </c>
      <c r="C1763" s="41">
        <v>8</v>
      </c>
      <c r="D1763" s="42">
        <v>11</v>
      </c>
      <c r="E1763" s="43">
        <v>1040</v>
      </c>
      <c r="F1763" s="44">
        <v>9587412</v>
      </c>
      <c r="G1763" s="1" t="str">
        <f>IFERROR(IF(ventas_b_mes684[[#This Row],[CUIT]]="","-",VLOOKUP(ventas_b_mes684[[#This Row],[CUIT]],Lista_CUIT[#All],2,0)),"CUIT NO CARGADO")</f>
        <v>CUIT NO CARGADO</v>
      </c>
      <c r="H1763" s="64">
        <v>-44710.74</v>
      </c>
      <c r="I1763" s="64">
        <f>ventas_b_mes684[[#This Row],[IMPORTE NETO]]*0.21</f>
        <v>-9389.2554</v>
      </c>
      <c r="J1763" s="64"/>
      <c r="K1763" s="64"/>
      <c r="L1763" s="64">
        <f>SUM(ventas_b_mes684[[#This Row],[IMPORTE NETO]:[EXENTO]])</f>
        <v>-54099.9954</v>
      </c>
      <c r="M1763" s="59"/>
    </row>
    <row r="1764" spans="2:13">
      <c r="B1764" s="40" t="s">
        <v>2317</v>
      </c>
      <c r="C1764" s="41">
        <v>8</v>
      </c>
      <c r="D1764" s="42">
        <v>11</v>
      </c>
      <c r="E1764" s="43">
        <v>1039</v>
      </c>
      <c r="F1764" s="44">
        <v>9587412</v>
      </c>
      <c r="G1764" s="1" t="str">
        <f>IFERROR(IF(ventas_b_mes684[[#This Row],[CUIT]]="","-",VLOOKUP(ventas_b_mes684[[#This Row],[CUIT]],Lista_CUIT[#All],2,0)),"CUIT NO CARGADO")</f>
        <v>CUIT NO CARGADO</v>
      </c>
      <c r="H1764" s="64">
        <v>-70331.399999999994</v>
      </c>
      <c r="I1764" s="64">
        <f>ventas_b_mes684[[#This Row],[IMPORTE NETO]]*0.21</f>
        <v>-14769.593999999997</v>
      </c>
      <c r="J1764" s="64"/>
      <c r="K1764" s="64"/>
      <c r="L1764" s="64">
        <f>SUM(ventas_b_mes684[[#This Row],[IMPORTE NETO]:[EXENTO]])</f>
        <v>-85100.993999999992</v>
      </c>
      <c r="M1764" s="59"/>
    </row>
    <row r="1765" spans="2:13">
      <c r="B1765" s="40" t="s">
        <v>2318</v>
      </c>
      <c r="C1765" s="41">
        <v>6</v>
      </c>
      <c r="D1765" s="42">
        <v>13</v>
      </c>
      <c r="E1765" s="43">
        <v>32566</v>
      </c>
      <c r="F1765" s="44">
        <v>20560897</v>
      </c>
      <c r="G1765" s="1" t="str">
        <f>IFERROR(IF(ventas_b_mes684[[#This Row],[CUIT]]="","-",VLOOKUP(ventas_b_mes684[[#This Row],[CUIT]],Lista_CUIT[#All],2,0)),"CUIT NO CARGADO")</f>
        <v>CUIT NO CARGADO</v>
      </c>
      <c r="H1765" s="64">
        <v>19338.84</v>
      </c>
      <c r="I1765" s="64">
        <f>ventas_b_mes684[[#This Row],[IMPORTE NETO]]*0.21</f>
        <v>4061.1563999999998</v>
      </c>
      <c r="J1765" s="64"/>
      <c r="K1765" s="64"/>
      <c r="L1765" s="64">
        <f>SUM(ventas_b_mes684[[#This Row],[IMPORTE NETO]:[EXENTO]])</f>
        <v>23399.9964</v>
      </c>
      <c r="M1765" s="59"/>
    </row>
    <row r="1766" spans="2:13">
      <c r="B1766" s="40" t="s">
        <v>2318</v>
      </c>
      <c r="C1766" s="41">
        <v>6</v>
      </c>
      <c r="D1766" s="42">
        <v>15</v>
      </c>
      <c r="E1766" s="43">
        <v>13405</v>
      </c>
      <c r="F1766" s="44">
        <v>44256789</v>
      </c>
      <c r="G1766" s="1" t="str">
        <f>IFERROR(IF(ventas_b_mes684[[#This Row],[CUIT]]="","-",VLOOKUP(ventas_b_mes684[[#This Row],[CUIT]],Lista_CUIT[#All],2,0)),"CUIT NO CARGADO")</f>
        <v>CUIT NO CARGADO</v>
      </c>
      <c r="H1766" s="64">
        <v>6446.28</v>
      </c>
      <c r="I1766" s="64">
        <f>ventas_b_mes684[[#This Row],[IMPORTE NETO]]*0.21</f>
        <v>1353.7187999999999</v>
      </c>
      <c r="J1766" s="64"/>
      <c r="K1766" s="64"/>
      <c r="L1766" s="64">
        <f>SUM(ventas_b_mes684[[#This Row],[IMPORTE NETO]:[EXENTO]])</f>
        <v>7799.9987999999994</v>
      </c>
      <c r="M1766" s="59"/>
    </row>
    <row r="1767" spans="2:13">
      <c r="B1767" s="40" t="s">
        <v>2318</v>
      </c>
      <c r="C1767" s="41">
        <v>6</v>
      </c>
      <c r="D1767" s="42">
        <v>13</v>
      </c>
      <c r="E1767" s="43">
        <v>32572</v>
      </c>
      <c r="F1767" s="44">
        <v>20560897</v>
      </c>
      <c r="G1767" s="1" t="str">
        <f>IFERROR(IF(ventas_b_mes684[[#This Row],[CUIT]]="","-",VLOOKUP(ventas_b_mes684[[#This Row],[CUIT]],Lista_CUIT[#All],2,0)),"CUIT NO CARGADO")</f>
        <v>CUIT NO CARGADO</v>
      </c>
      <c r="H1767" s="64">
        <v>2586.7800000000002</v>
      </c>
      <c r="I1767" s="64">
        <f>ventas_b_mes684[[#This Row],[IMPORTE NETO]]*0.21</f>
        <v>543.22379999999998</v>
      </c>
      <c r="J1767" s="64"/>
      <c r="K1767" s="64"/>
      <c r="L1767" s="64">
        <f>SUM(ventas_b_mes684[[#This Row],[IMPORTE NETO]:[EXENTO]])</f>
        <v>3130.0038000000004</v>
      </c>
      <c r="M1767" s="59"/>
    </row>
    <row r="1768" spans="2:13">
      <c r="B1768" s="40" t="s">
        <v>2318</v>
      </c>
      <c r="C1768" s="41">
        <v>6</v>
      </c>
      <c r="D1768" s="42">
        <v>12</v>
      </c>
      <c r="E1768" s="43">
        <v>29808</v>
      </c>
      <c r="F1768" s="44">
        <v>32523112</v>
      </c>
      <c r="G1768" s="1" t="str">
        <f>IFERROR(IF(ventas_b_mes684[[#This Row],[CUIT]]="","-",VLOOKUP(ventas_b_mes684[[#This Row],[CUIT]],Lista_CUIT[#All],2,0)),"CUIT NO CARGADO")</f>
        <v>CUIT NO CARGADO</v>
      </c>
      <c r="H1768" s="64">
        <v>24338.84</v>
      </c>
      <c r="I1768" s="64">
        <f>ventas_b_mes684[[#This Row],[IMPORTE NETO]]*0.21</f>
        <v>5111.1563999999998</v>
      </c>
      <c r="J1768" s="64"/>
      <c r="K1768" s="64"/>
      <c r="L1768" s="64">
        <f>SUM(ventas_b_mes684[[#This Row],[IMPORTE NETO]:[EXENTO]])</f>
        <v>29449.9964</v>
      </c>
      <c r="M1768" s="59"/>
    </row>
    <row r="1769" spans="2:13">
      <c r="B1769" s="40" t="s">
        <v>2318</v>
      </c>
      <c r="C1769" s="41">
        <v>6</v>
      </c>
      <c r="D1769" s="42">
        <v>11</v>
      </c>
      <c r="E1769" s="43">
        <v>38309</v>
      </c>
      <c r="F1769" s="44">
        <v>18294194</v>
      </c>
      <c r="G1769" s="1" t="str">
        <f>IFERROR(IF(ventas_b_mes684[[#This Row],[CUIT]]="","-",VLOOKUP(ventas_b_mes684[[#This Row],[CUIT]],Lista_CUIT[#All],2,0)),"CUIT NO CARGADO")</f>
        <v>CUIT NO CARGADO</v>
      </c>
      <c r="H1769" s="64">
        <v>20661.16</v>
      </c>
      <c r="I1769" s="64">
        <f>ventas_b_mes684[[#This Row],[IMPORTE NETO]]*0.21</f>
        <v>4338.8436000000002</v>
      </c>
      <c r="J1769" s="64"/>
      <c r="K1769" s="64"/>
      <c r="L1769" s="64">
        <f>SUM(ventas_b_mes684[[#This Row],[IMPORTE NETO]:[EXENTO]])</f>
        <v>25000.0036</v>
      </c>
      <c r="M1769" s="59"/>
    </row>
    <row r="1770" spans="2:13">
      <c r="B1770" s="40" t="s">
        <v>2318</v>
      </c>
      <c r="C1770" s="41">
        <v>6</v>
      </c>
      <c r="D1770" s="42">
        <v>11</v>
      </c>
      <c r="E1770" s="43">
        <v>38312</v>
      </c>
      <c r="F1770" s="44">
        <v>11697529</v>
      </c>
      <c r="G1770" s="1" t="str">
        <f>IFERROR(IF(ventas_b_mes684[[#This Row],[CUIT]]="","-",VLOOKUP(ventas_b_mes684[[#This Row],[CUIT]],Lista_CUIT[#All],2,0)),"CUIT NO CARGADO")</f>
        <v>CUIT NO CARGADO</v>
      </c>
      <c r="H1770" s="64">
        <v>46818.18</v>
      </c>
      <c r="I1770" s="64">
        <f>ventas_b_mes684[[#This Row],[IMPORTE NETO]]*0.21</f>
        <v>9831.8177999999989</v>
      </c>
      <c r="J1770" s="64"/>
      <c r="K1770" s="64"/>
      <c r="L1770" s="64">
        <f>SUM(ventas_b_mes684[[#This Row],[IMPORTE NETO]:[EXENTO]])</f>
        <v>56649.997799999997</v>
      </c>
      <c r="M1770" s="59"/>
    </row>
    <row r="1771" spans="2:13">
      <c r="B1771" s="40" t="s">
        <v>2318</v>
      </c>
      <c r="C1771" s="41">
        <v>6</v>
      </c>
      <c r="D1771" s="42">
        <v>11</v>
      </c>
      <c r="E1771" s="43">
        <v>38319</v>
      </c>
      <c r="F1771" s="44">
        <v>6029846</v>
      </c>
      <c r="G1771" s="1" t="str">
        <f>IFERROR(IF(ventas_b_mes684[[#This Row],[CUIT]]="","-",VLOOKUP(ventas_b_mes684[[#This Row],[CUIT]],Lista_CUIT[#All],2,0)),"CUIT NO CARGADO")</f>
        <v>CUIT NO CARGADO</v>
      </c>
      <c r="H1771" s="64">
        <v>25123.97</v>
      </c>
      <c r="I1771" s="64">
        <f>ventas_b_mes684[[#This Row],[IMPORTE NETO]]*0.21</f>
        <v>5276.0337</v>
      </c>
      <c r="J1771" s="64"/>
      <c r="K1771" s="64"/>
      <c r="L1771" s="64">
        <f>SUM(ventas_b_mes684[[#This Row],[IMPORTE NETO]:[EXENTO]])</f>
        <v>30400.003700000001</v>
      </c>
      <c r="M1771" s="59"/>
    </row>
    <row r="1772" spans="2:13">
      <c r="B1772" s="40" t="s">
        <v>2318</v>
      </c>
      <c r="C1772" s="41">
        <v>6</v>
      </c>
      <c r="D1772" s="42">
        <v>12</v>
      </c>
      <c r="E1772" s="43">
        <v>29815</v>
      </c>
      <c r="F1772" s="44">
        <v>21657293</v>
      </c>
      <c r="G1772" s="1" t="str">
        <f>IFERROR(IF(ventas_b_mes684[[#This Row],[CUIT]]="","-",VLOOKUP(ventas_b_mes684[[#This Row],[CUIT]],Lista_CUIT[#All],2,0)),"CUIT NO CARGADO")</f>
        <v>CUIT NO CARGADO</v>
      </c>
      <c r="H1772" s="64">
        <v>29685.97</v>
      </c>
      <c r="I1772" s="64">
        <f>ventas_b_mes684[[#This Row],[IMPORTE NETO]]*0.21</f>
        <v>6234.0537000000004</v>
      </c>
      <c r="J1772" s="64"/>
      <c r="K1772" s="64"/>
      <c r="L1772" s="64">
        <f>SUM(ventas_b_mes684[[#This Row],[IMPORTE NETO]:[EXENTO]])</f>
        <v>35920.023700000005</v>
      </c>
      <c r="M1772" s="59"/>
    </row>
    <row r="1773" spans="2:13">
      <c r="B1773" s="40" t="s">
        <v>2318</v>
      </c>
      <c r="C1773" s="41">
        <v>6</v>
      </c>
      <c r="D1773" s="42">
        <v>13</v>
      </c>
      <c r="E1773" s="43">
        <v>32579</v>
      </c>
      <c r="F1773" s="44">
        <v>20659226</v>
      </c>
      <c r="G1773" s="1" t="str">
        <f>IFERROR(IF(ventas_b_mes684[[#This Row],[CUIT]]="","-",VLOOKUP(ventas_b_mes684[[#This Row],[CUIT]],Lista_CUIT[#All],2,0)),"CUIT NO CARGADO")</f>
        <v>CUIT NO CARGADO</v>
      </c>
      <c r="H1773" s="64">
        <v>28429.75</v>
      </c>
      <c r="I1773" s="64">
        <f>ventas_b_mes684[[#This Row],[IMPORTE NETO]]*0.21</f>
        <v>5970.2474999999995</v>
      </c>
      <c r="J1773" s="64"/>
      <c r="K1773" s="64"/>
      <c r="L1773" s="64">
        <f>SUM(ventas_b_mes684[[#This Row],[IMPORTE NETO]:[EXENTO]])</f>
        <v>34399.997499999998</v>
      </c>
      <c r="M1773" s="59"/>
    </row>
    <row r="1774" spans="2:13">
      <c r="B1774" s="40" t="s">
        <v>2318</v>
      </c>
      <c r="C1774" s="41">
        <v>6</v>
      </c>
      <c r="D1774" s="42">
        <v>12</v>
      </c>
      <c r="E1774" s="43">
        <v>29811</v>
      </c>
      <c r="F1774" s="44">
        <v>28010582</v>
      </c>
      <c r="G1774" s="1" t="str">
        <f>IFERROR(IF(ventas_b_mes684[[#This Row],[CUIT]]="","-",VLOOKUP(ventas_b_mes684[[#This Row],[CUIT]],Lista_CUIT[#All],2,0)),"CUIT NO CARGADO")</f>
        <v>CUIT NO CARGADO</v>
      </c>
      <c r="H1774" s="64">
        <v>12355.37</v>
      </c>
      <c r="I1774" s="64">
        <f>ventas_b_mes684[[#This Row],[IMPORTE NETO]]*0.21</f>
        <v>2594.6277</v>
      </c>
      <c r="J1774" s="64"/>
      <c r="K1774" s="64"/>
      <c r="L1774" s="64">
        <f>SUM(ventas_b_mes684[[#This Row],[IMPORTE NETO]:[EXENTO]])</f>
        <v>14949.9977</v>
      </c>
      <c r="M1774" s="59"/>
    </row>
    <row r="1775" spans="2:13">
      <c r="B1775" s="40" t="s">
        <v>2318</v>
      </c>
      <c r="C1775" s="41">
        <v>6</v>
      </c>
      <c r="D1775" s="42">
        <v>10</v>
      </c>
      <c r="E1775" s="43">
        <v>54623</v>
      </c>
      <c r="F1775" s="44">
        <v>26897542</v>
      </c>
      <c r="G1775" s="1" t="str">
        <f>IFERROR(IF(ventas_b_mes684[[#This Row],[CUIT]]="","-",VLOOKUP(ventas_b_mes684[[#This Row],[CUIT]],Lista_CUIT[#All],2,0)),"CUIT NO CARGADO")</f>
        <v>CUIT NO CARGADO</v>
      </c>
      <c r="H1775" s="64">
        <v>103471.07</v>
      </c>
      <c r="I1775" s="64">
        <f>ventas_b_mes684[[#This Row],[IMPORTE NETO]]*0.21</f>
        <v>21728.9247</v>
      </c>
      <c r="J1775" s="64"/>
      <c r="K1775" s="64"/>
      <c r="L1775" s="64">
        <f>SUM(ventas_b_mes684[[#This Row],[IMPORTE NETO]:[EXENTO]])</f>
        <v>125199.99470000001</v>
      </c>
      <c r="M1775" s="59"/>
    </row>
    <row r="1776" spans="2:13">
      <c r="B1776" s="40" t="s">
        <v>2318</v>
      </c>
      <c r="C1776" s="41">
        <v>6</v>
      </c>
      <c r="D1776" s="42">
        <v>15</v>
      </c>
      <c r="E1776" s="43">
        <v>13409</v>
      </c>
      <c r="F1776" s="44">
        <v>28746407</v>
      </c>
      <c r="G1776" s="1" t="str">
        <f>IFERROR(IF(ventas_b_mes684[[#This Row],[CUIT]]="","-",VLOOKUP(ventas_b_mes684[[#This Row],[CUIT]],Lista_CUIT[#All],2,0)),"CUIT NO CARGADO")</f>
        <v>CUIT NO CARGADO</v>
      </c>
      <c r="H1776" s="64">
        <v>8264.4599999999991</v>
      </c>
      <c r="I1776" s="64">
        <f>ventas_b_mes684[[#This Row],[IMPORTE NETO]]*0.21</f>
        <v>1735.5365999999997</v>
      </c>
      <c r="J1776" s="64"/>
      <c r="K1776" s="64"/>
      <c r="L1776" s="64">
        <f>SUM(ventas_b_mes684[[#This Row],[IMPORTE NETO]:[EXENTO]])</f>
        <v>9999.9965999999986</v>
      </c>
      <c r="M1776" s="59"/>
    </row>
    <row r="1777" spans="2:13">
      <c r="B1777" s="40" t="s">
        <v>2318</v>
      </c>
      <c r="C1777" s="41">
        <v>6</v>
      </c>
      <c r="D1777" s="42">
        <v>12</v>
      </c>
      <c r="E1777" s="43">
        <v>29814</v>
      </c>
      <c r="F1777" s="44">
        <v>22922464</v>
      </c>
      <c r="G1777" s="1" t="str">
        <f>IFERROR(IF(ventas_b_mes684[[#This Row],[CUIT]]="","-",VLOOKUP(ventas_b_mes684[[#This Row],[CUIT]],Lista_CUIT[#All],2,0)),"CUIT NO CARGADO")</f>
        <v>CUIT NO CARGADO</v>
      </c>
      <c r="H1777" s="64">
        <v>9669.42</v>
      </c>
      <c r="I1777" s="64">
        <f>ventas_b_mes684[[#This Row],[IMPORTE NETO]]*0.21</f>
        <v>2030.5781999999999</v>
      </c>
      <c r="J1777" s="64"/>
      <c r="K1777" s="64"/>
      <c r="L1777" s="64">
        <f>SUM(ventas_b_mes684[[#This Row],[IMPORTE NETO]:[EXENTO]])</f>
        <v>11699.9982</v>
      </c>
      <c r="M1777" s="59"/>
    </row>
    <row r="1778" spans="2:13">
      <c r="B1778" s="40" t="s">
        <v>2318</v>
      </c>
      <c r="C1778" s="41">
        <v>6</v>
      </c>
      <c r="D1778" s="42">
        <v>13</v>
      </c>
      <c r="E1778" s="43">
        <v>32578</v>
      </c>
      <c r="F1778" s="44">
        <v>26192624</v>
      </c>
      <c r="G1778" s="1" t="str">
        <f>IFERROR(IF(ventas_b_mes684[[#This Row],[CUIT]]="","-",VLOOKUP(ventas_b_mes684[[#This Row],[CUIT]],Lista_CUIT[#All],2,0)),"CUIT NO CARGADO")</f>
        <v>CUIT NO CARGADO</v>
      </c>
      <c r="H1778" s="64">
        <v>25371.9</v>
      </c>
      <c r="I1778" s="64">
        <f>ventas_b_mes684[[#This Row],[IMPORTE NETO]]*0.21</f>
        <v>5328.0990000000002</v>
      </c>
      <c r="J1778" s="64"/>
      <c r="K1778" s="64"/>
      <c r="L1778" s="64">
        <f>SUM(ventas_b_mes684[[#This Row],[IMPORTE NETO]:[EXENTO]])</f>
        <v>30699.999000000003</v>
      </c>
      <c r="M1778" s="59"/>
    </row>
    <row r="1779" spans="2:13">
      <c r="B1779" s="40" t="s">
        <v>2318</v>
      </c>
      <c r="C1779" s="41">
        <v>6</v>
      </c>
      <c r="D1779" s="42">
        <v>11</v>
      </c>
      <c r="E1779" s="43">
        <v>38307</v>
      </c>
      <c r="F1779" s="44">
        <v>12653984</v>
      </c>
      <c r="G1779" s="1" t="str">
        <f>IFERROR(IF(ventas_b_mes684[[#This Row],[CUIT]]="","-",VLOOKUP(ventas_b_mes684[[#This Row],[CUIT]],Lista_CUIT[#All],2,0)),"CUIT NO CARGADO")</f>
        <v>CUIT NO CARGADO</v>
      </c>
      <c r="H1779" s="64">
        <v>3628.1</v>
      </c>
      <c r="I1779" s="64">
        <f>ventas_b_mes684[[#This Row],[IMPORTE NETO]]*0.21</f>
        <v>761.90099999999995</v>
      </c>
      <c r="J1779" s="64"/>
      <c r="K1779" s="64"/>
      <c r="L1779" s="64">
        <f>SUM(ventas_b_mes684[[#This Row],[IMPORTE NETO]:[EXENTO]])</f>
        <v>4390.0010000000002</v>
      </c>
      <c r="M1779" s="59"/>
    </row>
    <row r="1780" spans="2:13">
      <c r="B1780" s="40" t="s">
        <v>2318</v>
      </c>
      <c r="C1780" s="41">
        <v>6</v>
      </c>
      <c r="D1780" s="42">
        <v>12</v>
      </c>
      <c r="E1780" s="43">
        <v>29813</v>
      </c>
      <c r="F1780" s="44">
        <v>34741877</v>
      </c>
      <c r="G1780" s="1" t="str">
        <f>IFERROR(IF(ventas_b_mes684[[#This Row],[CUIT]]="","-",VLOOKUP(ventas_b_mes684[[#This Row],[CUIT]],Lista_CUIT[#All],2,0)),"CUIT NO CARGADO")</f>
        <v>CUIT NO CARGADO</v>
      </c>
      <c r="H1780" s="64">
        <v>11024.79</v>
      </c>
      <c r="I1780" s="64">
        <f>ventas_b_mes684[[#This Row],[IMPORTE NETO]]*0.21</f>
        <v>2315.2058999999999</v>
      </c>
      <c r="J1780" s="64"/>
      <c r="K1780" s="64"/>
      <c r="L1780" s="64">
        <f>SUM(ventas_b_mes684[[#This Row],[IMPORTE NETO]:[EXENTO]])</f>
        <v>13339.995900000002</v>
      </c>
      <c r="M1780" s="59"/>
    </row>
    <row r="1781" spans="2:13">
      <c r="B1781" s="40" t="s">
        <v>2318</v>
      </c>
      <c r="C1781" s="41">
        <v>6</v>
      </c>
      <c r="D1781" s="42">
        <v>10</v>
      </c>
      <c r="E1781" s="43">
        <v>54633</v>
      </c>
      <c r="F1781" s="44">
        <v>13277007</v>
      </c>
      <c r="G1781" s="1" t="str">
        <f>IFERROR(IF(ventas_b_mes684[[#This Row],[CUIT]]="","-",VLOOKUP(ventas_b_mes684[[#This Row],[CUIT]],Lista_CUIT[#All],2,0)),"CUIT NO CARGADO")</f>
        <v>CUIT NO CARGADO</v>
      </c>
      <c r="H1781" s="64">
        <v>22247.93</v>
      </c>
      <c r="I1781" s="64">
        <f>ventas_b_mes684[[#This Row],[IMPORTE NETO]]*0.21</f>
        <v>4672.0653000000002</v>
      </c>
      <c r="J1781" s="64"/>
      <c r="K1781" s="64"/>
      <c r="L1781" s="64">
        <f>SUM(ventas_b_mes684[[#This Row],[IMPORTE NETO]:[EXENTO]])</f>
        <v>26919.995300000002</v>
      </c>
      <c r="M1781" s="59"/>
    </row>
    <row r="1782" spans="2:13">
      <c r="B1782" s="40" t="s">
        <v>2318</v>
      </c>
      <c r="C1782" s="41">
        <v>6</v>
      </c>
      <c r="D1782" s="42">
        <v>11</v>
      </c>
      <c r="E1782" s="43">
        <v>38308</v>
      </c>
      <c r="F1782" s="44">
        <v>24458839</v>
      </c>
      <c r="G1782" s="1" t="str">
        <f>IFERROR(IF(ventas_b_mes684[[#This Row],[CUIT]]="","-",VLOOKUP(ventas_b_mes684[[#This Row],[CUIT]],Lista_CUIT[#All],2,0)),"CUIT NO CARGADO")</f>
        <v>CUIT NO CARGADO</v>
      </c>
      <c r="H1782" s="64">
        <v>54223.14</v>
      </c>
      <c r="I1782" s="64">
        <f>ventas_b_mes684[[#This Row],[IMPORTE NETO]]*0.21</f>
        <v>11386.859399999999</v>
      </c>
      <c r="J1782" s="64"/>
      <c r="K1782" s="64"/>
      <c r="L1782" s="64">
        <f>SUM(ventas_b_mes684[[#This Row],[IMPORTE NETO]:[EXENTO]])</f>
        <v>65609.999400000001</v>
      </c>
      <c r="M1782" s="59"/>
    </row>
    <row r="1783" spans="2:13">
      <c r="B1783" s="40" t="s">
        <v>2318</v>
      </c>
      <c r="C1783" s="41">
        <v>6</v>
      </c>
      <c r="D1783" s="42">
        <v>10</v>
      </c>
      <c r="E1783" s="43">
        <v>54626</v>
      </c>
      <c r="F1783" s="44">
        <v>25710904</v>
      </c>
      <c r="G1783" s="1" t="str">
        <f>IFERROR(IF(ventas_b_mes684[[#This Row],[CUIT]]="","-",VLOOKUP(ventas_b_mes684[[#This Row],[CUIT]],Lista_CUIT[#All],2,0)),"CUIT NO CARGADO")</f>
        <v>CUIT NO CARGADO</v>
      </c>
      <c r="H1783" s="64">
        <v>83735.539999999994</v>
      </c>
      <c r="I1783" s="64">
        <f>ventas_b_mes684[[#This Row],[IMPORTE NETO]]*0.21</f>
        <v>17584.463399999997</v>
      </c>
      <c r="J1783" s="64"/>
      <c r="K1783" s="64"/>
      <c r="L1783" s="64">
        <f>SUM(ventas_b_mes684[[#This Row],[IMPORTE NETO]:[EXENTO]])</f>
        <v>101320.00339999999</v>
      </c>
      <c r="M1783" s="59"/>
    </row>
    <row r="1784" spans="2:13">
      <c r="B1784" s="40" t="s">
        <v>2318</v>
      </c>
      <c r="C1784" s="41">
        <v>6</v>
      </c>
      <c r="D1784" s="42">
        <v>15</v>
      </c>
      <c r="E1784" s="43">
        <v>13407</v>
      </c>
      <c r="F1784" s="44">
        <v>17090365</v>
      </c>
      <c r="G1784" s="1" t="str">
        <f>IFERROR(IF(ventas_b_mes684[[#This Row],[CUIT]]="","-",VLOOKUP(ventas_b_mes684[[#This Row],[CUIT]],Lista_CUIT[#All],2,0)),"CUIT NO CARGADO")</f>
        <v>CUIT NO CARGADO</v>
      </c>
      <c r="H1784" s="64">
        <v>22000</v>
      </c>
      <c r="I1784" s="64">
        <f>ventas_b_mes684[[#This Row],[IMPORTE NETO]]*0.21</f>
        <v>4620</v>
      </c>
      <c r="J1784" s="64"/>
      <c r="K1784" s="64"/>
      <c r="L1784" s="64">
        <f>SUM(ventas_b_mes684[[#This Row],[IMPORTE NETO]:[EXENTO]])</f>
        <v>26620</v>
      </c>
      <c r="M1784" s="59"/>
    </row>
    <row r="1785" spans="2:13">
      <c r="B1785" s="40" t="s">
        <v>2318</v>
      </c>
      <c r="C1785" s="41">
        <v>6</v>
      </c>
      <c r="D1785" s="42">
        <v>10</v>
      </c>
      <c r="E1785" s="43">
        <v>54622</v>
      </c>
      <c r="F1785" s="44">
        <v>18211637</v>
      </c>
      <c r="G1785" s="1" t="str">
        <f>IFERROR(IF(ventas_b_mes684[[#This Row],[CUIT]]="","-",VLOOKUP(ventas_b_mes684[[#This Row],[CUIT]],Lista_CUIT[#All],2,0)),"CUIT NO CARGADO")</f>
        <v>CUIT NO CARGADO</v>
      </c>
      <c r="H1785" s="64">
        <v>23603.3</v>
      </c>
      <c r="I1785" s="64">
        <f>ventas_b_mes684[[#This Row],[IMPORTE NETO]]*0.21</f>
        <v>4956.6929999999993</v>
      </c>
      <c r="J1785" s="64"/>
      <c r="K1785" s="64"/>
      <c r="L1785" s="64">
        <f>SUM(ventas_b_mes684[[#This Row],[IMPORTE NETO]:[EXENTO]])</f>
        <v>28559.992999999999</v>
      </c>
      <c r="M1785" s="59"/>
    </row>
    <row r="1786" spans="2:13">
      <c r="B1786" s="40" t="s">
        <v>2318</v>
      </c>
      <c r="C1786" s="41">
        <v>6</v>
      </c>
      <c r="D1786" s="42">
        <v>12</v>
      </c>
      <c r="E1786" s="43">
        <v>29802</v>
      </c>
      <c r="F1786" s="44">
        <v>94070859</v>
      </c>
      <c r="G1786" s="1" t="str">
        <f>IFERROR(IF(ventas_b_mes684[[#This Row],[CUIT]]="","-",VLOOKUP(ventas_b_mes684[[#This Row],[CUIT]],Lista_CUIT[#All],2,0)),"CUIT NO CARGADO")</f>
        <v>CUIT NO CARGADO</v>
      </c>
      <c r="H1786" s="64">
        <v>20661.16</v>
      </c>
      <c r="I1786" s="64">
        <f>ventas_b_mes684[[#This Row],[IMPORTE NETO]]*0.21</f>
        <v>4338.8436000000002</v>
      </c>
      <c r="J1786" s="64"/>
      <c r="K1786" s="64"/>
      <c r="L1786" s="64">
        <f>SUM(ventas_b_mes684[[#This Row],[IMPORTE NETO]:[EXENTO]])</f>
        <v>25000.0036</v>
      </c>
      <c r="M1786" s="59"/>
    </row>
    <row r="1787" spans="2:13">
      <c r="B1787" s="40" t="s">
        <v>2318</v>
      </c>
      <c r="C1787" s="41">
        <v>6</v>
      </c>
      <c r="D1787" s="42">
        <v>12</v>
      </c>
      <c r="E1787" s="43">
        <v>29817</v>
      </c>
      <c r="F1787" s="44">
        <v>14235875</v>
      </c>
      <c r="G1787" s="1" t="str">
        <f>IFERROR(IF(ventas_b_mes684[[#This Row],[CUIT]]="","-",VLOOKUP(ventas_b_mes684[[#This Row],[CUIT]],Lista_CUIT[#All],2,0)),"CUIT NO CARGADO")</f>
        <v>CUIT NO CARGADO</v>
      </c>
      <c r="H1787" s="64">
        <v>31404.959999999999</v>
      </c>
      <c r="I1787" s="64">
        <f>ventas_b_mes684[[#This Row],[IMPORTE NETO]]*0.21</f>
        <v>6595.0415999999996</v>
      </c>
      <c r="J1787" s="64"/>
      <c r="K1787" s="64"/>
      <c r="L1787" s="64">
        <f>SUM(ventas_b_mes684[[#This Row],[IMPORTE NETO]:[EXENTO]])</f>
        <v>38000.001599999996</v>
      </c>
      <c r="M1787" s="59"/>
    </row>
    <row r="1788" spans="2:13">
      <c r="B1788" s="40" t="s">
        <v>2318</v>
      </c>
      <c r="C1788" s="41">
        <v>6</v>
      </c>
      <c r="D1788" s="42">
        <v>11</v>
      </c>
      <c r="E1788" s="43">
        <v>38315</v>
      </c>
      <c r="F1788" s="44">
        <v>36827035</v>
      </c>
      <c r="G1788" s="1" t="str">
        <f>IFERROR(IF(ventas_b_mes684[[#This Row],[CUIT]]="","-",VLOOKUP(ventas_b_mes684[[#This Row],[CUIT]],Lista_CUIT[#All],2,0)),"CUIT NO CARGADO")</f>
        <v>CUIT NO CARGADO</v>
      </c>
      <c r="H1788" s="64">
        <v>67190.080000000002</v>
      </c>
      <c r="I1788" s="64">
        <f>ventas_b_mes684[[#This Row],[IMPORTE NETO]]*0.21</f>
        <v>14109.916799999999</v>
      </c>
      <c r="J1788" s="64"/>
      <c r="K1788" s="64"/>
      <c r="L1788" s="64">
        <f>SUM(ventas_b_mes684[[#This Row],[IMPORTE NETO]:[EXENTO]])</f>
        <v>81299.996799999994</v>
      </c>
      <c r="M1788" s="59"/>
    </row>
    <row r="1789" spans="2:13">
      <c r="B1789" s="40" t="s">
        <v>2318</v>
      </c>
      <c r="C1789" s="41">
        <v>6</v>
      </c>
      <c r="D1789" s="42">
        <v>15</v>
      </c>
      <c r="E1789" s="43">
        <v>13408</v>
      </c>
      <c r="F1789" s="44">
        <v>25253060</v>
      </c>
      <c r="G1789" s="1" t="str">
        <f>IFERROR(IF(ventas_b_mes684[[#This Row],[CUIT]]="","-",VLOOKUP(ventas_b_mes684[[#This Row],[CUIT]],Lista_CUIT[#All],2,0)),"CUIT NO CARGADO")</f>
        <v>CUIT NO CARGADO</v>
      </c>
      <c r="H1789" s="64">
        <v>17545.45</v>
      </c>
      <c r="I1789" s="64">
        <f>ventas_b_mes684[[#This Row],[IMPORTE NETO]]*0.21</f>
        <v>3684.5445</v>
      </c>
      <c r="J1789" s="64"/>
      <c r="K1789" s="64"/>
      <c r="L1789" s="64">
        <f>SUM(ventas_b_mes684[[#This Row],[IMPORTE NETO]:[EXENTO]])</f>
        <v>21229.994500000001</v>
      </c>
      <c r="M1789" s="59"/>
    </row>
    <row r="1790" spans="2:13">
      <c r="B1790" s="40" t="s">
        <v>2318</v>
      </c>
      <c r="C1790" s="41">
        <v>6</v>
      </c>
      <c r="D1790" s="42">
        <v>12</v>
      </c>
      <c r="E1790" s="43">
        <v>29816</v>
      </c>
      <c r="F1790" s="44">
        <v>21657293</v>
      </c>
      <c r="G1790" s="1" t="str">
        <f>IFERROR(IF(ventas_b_mes684[[#This Row],[CUIT]]="","-",VLOOKUP(ventas_b_mes684[[#This Row],[CUIT]],Lista_CUIT[#All],2,0)),"CUIT NO CARGADO")</f>
        <v>CUIT NO CARGADO</v>
      </c>
      <c r="H1790" s="64">
        <v>2801.65</v>
      </c>
      <c r="I1790" s="64">
        <f>ventas_b_mes684[[#This Row],[IMPORTE NETO]]*0.21</f>
        <v>588.34649999999999</v>
      </c>
      <c r="J1790" s="64"/>
      <c r="K1790" s="64"/>
      <c r="L1790" s="64">
        <f>SUM(ventas_b_mes684[[#This Row],[IMPORTE NETO]:[EXENTO]])</f>
        <v>3389.9965000000002</v>
      </c>
      <c r="M1790" s="59"/>
    </row>
    <row r="1791" spans="2:13">
      <c r="B1791" s="40" t="s">
        <v>2318</v>
      </c>
      <c r="C1791" s="41">
        <v>6</v>
      </c>
      <c r="D1791" s="42">
        <v>13</v>
      </c>
      <c r="E1791" s="43">
        <v>32584</v>
      </c>
      <c r="F1791" s="44">
        <v>20560897</v>
      </c>
      <c r="G1791" s="1" t="str">
        <f>IFERROR(IF(ventas_b_mes684[[#This Row],[CUIT]]="","-",VLOOKUP(ventas_b_mes684[[#This Row],[CUIT]],Lista_CUIT[#All],2,0)),"CUIT NO CARGADO")</f>
        <v>CUIT NO CARGADO</v>
      </c>
      <c r="H1791" s="64">
        <v>73234.64</v>
      </c>
      <c r="I1791" s="64">
        <f>ventas_b_mes684[[#This Row],[IMPORTE NETO]]*0.21</f>
        <v>15379.274399999998</v>
      </c>
      <c r="J1791" s="64"/>
      <c r="K1791" s="64"/>
      <c r="L1791" s="64">
        <f>SUM(ventas_b_mes684[[#This Row],[IMPORTE NETO]:[EXENTO]])</f>
        <v>88613.914399999994</v>
      </c>
      <c r="M1791" s="59"/>
    </row>
    <row r="1792" spans="2:13">
      <c r="B1792" s="40" t="s">
        <v>2318</v>
      </c>
      <c r="C1792" s="41">
        <v>6</v>
      </c>
      <c r="D1792" s="42">
        <v>11</v>
      </c>
      <c r="E1792" s="43">
        <v>38318</v>
      </c>
      <c r="F1792" s="44">
        <v>18445255</v>
      </c>
      <c r="G1792" s="1" t="str">
        <f>IFERROR(IF(ventas_b_mes684[[#This Row],[CUIT]]="","-",VLOOKUP(ventas_b_mes684[[#This Row],[CUIT]],Lista_CUIT[#All],2,0)),"CUIT NO CARGADO")</f>
        <v>CUIT NO CARGADO</v>
      </c>
      <c r="H1792" s="64">
        <v>5429.75</v>
      </c>
      <c r="I1792" s="64">
        <f>ventas_b_mes684[[#This Row],[IMPORTE NETO]]*0.21</f>
        <v>1140.2474999999999</v>
      </c>
      <c r="J1792" s="64"/>
      <c r="K1792" s="64"/>
      <c r="L1792" s="64">
        <f>SUM(ventas_b_mes684[[#This Row],[IMPORTE NETO]:[EXENTO]])</f>
        <v>6569.9974999999995</v>
      </c>
      <c r="M1792" s="59"/>
    </row>
    <row r="1793" spans="2:13">
      <c r="B1793" s="40" t="s">
        <v>2318</v>
      </c>
      <c r="C1793" s="41">
        <v>6</v>
      </c>
      <c r="D1793" s="42">
        <v>13</v>
      </c>
      <c r="E1793" s="43">
        <v>32570</v>
      </c>
      <c r="F1793" s="44">
        <v>22114947</v>
      </c>
      <c r="G1793" s="1" t="str">
        <f>IFERROR(IF(ventas_b_mes684[[#This Row],[CUIT]]="","-",VLOOKUP(ventas_b_mes684[[#This Row],[CUIT]],Lista_CUIT[#All],2,0)),"CUIT NO CARGADO")</f>
        <v>CUIT NO CARGADO</v>
      </c>
      <c r="H1793" s="64">
        <v>64876.03</v>
      </c>
      <c r="I1793" s="64">
        <f>ventas_b_mes684[[#This Row],[IMPORTE NETO]]*0.21</f>
        <v>13623.9663</v>
      </c>
      <c r="J1793" s="64"/>
      <c r="K1793" s="64"/>
      <c r="L1793" s="64">
        <f>SUM(ventas_b_mes684[[#This Row],[IMPORTE NETO]:[EXENTO]])</f>
        <v>78499.996299999999</v>
      </c>
      <c r="M1793" s="59"/>
    </row>
    <row r="1794" spans="2:13">
      <c r="B1794" s="40" t="s">
        <v>2318</v>
      </c>
      <c r="C1794" s="41">
        <v>6</v>
      </c>
      <c r="D1794" s="42">
        <v>13</v>
      </c>
      <c r="E1794" s="43">
        <v>32567</v>
      </c>
      <c r="F1794" s="44">
        <v>10551305</v>
      </c>
      <c r="G1794" s="1" t="str">
        <f>IFERROR(IF(ventas_b_mes684[[#This Row],[CUIT]]="","-",VLOOKUP(ventas_b_mes684[[#This Row],[CUIT]],Lista_CUIT[#All],2,0)),"CUIT NO CARGADO")</f>
        <v>CUIT NO CARGADO</v>
      </c>
      <c r="H1794" s="64">
        <v>63636.36</v>
      </c>
      <c r="I1794" s="64">
        <f>ventas_b_mes684[[#This Row],[IMPORTE NETO]]*0.21</f>
        <v>13363.6356</v>
      </c>
      <c r="J1794" s="64"/>
      <c r="K1794" s="64"/>
      <c r="L1794" s="64">
        <f>SUM(ventas_b_mes684[[#This Row],[IMPORTE NETO]:[EXENTO]])</f>
        <v>76999.995599999995</v>
      </c>
      <c r="M1794" s="59"/>
    </row>
    <row r="1795" spans="2:13">
      <c r="B1795" s="40" t="s">
        <v>2318</v>
      </c>
      <c r="C1795" s="41">
        <v>6</v>
      </c>
      <c r="D1795" s="42">
        <v>13</v>
      </c>
      <c r="E1795" s="43">
        <v>32574</v>
      </c>
      <c r="F1795" s="44">
        <v>7894561233</v>
      </c>
      <c r="G1795" s="1" t="str">
        <f>IFERROR(IF(ventas_b_mes684[[#This Row],[CUIT]]="","-",VLOOKUP(ventas_b_mes684[[#This Row],[CUIT]],Lista_CUIT[#All],2,0)),"CUIT NO CARGADO")</f>
        <v>CUIT NO CARGADO</v>
      </c>
      <c r="H1795" s="64">
        <v>16206.61</v>
      </c>
      <c r="I1795" s="64">
        <f>ventas_b_mes684[[#This Row],[IMPORTE NETO]]*0.21</f>
        <v>3403.3881000000001</v>
      </c>
      <c r="J1795" s="64"/>
      <c r="K1795" s="64"/>
      <c r="L1795" s="64">
        <f>SUM(ventas_b_mes684[[#This Row],[IMPORTE NETO]:[EXENTO]])</f>
        <v>19609.998100000001</v>
      </c>
      <c r="M1795" s="59"/>
    </row>
    <row r="1796" spans="2:13">
      <c r="B1796" s="40" t="s">
        <v>2318</v>
      </c>
      <c r="C1796" s="41">
        <v>6</v>
      </c>
      <c r="D1796" s="42">
        <v>10</v>
      </c>
      <c r="E1796" s="43">
        <v>54618</v>
      </c>
      <c r="F1796" s="44">
        <v>17881248</v>
      </c>
      <c r="G1796" s="1" t="str">
        <f>IFERROR(IF(ventas_b_mes684[[#This Row],[CUIT]]="","-",VLOOKUP(ventas_b_mes684[[#This Row],[CUIT]],Lista_CUIT[#All],2,0)),"CUIT NO CARGADO")</f>
        <v>CUIT NO CARGADO</v>
      </c>
      <c r="H1796" s="64">
        <v>75347.11</v>
      </c>
      <c r="I1796" s="64">
        <f>ventas_b_mes684[[#This Row],[IMPORTE NETO]]*0.21</f>
        <v>15822.893099999999</v>
      </c>
      <c r="J1796" s="64"/>
      <c r="K1796" s="64"/>
      <c r="L1796" s="64">
        <f>SUM(ventas_b_mes684[[#This Row],[IMPORTE NETO]:[EXENTO]])</f>
        <v>91170.003100000002</v>
      </c>
      <c r="M1796" s="59"/>
    </row>
    <row r="1797" spans="2:13">
      <c r="B1797" s="40" t="s">
        <v>2318</v>
      </c>
      <c r="C1797" s="41">
        <v>6</v>
      </c>
      <c r="D1797" s="42">
        <v>15</v>
      </c>
      <c r="E1797" s="43">
        <v>13412</v>
      </c>
      <c r="F1797" s="44">
        <v>26843489</v>
      </c>
      <c r="G1797" s="1" t="str">
        <f>IFERROR(IF(ventas_b_mes684[[#This Row],[CUIT]]="","-",VLOOKUP(ventas_b_mes684[[#This Row],[CUIT]],Lista_CUIT[#All],2,0)),"CUIT NO CARGADO")</f>
        <v>CAMPO, CECILIA (ALUMNA)</v>
      </c>
      <c r="H1797" s="64">
        <v>22396.69</v>
      </c>
      <c r="I1797" s="64">
        <f>ventas_b_mes684[[#This Row],[IMPORTE NETO]]*0.21</f>
        <v>4703.3048999999992</v>
      </c>
      <c r="J1797" s="64"/>
      <c r="K1797" s="64"/>
      <c r="L1797" s="64">
        <f>SUM(ventas_b_mes684[[#This Row],[IMPORTE NETO]:[EXENTO]])</f>
        <v>27099.994899999998</v>
      </c>
      <c r="M1797" s="59"/>
    </row>
    <row r="1798" spans="2:13">
      <c r="B1798" s="40" t="s">
        <v>2318</v>
      </c>
      <c r="C1798" s="41">
        <v>6</v>
      </c>
      <c r="D1798" s="42">
        <v>13</v>
      </c>
      <c r="E1798" s="43">
        <v>32569</v>
      </c>
      <c r="F1798" s="44">
        <v>12046938</v>
      </c>
      <c r="G1798" s="1" t="str">
        <f>IFERROR(IF(ventas_b_mes684[[#This Row],[CUIT]]="","-",VLOOKUP(ventas_b_mes684[[#This Row],[CUIT]],Lista_CUIT[#All],2,0)),"CUIT NO CARGADO")</f>
        <v>CUIT NO CARGADO</v>
      </c>
      <c r="H1798" s="64">
        <v>13223.14</v>
      </c>
      <c r="I1798" s="64">
        <f>ventas_b_mes684[[#This Row],[IMPORTE NETO]]*0.21</f>
        <v>2776.8593999999998</v>
      </c>
      <c r="J1798" s="64"/>
      <c r="K1798" s="64"/>
      <c r="L1798" s="64">
        <f>SUM(ventas_b_mes684[[#This Row],[IMPORTE NETO]:[EXENTO]])</f>
        <v>15999.999399999999</v>
      </c>
      <c r="M1798" s="59"/>
    </row>
    <row r="1799" spans="2:13">
      <c r="B1799" s="40" t="s">
        <v>2318</v>
      </c>
      <c r="C1799" s="41">
        <v>6</v>
      </c>
      <c r="D1799" s="42">
        <v>11</v>
      </c>
      <c r="E1799" s="43">
        <v>38306</v>
      </c>
      <c r="F1799" s="44">
        <v>21762117</v>
      </c>
      <c r="G1799" s="1" t="str">
        <f>IFERROR(IF(ventas_b_mes684[[#This Row],[CUIT]]="","-",VLOOKUP(ventas_b_mes684[[#This Row],[CUIT]],Lista_CUIT[#All],2,0)),"CUIT NO CARGADO")</f>
        <v>CUIT NO CARGADO</v>
      </c>
      <c r="H1799" s="64">
        <v>3421.49</v>
      </c>
      <c r="I1799" s="64">
        <f>ventas_b_mes684[[#This Row],[IMPORTE NETO]]*0.21</f>
        <v>718.51289999999995</v>
      </c>
      <c r="J1799" s="64"/>
      <c r="K1799" s="64"/>
      <c r="L1799" s="64">
        <f>SUM(ventas_b_mes684[[#This Row],[IMPORTE NETO]:[EXENTO]])</f>
        <v>4140.0028999999995</v>
      </c>
      <c r="M1799" s="59"/>
    </row>
    <row r="1800" spans="2:13">
      <c r="B1800" s="40" t="s">
        <v>2318</v>
      </c>
      <c r="C1800" s="41">
        <v>6</v>
      </c>
      <c r="D1800" s="42">
        <v>12</v>
      </c>
      <c r="E1800" s="43">
        <v>29806</v>
      </c>
      <c r="F1800" s="44">
        <v>47257203</v>
      </c>
      <c r="G1800" s="1" t="str">
        <f>IFERROR(IF(ventas_b_mes684[[#This Row],[CUIT]]="","-",VLOOKUP(ventas_b_mes684[[#This Row],[CUIT]],Lista_CUIT[#All],2,0)),"CUIT NO CARGADO")</f>
        <v>CUIT NO CARGADO</v>
      </c>
      <c r="H1800" s="64">
        <v>6471.07</v>
      </c>
      <c r="I1800" s="64">
        <f>ventas_b_mes684[[#This Row],[IMPORTE NETO]]*0.21</f>
        <v>1358.9246999999998</v>
      </c>
      <c r="J1800" s="64"/>
      <c r="K1800" s="64"/>
      <c r="L1800" s="64">
        <f>SUM(ventas_b_mes684[[#This Row],[IMPORTE NETO]:[EXENTO]])</f>
        <v>7829.9946999999993</v>
      </c>
      <c r="M1800" s="59"/>
    </row>
    <row r="1801" spans="2:13">
      <c r="B1801" s="40" t="s">
        <v>2318</v>
      </c>
      <c r="C1801" s="41">
        <v>6</v>
      </c>
      <c r="D1801" s="42">
        <v>12</v>
      </c>
      <c r="E1801" s="43">
        <v>29803</v>
      </c>
      <c r="F1801" s="44">
        <v>26532643</v>
      </c>
      <c r="G1801" s="1" t="str">
        <f>IFERROR(IF(ventas_b_mes684[[#This Row],[CUIT]]="","-",VLOOKUP(ventas_b_mes684[[#This Row],[CUIT]],Lista_CUIT[#All],2,0)),"CUIT NO CARGADO")</f>
        <v>CUIT NO CARGADO</v>
      </c>
      <c r="H1801" s="64">
        <v>17190.099999999999</v>
      </c>
      <c r="I1801" s="64">
        <f>ventas_b_mes684[[#This Row],[IMPORTE NETO]]*0.21</f>
        <v>3609.9209999999994</v>
      </c>
      <c r="J1801" s="64"/>
      <c r="K1801" s="64"/>
      <c r="L1801" s="64">
        <f>SUM(ventas_b_mes684[[#This Row],[IMPORTE NETO]:[EXENTO]])</f>
        <v>20800.020999999997</v>
      </c>
      <c r="M1801" s="59"/>
    </row>
    <row r="1802" spans="2:13">
      <c r="B1802" s="40" t="s">
        <v>2318</v>
      </c>
      <c r="C1802" s="41">
        <v>6</v>
      </c>
      <c r="D1802" s="42">
        <v>11</v>
      </c>
      <c r="E1802" s="43">
        <v>38317</v>
      </c>
      <c r="F1802" s="44">
        <v>42930197</v>
      </c>
      <c r="G1802" s="1" t="str">
        <f>IFERROR(IF(ventas_b_mes684[[#This Row],[CUIT]]="","-",VLOOKUP(ventas_b_mes684[[#This Row],[CUIT]],Lista_CUIT[#All],2,0)),"CUIT NO CARGADO")</f>
        <v>CUIT NO CARGADO</v>
      </c>
      <c r="H1802" s="64">
        <v>14471.07</v>
      </c>
      <c r="I1802" s="64">
        <f>ventas_b_mes684[[#This Row],[IMPORTE NETO]]*0.21</f>
        <v>3038.9247</v>
      </c>
      <c r="J1802" s="64"/>
      <c r="K1802" s="64"/>
      <c r="L1802" s="64">
        <f>SUM(ventas_b_mes684[[#This Row],[IMPORTE NETO]:[EXENTO]])</f>
        <v>17509.994699999999</v>
      </c>
      <c r="M1802" s="59"/>
    </row>
    <row r="1803" spans="2:13">
      <c r="B1803" s="40" t="s">
        <v>2318</v>
      </c>
      <c r="C1803" s="41">
        <v>6</v>
      </c>
      <c r="D1803" s="42">
        <v>11</v>
      </c>
      <c r="E1803" s="43">
        <v>38303</v>
      </c>
      <c r="F1803" s="44">
        <v>40230283</v>
      </c>
      <c r="G1803" s="1" t="str">
        <f>IFERROR(IF(ventas_b_mes684[[#This Row],[CUIT]]="","-",VLOOKUP(ventas_b_mes684[[#This Row],[CUIT]],Lista_CUIT[#All],2,0)),"CUIT NO CARGADO")</f>
        <v>CUIT NO CARGADO</v>
      </c>
      <c r="H1803" s="64">
        <v>20661.16</v>
      </c>
      <c r="I1803" s="64">
        <f>ventas_b_mes684[[#This Row],[IMPORTE NETO]]*0.21</f>
        <v>4338.8436000000002</v>
      </c>
      <c r="J1803" s="64"/>
      <c r="K1803" s="64"/>
      <c r="L1803" s="64">
        <f>SUM(ventas_b_mes684[[#This Row],[IMPORTE NETO]:[EXENTO]])</f>
        <v>25000.0036</v>
      </c>
      <c r="M1803" s="59"/>
    </row>
    <row r="1804" spans="2:13">
      <c r="B1804" s="40" t="s">
        <v>2318</v>
      </c>
      <c r="C1804" s="41">
        <v>6</v>
      </c>
      <c r="D1804" s="42">
        <v>13</v>
      </c>
      <c r="E1804" s="43">
        <v>32581</v>
      </c>
      <c r="F1804" s="44">
        <v>26963215</v>
      </c>
      <c r="G1804" s="1" t="str">
        <f>IFERROR(IF(ventas_b_mes684[[#This Row],[CUIT]]="","-",VLOOKUP(ventas_b_mes684[[#This Row],[CUIT]],Lista_CUIT[#All],2,0)),"CUIT NO CARGADO")</f>
        <v>CUIT NO CARGADO</v>
      </c>
      <c r="H1804" s="64">
        <v>64090.91</v>
      </c>
      <c r="I1804" s="64">
        <f>ventas_b_mes684[[#This Row],[IMPORTE NETO]]*0.21</f>
        <v>13459.0911</v>
      </c>
      <c r="J1804" s="64"/>
      <c r="K1804" s="64"/>
      <c r="L1804" s="64">
        <f>SUM(ventas_b_mes684[[#This Row],[IMPORTE NETO]:[EXENTO]])</f>
        <v>77550.001100000009</v>
      </c>
      <c r="M1804" s="59"/>
    </row>
    <row r="1805" spans="2:13">
      <c r="B1805" s="40" t="s">
        <v>2318</v>
      </c>
      <c r="C1805" s="41">
        <v>6</v>
      </c>
      <c r="D1805" s="42">
        <v>15</v>
      </c>
      <c r="E1805" s="43">
        <v>13410</v>
      </c>
      <c r="F1805" s="44">
        <v>44461606</v>
      </c>
      <c r="G1805" s="1" t="str">
        <f>IFERROR(IF(ventas_b_mes684[[#This Row],[CUIT]]="","-",VLOOKUP(ventas_b_mes684[[#This Row],[CUIT]],Lista_CUIT[#All],2,0)),"CUIT NO CARGADO")</f>
        <v>CUIT NO CARGADO</v>
      </c>
      <c r="H1805" s="64">
        <v>6198.35</v>
      </c>
      <c r="I1805" s="64">
        <f>ventas_b_mes684[[#This Row],[IMPORTE NETO]]*0.21</f>
        <v>1301.6535000000001</v>
      </c>
      <c r="J1805" s="64"/>
      <c r="K1805" s="64"/>
      <c r="L1805" s="64">
        <f>SUM(ventas_b_mes684[[#This Row],[IMPORTE NETO]:[EXENTO]])</f>
        <v>7500.0035000000007</v>
      </c>
      <c r="M1805" s="59"/>
    </row>
    <row r="1806" spans="2:13">
      <c r="B1806" s="40" t="s">
        <v>2318</v>
      </c>
      <c r="C1806" s="41">
        <v>6</v>
      </c>
      <c r="D1806" s="42">
        <v>11</v>
      </c>
      <c r="E1806" s="43">
        <v>38326</v>
      </c>
      <c r="F1806" s="44">
        <v>94505751</v>
      </c>
      <c r="G1806" s="1" t="str">
        <f>IFERROR(IF(ventas_b_mes684[[#This Row],[CUIT]]="","-",VLOOKUP(ventas_b_mes684[[#This Row],[CUIT]],Lista_CUIT[#All],2,0)),"CUIT NO CARGADO")</f>
        <v>CUIT NO CARGADO</v>
      </c>
      <c r="H1806" s="64">
        <v>6471.07</v>
      </c>
      <c r="I1806" s="64">
        <f>ventas_b_mes684[[#This Row],[IMPORTE NETO]]*0.21</f>
        <v>1358.9246999999998</v>
      </c>
      <c r="J1806" s="64"/>
      <c r="K1806" s="64"/>
      <c r="L1806" s="64">
        <f>SUM(ventas_b_mes684[[#This Row],[IMPORTE NETO]:[EXENTO]])</f>
        <v>7829.9946999999993</v>
      </c>
      <c r="M1806" s="59"/>
    </row>
    <row r="1807" spans="2:13">
      <c r="B1807" s="40" t="s">
        <v>2318</v>
      </c>
      <c r="C1807" s="41">
        <v>6</v>
      </c>
      <c r="D1807" s="42">
        <v>13</v>
      </c>
      <c r="E1807" s="43">
        <v>32575</v>
      </c>
      <c r="F1807" s="44">
        <v>32411291</v>
      </c>
      <c r="G1807" s="1" t="str">
        <f>IFERROR(IF(ventas_b_mes684[[#This Row],[CUIT]]="","-",VLOOKUP(ventas_b_mes684[[#This Row],[CUIT]],Lista_CUIT[#All],2,0)),"CUIT NO CARGADO")</f>
        <v>CUIT NO CARGADO</v>
      </c>
      <c r="H1807" s="64">
        <v>116155.08</v>
      </c>
      <c r="I1807" s="64">
        <f>ventas_b_mes684[[#This Row],[IMPORTE NETO]]*0.21</f>
        <v>24392.566800000001</v>
      </c>
      <c r="J1807" s="64"/>
      <c r="K1807" s="64"/>
      <c r="L1807" s="64">
        <f>SUM(ventas_b_mes684[[#This Row],[IMPORTE NETO]:[EXENTO]])</f>
        <v>140547.64679999999</v>
      </c>
      <c r="M1807" s="59"/>
    </row>
    <row r="1808" spans="2:13">
      <c r="B1808" s="40" t="s">
        <v>2318</v>
      </c>
      <c r="C1808" s="41">
        <v>6</v>
      </c>
      <c r="D1808" s="42">
        <v>11</v>
      </c>
      <c r="E1808" s="43">
        <v>38304</v>
      </c>
      <c r="F1808" s="44">
        <v>94505751</v>
      </c>
      <c r="G1808" s="1" t="str">
        <f>IFERROR(IF(ventas_b_mes684[[#This Row],[CUIT]]="","-",VLOOKUP(ventas_b_mes684[[#This Row],[CUIT]],Lista_CUIT[#All],2,0)),"CUIT NO CARGADO")</f>
        <v>CUIT NO CARGADO</v>
      </c>
      <c r="H1808" s="64">
        <v>20661.16</v>
      </c>
      <c r="I1808" s="64">
        <f>ventas_b_mes684[[#This Row],[IMPORTE NETO]]*0.21</f>
        <v>4338.8436000000002</v>
      </c>
      <c r="J1808" s="64"/>
      <c r="K1808" s="64"/>
      <c r="L1808" s="64">
        <f>SUM(ventas_b_mes684[[#This Row],[IMPORTE NETO]:[EXENTO]])</f>
        <v>25000.0036</v>
      </c>
      <c r="M1808" s="59"/>
    </row>
    <row r="1809" spans="2:13">
      <c r="B1809" s="40" t="s">
        <v>2318</v>
      </c>
      <c r="C1809" s="41">
        <v>6</v>
      </c>
      <c r="D1809" s="42">
        <v>11</v>
      </c>
      <c r="E1809" s="43">
        <v>38301</v>
      </c>
      <c r="F1809" s="44">
        <v>43744587</v>
      </c>
      <c r="G1809" s="1" t="str">
        <f>IFERROR(IF(ventas_b_mes684[[#This Row],[CUIT]]="","-",VLOOKUP(ventas_b_mes684[[#This Row],[CUIT]],Lista_CUIT[#All],2,0)),"CUIT NO CARGADO")</f>
        <v>CUIT NO CARGADO</v>
      </c>
      <c r="H1809" s="64">
        <v>20661.16</v>
      </c>
      <c r="I1809" s="64">
        <f>ventas_b_mes684[[#This Row],[IMPORTE NETO]]*0.21</f>
        <v>4338.8436000000002</v>
      </c>
      <c r="J1809" s="64"/>
      <c r="K1809" s="64"/>
      <c r="L1809" s="64">
        <f>SUM(ventas_b_mes684[[#This Row],[IMPORTE NETO]:[EXENTO]])</f>
        <v>25000.0036</v>
      </c>
      <c r="M1809" s="59"/>
    </row>
    <row r="1810" spans="2:13">
      <c r="B1810" s="40" t="s">
        <v>2318</v>
      </c>
      <c r="C1810" s="41">
        <v>6</v>
      </c>
      <c r="D1810" s="42">
        <v>13</v>
      </c>
      <c r="E1810" s="43">
        <v>32573</v>
      </c>
      <c r="F1810" s="44">
        <v>7894561233</v>
      </c>
      <c r="G1810" s="1" t="str">
        <f>IFERROR(IF(ventas_b_mes684[[#This Row],[CUIT]]="","-",VLOOKUP(ventas_b_mes684[[#This Row],[CUIT]],Lista_CUIT[#All],2,0)),"CUIT NO CARGADO")</f>
        <v>CUIT NO CARGADO</v>
      </c>
      <c r="H1810" s="64">
        <v>16942.150000000001</v>
      </c>
      <c r="I1810" s="64">
        <f>ventas_b_mes684[[#This Row],[IMPORTE NETO]]*0.21</f>
        <v>3557.8515000000002</v>
      </c>
      <c r="J1810" s="64"/>
      <c r="K1810" s="64"/>
      <c r="L1810" s="64">
        <f>SUM(ventas_b_mes684[[#This Row],[IMPORTE NETO]:[EXENTO]])</f>
        <v>20500.001500000002</v>
      </c>
      <c r="M1810" s="59"/>
    </row>
    <row r="1811" spans="2:13">
      <c r="B1811" s="40" t="s">
        <v>2318</v>
      </c>
      <c r="C1811" s="41">
        <v>6</v>
      </c>
      <c r="D1811" s="42">
        <v>10</v>
      </c>
      <c r="E1811" s="43">
        <v>54630</v>
      </c>
      <c r="F1811" s="44">
        <v>26795731</v>
      </c>
      <c r="G1811" s="1" t="str">
        <f>IFERROR(IF(ventas_b_mes684[[#This Row],[CUIT]]="","-",VLOOKUP(ventas_b_mes684[[#This Row],[CUIT]],Lista_CUIT[#All],2,0)),"CUIT NO CARGADO")</f>
        <v>CUIT NO CARGADO</v>
      </c>
      <c r="H1811" s="64">
        <v>13471.07</v>
      </c>
      <c r="I1811" s="64">
        <f>ventas_b_mes684[[#This Row],[IMPORTE NETO]]*0.21</f>
        <v>2828.9247</v>
      </c>
      <c r="J1811" s="64"/>
      <c r="K1811" s="64"/>
      <c r="L1811" s="64">
        <f>SUM(ventas_b_mes684[[#This Row],[IMPORTE NETO]:[EXENTO]])</f>
        <v>16299.994699999999</v>
      </c>
      <c r="M1811" s="59"/>
    </row>
    <row r="1812" spans="2:13">
      <c r="B1812" s="40" t="s">
        <v>2318</v>
      </c>
      <c r="C1812" s="41">
        <v>6</v>
      </c>
      <c r="D1812" s="42">
        <v>11</v>
      </c>
      <c r="E1812" s="43">
        <v>38320</v>
      </c>
      <c r="F1812" s="44">
        <v>5193092</v>
      </c>
      <c r="G1812" s="1" t="str">
        <f>IFERROR(IF(ventas_b_mes684[[#This Row],[CUIT]]="","-",VLOOKUP(ventas_b_mes684[[#This Row],[CUIT]],Lista_CUIT[#All],2,0)),"CUIT NO CARGADO")</f>
        <v>CUIT NO CARGADO</v>
      </c>
      <c r="H1812" s="64">
        <v>12892.56</v>
      </c>
      <c r="I1812" s="64">
        <f>ventas_b_mes684[[#This Row],[IMPORTE NETO]]*0.21</f>
        <v>2707.4375999999997</v>
      </c>
      <c r="J1812" s="64"/>
      <c r="K1812" s="64"/>
      <c r="L1812" s="64">
        <f>SUM(ventas_b_mes684[[#This Row],[IMPORTE NETO]:[EXENTO]])</f>
        <v>15599.997599999999</v>
      </c>
      <c r="M1812" s="59"/>
    </row>
    <row r="1813" spans="2:13">
      <c r="B1813" s="40" t="s">
        <v>2318</v>
      </c>
      <c r="C1813" s="41">
        <v>6</v>
      </c>
      <c r="D1813" s="42">
        <v>12</v>
      </c>
      <c r="E1813" s="43">
        <v>29805</v>
      </c>
      <c r="F1813" s="44">
        <v>36941750</v>
      </c>
      <c r="G1813" s="1" t="str">
        <f>IFERROR(IF(ventas_b_mes684[[#This Row],[CUIT]]="","-",VLOOKUP(ventas_b_mes684[[#This Row],[CUIT]],Lista_CUIT[#All],2,0)),"CUIT NO CARGADO")</f>
        <v>CUIT NO CARGADO</v>
      </c>
      <c r="H1813" s="64">
        <v>27185.98</v>
      </c>
      <c r="I1813" s="64">
        <f>ventas_b_mes684[[#This Row],[IMPORTE NETO]]*0.21</f>
        <v>5709.0558000000001</v>
      </c>
      <c r="J1813" s="64"/>
      <c r="K1813" s="64"/>
      <c r="L1813" s="64">
        <f>SUM(ventas_b_mes684[[#This Row],[IMPORTE NETO]:[EXENTO]])</f>
        <v>32895.035799999998</v>
      </c>
      <c r="M1813" s="59"/>
    </row>
    <row r="1814" spans="2:13">
      <c r="B1814" s="40" t="s">
        <v>2318</v>
      </c>
      <c r="C1814" s="41">
        <v>6</v>
      </c>
      <c r="D1814" s="42">
        <v>10</v>
      </c>
      <c r="E1814" s="43">
        <v>54634</v>
      </c>
      <c r="F1814" s="44">
        <v>34286200</v>
      </c>
      <c r="G1814" s="1" t="str">
        <f>IFERROR(IF(ventas_b_mes684[[#This Row],[CUIT]]="","-",VLOOKUP(ventas_b_mes684[[#This Row],[CUIT]],Lista_CUIT[#All],2,0)),"CUIT NO CARGADO")</f>
        <v>CUIT NO CARGADO</v>
      </c>
      <c r="H1814" s="64">
        <v>6917.36</v>
      </c>
      <c r="I1814" s="64">
        <f>ventas_b_mes684[[#This Row],[IMPORTE NETO]]*0.21</f>
        <v>1452.6455999999998</v>
      </c>
      <c r="J1814" s="64"/>
      <c r="K1814" s="64"/>
      <c r="L1814" s="64">
        <f>SUM(ventas_b_mes684[[#This Row],[IMPORTE NETO]:[EXENTO]])</f>
        <v>8370.0056000000004</v>
      </c>
      <c r="M1814" s="59"/>
    </row>
    <row r="1815" spans="2:13">
      <c r="B1815" s="40" t="s">
        <v>2318</v>
      </c>
      <c r="C1815" s="41">
        <v>6</v>
      </c>
      <c r="D1815" s="42">
        <v>12</v>
      </c>
      <c r="E1815" s="43">
        <v>29801</v>
      </c>
      <c r="F1815" s="44">
        <v>93482547</v>
      </c>
      <c r="G1815" s="1" t="str">
        <f>IFERROR(IF(ventas_b_mes684[[#This Row],[CUIT]]="","-",VLOOKUP(ventas_b_mes684[[#This Row],[CUIT]],Lista_CUIT[#All],2,0)),"CUIT NO CARGADO")</f>
        <v>CUIT NO CARGADO</v>
      </c>
      <c r="H1815" s="64">
        <v>45165.29</v>
      </c>
      <c r="I1815" s="64">
        <f>ventas_b_mes684[[#This Row],[IMPORTE NETO]]*0.21</f>
        <v>9484.7109</v>
      </c>
      <c r="J1815" s="64"/>
      <c r="K1815" s="64"/>
      <c r="L1815" s="64">
        <f>SUM(ventas_b_mes684[[#This Row],[IMPORTE NETO]:[EXENTO]])</f>
        <v>54650.000899999999</v>
      </c>
      <c r="M1815" s="59"/>
    </row>
    <row r="1816" spans="2:13">
      <c r="B1816" s="40" t="s">
        <v>2318</v>
      </c>
      <c r="C1816" s="41">
        <v>6</v>
      </c>
      <c r="D1816" s="42">
        <v>11</v>
      </c>
      <c r="E1816" s="43">
        <v>38302</v>
      </c>
      <c r="F1816" s="44">
        <v>21476196</v>
      </c>
      <c r="G1816" s="1" t="str">
        <f>IFERROR(IF(ventas_b_mes684[[#This Row],[CUIT]]="","-",VLOOKUP(ventas_b_mes684[[#This Row],[CUIT]],Lista_CUIT[#All],2,0)),"CUIT NO CARGADO")</f>
        <v>CUIT NO CARGADO</v>
      </c>
      <c r="H1816" s="64">
        <v>20661.16</v>
      </c>
      <c r="I1816" s="64">
        <f>ventas_b_mes684[[#This Row],[IMPORTE NETO]]*0.21</f>
        <v>4338.8436000000002</v>
      </c>
      <c r="J1816" s="64"/>
      <c r="K1816" s="64"/>
      <c r="L1816" s="64">
        <f>SUM(ventas_b_mes684[[#This Row],[IMPORTE NETO]:[EXENTO]])</f>
        <v>25000.0036</v>
      </c>
      <c r="M1816" s="59"/>
    </row>
    <row r="1817" spans="2:13">
      <c r="B1817" s="40" t="s">
        <v>2318</v>
      </c>
      <c r="C1817" s="41">
        <v>6</v>
      </c>
      <c r="D1817" s="42">
        <v>13</v>
      </c>
      <c r="E1817" s="43">
        <v>32576</v>
      </c>
      <c r="F1817" s="44">
        <v>46646397</v>
      </c>
      <c r="G1817" s="1" t="str">
        <f>IFERROR(IF(ventas_b_mes684[[#This Row],[CUIT]]="","-",VLOOKUP(ventas_b_mes684[[#This Row],[CUIT]],Lista_CUIT[#All],2,0)),"CUIT NO CARGADO")</f>
        <v>CUIT NO CARGADO</v>
      </c>
      <c r="H1817" s="64">
        <v>20661.16</v>
      </c>
      <c r="I1817" s="64">
        <f>ventas_b_mes684[[#This Row],[IMPORTE NETO]]*0.21</f>
        <v>4338.8436000000002</v>
      </c>
      <c r="J1817" s="64"/>
      <c r="K1817" s="64"/>
      <c r="L1817" s="64">
        <f>SUM(ventas_b_mes684[[#This Row],[IMPORTE NETO]:[EXENTO]])</f>
        <v>25000.0036</v>
      </c>
      <c r="M1817" s="59"/>
    </row>
    <row r="1818" spans="2:13">
      <c r="B1818" s="40" t="s">
        <v>2318</v>
      </c>
      <c r="C1818" s="41">
        <v>6</v>
      </c>
      <c r="D1818" s="42">
        <v>13</v>
      </c>
      <c r="E1818" s="43">
        <v>32571</v>
      </c>
      <c r="F1818" s="44">
        <v>27143137746</v>
      </c>
      <c r="G1818" s="1" t="str">
        <f>IFERROR(IF(ventas_b_mes684[[#This Row],[CUIT]]="","-",VLOOKUP(ventas_b_mes684[[#This Row],[CUIT]],Lista_CUIT[#All],2,0)),"CUIT NO CARGADO")</f>
        <v>BOTTERO GRACIELA BEATRIZ</v>
      </c>
      <c r="H1818" s="64">
        <v>43801.65</v>
      </c>
      <c r="I1818" s="64">
        <f>ventas_b_mes684[[#This Row],[IMPORTE NETO]]*0.21</f>
        <v>9198.3464999999997</v>
      </c>
      <c r="J1818" s="64"/>
      <c r="K1818" s="64"/>
      <c r="L1818" s="64">
        <f>SUM(ventas_b_mes684[[#This Row],[IMPORTE NETO]:[EXENTO]])</f>
        <v>52999.996500000001</v>
      </c>
      <c r="M1818" s="59"/>
    </row>
    <row r="1819" spans="2:13">
      <c r="B1819" s="40" t="s">
        <v>2318</v>
      </c>
      <c r="C1819" s="41">
        <v>6</v>
      </c>
      <c r="D1819" s="42">
        <v>11</v>
      </c>
      <c r="E1819" s="43">
        <v>38323</v>
      </c>
      <c r="F1819" s="44">
        <v>25698741</v>
      </c>
      <c r="G1819" s="1" t="str">
        <f>IFERROR(IF(ventas_b_mes684[[#This Row],[CUIT]]="","-",VLOOKUP(ventas_b_mes684[[#This Row],[CUIT]],Lista_CUIT[#All],2,0)),"CUIT NO CARGADO")</f>
        <v>CUIT NO CARGADO</v>
      </c>
      <c r="H1819" s="64">
        <v>9752.07</v>
      </c>
      <c r="I1819" s="64">
        <f>ventas_b_mes684[[#This Row],[IMPORTE NETO]]*0.21</f>
        <v>2047.9346999999998</v>
      </c>
      <c r="J1819" s="64"/>
      <c r="K1819" s="64"/>
      <c r="L1819" s="64">
        <f>SUM(ventas_b_mes684[[#This Row],[IMPORTE NETO]:[EXENTO]])</f>
        <v>11800.0047</v>
      </c>
      <c r="M1819" s="59"/>
    </row>
    <row r="1820" spans="2:13">
      <c r="B1820" s="40" t="s">
        <v>2318</v>
      </c>
      <c r="C1820" s="41">
        <v>6</v>
      </c>
      <c r="D1820" s="42">
        <v>15</v>
      </c>
      <c r="E1820" s="43">
        <v>13404</v>
      </c>
      <c r="F1820" s="44">
        <v>14837628</v>
      </c>
      <c r="G1820" s="1" t="str">
        <f>IFERROR(IF(ventas_b_mes684[[#This Row],[CUIT]]="","-",VLOOKUP(ventas_b_mes684[[#This Row],[CUIT]],Lista_CUIT[#All],2,0)),"CUIT NO CARGADO")</f>
        <v>CUIT NO CARGADO</v>
      </c>
      <c r="H1820" s="64">
        <v>27371.9</v>
      </c>
      <c r="I1820" s="64">
        <f>ventas_b_mes684[[#This Row],[IMPORTE NETO]]*0.21</f>
        <v>5748.0990000000002</v>
      </c>
      <c r="J1820" s="64"/>
      <c r="K1820" s="64"/>
      <c r="L1820" s="64">
        <f>SUM(ventas_b_mes684[[#This Row],[IMPORTE NETO]:[EXENTO]])</f>
        <v>33119.999000000003</v>
      </c>
      <c r="M1820" s="59"/>
    </row>
    <row r="1821" spans="2:13">
      <c r="B1821" s="40" t="s">
        <v>2318</v>
      </c>
      <c r="C1821" s="41">
        <v>6</v>
      </c>
      <c r="D1821" s="42">
        <v>10</v>
      </c>
      <c r="E1821" s="43">
        <v>54617</v>
      </c>
      <c r="F1821" s="44">
        <v>35068260</v>
      </c>
      <c r="G1821" s="1" t="str">
        <f>IFERROR(IF(ventas_b_mes684[[#This Row],[CUIT]]="","-",VLOOKUP(ventas_b_mes684[[#This Row],[CUIT]],Lista_CUIT[#All],2,0)),"CUIT NO CARGADO")</f>
        <v>CUIT NO CARGADO</v>
      </c>
      <c r="H1821" s="64">
        <v>20661.16</v>
      </c>
      <c r="I1821" s="64">
        <f>ventas_b_mes684[[#This Row],[IMPORTE NETO]]*0.21</f>
        <v>4338.8436000000002</v>
      </c>
      <c r="J1821" s="64"/>
      <c r="K1821" s="64"/>
      <c r="L1821" s="64">
        <f>SUM(ventas_b_mes684[[#This Row],[IMPORTE NETO]:[EXENTO]])</f>
        <v>25000.0036</v>
      </c>
      <c r="M1821" s="59"/>
    </row>
    <row r="1822" spans="2:13">
      <c r="B1822" s="40" t="s">
        <v>2318</v>
      </c>
      <c r="C1822" s="41">
        <v>6</v>
      </c>
      <c r="D1822" s="42">
        <v>10</v>
      </c>
      <c r="E1822" s="43">
        <v>54629</v>
      </c>
      <c r="F1822" s="44">
        <v>12932076</v>
      </c>
      <c r="G1822" s="1" t="str">
        <f>IFERROR(IF(ventas_b_mes684[[#This Row],[CUIT]]="","-",VLOOKUP(ventas_b_mes684[[#This Row],[CUIT]],Lista_CUIT[#All],2,0)),"CUIT NO CARGADO")</f>
        <v>CUIT NO CARGADO</v>
      </c>
      <c r="H1822" s="64">
        <v>117818.16</v>
      </c>
      <c r="I1822" s="64">
        <f>ventas_b_mes684[[#This Row],[IMPORTE NETO]]*0.21</f>
        <v>24741.813600000001</v>
      </c>
      <c r="J1822" s="64"/>
      <c r="K1822" s="64"/>
      <c r="L1822" s="64">
        <f>SUM(ventas_b_mes684[[#This Row],[IMPORTE NETO]:[EXENTO]])</f>
        <v>142559.9736</v>
      </c>
      <c r="M1822" s="59"/>
    </row>
    <row r="1823" spans="2:13">
      <c r="B1823" s="40" t="s">
        <v>2318</v>
      </c>
      <c r="C1823" s="41">
        <v>6</v>
      </c>
      <c r="D1823" s="42">
        <v>11</v>
      </c>
      <c r="E1823" s="43">
        <v>38316</v>
      </c>
      <c r="F1823" s="44">
        <v>6436196</v>
      </c>
      <c r="G1823" s="1" t="str">
        <f>IFERROR(IF(ventas_b_mes684[[#This Row],[CUIT]]="","-",VLOOKUP(ventas_b_mes684[[#This Row],[CUIT]],Lista_CUIT[#All],2,0)),"CUIT NO CARGADO")</f>
        <v>CUIT NO CARGADO</v>
      </c>
      <c r="H1823" s="64">
        <v>16363.64</v>
      </c>
      <c r="I1823" s="64">
        <f>ventas_b_mes684[[#This Row],[IMPORTE NETO]]*0.21</f>
        <v>3436.3643999999999</v>
      </c>
      <c r="J1823" s="64"/>
      <c r="K1823" s="64"/>
      <c r="L1823" s="64">
        <f>SUM(ventas_b_mes684[[#This Row],[IMPORTE NETO]:[EXENTO]])</f>
        <v>19800.004399999998</v>
      </c>
      <c r="M1823" s="59"/>
    </row>
    <row r="1824" spans="2:13">
      <c r="B1824" s="40" t="s">
        <v>2318</v>
      </c>
      <c r="C1824" s="41">
        <v>6</v>
      </c>
      <c r="D1824" s="42">
        <v>12</v>
      </c>
      <c r="E1824" s="43">
        <v>29812</v>
      </c>
      <c r="F1824" s="44">
        <v>32658974</v>
      </c>
      <c r="G1824" s="1" t="str">
        <f>IFERROR(IF(ventas_b_mes684[[#This Row],[CUIT]]="","-",VLOOKUP(ventas_b_mes684[[#This Row],[CUIT]],Lista_CUIT[#All],2,0)),"CUIT NO CARGADO")</f>
        <v>CUIT NO CARGADO</v>
      </c>
      <c r="H1824" s="64">
        <v>8264.4599999999991</v>
      </c>
      <c r="I1824" s="64">
        <f>ventas_b_mes684[[#This Row],[IMPORTE NETO]]*0.21</f>
        <v>1735.5365999999997</v>
      </c>
      <c r="J1824" s="64"/>
      <c r="K1824" s="64"/>
      <c r="L1824" s="64">
        <f>SUM(ventas_b_mes684[[#This Row],[IMPORTE NETO]:[EXENTO]])</f>
        <v>9999.9965999999986</v>
      </c>
      <c r="M1824" s="59"/>
    </row>
    <row r="1825" spans="2:13">
      <c r="B1825" s="40" t="s">
        <v>2318</v>
      </c>
      <c r="C1825" s="41">
        <v>6</v>
      </c>
      <c r="D1825" s="42">
        <v>15</v>
      </c>
      <c r="E1825" s="43">
        <v>13411</v>
      </c>
      <c r="F1825" s="44">
        <v>29954638</v>
      </c>
      <c r="G1825" s="1" t="str">
        <f>IFERROR(IF(ventas_b_mes684[[#This Row],[CUIT]]="","-",VLOOKUP(ventas_b_mes684[[#This Row],[CUIT]],Lista_CUIT[#All],2,0)),"CUIT NO CARGADO")</f>
        <v>CUIT NO CARGADO</v>
      </c>
      <c r="H1825" s="64">
        <v>17190.080000000002</v>
      </c>
      <c r="I1825" s="64">
        <f>ventas_b_mes684[[#This Row],[IMPORTE NETO]]*0.21</f>
        <v>3609.9168000000004</v>
      </c>
      <c r="J1825" s="64"/>
      <c r="K1825" s="64"/>
      <c r="L1825" s="64">
        <f>SUM(ventas_b_mes684[[#This Row],[IMPORTE NETO]:[EXENTO]])</f>
        <v>20799.996800000001</v>
      </c>
      <c r="M1825" s="59"/>
    </row>
    <row r="1826" spans="2:13">
      <c r="B1826" s="40" t="s">
        <v>2318</v>
      </c>
      <c r="C1826" s="41">
        <v>6</v>
      </c>
      <c r="D1826" s="42">
        <v>15</v>
      </c>
      <c r="E1826" s="43">
        <v>13406</v>
      </c>
      <c r="F1826" s="44">
        <v>22993607</v>
      </c>
      <c r="G1826" s="1" t="str">
        <f>IFERROR(IF(ventas_b_mes684[[#This Row],[CUIT]]="","-",VLOOKUP(ventas_b_mes684[[#This Row],[CUIT]],Lista_CUIT[#All],2,0)),"CUIT NO CARGADO")</f>
        <v>MONTENEGRO,LEONOR</v>
      </c>
      <c r="H1826" s="64">
        <v>31735.54</v>
      </c>
      <c r="I1826" s="64">
        <f>ventas_b_mes684[[#This Row],[IMPORTE NETO]]*0.21</f>
        <v>6664.4633999999996</v>
      </c>
      <c r="J1826" s="64"/>
      <c r="K1826" s="64"/>
      <c r="L1826" s="64">
        <f>SUM(ventas_b_mes684[[#This Row],[IMPORTE NETO]:[EXENTO]])</f>
        <v>38400.003400000001</v>
      </c>
      <c r="M1826" s="59"/>
    </row>
    <row r="1827" spans="2:13">
      <c r="B1827" s="40" t="s">
        <v>2318</v>
      </c>
      <c r="C1827" s="41">
        <v>6</v>
      </c>
      <c r="D1827" s="42">
        <v>13</v>
      </c>
      <c r="E1827" s="43">
        <v>32580</v>
      </c>
      <c r="F1827" s="44">
        <v>39761652</v>
      </c>
      <c r="G1827" s="1" t="str">
        <f>IFERROR(IF(ventas_b_mes684[[#This Row],[CUIT]]="","-",VLOOKUP(ventas_b_mes684[[#This Row],[CUIT]],Lista_CUIT[#All],2,0)),"CUIT NO CARGADO")</f>
        <v>CUIT NO CARGADO</v>
      </c>
      <c r="H1827" s="64">
        <v>4628.1000000000004</v>
      </c>
      <c r="I1827" s="64">
        <f>ventas_b_mes684[[#This Row],[IMPORTE NETO]]*0.21</f>
        <v>971.90100000000007</v>
      </c>
      <c r="J1827" s="64"/>
      <c r="K1827" s="64"/>
      <c r="L1827" s="64">
        <f>SUM(ventas_b_mes684[[#This Row],[IMPORTE NETO]:[EXENTO]])</f>
        <v>5600.0010000000002</v>
      </c>
      <c r="M1827" s="59"/>
    </row>
    <row r="1828" spans="2:13">
      <c r="B1828" s="40" t="s">
        <v>2318</v>
      </c>
      <c r="C1828" s="41">
        <v>6</v>
      </c>
      <c r="D1828" s="42">
        <v>15</v>
      </c>
      <c r="E1828" s="43">
        <v>13413</v>
      </c>
      <c r="F1828" s="44">
        <v>40144881</v>
      </c>
      <c r="G1828" s="1" t="str">
        <f>IFERROR(IF(ventas_b_mes684[[#This Row],[CUIT]]="","-",VLOOKUP(ventas_b_mes684[[#This Row],[CUIT]],Lista_CUIT[#All],2,0)),"CUIT NO CARGADO")</f>
        <v>CUIT NO CARGADO</v>
      </c>
      <c r="H1828" s="64">
        <v>29586.78</v>
      </c>
      <c r="I1828" s="64">
        <f>ventas_b_mes684[[#This Row],[IMPORTE NETO]]*0.21</f>
        <v>6213.2237999999998</v>
      </c>
      <c r="J1828" s="64"/>
      <c r="K1828" s="64"/>
      <c r="L1828" s="64">
        <f>SUM(ventas_b_mes684[[#This Row],[IMPORTE NETO]:[EXENTO]])</f>
        <v>35800.003799999999</v>
      </c>
      <c r="M1828" s="59"/>
    </row>
    <row r="1829" spans="2:13">
      <c r="B1829" s="40" t="s">
        <v>2318</v>
      </c>
      <c r="C1829" s="41">
        <v>6</v>
      </c>
      <c r="D1829" s="42">
        <v>13</v>
      </c>
      <c r="E1829" s="43">
        <v>32583</v>
      </c>
      <c r="F1829" s="44">
        <v>94527582</v>
      </c>
      <c r="G1829" s="1" t="str">
        <f>IFERROR(IF(ventas_b_mes684[[#This Row],[CUIT]]="","-",VLOOKUP(ventas_b_mes684[[#This Row],[CUIT]],Lista_CUIT[#All],2,0)),"CUIT NO CARGADO")</f>
        <v>CUIT NO CARGADO</v>
      </c>
      <c r="H1829" s="64">
        <v>2586.7800000000002</v>
      </c>
      <c r="I1829" s="64">
        <f>ventas_b_mes684[[#This Row],[IMPORTE NETO]]*0.21</f>
        <v>543.22379999999998</v>
      </c>
      <c r="J1829" s="64"/>
      <c r="K1829" s="64"/>
      <c r="L1829" s="64">
        <f>SUM(ventas_b_mes684[[#This Row],[IMPORTE NETO]:[EXENTO]])</f>
        <v>3130.0038000000004</v>
      </c>
      <c r="M1829" s="59"/>
    </row>
    <row r="1830" spans="2:13">
      <c r="B1830" s="40" t="s">
        <v>2318</v>
      </c>
      <c r="C1830" s="41">
        <v>6</v>
      </c>
      <c r="D1830" s="42">
        <v>10</v>
      </c>
      <c r="E1830" s="43">
        <v>54635</v>
      </c>
      <c r="F1830" s="44">
        <v>27027913</v>
      </c>
      <c r="G1830" s="1" t="str">
        <f>IFERROR(IF(ventas_b_mes684[[#This Row],[CUIT]]="","-",VLOOKUP(ventas_b_mes684[[#This Row],[CUIT]],Lista_CUIT[#All],2,0)),"CUIT NO CARGADO")</f>
        <v>CUIT NO CARGADO</v>
      </c>
      <c r="H1830" s="64">
        <v>21198.35</v>
      </c>
      <c r="I1830" s="64">
        <f>ventas_b_mes684[[#This Row],[IMPORTE NETO]]*0.21</f>
        <v>4451.6534999999994</v>
      </c>
      <c r="J1830" s="64"/>
      <c r="K1830" s="64"/>
      <c r="L1830" s="64">
        <f>SUM(ventas_b_mes684[[#This Row],[IMPORTE NETO]:[EXENTO]])</f>
        <v>25650.003499999999</v>
      </c>
      <c r="M1830" s="59"/>
    </row>
    <row r="1831" spans="2:13">
      <c r="B1831" s="40" t="s">
        <v>2318</v>
      </c>
      <c r="C1831" s="41">
        <v>6</v>
      </c>
      <c r="D1831" s="42">
        <v>10</v>
      </c>
      <c r="E1831" s="43">
        <v>54619</v>
      </c>
      <c r="F1831" s="44">
        <v>33042822</v>
      </c>
      <c r="G1831" s="1" t="str">
        <f>IFERROR(IF(ventas_b_mes684[[#This Row],[CUIT]]="","-",VLOOKUP(ventas_b_mes684[[#This Row],[CUIT]],Lista_CUIT[#All],2,0)),"CUIT NO CARGADO")</f>
        <v>CUIT NO CARGADO</v>
      </c>
      <c r="H1831" s="64">
        <v>32355.37</v>
      </c>
      <c r="I1831" s="64">
        <f>ventas_b_mes684[[#This Row],[IMPORTE NETO]]*0.21</f>
        <v>6794.6276999999991</v>
      </c>
      <c r="J1831" s="64"/>
      <c r="K1831" s="64"/>
      <c r="L1831" s="64">
        <f>SUM(ventas_b_mes684[[#This Row],[IMPORTE NETO]:[EXENTO]])</f>
        <v>39149.9977</v>
      </c>
      <c r="M1831" s="59"/>
    </row>
    <row r="1832" spans="2:13">
      <c r="B1832" s="40" t="s">
        <v>2318</v>
      </c>
      <c r="C1832" s="41">
        <v>6</v>
      </c>
      <c r="D1832" s="42">
        <v>10</v>
      </c>
      <c r="E1832" s="43">
        <v>54625</v>
      </c>
      <c r="F1832" s="44">
        <v>34286200</v>
      </c>
      <c r="G1832" s="1" t="str">
        <f>IFERROR(IF(ventas_b_mes684[[#This Row],[CUIT]]="","-",VLOOKUP(ventas_b_mes684[[#This Row],[CUIT]],Lista_CUIT[#All],2,0)),"CUIT NO CARGADO")</f>
        <v>CUIT NO CARGADO</v>
      </c>
      <c r="H1832" s="64">
        <v>10785.12</v>
      </c>
      <c r="I1832" s="64">
        <f>ventas_b_mes684[[#This Row],[IMPORTE NETO]]*0.21</f>
        <v>2264.8751999999999</v>
      </c>
      <c r="J1832" s="64"/>
      <c r="K1832" s="64"/>
      <c r="L1832" s="64">
        <f>SUM(ventas_b_mes684[[#This Row],[IMPORTE NETO]:[EXENTO]])</f>
        <v>13049.995200000001</v>
      </c>
      <c r="M1832" s="59"/>
    </row>
    <row r="1833" spans="2:13">
      <c r="B1833" s="40" t="s">
        <v>2318</v>
      </c>
      <c r="C1833" s="41">
        <v>6</v>
      </c>
      <c r="D1833" s="42">
        <v>10</v>
      </c>
      <c r="E1833" s="43">
        <v>54624</v>
      </c>
      <c r="F1833" s="44">
        <v>21730415</v>
      </c>
      <c r="G1833" s="1" t="str">
        <f>IFERROR(IF(ventas_b_mes684[[#This Row],[CUIT]]="","-",VLOOKUP(ventas_b_mes684[[#This Row],[CUIT]],Lista_CUIT[#All],2,0)),"CUIT NO CARGADO")</f>
        <v>CUIT NO CARGADO</v>
      </c>
      <c r="H1833" s="64">
        <v>62330.58</v>
      </c>
      <c r="I1833" s="64">
        <f>ventas_b_mes684[[#This Row],[IMPORTE NETO]]*0.21</f>
        <v>13089.4218</v>
      </c>
      <c r="J1833" s="64"/>
      <c r="K1833" s="64"/>
      <c r="L1833" s="64">
        <f>SUM(ventas_b_mes684[[#This Row],[IMPORTE NETO]:[EXENTO]])</f>
        <v>75420.001799999998</v>
      </c>
      <c r="M1833" s="59"/>
    </row>
    <row r="1834" spans="2:13">
      <c r="B1834" s="40" t="s">
        <v>2318</v>
      </c>
      <c r="C1834" s="41">
        <v>6</v>
      </c>
      <c r="D1834" s="42">
        <v>10</v>
      </c>
      <c r="E1834" s="43">
        <v>54632</v>
      </c>
      <c r="F1834" s="44">
        <v>22862164</v>
      </c>
      <c r="G1834" s="1" t="str">
        <f>IFERROR(IF(ventas_b_mes684[[#This Row],[CUIT]]="","-",VLOOKUP(ventas_b_mes684[[#This Row],[CUIT]],Lista_CUIT[#All],2,0)),"CUIT NO CARGADO")</f>
        <v>CUIT NO CARGADO</v>
      </c>
      <c r="H1834" s="64">
        <v>27466.94</v>
      </c>
      <c r="I1834" s="64">
        <f>ventas_b_mes684[[#This Row],[IMPORTE NETO]]*0.21</f>
        <v>5768.0573999999997</v>
      </c>
      <c r="J1834" s="64"/>
      <c r="K1834" s="64"/>
      <c r="L1834" s="64">
        <f>SUM(ventas_b_mes684[[#This Row],[IMPORTE NETO]:[EXENTO]])</f>
        <v>33234.9974</v>
      </c>
      <c r="M1834" s="59"/>
    </row>
    <row r="1835" spans="2:13">
      <c r="B1835" s="40" t="s">
        <v>2318</v>
      </c>
      <c r="C1835" s="41">
        <v>6</v>
      </c>
      <c r="D1835" s="42">
        <v>11</v>
      </c>
      <c r="E1835" s="43">
        <v>38324</v>
      </c>
      <c r="F1835" s="44">
        <v>13256715</v>
      </c>
      <c r="G1835" s="1" t="str">
        <f>IFERROR(IF(ventas_b_mes684[[#This Row],[CUIT]]="","-",VLOOKUP(ventas_b_mes684[[#This Row],[CUIT]],Lista_CUIT[#All],2,0)),"CUIT NO CARGADO")</f>
        <v>CUIT NO CARGADO</v>
      </c>
      <c r="H1835" s="64">
        <v>63363.64</v>
      </c>
      <c r="I1835" s="64">
        <f>ventas_b_mes684[[#This Row],[IMPORTE NETO]]*0.21</f>
        <v>13306.364399999999</v>
      </c>
      <c r="J1835" s="64"/>
      <c r="K1835" s="64"/>
      <c r="L1835" s="64">
        <f>SUM(ventas_b_mes684[[#This Row],[IMPORTE NETO]:[EXENTO]])</f>
        <v>76670.004400000005</v>
      </c>
      <c r="M1835" s="59"/>
    </row>
    <row r="1836" spans="2:13">
      <c r="B1836" s="40" t="s">
        <v>2318</v>
      </c>
      <c r="C1836" s="41">
        <v>6</v>
      </c>
      <c r="D1836" s="42">
        <v>11</v>
      </c>
      <c r="E1836" s="43">
        <v>38321</v>
      </c>
      <c r="F1836" s="44">
        <v>25144360</v>
      </c>
      <c r="G1836" s="1" t="str">
        <f>IFERROR(IF(ventas_b_mes684[[#This Row],[CUIT]]="","-",VLOOKUP(ventas_b_mes684[[#This Row],[CUIT]],Lista_CUIT[#All],2,0)),"CUIT NO CARGADO")</f>
        <v>CUIT NO CARGADO</v>
      </c>
      <c r="H1836" s="64">
        <v>34140.519999999997</v>
      </c>
      <c r="I1836" s="64">
        <f>ventas_b_mes684[[#This Row],[IMPORTE NETO]]*0.21</f>
        <v>7169.5091999999995</v>
      </c>
      <c r="J1836" s="64"/>
      <c r="K1836" s="64"/>
      <c r="L1836" s="64">
        <f>SUM(ventas_b_mes684[[#This Row],[IMPORTE NETO]:[EXENTO]])</f>
        <v>41310.029199999997</v>
      </c>
      <c r="M1836" s="59"/>
    </row>
    <row r="1837" spans="2:13">
      <c r="B1837" s="40" t="s">
        <v>2318</v>
      </c>
      <c r="C1837" s="41">
        <v>6</v>
      </c>
      <c r="D1837" s="42">
        <v>11</v>
      </c>
      <c r="E1837" s="43">
        <v>38310</v>
      </c>
      <c r="F1837" s="44">
        <v>95937956</v>
      </c>
      <c r="G1837" s="1" t="str">
        <f>IFERROR(IF(ventas_b_mes684[[#This Row],[CUIT]]="","-",VLOOKUP(ventas_b_mes684[[#This Row],[CUIT]],Lista_CUIT[#All],2,0)),"CUIT NO CARGADO")</f>
        <v>CUIT NO CARGADO</v>
      </c>
      <c r="H1837" s="64">
        <v>14380.17</v>
      </c>
      <c r="I1837" s="64">
        <f>ventas_b_mes684[[#This Row],[IMPORTE NETO]]*0.21</f>
        <v>3019.8357000000001</v>
      </c>
      <c r="J1837" s="64"/>
      <c r="K1837" s="64"/>
      <c r="L1837" s="64">
        <f>SUM(ventas_b_mes684[[#This Row],[IMPORTE NETO]:[EXENTO]])</f>
        <v>17400.005700000002</v>
      </c>
      <c r="M1837" s="59"/>
    </row>
    <row r="1838" spans="2:13">
      <c r="B1838" s="40" t="s">
        <v>2318</v>
      </c>
      <c r="C1838" s="41">
        <v>6</v>
      </c>
      <c r="D1838" s="42">
        <v>11</v>
      </c>
      <c r="E1838" s="43">
        <v>38311</v>
      </c>
      <c r="F1838" s="44">
        <v>33935151</v>
      </c>
      <c r="G1838" s="1" t="str">
        <f>IFERROR(IF(ventas_b_mes684[[#This Row],[CUIT]]="","-",VLOOKUP(ventas_b_mes684[[#This Row],[CUIT]],Lista_CUIT[#All],2,0)),"CUIT NO CARGADO")</f>
        <v>CUIT NO CARGADO</v>
      </c>
      <c r="H1838" s="64">
        <v>1041.32</v>
      </c>
      <c r="I1838" s="64">
        <f>ventas_b_mes684[[#This Row],[IMPORTE NETO]]*0.21</f>
        <v>218.67719999999997</v>
      </c>
      <c r="J1838" s="64"/>
      <c r="K1838" s="64"/>
      <c r="L1838" s="64">
        <f>SUM(ventas_b_mes684[[#This Row],[IMPORTE NETO]:[EXENTO]])</f>
        <v>1259.9971999999998</v>
      </c>
      <c r="M1838" s="59"/>
    </row>
    <row r="1839" spans="2:13">
      <c r="B1839" s="40" t="s">
        <v>2318</v>
      </c>
      <c r="C1839" s="41">
        <v>6</v>
      </c>
      <c r="D1839" s="42">
        <v>13</v>
      </c>
      <c r="E1839" s="43">
        <v>32577</v>
      </c>
      <c r="F1839" s="44">
        <v>1224</v>
      </c>
      <c r="G1839" s="1" t="str">
        <f>IFERROR(IF(ventas_b_mes684[[#This Row],[CUIT]]="","-",VLOOKUP(ventas_b_mes684[[#This Row],[CUIT]],Lista_CUIT[#All],2,0)),"CUIT NO CARGADO")</f>
        <v>CUIT NO CARGADO</v>
      </c>
      <c r="H1839" s="64">
        <v>17024.79</v>
      </c>
      <c r="I1839" s="64">
        <f>ventas_b_mes684[[#This Row],[IMPORTE NETO]]*0.21</f>
        <v>3575.2058999999999</v>
      </c>
      <c r="J1839" s="64"/>
      <c r="K1839" s="64"/>
      <c r="L1839" s="64">
        <f>SUM(ventas_b_mes684[[#This Row],[IMPORTE NETO]:[EXENTO]])</f>
        <v>20599.995900000002</v>
      </c>
      <c r="M1839" s="59"/>
    </row>
    <row r="1840" spans="2:13">
      <c r="B1840" s="40" t="s">
        <v>2318</v>
      </c>
      <c r="C1840" s="41">
        <v>6</v>
      </c>
      <c r="D1840" s="42">
        <v>10</v>
      </c>
      <c r="E1840" s="43">
        <v>54620</v>
      </c>
      <c r="F1840" s="44">
        <v>33834595</v>
      </c>
      <c r="G1840" s="1" t="str">
        <f>IFERROR(IF(ventas_b_mes684[[#This Row],[CUIT]]="","-",VLOOKUP(ventas_b_mes684[[#This Row],[CUIT]],Lista_CUIT[#All],2,0)),"CUIT NO CARGADO")</f>
        <v>CUIT NO CARGADO</v>
      </c>
      <c r="H1840" s="64">
        <v>19024.79</v>
      </c>
      <c r="I1840" s="64">
        <f>ventas_b_mes684[[#This Row],[IMPORTE NETO]]*0.21</f>
        <v>3995.2058999999999</v>
      </c>
      <c r="J1840" s="64"/>
      <c r="K1840" s="64"/>
      <c r="L1840" s="64">
        <f>SUM(ventas_b_mes684[[#This Row],[IMPORTE NETO]:[EXENTO]])</f>
        <v>23019.995900000002</v>
      </c>
      <c r="M1840" s="59"/>
    </row>
    <row r="1841" spans="2:13">
      <c r="B1841" s="40" t="s">
        <v>2318</v>
      </c>
      <c r="C1841" s="41">
        <v>6</v>
      </c>
      <c r="D1841" s="42">
        <v>12</v>
      </c>
      <c r="E1841" s="43">
        <v>29807</v>
      </c>
      <c r="F1841" s="44">
        <v>20069109</v>
      </c>
      <c r="G1841" s="1" t="str">
        <f>IFERROR(IF(ventas_b_mes684[[#This Row],[CUIT]]="","-",VLOOKUP(ventas_b_mes684[[#This Row],[CUIT]],Lista_CUIT[#All],2,0)),"CUIT NO CARGADO")</f>
        <v>CUIT NO CARGADO</v>
      </c>
      <c r="H1841" s="64">
        <v>8264.4599999999991</v>
      </c>
      <c r="I1841" s="64">
        <f>ventas_b_mes684[[#This Row],[IMPORTE NETO]]*0.21</f>
        <v>1735.5365999999997</v>
      </c>
      <c r="J1841" s="64"/>
      <c r="K1841" s="64"/>
      <c r="L1841" s="64">
        <f>SUM(ventas_b_mes684[[#This Row],[IMPORTE NETO]:[EXENTO]])</f>
        <v>9999.9965999999986</v>
      </c>
      <c r="M1841" s="59"/>
    </row>
    <row r="1842" spans="2:13">
      <c r="B1842" s="40" t="s">
        <v>2318</v>
      </c>
      <c r="C1842" s="41">
        <v>6</v>
      </c>
      <c r="D1842" s="42">
        <v>11</v>
      </c>
      <c r="E1842" s="43">
        <v>38314</v>
      </c>
      <c r="F1842" s="44">
        <v>13028576</v>
      </c>
      <c r="G1842" s="1" t="str">
        <f>IFERROR(IF(ventas_b_mes684[[#This Row],[CUIT]]="","-",VLOOKUP(ventas_b_mes684[[#This Row],[CUIT]],Lista_CUIT[#All],2,0)),"CUIT NO CARGADO")</f>
        <v>CUIT NO CARGADO</v>
      </c>
      <c r="H1842" s="64">
        <v>17983.47</v>
      </c>
      <c r="I1842" s="64">
        <f>ventas_b_mes684[[#This Row],[IMPORTE NETO]]*0.21</f>
        <v>3776.5287000000003</v>
      </c>
      <c r="J1842" s="64"/>
      <c r="K1842" s="64"/>
      <c r="L1842" s="64">
        <f>SUM(ventas_b_mes684[[#This Row],[IMPORTE NETO]:[EXENTO]])</f>
        <v>21759.9987</v>
      </c>
      <c r="M1842" s="59"/>
    </row>
    <row r="1843" spans="2:13">
      <c r="B1843" s="40" t="s">
        <v>2318</v>
      </c>
      <c r="C1843" s="41">
        <v>6</v>
      </c>
      <c r="D1843" s="42">
        <v>10</v>
      </c>
      <c r="E1843" s="43">
        <v>54631</v>
      </c>
      <c r="F1843" s="44">
        <v>20034675</v>
      </c>
      <c r="G1843" s="1" t="str">
        <f>IFERROR(IF(ventas_b_mes684[[#This Row],[CUIT]]="","-",VLOOKUP(ventas_b_mes684[[#This Row],[CUIT]],Lista_CUIT[#All],2,0)),"CUIT NO CARGADO")</f>
        <v>CUIT NO CARGADO</v>
      </c>
      <c r="H1843" s="64">
        <v>28925.62</v>
      </c>
      <c r="I1843" s="64">
        <f>ventas_b_mes684[[#This Row],[IMPORTE NETO]]*0.21</f>
        <v>6074.3801999999996</v>
      </c>
      <c r="J1843" s="64"/>
      <c r="K1843" s="64"/>
      <c r="L1843" s="64">
        <f>SUM(ventas_b_mes684[[#This Row],[IMPORTE NETO]:[EXENTO]])</f>
        <v>35000.000199999995</v>
      </c>
      <c r="M1843" s="59"/>
    </row>
    <row r="1844" spans="2:13">
      <c r="B1844" s="40" t="s">
        <v>2318</v>
      </c>
      <c r="C1844" s="41">
        <v>6</v>
      </c>
      <c r="D1844" s="42">
        <v>11</v>
      </c>
      <c r="E1844" s="43">
        <v>38305</v>
      </c>
      <c r="F1844" s="44">
        <v>26894185</v>
      </c>
      <c r="G1844" s="1" t="str">
        <f>IFERROR(IF(ventas_b_mes684[[#This Row],[CUIT]]="","-",VLOOKUP(ventas_b_mes684[[#This Row],[CUIT]],Lista_CUIT[#All],2,0)),"CUIT NO CARGADO")</f>
        <v>CUIT NO CARGADO</v>
      </c>
      <c r="H1844" s="64">
        <v>20661.16</v>
      </c>
      <c r="I1844" s="64">
        <f>ventas_b_mes684[[#This Row],[IMPORTE NETO]]*0.21</f>
        <v>4338.8436000000002</v>
      </c>
      <c r="J1844" s="64"/>
      <c r="K1844" s="64"/>
      <c r="L1844" s="64">
        <f>SUM(ventas_b_mes684[[#This Row],[IMPORTE NETO]:[EXENTO]])</f>
        <v>25000.0036</v>
      </c>
      <c r="M1844" s="59"/>
    </row>
    <row r="1845" spans="2:13">
      <c r="B1845" s="40" t="s">
        <v>2318</v>
      </c>
      <c r="C1845" s="41">
        <v>6</v>
      </c>
      <c r="D1845" s="42">
        <v>10</v>
      </c>
      <c r="E1845" s="43">
        <v>54628</v>
      </c>
      <c r="F1845" s="44">
        <v>25710904</v>
      </c>
      <c r="G1845" s="1" t="str">
        <f>IFERROR(IF(ventas_b_mes684[[#This Row],[CUIT]]="","-",VLOOKUP(ventas_b_mes684[[#This Row],[CUIT]],Lista_CUIT[#All],2,0)),"CUIT NO CARGADO")</f>
        <v>CUIT NO CARGADO</v>
      </c>
      <c r="H1845" s="64">
        <v>3884.3</v>
      </c>
      <c r="I1845" s="64">
        <f>ventas_b_mes684[[#This Row],[IMPORTE NETO]]*0.21</f>
        <v>815.70299999999997</v>
      </c>
      <c r="J1845" s="64"/>
      <c r="K1845" s="64"/>
      <c r="L1845" s="64">
        <f>SUM(ventas_b_mes684[[#This Row],[IMPORTE NETO]:[EXENTO]])</f>
        <v>4700.0030000000006</v>
      </c>
      <c r="M1845" s="59"/>
    </row>
    <row r="1846" spans="2:13">
      <c r="B1846" s="40" t="s">
        <v>2318</v>
      </c>
      <c r="C1846" s="41">
        <v>6</v>
      </c>
      <c r="D1846" s="42">
        <v>12</v>
      </c>
      <c r="E1846" s="43">
        <v>29810</v>
      </c>
      <c r="F1846" s="44">
        <v>16056751</v>
      </c>
      <c r="G1846" s="1" t="str">
        <f>IFERROR(IF(ventas_b_mes684[[#This Row],[CUIT]]="","-",VLOOKUP(ventas_b_mes684[[#This Row],[CUIT]],Lista_CUIT[#All],2,0)),"CUIT NO CARGADO")</f>
        <v>CUIT NO CARGADO</v>
      </c>
      <c r="H1846" s="64">
        <v>11107.44</v>
      </c>
      <c r="I1846" s="64">
        <f>ventas_b_mes684[[#This Row],[IMPORTE NETO]]*0.21</f>
        <v>2332.5623999999998</v>
      </c>
      <c r="J1846" s="64"/>
      <c r="K1846" s="64"/>
      <c r="L1846" s="64">
        <f>SUM(ventas_b_mes684[[#This Row],[IMPORTE NETO]:[EXENTO]])</f>
        <v>13440.002400000001</v>
      </c>
      <c r="M1846" s="59"/>
    </row>
    <row r="1847" spans="2:13">
      <c r="B1847" s="40" t="s">
        <v>2318</v>
      </c>
      <c r="C1847" s="41">
        <v>6</v>
      </c>
      <c r="D1847" s="42">
        <v>10</v>
      </c>
      <c r="E1847" s="43">
        <v>54627</v>
      </c>
      <c r="F1847" s="44">
        <v>24588991</v>
      </c>
      <c r="G1847" s="1" t="str">
        <f>IFERROR(IF(ventas_b_mes684[[#This Row],[CUIT]]="","-",VLOOKUP(ventas_b_mes684[[#This Row],[CUIT]],Lista_CUIT[#All],2,0)),"CUIT NO CARGADO")</f>
        <v>CUIT NO CARGADO</v>
      </c>
      <c r="H1847" s="64">
        <v>11074.38</v>
      </c>
      <c r="I1847" s="64">
        <f>ventas_b_mes684[[#This Row],[IMPORTE NETO]]*0.21</f>
        <v>2325.6197999999999</v>
      </c>
      <c r="J1847" s="64"/>
      <c r="K1847" s="64"/>
      <c r="L1847" s="64">
        <f>SUM(ventas_b_mes684[[#This Row],[IMPORTE NETO]:[EXENTO]])</f>
        <v>13399.9998</v>
      </c>
      <c r="M1847" s="59"/>
    </row>
    <row r="1848" spans="2:13">
      <c r="B1848" s="40" t="s">
        <v>2318</v>
      </c>
      <c r="C1848" s="41">
        <v>6</v>
      </c>
      <c r="D1848" s="42">
        <v>13</v>
      </c>
      <c r="E1848" s="43">
        <v>32582</v>
      </c>
      <c r="F1848" s="44">
        <v>94527582</v>
      </c>
      <c r="G1848" s="1" t="str">
        <f>IFERROR(IF(ventas_b_mes684[[#This Row],[CUIT]]="","-",VLOOKUP(ventas_b_mes684[[#This Row],[CUIT]],Lista_CUIT[#All],2,0)),"CUIT NO CARGADO")</f>
        <v>CUIT NO CARGADO</v>
      </c>
      <c r="H1848" s="64">
        <v>12942.15</v>
      </c>
      <c r="I1848" s="64">
        <f>ventas_b_mes684[[#This Row],[IMPORTE NETO]]*0.21</f>
        <v>2717.8514999999998</v>
      </c>
      <c r="J1848" s="64"/>
      <c r="K1848" s="64"/>
      <c r="L1848" s="64">
        <f>SUM(ventas_b_mes684[[#This Row],[IMPORTE NETO]:[EXENTO]])</f>
        <v>15660.001499999998</v>
      </c>
      <c r="M1848" s="59"/>
    </row>
    <row r="1849" spans="2:13">
      <c r="B1849" s="40" t="s">
        <v>2318</v>
      </c>
      <c r="C1849" s="41">
        <v>6</v>
      </c>
      <c r="D1849" s="42">
        <v>13</v>
      </c>
      <c r="E1849" s="43">
        <v>32568</v>
      </c>
      <c r="F1849" s="44">
        <v>907428965</v>
      </c>
      <c r="G1849" s="1" t="str">
        <f>IFERROR(IF(ventas_b_mes684[[#This Row],[CUIT]]="","-",VLOOKUP(ventas_b_mes684[[#This Row],[CUIT]],Lista_CUIT[#All],2,0)),"CUIT NO CARGADO")</f>
        <v>CUIT NO CARGADO</v>
      </c>
      <c r="H1849" s="64">
        <v>24132.23</v>
      </c>
      <c r="I1849" s="64">
        <f>ventas_b_mes684[[#This Row],[IMPORTE NETO]]*0.21</f>
        <v>5067.7682999999997</v>
      </c>
      <c r="J1849" s="64"/>
      <c r="K1849" s="64"/>
      <c r="L1849" s="64">
        <f>SUM(ventas_b_mes684[[#This Row],[IMPORTE NETO]:[EXENTO]])</f>
        <v>29199.998299999999</v>
      </c>
      <c r="M1849" s="59"/>
    </row>
    <row r="1850" spans="2:13">
      <c r="B1850" s="40" t="s">
        <v>2318</v>
      </c>
      <c r="C1850" s="41">
        <v>6</v>
      </c>
      <c r="D1850" s="42">
        <v>12</v>
      </c>
      <c r="E1850" s="43">
        <v>29804</v>
      </c>
      <c r="F1850" s="44">
        <v>13722850</v>
      </c>
      <c r="G1850" s="1" t="str">
        <f>IFERROR(IF(ventas_b_mes684[[#This Row],[CUIT]]="","-",VLOOKUP(ventas_b_mes684[[#This Row],[CUIT]],Lista_CUIT[#All],2,0)),"CUIT NO CARGADO")</f>
        <v>CUIT NO CARGADO</v>
      </c>
      <c r="H1850" s="64">
        <v>33508.26</v>
      </c>
      <c r="I1850" s="64">
        <f>ventas_b_mes684[[#This Row],[IMPORTE NETO]]*0.21</f>
        <v>7036.7345999999998</v>
      </c>
      <c r="J1850" s="64"/>
      <c r="K1850" s="64"/>
      <c r="L1850" s="64">
        <f>SUM(ventas_b_mes684[[#This Row],[IMPORTE NETO]:[EXENTO]])</f>
        <v>40544.994600000005</v>
      </c>
      <c r="M1850" s="59"/>
    </row>
    <row r="1851" spans="2:13">
      <c r="B1851" s="40" t="s">
        <v>2318</v>
      </c>
      <c r="C1851" s="41">
        <v>6</v>
      </c>
      <c r="D1851" s="42">
        <v>12</v>
      </c>
      <c r="E1851" s="43">
        <v>29809</v>
      </c>
      <c r="F1851" s="44">
        <v>24310530</v>
      </c>
      <c r="G1851" s="1" t="str">
        <f>IFERROR(IF(ventas_b_mes684[[#This Row],[CUIT]]="","-",VLOOKUP(ventas_b_mes684[[#This Row],[CUIT]],Lista_CUIT[#All],2,0)),"CUIT NO CARGADO")</f>
        <v>CUIT NO CARGADO</v>
      </c>
      <c r="H1851" s="64">
        <v>29446.28</v>
      </c>
      <c r="I1851" s="64">
        <f>ventas_b_mes684[[#This Row],[IMPORTE NETO]]*0.21</f>
        <v>6183.7187999999996</v>
      </c>
      <c r="J1851" s="64"/>
      <c r="K1851" s="64"/>
      <c r="L1851" s="64">
        <f>SUM(ventas_b_mes684[[#This Row],[IMPORTE NETO]:[EXENTO]])</f>
        <v>35629.998800000001</v>
      </c>
      <c r="M1851" s="59"/>
    </row>
    <row r="1852" spans="2:13">
      <c r="B1852" s="40" t="s">
        <v>2318</v>
      </c>
      <c r="C1852" s="41">
        <v>6</v>
      </c>
      <c r="D1852" s="42">
        <v>11</v>
      </c>
      <c r="E1852" s="43">
        <v>38313</v>
      </c>
      <c r="F1852" s="44">
        <v>23174423</v>
      </c>
      <c r="G1852" s="1" t="str">
        <f>IFERROR(IF(ventas_b_mes684[[#This Row],[CUIT]]="","-",VLOOKUP(ventas_b_mes684[[#This Row],[CUIT]],Lista_CUIT[#All],2,0)),"CUIT NO CARGADO")</f>
        <v>CUIT NO CARGADO</v>
      </c>
      <c r="H1852" s="64">
        <v>21289.26</v>
      </c>
      <c r="I1852" s="64">
        <f>ventas_b_mes684[[#This Row],[IMPORTE NETO]]*0.21</f>
        <v>4470.7445999999991</v>
      </c>
      <c r="J1852" s="64"/>
      <c r="K1852" s="64"/>
      <c r="L1852" s="64">
        <f>SUM(ventas_b_mes684[[#This Row],[IMPORTE NETO]:[EXENTO]])</f>
        <v>25760.004599999997</v>
      </c>
      <c r="M1852" s="59"/>
    </row>
    <row r="1853" spans="2:13">
      <c r="B1853" s="40" t="s">
        <v>2318</v>
      </c>
      <c r="C1853" s="41">
        <v>6</v>
      </c>
      <c r="D1853" s="42">
        <v>12</v>
      </c>
      <c r="E1853" s="43">
        <v>29800</v>
      </c>
      <c r="F1853" s="44">
        <v>22975577</v>
      </c>
      <c r="G1853" s="1" t="str">
        <f>IFERROR(IF(ventas_b_mes684[[#This Row],[CUIT]]="","-",VLOOKUP(ventas_b_mes684[[#This Row],[CUIT]],Lista_CUIT[#All],2,0)),"CUIT NO CARGADO")</f>
        <v>CUIT NO CARGADO</v>
      </c>
      <c r="H1853" s="64">
        <v>35950.410000000003</v>
      </c>
      <c r="I1853" s="64">
        <f>ventas_b_mes684[[#This Row],[IMPORTE NETO]]*0.21</f>
        <v>7549.5861000000004</v>
      </c>
      <c r="J1853" s="64"/>
      <c r="K1853" s="64"/>
      <c r="L1853" s="64">
        <f>SUM(ventas_b_mes684[[#This Row],[IMPORTE NETO]:[EXENTO]])</f>
        <v>43499.996100000004</v>
      </c>
      <c r="M1853" s="59"/>
    </row>
    <row r="1854" spans="2:13">
      <c r="B1854" s="40" t="s">
        <v>2318</v>
      </c>
      <c r="C1854" s="41">
        <v>6</v>
      </c>
      <c r="D1854" s="42">
        <v>10</v>
      </c>
      <c r="E1854" s="43">
        <v>54621</v>
      </c>
      <c r="F1854" s="44">
        <v>43517729</v>
      </c>
      <c r="G1854" s="1" t="str">
        <f>IFERROR(IF(ventas_b_mes684[[#This Row],[CUIT]]="","-",VLOOKUP(ventas_b_mes684[[#This Row],[CUIT]],Lista_CUIT[#All],2,0)),"CUIT NO CARGADO")</f>
        <v>CUIT NO CARGADO</v>
      </c>
      <c r="H1854" s="64">
        <v>20661.16</v>
      </c>
      <c r="I1854" s="64">
        <f>ventas_b_mes684[[#This Row],[IMPORTE NETO]]*0.21</f>
        <v>4338.8436000000002</v>
      </c>
      <c r="J1854" s="64"/>
      <c r="K1854" s="64"/>
      <c r="L1854" s="64">
        <f>SUM(ventas_b_mes684[[#This Row],[IMPORTE NETO]:[EXENTO]])</f>
        <v>25000.0036</v>
      </c>
      <c r="M1854" s="59"/>
    </row>
    <row r="1855" spans="2:13">
      <c r="B1855" s="40" t="s">
        <v>2318</v>
      </c>
      <c r="C1855" s="41">
        <v>6</v>
      </c>
      <c r="D1855" s="42">
        <v>11</v>
      </c>
      <c r="E1855" s="43">
        <v>38325</v>
      </c>
      <c r="F1855" s="44">
        <v>94505751</v>
      </c>
      <c r="G1855" s="1" t="str">
        <f>IFERROR(IF(ventas_b_mes684[[#This Row],[CUIT]]="","-",VLOOKUP(ventas_b_mes684[[#This Row],[CUIT]],Lista_CUIT[#All],2,0)),"CUIT NO CARGADO")</f>
        <v>CUIT NO CARGADO</v>
      </c>
      <c r="H1855" s="64">
        <v>859.5</v>
      </c>
      <c r="I1855" s="64">
        <f>ventas_b_mes684[[#This Row],[IMPORTE NETO]]*0.21</f>
        <v>180.495</v>
      </c>
      <c r="J1855" s="64"/>
      <c r="K1855" s="64"/>
      <c r="L1855" s="64">
        <f>SUM(ventas_b_mes684[[#This Row],[IMPORTE NETO]:[EXENTO]])</f>
        <v>1039.9949999999999</v>
      </c>
      <c r="M1855" s="59"/>
    </row>
    <row r="1856" spans="2:13">
      <c r="B1856" s="40" t="s">
        <v>2318</v>
      </c>
      <c r="C1856" s="41">
        <v>6</v>
      </c>
      <c r="D1856" s="42">
        <v>11</v>
      </c>
      <c r="E1856" s="43">
        <v>38322</v>
      </c>
      <c r="F1856" s="44">
        <v>18573238</v>
      </c>
      <c r="G1856" s="1" t="str">
        <f>IFERROR(IF(ventas_b_mes684[[#This Row],[CUIT]]="","-",VLOOKUP(ventas_b_mes684[[#This Row],[CUIT]],Lista_CUIT[#All],2,0)),"CUIT NO CARGADO")</f>
        <v>CUIT NO CARGADO</v>
      </c>
      <c r="H1856" s="64">
        <v>7462.81</v>
      </c>
      <c r="I1856" s="64">
        <f>ventas_b_mes684[[#This Row],[IMPORTE NETO]]*0.21</f>
        <v>1567.1901</v>
      </c>
      <c r="J1856" s="64"/>
      <c r="K1856" s="64"/>
      <c r="L1856" s="64">
        <f>SUM(ventas_b_mes684[[#This Row],[IMPORTE NETO]:[EXENTO]])</f>
        <v>9030.0001000000011</v>
      </c>
      <c r="M1856" s="59"/>
    </row>
    <row r="1857" spans="2:13">
      <c r="B1857" s="40" t="s">
        <v>2318</v>
      </c>
      <c r="C1857" s="41">
        <v>8</v>
      </c>
      <c r="D1857" s="42">
        <v>11</v>
      </c>
      <c r="E1857" s="43">
        <v>1041</v>
      </c>
      <c r="F1857" s="44">
        <v>0</v>
      </c>
      <c r="G1857" s="1" t="str">
        <f>IFERROR(IF(ventas_b_mes684[[#This Row],[CUIT]]="","-",VLOOKUP(ventas_b_mes684[[#This Row],[CUIT]],Lista_CUIT[#All],2,0)),"CUIT NO CARGADO")</f>
        <v>CUIT NO CARGADO</v>
      </c>
      <c r="H1857" s="64">
        <v>-3421.49</v>
      </c>
      <c r="I1857" s="64">
        <f>ventas_b_mes684[[#This Row],[IMPORTE NETO]]*0.21</f>
        <v>-718.51289999999995</v>
      </c>
      <c r="J1857" s="64"/>
      <c r="K1857" s="64"/>
      <c r="L1857" s="64">
        <f>SUM(ventas_b_mes684[[#This Row],[IMPORTE NETO]:[EXENTO]])</f>
        <v>-4140.0028999999995</v>
      </c>
      <c r="M1857" s="59"/>
    </row>
    <row r="1858" spans="2:13">
      <c r="B1858" s="40" t="s">
        <v>2319</v>
      </c>
      <c r="C1858" s="41">
        <v>6</v>
      </c>
      <c r="D1858" s="42">
        <v>10</v>
      </c>
      <c r="E1858" s="43">
        <v>54648</v>
      </c>
      <c r="F1858" s="44">
        <v>95953496</v>
      </c>
      <c r="G1858" s="1" t="str">
        <f>IFERROR(IF(ventas_b_mes684[[#This Row],[CUIT]]="","-",VLOOKUP(ventas_b_mes684[[#This Row],[CUIT]],Lista_CUIT[#All],2,0)),"CUIT NO CARGADO")</f>
        <v>CUIT NO CARGADO</v>
      </c>
      <c r="H1858" s="64">
        <v>8264.4599999999991</v>
      </c>
      <c r="I1858" s="64">
        <f>ventas_b_mes684[[#This Row],[IMPORTE NETO]]*0.21</f>
        <v>1735.5365999999997</v>
      </c>
      <c r="J1858" s="64"/>
      <c r="K1858" s="64"/>
      <c r="L1858" s="64">
        <f>SUM(ventas_b_mes684[[#This Row],[IMPORTE NETO]:[EXENTO]])</f>
        <v>9999.9965999999986</v>
      </c>
      <c r="M1858" s="59"/>
    </row>
    <row r="1859" spans="2:13">
      <c r="B1859" s="40" t="s">
        <v>2319</v>
      </c>
      <c r="C1859" s="41">
        <v>6</v>
      </c>
      <c r="D1859" s="42">
        <v>11</v>
      </c>
      <c r="E1859" s="43">
        <v>38329</v>
      </c>
      <c r="F1859" s="44">
        <v>93272081</v>
      </c>
      <c r="G1859" s="1" t="str">
        <f>IFERROR(IF(ventas_b_mes684[[#This Row],[CUIT]]="","-",VLOOKUP(ventas_b_mes684[[#This Row],[CUIT]],Lista_CUIT[#All],2,0)),"CUIT NO CARGADO")</f>
        <v>CUIT NO CARGADO</v>
      </c>
      <c r="H1859" s="64">
        <v>13471.07</v>
      </c>
      <c r="I1859" s="64">
        <f>ventas_b_mes684[[#This Row],[IMPORTE NETO]]*0.21</f>
        <v>2828.9247</v>
      </c>
      <c r="J1859" s="64"/>
      <c r="K1859" s="64"/>
      <c r="L1859" s="64">
        <f>SUM(ventas_b_mes684[[#This Row],[IMPORTE NETO]:[EXENTO]])</f>
        <v>16299.994699999999</v>
      </c>
      <c r="M1859" s="59"/>
    </row>
    <row r="1860" spans="2:13">
      <c r="B1860" s="40" t="s">
        <v>2319</v>
      </c>
      <c r="C1860" s="41">
        <v>6</v>
      </c>
      <c r="D1860" s="42">
        <v>13</v>
      </c>
      <c r="E1860" s="43">
        <v>32586</v>
      </c>
      <c r="F1860" s="44">
        <v>165978965</v>
      </c>
      <c r="G1860" s="1" t="str">
        <f>IFERROR(IF(ventas_b_mes684[[#This Row],[CUIT]]="","-",VLOOKUP(ventas_b_mes684[[#This Row],[CUIT]],Lista_CUIT[#All],2,0)),"CUIT NO CARGADO")</f>
        <v>CUIT NO CARGADO</v>
      </c>
      <c r="H1860" s="64">
        <v>60785.120000000003</v>
      </c>
      <c r="I1860" s="64">
        <f>ventas_b_mes684[[#This Row],[IMPORTE NETO]]*0.21</f>
        <v>12764.8752</v>
      </c>
      <c r="J1860" s="64"/>
      <c r="K1860" s="64"/>
      <c r="L1860" s="64">
        <f>SUM(ventas_b_mes684[[#This Row],[IMPORTE NETO]:[EXENTO]])</f>
        <v>73549.995200000005</v>
      </c>
      <c r="M1860" s="59"/>
    </row>
    <row r="1861" spans="2:13">
      <c r="B1861" s="40" t="s">
        <v>2319</v>
      </c>
      <c r="C1861" s="41">
        <v>6</v>
      </c>
      <c r="D1861" s="42">
        <v>10</v>
      </c>
      <c r="E1861" s="43">
        <v>54643</v>
      </c>
      <c r="F1861" s="44">
        <v>19048420</v>
      </c>
      <c r="G1861" s="1" t="str">
        <f>IFERROR(IF(ventas_b_mes684[[#This Row],[CUIT]]="","-",VLOOKUP(ventas_b_mes684[[#This Row],[CUIT]],Lista_CUIT[#All],2,0)),"CUIT NO CARGADO")</f>
        <v>CUIT NO CARGADO</v>
      </c>
      <c r="H1861" s="64">
        <v>122404.96</v>
      </c>
      <c r="I1861" s="64">
        <f>ventas_b_mes684[[#This Row],[IMPORTE NETO]]*0.21</f>
        <v>25705.0416</v>
      </c>
      <c r="J1861" s="64"/>
      <c r="K1861" s="64"/>
      <c r="L1861" s="64">
        <f>SUM(ventas_b_mes684[[#This Row],[IMPORTE NETO]:[EXENTO]])</f>
        <v>148110.00160000002</v>
      </c>
      <c r="M1861" s="59"/>
    </row>
    <row r="1862" spans="2:13">
      <c r="B1862" s="40" t="s">
        <v>2319</v>
      </c>
      <c r="C1862" s="41">
        <v>6</v>
      </c>
      <c r="D1862" s="42">
        <v>15</v>
      </c>
      <c r="E1862" s="43">
        <v>13416</v>
      </c>
      <c r="F1862" s="44">
        <v>30551541</v>
      </c>
      <c r="G1862" s="1" t="str">
        <f>IFERROR(IF(ventas_b_mes684[[#This Row],[CUIT]]="","-",VLOOKUP(ventas_b_mes684[[#This Row],[CUIT]],Lista_CUIT[#All],2,0)),"CUIT NO CARGADO")</f>
        <v>CUIT NO CARGADO</v>
      </c>
      <c r="H1862" s="64">
        <v>13223.14</v>
      </c>
      <c r="I1862" s="64">
        <f>ventas_b_mes684[[#This Row],[IMPORTE NETO]]*0.21</f>
        <v>2776.8593999999998</v>
      </c>
      <c r="J1862" s="64"/>
      <c r="K1862" s="64"/>
      <c r="L1862" s="64">
        <f>SUM(ventas_b_mes684[[#This Row],[IMPORTE NETO]:[EXENTO]])</f>
        <v>15999.999399999999</v>
      </c>
      <c r="M1862" s="59"/>
    </row>
    <row r="1863" spans="2:13">
      <c r="B1863" s="40" t="s">
        <v>2319</v>
      </c>
      <c r="C1863" s="41">
        <v>6</v>
      </c>
      <c r="D1863" s="42">
        <v>10</v>
      </c>
      <c r="E1863" s="43">
        <v>54650</v>
      </c>
      <c r="F1863" s="44">
        <v>12366839</v>
      </c>
      <c r="G1863" s="1" t="str">
        <f>IFERROR(IF(ventas_b_mes684[[#This Row],[CUIT]]="","-",VLOOKUP(ventas_b_mes684[[#This Row],[CUIT]],Lista_CUIT[#All],2,0)),"CUIT NO CARGADO")</f>
        <v>CUIT NO CARGADO</v>
      </c>
      <c r="H1863" s="64">
        <v>8264.4599999999991</v>
      </c>
      <c r="I1863" s="64">
        <f>ventas_b_mes684[[#This Row],[IMPORTE NETO]]*0.21</f>
        <v>1735.5365999999997</v>
      </c>
      <c r="J1863" s="64"/>
      <c r="K1863" s="64"/>
      <c r="L1863" s="64">
        <f>SUM(ventas_b_mes684[[#This Row],[IMPORTE NETO]:[EXENTO]])</f>
        <v>9999.9965999999986</v>
      </c>
      <c r="M1863" s="59"/>
    </row>
    <row r="1864" spans="2:13">
      <c r="B1864" s="40" t="s">
        <v>2319</v>
      </c>
      <c r="C1864" s="41">
        <v>6</v>
      </c>
      <c r="D1864" s="42">
        <v>11</v>
      </c>
      <c r="E1864" s="43">
        <v>38330</v>
      </c>
      <c r="F1864" s="44">
        <v>94996910</v>
      </c>
      <c r="G1864" s="1" t="str">
        <f>IFERROR(IF(ventas_b_mes684[[#This Row],[CUIT]]="","-",VLOOKUP(ventas_b_mes684[[#This Row],[CUIT]],Lista_CUIT[#All],2,0)),"CUIT NO CARGADO")</f>
        <v>CUIT NO CARGADO</v>
      </c>
      <c r="H1864" s="64">
        <v>16528.93</v>
      </c>
      <c r="I1864" s="64">
        <f>ventas_b_mes684[[#This Row],[IMPORTE NETO]]*0.21</f>
        <v>3471.0753</v>
      </c>
      <c r="J1864" s="64"/>
      <c r="K1864" s="64"/>
      <c r="L1864" s="64">
        <f>SUM(ventas_b_mes684[[#This Row],[IMPORTE NETO]:[EXENTO]])</f>
        <v>20000.005300000001</v>
      </c>
      <c r="M1864" s="59"/>
    </row>
    <row r="1865" spans="2:13">
      <c r="B1865" s="40" t="s">
        <v>2319</v>
      </c>
      <c r="C1865" s="41">
        <v>6</v>
      </c>
      <c r="D1865" s="42">
        <v>10</v>
      </c>
      <c r="E1865" s="43">
        <v>54647</v>
      </c>
      <c r="F1865" s="44">
        <v>13277007</v>
      </c>
      <c r="G1865" s="1" t="str">
        <f>IFERROR(IF(ventas_b_mes684[[#This Row],[CUIT]]="","-",VLOOKUP(ventas_b_mes684[[#This Row],[CUIT]],Lista_CUIT[#All],2,0)),"CUIT NO CARGADO")</f>
        <v>CUIT NO CARGADO</v>
      </c>
      <c r="H1865" s="64">
        <v>7256.2</v>
      </c>
      <c r="I1865" s="64">
        <f>ventas_b_mes684[[#This Row],[IMPORTE NETO]]*0.21</f>
        <v>1523.8019999999999</v>
      </c>
      <c r="J1865" s="64"/>
      <c r="K1865" s="64"/>
      <c r="L1865" s="64">
        <f>SUM(ventas_b_mes684[[#This Row],[IMPORTE NETO]:[EXENTO]])</f>
        <v>8780.0020000000004</v>
      </c>
      <c r="M1865" s="59"/>
    </row>
    <row r="1866" spans="2:13">
      <c r="B1866" s="40" t="s">
        <v>2319</v>
      </c>
      <c r="C1866" s="41">
        <v>6</v>
      </c>
      <c r="D1866" s="42">
        <v>13</v>
      </c>
      <c r="E1866" s="43">
        <v>32587</v>
      </c>
      <c r="F1866" s="44">
        <v>33986159</v>
      </c>
      <c r="G1866" s="1" t="str">
        <f>IFERROR(IF(ventas_b_mes684[[#This Row],[CUIT]]="","-",VLOOKUP(ventas_b_mes684[[#This Row],[CUIT]],Lista_CUIT[#All],2,0)),"CUIT NO CARGADO")</f>
        <v>CUIT NO CARGADO</v>
      </c>
      <c r="H1866" s="64">
        <v>121785.12</v>
      </c>
      <c r="I1866" s="64">
        <f>ventas_b_mes684[[#This Row],[IMPORTE NETO]]*0.21</f>
        <v>25574.875199999999</v>
      </c>
      <c r="J1866" s="64"/>
      <c r="K1866" s="64"/>
      <c r="L1866" s="64">
        <f>SUM(ventas_b_mes684[[#This Row],[IMPORTE NETO]:[EXENTO]])</f>
        <v>147359.9952</v>
      </c>
      <c r="M1866" s="59"/>
    </row>
    <row r="1867" spans="2:13">
      <c r="B1867" s="40" t="s">
        <v>2319</v>
      </c>
      <c r="C1867" s="41">
        <v>6</v>
      </c>
      <c r="D1867" s="42">
        <v>15</v>
      </c>
      <c r="E1867" s="43">
        <v>13419</v>
      </c>
      <c r="F1867" s="44">
        <v>27816221</v>
      </c>
      <c r="G1867" s="1" t="str">
        <f>IFERROR(IF(ventas_b_mes684[[#This Row],[CUIT]]="","-",VLOOKUP(ventas_b_mes684[[#This Row],[CUIT]],Lista_CUIT[#All],2,0)),"CUIT NO CARGADO")</f>
        <v>ARELLIANO,MAGALI</v>
      </c>
      <c r="H1867" s="64">
        <v>39752.07</v>
      </c>
      <c r="I1867" s="64">
        <f>ventas_b_mes684[[#This Row],[IMPORTE NETO]]*0.21</f>
        <v>8347.9346999999998</v>
      </c>
      <c r="J1867" s="64"/>
      <c r="K1867" s="64"/>
      <c r="L1867" s="64">
        <f>SUM(ventas_b_mes684[[#This Row],[IMPORTE NETO]:[EXENTO]])</f>
        <v>48100.004699999998</v>
      </c>
      <c r="M1867" s="59"/>
    </row>
    <row r="1868" spans="2:13">
      <c r="B1868" s="40" t="s">
        <v>2319</v>
      </c>
      <c r="C1868" s="41">
        <v>6</v>
      </c>
      <c r="D1868" s="42">
        <v>10</v>
      </c>
      <c r="E1868" s="43">
        <v>54645</v>
      </c>
      <c r="F1868" s="44">
        <v>17137160</v>
      </c>
      <c r="G1868" s="1" t="str">
        <f>IFERROR(IF(ventas_b_mes684[[#This Row],[CUIT]]="","-",VLOOKUP(ventas_b_mes684[[#This Row],[CUIT]],Lista_CUIT[#All],2,0)),"CUIT NO CARGADO")</f>
        <v>CUIT NO CARGADO</v>
      </c>
      <c r="H1868" s="64">
        <v>8264.4599999999991</v>
      </c>
      <c r="I1868" s="64">
        <f>ventas_b_mes684[[#This Row],[IMPORTE NETO]]*0.21</f>
        <v>1735.5365999999997</v>
      </c>
      <c r="J1868" s="64"/>
      <c r="K1868" s="64"/>
      <c r="L1868" s="64">
        <f>SUM(ventas_b_mes684[[#This Row],[IMPORTE NETO]:[EXENTO]])</f>
        <v>9999.9965999999986</v>
      </c>
      <c r="M1868" s="59"/>
    </row>
    <row r="1869" spans="2:13">
      <c r="B1869" s="40" t="s">
        <v>2319</v>
      </c>
      <c r="C1869" s="41">
        <v>6</v>
      </c>
      <c r="D1869" s="42">
        <v>10</v>
      </c>
      <c r="E1869" s="43">
        <v>54644</v>
      </c>
      <c r="F1869" s="44">
        <v>29714242</v>
      </c>
      <c r="G1869" s="1" t="str">
        <f>IFERROR(IF(ventas_b_mes684[[#This Row],[CUIT]]="","-",VLOOKUP(ventas_b_mes684[[#This Row],[CUIT]],Lista_CUIT[#All],2,0)),"CUIT NO CARGADO")</f>
        <v>CUIT NO CARGADO</v>
      </c>
      <c r="H1869" s="64">
        <v>8264.4599999999991</v>
      </c>
      <c r="I1869" s="64">
        <f>ventas_b_mes684[[#This Row],[IMPORTE NETO]]*0.21</f>
        <v>1735.5365999999997</v>
      </c>
      <c r="J1869" s="64"/>
      <c r="K1869" s="64"/>
      <c r="L1869" s="64">
        <f>SUM(ventas_b_mes684[[#This Row],[IMPORTE NETO]:[EXENTO]])</f>
        <v>9999.9965999999986</v>
      </c>
      <c r="M1869" s="59"/>
    </row>
    <row r="1870" spans="2:13">
      <c r="B1870" s="40" t="s">
        <v>2319</v>
      </c>
      <c r="C1870" s="41">
        <v>6</v>
      </c>
      <c r="D1870" s="42">
        <v>15</v>
      </c>
      <c r="E1870" s="43">
        <v>13415</v>
      </c>
      <c r="F1870" s="44">
        <v>35402739</v>
      </c>
      <c r="G1870" s="1" t="str">
        <f>IFERROR(IF(ventas_b_mes684[[#This Row],[CUIT]]="","-",VLOOKUP(ventas_b_mes684[[#This Row],[CUIT]],Lista_CUIT[#All],2,0)),"CUIT NO CARGADO")</f>
        <v>CUIT NO CARGADO</v>
      </c>
      <c r="H1870" s="64">
        <v>17586.78</v>
      </c>
      <c r="I1870" s="64">
        <f>ventas_b_mes684[[#This Row],[IMPORTE NETO]]*0.21</f>
        <v>3693.2237999999998</v>
      </c>
      <c r="J1870" s="64"/>
      <c r="K1870" s="64"/>
      <c r="L1870" s="64">
        <f>SUM(ventas_b_mes684[[#This Row],[IMPORTE NETO]:[EXENTO]])</f>
        <v>21280.003799999999</v>
      </c>
      <c r="M1870" s="59"/>
    </row>
    <row r="1871" spans="2:13">
      <c r="B1871" s="40" t="s">
        <v>2319</v>
      </c>
      <c r="C1871" s="41">
        <v>6</v>
      </c>
      <c r="D1871" s="42">
        <v>10</v>
      </c>
      <c r="E1871" s="43">
        <v>54642</v>
      </c>
      <c r="F1871" s="44">
        <v>27023706</v>
      </c>
      <c r="G1871" s="1" t="str">
        <f>IFERROR(IF(ventas_b_mes684[[#This Row],[CUIT]]="","-",VLOOKUP(ventas_b_mes684[[#This Row],[CUIT]],Lista_CUIT[#All],2,0)),"CUIT NO CARGADO")</f>
        <v>CUIT NO CARGADO</v>
      </c>
      <c r="H1871" s="64">
        <v>8264.4599999999991</v>
      </c>
      <c r="I1871" s="64">
        <f>ventas_b_mes684[[#This Row],[IMPORTE NETO]]*0.21</f>
        <v>1735.5365999999997</v>
      </c>
      <c r="J1871" s="64"/>
      <c r="K1871" s="64"/>
      <c r="L1871" s="64">
        <f>SUM(ventas_b_mes684[[#This Row],[IMPORTE NETO]:[EXENTO]])</f>
        <v>9999.9965999999986</v>
      </c>
      <c r="M1871" s="59"/>
    </row>
    <row r="1872" spans="2:13">
      <c r="B1872" s="40" t="s">
        <v>2319</v>
      </c>
      <c r="C1872" s="41">
        <v>6</v>
      </c>
      <c r="D1872" s="42">
        <v>15</v>
      </c>
      <c r="E1872" s="43">
        <v>13421</v>
      </c>
      <c r="F1872" s="44">
        <v>13130991</v>
      </c>
      <c r="G1872" s="1" t="str">
        <f>IFERROR(IF(ventas_b_mes684[[#This Row],[CUIT]]="","-",VLOOKUP(ventas_b_mes684[[#This Row],[CUIT]],Lista_CUIT[#All],2,0)),"CUIT NO CARGADO")</f>
        <v>CUIT NO CARGADO</v>
      </c>
      <c r="H1872" s="64">
        <v>11570.25</v>
      </c>
      <c r="I1872" s="64">
        <f>ventas_b_mes684[[#This Row],[IMPORTE NETO]]*0.21</f>
        <v>2429.7525000000001</v>
      </c>
      <c r="J1872" s="64"/>
      <c r="K1872" s="64"/>
      <c r="L1872" s="64">
        <f>SUM(ventas_b_mes684[[#This Row],[IMPORTE NETO]:[EXENTO]])</f>
        <v>14000.002500000001</v>
      </c>
      <c r="M1872" s="59"/>
    </row>
    <row r="1873" spans="2:13">
      <c r="B1873" s="40" t="s">
        <v>2319</v>
      </c>
      <c r="C1873" s="41">
        <v>6</v>
      </c>
      <c r="D1873" s="42">
        <v>11</v>
      </c>
      <c r="E1873" s="43">
        <v>38335</v>
      </c>
      <c r="F1873" s="44">
        <v>95907478</v>
      </c>
      <c r="G1873" s="1" t="str">
        <f>IFERROR(IF(ventas_b_mes684[[#This Row],[CUIT]]="","-",VLOOKUP(ventas_b_mes684[[#This Row],[CUIT]],Lista_CUIT[#All],2,0)),"CUIT NO CARGADO")</f>
        <v>CUIT NO CARGADO</v>
      </c>
      <c r="H1873" s="64">
        <v>6925.62</v>
      </c>
      <c r="I1873" s="64">
        <f>ventas_b_mes684[[#This Row],[IMPORTE NETO]]*0.21</f>
        <v>1454.3801999999998</v>
      </c>
      <c r="J1873" s="64"/>
      <c r="K1873" s="64"/>
      <c r="L1873" s="64">
        <f>SUM(ventas_b_mes684[[#This Row],[IMPORTE NETO]:[EXENTO]])</f>
        <v>8380.0002000000004</v>
      </c>
      <c r="M1873" s="59"/>
    </row>
    <row r="1874" spans="2:13">
      <c r="B1874" s="40" t="s">
        <v>2319</v>
      </c>
      <c r="C1874" s="41">
        <v>6</v>
      </c>
      <c r="D1874" s="42">
        <v>13</v>
      </c>
      <c r="E1874" s="43">
        <v>32585</v>
      </c>
      <c r="F1874" s="44">
        <v>165978965</v>
      </c>
      <c r="G1874" s="1" t="str">
        <f>IFERROR(IF(ventas_b_mes684[[#This Row],[CUIT]]="","-",VLOOKUP(ventas_b_mes684[[#This Row],[CUIT]],Lista_CUIT[#All],2,0)),"CUIT NO CARGADO")</f>
        <v>CUIT NO CARGADO</v>
      </c>
      <c r="H1874" s="64">
        <v>246606.93</v>
      </c>
      <c r="I1874" s="64">
        <f>ventas_b_mes684[[#This Row],[IMPORTE NETO]]*0.21</f>
        <v>51787.455299999994</v>
      </c>
      <c r="J1874" s="64"/>
      <c r="K1874" s="64"/>
      <c r="L1874" s="64">
        <f>SUM(ventas_b_mes684[[#This Row],[IMPORTE NETO]:[EXENTO]])</f>
        <v>298394.38529999997</v>
      </c>
      <c r="M1874" s="59"/>
    </row>
    <row r="1875" spans="2:13">
      <c r="B1875" s="40" t="s">
        <v>2319</v>
      </c>
      <c r="C1875" s="41">
        <v>6</v>
      </c>
      <c r="D1875" s="42">
        <v>10</v>
      </c>
      <c r="E1875" s="43">
        <v>54646</v>
      </c>
      <c r="F1875" s="44">
        <v>22724266</v>
      </c>
      <c r="G1875" s="1" t="str">
        <f>IFERROR(IF(ventas_b_mes684[[#This Row],[CUIT]]="","-",VLOOKUP(ventas_b_mes684[[#This Row],[CUIT]],Lista_CUIT[#All],2,0)),"CUIT NO CARGADO")</f>
        <v>CUIT NO CARGADO</v>
      </c>
      <c r="H1875" s="64">
        <v>8264.4599999999991</v>
      </c>
      <c r="I1875" s="64">
        <f>ventas_b_mes684[[#This Row],[IMPORTE NETO]]*0.21</f>
        <v>1735.5365999999997</v>
      </c>
      <c r="J1875" s="64"/>
      <c r="K1875" s="64"/>
      <c r="L1875" s="64">
        <f>SUM(ventas_b_mes684[[#This Row],[IMPORTE NETO]:[EXENTO]])</f>
        <v>9999.9965999999986</v>
      </c>
      <c r="M1875" s="59"/>
    </row>
    <row r="1876" spans="2:13">
      <c r="B1876" s="40" t="s">
        <v>2319</v>
      </c>
      <c r="C1876" s="41">
        <v>6</v>
      </c>
      <c r="D1876" s="42">
        <v>10</v>
      </c>
      <c r="E1876" s="43">
        <v>54639</v>
      </c>
      <c r="F1876" s="44">
        <v>94263928</v>
      </c>
      <c r="G1876" s="1" t="str">
        <f>IFERROR(IF(ventas_b_mes684[[#This Row],[CUIT]]="","-",VLOOKUP(ventas_b_mes684[[#This Row],[CUIT]],Lista_CUIT[#All],2,0)),"CUIT NO CARGADO")</f>
        <v>CUIT NO CARGADO</v>
      </c>
      <c r="H1876" s="64">
        <v>7512.4</v>
      </c>
      <c r="I1876" s="64">
        <f>ventas_b_mes684[[#This Row],[IMPORTE NETO]]*0.21</f>
        <v>1577.6039999999998</v>
      </c>
      <c r="J1876" s="64"/>
      <c r="K1876" s="64"/>
      <c r="L1876" s="64">
        <f>SUM(ventas_b_mes684[[#This Row],[IMPORTE NETO]:[EXENTO]])</f>
        <v>9090.003999999999</v>
      </c>
      <c r="M1876" s="59"/>
    </row>
    <row r="1877" spans="2:13">
      <c r="B1877" s="40" t="s">
        <v>2319</v>
      </c>
      <c r="C1877" s="41">
        <v>6</v>
      </c>
      <c r="D1877" s="42">
        <v>10</v>
      </c>
      <c r="E1877" s="43">
        <v>54641</v>
      </c>
      <c r="F1877" s="44">
        <v>94432134</v>
      </c>
      <c r="G1877" s="1" t="str">
        <f>IFERROR(IF(ventas_b_mes684[[#This Row],[CUIT]]="","-",VLOOKUP(ventas_b_mes684[[#This Row],[CUIT]],Lista_CUIT[#All],2,0)),"CUIT NO CARGADO")</f>
        <v>CUIT NO CARGADO</v>
      </c>
      <c r="H1877" s="64">
        <v>8264.4599999999991</v>
      </c>
      <c r="I1877" s="64">
        <f>ventas_b_mes684[[#This Row],[IMPORTE NETO]]*0.21</f>
        <v>1735.5365999999997</v>
      </c>
      <c r="J1877" s="64"/>
      <c r="K1877" s="64"/>
      <c r="L1877" s="64">
        <f>SUM(ventas_b_mes684[[#This Row],[IMPORTE NETO]:[EXENTO]])</f>
        <v>9999.9965999999986</v>
      </c>
      <c r="M1877" s="59"/>
    </row>
    <row r="1878" spans="2:13">
      <c r="B1878" s="40" t="s">
        <v>2319</v>
      </c>
      <c r="C1878" s="41">
        <v>6</v>
      </c>
      <c r="D1878" s="42">
        <v>10</v>
      </c>
      <c r="E1878" s="43">
        <v>54640</v>
      </c>
      <c r="F1878" s="44">
        <v>40134835</v>
      </c>
      <c r="G1878" s="1" t="str">
        <f>IFERROR(IF(ventas_b_mes684[[#This Row],[CUIT]]="","-",VLOOKUP(ventas_b_mes684[[#This Row],[CUIT]],Lista_CUIT[#All],2,0)),"CUIT NO CARGADO")</f>
        <v>CUIT NO CARGADO</v>
      </c>
      <c r="H1878" s="64">
        <v>20661.16</v>
      </c>
      <c r="I1878" s="64">
        <f>ventas_b_mes684[[#This Row],[IMPORTE NETO]]*0.21</f>
        <v>4338.8436000000002</v>
      </c>
      <c r="J1878" s="64"/>
      <c r="K1878" s="64"/>
      <c r="L1878" s="64">
        <f>SUM(ventas_b_mes684[[#This Row],[IMPORTE NETO]:[EXENTO]])</f>
        <v>25000.0036</v>
      </c>
      <c r="M1878" s="59"/>
    </row>
    <row r="1879" spans="2:13">
      <c r="B1879" s="40" t="s">
        <v>2319</v>
      </c>
      <c r="C1879" s="41">
        <v>6</v>
      </c>
      <c r="D1879" s="42">
        <v>11</v>
      </c>
      <c r="E1879" s="43">
        <v>38334</v>
      </c>
      <c r="F1879" s="44">
        <v>24963154</v>
      </c>
      <c r="G1879" s="1" t="str">
        <f>IFERROR(IF(ventas_b_mes684[[#This Row],[CUIT]]="","-",VLOOKUP(ventas_b_mes684[[#This Row],[CUIT]],Lista_CUIT[#All],2,0)),"CUIT NO CARGADO")</f>
        <v>CUIT NO CARGADO</v>
      </c>
      <c r="H1879" s="64">
        <v>29576.03</v>
      </c>
      <c r="I1879" s="64">
        <f>ventas_b_mes684[[#This Row],[IMPORTE NETO]]*0.21</f>
        <v>6210.9662999999991</v>
      </c>
      <c r="J1879" s="64"/>
      <c r="K1879" s="64"/>
      <c r="L1879" s="64">
        <f>SUM(ventas_b_mes684[[#This Row],[IMPORTE NETO]:[EXENTO]])</f>
        <v>35786.996299999999</v>
      </c>
      <c r="M1879" s="59"/>
    </row>
    <row r="1880" spans="2:13">
      <c r="B1880" s="40" t="s">
        <v>2319</v>
      </c>
      <c r="C1880" s="41">
        <v>6</v>
      </c>
      <c r="D1880" s="42">
        <v>10</v>
      </c>
      <c r="E1880" s="43">
        <v>54654</v>
      </c>
      <c r="F1880" s="44">
        <v>21472662</v>
      </c>
      <c r="G1880" s="1" t="str">
        <f>IFERROR(IF(ventas_b_mes684[[#This Row],[CUIT]]="","-",VLOOKUP(ventas_b_mes684[[#This Row],[CUIT]],Lista_CUIT[#All],2,0)),"CUIT NO CARGADO")</f>
        <v>CUIT NO CARGADO</v>
      </c>
      <c r="H1880" s="64">
        <v>20661.16</v>
      </c>
      <c r="I1880" s="64">
        <f>ventas_b_mes684[[#This Row],[IMPORTE NETO]]*0.21</f>
        <v>4338.8436000000002</v>
      </c>
      <c r="J1880" s="64"/>
      <c r="K1880" s="64"/>
      <c r="L1880" s="64">
        <f>SUM(ventas_b_mes684[[#This Row],[IMPORTE NETO]:[EXENTO]])</f>
        <v>25000.0036</v>
      </c>
      <c r="M1880" s="59"/>
    </row>
    <row r="1881" spans="2:13">
      <c r="B1881" s="40" t="s">
        <v>2319</v>
      </c>
      <c r="C1881" s="41">
        <v>6</v>
      </c>
      <c r="D1881" s="42">
        <v>10</v>
      </c>
      <c r="E1881" s="43">
        <v>54655</v>
      </c>
      <c r="F1881" s="44">
        <v>18100128</v>
      </c>
      <c r="G1881" s="1" t="str">
        <f>IFERROR(IF(ventas_b_mes684[[#This Row],[CUIT]]="","-",VLOOKUP(ventas_b_mes684[[#This Row],[CUIT]],Lista_CUIT[#All],2,0)),"CUIT NO CARGADO")</f>
        <v>CUIT NO CARGADO</v>
      </c>
      <c r="H1881" s="64">
        <v>5076.8599999999997</v>
      </c>
      <c r="I1881" s="64">
        <f>ventas_b_mes684[[#This Row],[IMPORTE NETO]]*0.21</f>
        <v>1066.1405999999999</v>
      </c>
      <c r="J1881" s="64"/>
      <c r="K1881" s="64"/>
      <c r="L1881" s="64">
        <f>SUM(ventas_b_mes684[[#This Row],[IMPORTE NETO]:[EXENTO]])</f>
        <v>6143.0005999999994</v>
      </c>
      <c r="M1881" s="59"/>
    </row>
    <row r="1882" spans="2:13">
      <c r="B1882" s="40" t="s">
        <v>2319</v>
      </c>
      <c r="C1882" s="41">
        <v>6</v>
      </c>
      <c r="D1882" s="42">
        <v>10</v>
      </c>
      <c r="E1882" s="43">
        <v>54657</v>
      </c>
      <c r="F1882" s="44">
        <v>35623487</v>
      </c>
      <c r="G1882" s="1" t="str">
        <f>IFERROR(IF(ventas_b_mes684[[#This Row],[CUIT]]="","-",VLOOKUP(ventas_b_mes684[[#This Row],[CUIT]],Lista_CUIT[#All],2,0)),"CUIT NO CARGADO")</f>
        <v>CUIT NO CARGADO</v>
      </c>
      <c r="H1882" s="64">
        <v>8264.4599999999991</v>
      </c>
      <c r="I1882" s="64">
        <f>ventas_b_mes684[[#This Row],[IMPORTE NETO]]*0.21</f>
        <v>1735.5365999999997</v>
      </c>
      <c r="J1882" s="64"/>
      <c r="K1882" s="64"/>
      <c r="L1882" s="64">
        <f>SUM(ventas_b_mes684[[#This Row],[IMPORTE NETO]:[EXENTO]])</f>
        <v>9999.9965999999986</v>
      </c>
      <c r="M1882" s="59"/>
    </row>
    <row r="1883" spans="2:13">
      <c r="B1883" s="40" t="s">
        <v>2319</v>
      </c>
      <c r="C1883" s="41">
        <v>6</v>
      </c>
      <c r="D1883" s="42">
        <v>10</v>
      </c>
      <c r="E1883" s="43">
        <v>54656</v>
      </c>
      <c r="F1883" s="44">
        <v>28049002</v>
      </c>
      <c r="G1883" s="1" t="str">
        <f>IFERROR(IF(ventas_b_mes684[[#This Row],[CUIT]]="","-",VLOOKUP(ventas_b_mes684[[#This Row],[CUIT]],Lista_CUIT[#All],2,0)),"CUIT NO CARGADO")</f>
        <v>CUIT NO CARGADO</v>
      </c>
      <c r="H1883" s="64">
        <v>14876.03</v>
      </c>
      <c r="I1883" s="64">
        <f>ventas_b_mes684[[#This Row],[IMPORTE NETO]]*0.21</f>
        <v>3123.9663</v>
      </c>
      <c r="J1883" s="64"/>
      <c r="K1883" s="64"/>
      <c r="L1883" s="64">
        <f>SUM(ventas_b_mes684[[#This Row],[IMPORTE NETO]:[EXENTO]])</f>
        <v>17999.996299999999</v>
      </c>
      <c r="M1883" s="59"/>
    </row>
    <row r="1884" spans="2:13">
      <c r="B1884" s="40" t="s">
        <v>2319</v>
      </c>
      <c r="C1884" s="41">
        <v>6</v>
      </c>
      <c r="D1884" s="42">
        <v>10</v>
      </c>
      <c r="E1884" s="43">
        <v>54658</v>
      </c>
      <c r="F1884" s="44">
        <v>47953224</v>
      </c>
      <c r="G1884" s="1" t="str">
        <f>IFERROR(IF(ventas_b_mes684[[#This Row],[CUIT]]="","-",VLOOKUP(ventas_b_mes684[[#This Row],[CUIT]],Lista_CUIT[#All],2,0)),"CUIT NO CARGADO")</f>
        <v>CUIT NO CARGADO</v>
      </c>
      <c r="H1884" s="64">
        <v>7066.12</v>
      </c>
      <c r="I1884" s="64">
        <f>ventas_b_mes684[[#This Row],[IMPORTE NETO]]*0.21</f>
        <v>1483.8851999999999</v>
      </c>
      <c r="J1884" s="64"/>
      <c r="K1884" s="64"/>
      <c r="L1884" s="64">
        <f>SUM(ventas_b_mes684[[#This Row],[IMPORTE NETO]:[EXENTO]])</f>
        <v>8550.0051999999996</v>
      </c>
      <c r="M1884" s="59"/>
    </row>
    <row r="1885" spans="2:13">
      <c r="B1885" s="40" t="s">
        <v>2319</v>
      </c>
      <c r="C1885" s="41">
        <v>6</v>
      </c>
      <c r="D1885" s="42">
        <v>15</v>
      </c>
      <c r="E1885" s="43">
        <v>13414</v>
      </c>
      <c r="F1885" s="44">
        <v>95496585</v>
      </c>
      <c r="G1885" s="1" t="str">
        <f>IFERROR(IF(ventas_b_mes684[[#This Row],[CUIT]]="","-",VLOOKUP(ventas_b_mes684[[#This Row],[CUIT]],Lista_CUIT[#All],2,0)),"CUIT NO CARGADO")</f>
        <v>CUIT NO CARGADO</v>
      </c>
      <c r="H1885" s="64">
        <v>55537.19</v>
      </c>
      <c r="I1885" s="64">
        <f>ventas_b_mes684[[#This Row],[IMPORTE NETO]]*0.21</f>
        <v>11662.8099</v>
      </c>
      <c r="J1885" s="64"/>
      <c r="K1885" s="64"/>
      <c r="L1885" s="64">
        <f>SUM(ventas_b_mes684[[#This Row],[IMPORTE NETO]:[EXENTO]])</f>
        <v>67199.999899999995</v>
      </c>
      <c r="M1885" s="59"/>
    </row>
    <row r="1886" spans="2:13">
      <c r="B1886" s="40" t="s">
        <v>2319</v>
      </c>
      <c r="C1886" s="41">
        <v>6</v>
      </c>
      <c r="D1886" s="42">
        <v>12</v>
      </c>
      <c r="E1886" s="43">
        <v>29818</v>
      </c>
      <c r="F1886" s="44">
        <v>27366442974</v>
      </c>
      <c r="G1886" s="1" t="str">
        <f>IFERROR(IF(ventas_b_mes684[[#This Row],[CUIT]]="","-",VLOOKUP(ventas_b_mes684[[#This Row],[CUIT]],Lista_CUIT[#All],2,0)),"CUIT NO CARGADO")</f>
        <v>RODRIGUEZ YESSICA BELEN</v>
      </c>
      <c r="H1886" s="64">
        <v>12975.21</v>
      </c>
      <c r="I1886" s="64">
        <f>ventas_b_mes684[[#This Row],[IMPORTE NETO]]*0.21</f>
        <v>2724.7940999999996</v>
      </c>
      <c r="J1886" s="64"/>
      <c r="K1886" s="64"/>
      <c r="L1886" s="64">
        <f>SUM(ventas_b_mes684[[#This Row],[IMPORTE NETO]:[EXENTO]])</f>
        <v>15700.004099999998</v>
      </c>
      <c r="M1886" s="59"/>
    </row>
    <row r="1887" spans="2:13">
      <c r="B1887" s="40" t="s">
        <v>2319</v>
      </c>
      <c r="C1887" s="41">
        <v>6</v>
      </c>
      <c r="D1887" s="42">
        <v>10</v>
      </c>
      <c r="E1887" s="43">
        <v>54638</v>
      </c>
      <c r="F1887" s="44">
        <v>94263928</v>
      </c>
      <c r="G1887" s="1" t="str">
        <f>IFERROR(IF(ventas_b_mes684[[#This Row],[CUIT]]="","-",VLOOKUP(ventas_b_mes684[[#This Row],[CUIT]],Lista_CUIT[#All],2,0)),"CUIT NO CARGADO")</f>
        <v>CUIT NO CARGADO</v>
      </c>
      <c r="H1887" s="64">
        <v>20661.16</v>
      </c>
      <c r="I1887" s="64">
        <f>ventas_b_mes684[[#This Row],[IMPORTE NETO]]*0.21</f>
        <v>4338.8436000000002</v>
      </c>
      <c r="J1887" s="64"/>
      <c r="K1887" s="64"/>
      <c r="L1887" s="64">
        <f>SUM(ventas_b_mes684[[#This Row],[IMPORTE NETO]:[EXENTO]])</f>
        <v>25000.0036</v>
      </c>
      <c r="M1887" s="59"/>
    </row>
    <row r="1888" spans="2:13">
      <c r="B1888" s="40" t="s">
        <v>2319</v>
      </c>
      <c r="C1888" s="41">
        <v>6</v>
      </c>
      <c r="D1888" s="42">
        <v>10</v>
      </c>
      <c r="E1888" s="43">
        <v>54637</v>
      </c>
      <c r="F1888" s="44">
        <v>36297969</v>
      </c>
      <c r="G1888" s="1" t="str">
        <f>IFERROR(IF(ventas_b_mes684[[#This Row],[CUIT]]="","-",VLOOKUP(ventas_b_mes684[[#This Row],[CUIT]],Lista_CUIT[#All],2,0)),"CUIT NO CARGADO")</f>
        <v>CUIT NO CARGADO</v>
      </c>
      <c r="H1888" s="64">
        <v>41446.28</v>
      </c>
      <c r="I1888" s="64">
        <f>ventas_b_mes684[[#This Row],[IMPORTE NETO]]*0.21</f>
        <v>8703.7187999999987</v>
      </c>
      <c r="J1888" s="64"/>
      <c r="K1888" s="64"/>
      <c r="L1888" s="64">
        <f>SUM(ventas_b_mes684[[#This Row],[IMPORTE NETO]:[EXENTO]])</f>
        <v>50149.998800000001</v>
      </c>
      <c r="M1888" s="59"/>
    </row>
    <row r="1889" spans="2:13">
      <c r="B1889" s="40" t="s">
        <v>2319</v>
      </c>
      <c r="C1889" s="41">
        <v>6</v>
      </c>
      <c r="D1889" s="42">
        <v>10</v>
      </c>
      <c r="E1889" s="43">
        <v>54636</v>
      </c>
      <c r="F1889" s="44">
        <v>13237807</v>
      </c>
      <c r="G1889" s="1" t="str">
        <f>IFERROR(IF(ventas_b_mes684[[#This Row],[CUIT]]="","-",VLOOKUP(ventas_b_mes684[[#This Row],[CUIT]],Lista_CUIT[#All],2,0)),"CUIT NO CARGADO")</f>
        <v>CUIT NO CARGADO</v>
      </c>
      <c r="H1889" s="64">
        <v>20661.16</v>
      </c>
      <c r="I1889" s="64">
        <f>ventas_b_mes684[[#This Row],[IMPORTE NETO]]*0.21</f>
        <v>4338.8436000000002</v>
      </c>
      <c r="J1889" s="64"/>
      <c r="K1889" s="64"/>
      <c r="L1889" s="64">
        <f>SUM(ventas_b_mes684[[#This Row],[IMPORTE NETO]:[EXENTO]])</f>
        <v>25000.0036</v>
      </c>
      <c r="M1889" s="59"/>
    </row>
    <row r="1890" spans="2:13">
      <c r="B1890" s="40" t="s">
        <v>2319</v>
      </c>
      <c r="C1890" s="41">
        <v>6</v>
      </c>
      <c r="D1890" s="42">
        <v>11</v>
      </c>
      <c r="E1890" s="43">
        <v>38333</v>
      </c>
      <c r="F1890" s="44">
        <v>24963154</v>
      </c>
      <c r="G1890" s="1" t="str">
        <f>IFERROR(IF(ventas_b_mes684[[#This Row],[CUIT]]="","-",VLOOKUP(ventas_b_mes684[[#This Row],[CUIT]],Lista_CUIT[#All],2,0)),"CUIT NO CARGADO")</f>
        <v>CUIT NO CARGADO</v>
      </c>
      <c r="H1890" s="64">
        <v>20661.16</v>
      </c>
      <c r="I1890" s="64">
        <f>ventas_b_mes684[[#This Row],[IMPORTE NETO]]*0.21</f>
        <v>4338.8436000000002</v>
      </c>
      <c r="J1890" s="64"/>
      <c r="K1890" s="64"/>
      <c r="L1890" s="64">
        <f>SUM(ventas_b_mes684[[#This Row],[IMPORTE NETO]:[EXENTO]])</f>
        <v>25000.0036</v>
      </c>
      <c r="M1890" s="59"/>
    </row>
    <row r="1891" spans="2:13">
      <c r="B1891" s="40" t="s">
        <v>2319</v>
      </c>
      <c r="C1891" s="41">
        <v>6</v>
      </c>
      <c r="D1891" s="42">
        <v>10</v>
      </c>
      <c r="E1891" s="43">
        <v>54653</v>
      </c>
      <c r="F1891" s="44">
        <v>13332911</v>
      </c>
      <c r="G1891" s="1" t="str">
        <f>IFERROR(IF(ventas_b_mes684[[#This Row],[CUIT]]="","-",VLOOKUP(ventas_b_mes684[[#This Row],[CUIT]],Lista_CUIT[#All],2,0)),"CUIT NO CARGADO")</f>
        <v>CUIT NO CARGADO</v>
      </c>
      <c r="H1891" s="64">
        <v>52115.7</v>
      </c>
      <c r="I1891" s="64">
        <f>ventas_b_mes684[[#This Row],[IMPORTE NETO]]*0.21</f>
        <v>10944.296999999999</v>
      </c>
      <c r="J1891" s="64"/>
      <c r="K1891" s="64"/>
      <c r="L1891" s="64">
        <f>SUM(ventas_b_mes684[[#This Row],[IMPORTE NETO]:[EXENTO]])</f>
        <v>63059.996999999996</v>
      </c>
      <c r="M1891" s="59"/>
    </row>
    <row r="1892" spans="2:13">
      <c r="B1892" s="40" t="s">
        <v>2319</v>
      </c>
      <c r="C1892" s="41">
        <v>6</v>
      </c>
      <c r="D1892" s="42">
        <v>15</v>
      </c>
      <c r="E1892" s="43">
        <v>13418</v>
      </c>
      <c r="F1892" s="44">
        <v>26272486</v>
      </c>
      <c r="G1892" s="1" t="str">
        <f>IFERROR(IF(ventas_b_mes684[[#This Row],[CUIT]]="","-",VLOOKUP(ventas_b_mes684[[#This Row],[CUIT]],Lista_CUIT[#All],2,0)),"CUIT NO CARGADO")</f>
        <v>BALMACEDA,NATALIA LORENA</v>
      </c>
      <c r="H1892" s="64">
        <v>14545.45</v>
      </c>
      <c r="I1892" s="64">
        <f>ventas_b_mes684[[#This Row],[IMPORTE NETO]]*0.21</f>
        <v>3054.5445</v>
      </c>
      <c r="J1892" s="64"/>
      <c r="K1892" s="64"/>
      <c r="L1892" s="64">
        <f>SUM(ventas_b_mes684[[#This Row],[IMPORTE NETO]:[EXENTO]])</f>
        <v>17599.994500000001</v>
      </c>
      <c r="M1892" s="59"/>
    </row>
    <row r="1893" spans="2:13">
      <c r="B1893" s="40" t="s">
        <v>2319</v>
      </c>
      <c r="C1893" s="41">
        <v>6</v>
      </c>
      <c r="D1893" s="42">
        <v>11</v>
      </c>
      <c r="E1893" s="43">
        <v>38328</v>
      </c>
      <c r="F1893" s="44">
        <v>96368050</v>
      </c>
      <c r="G1893" s="1" t="str">
        <f>IFERROR(IF(ventas_b_mes684[[#This Row],[CUIT]]="","-",VLOOKUP(ventas_b_mes684[[#This Row],[CUIT]],Lista_CUIT[#All],2,0)),"CUIT NO CARGADO")</f>
        <v>CUIT NO CARGADO</v>
      </c>
      <c r="H1893" s="64">
        <v>20661.16</v>
      </c>
      <c r="I1893" s="64">
        <f>ventas_b_mes684[[#This Row],[IMPORTE NETO]]*0.21</f>
        <v>4338.8436000000002</v>
      </c>
      <c r="J1893" s="64"/>
      <c r="K1893" s="64"/>
      <c r="L1893" s="64">
        <f>SUM(ventas_b_mes684[[#This Row],[IMPORTE NETO]:[EXENTO]])</f>
        <v>25000.0036</v>
      </c>
      <c r="M1893" s="59"/>
    </row>
    <row r="1894" spans="2:13">
      <c r="B1894" s="40" t="s">
        <v>2319</v>
      </c>
      <c r="C1894" s="41">
        <v>6</v>
      </c>
      <c r="D1894" s="42">
        <v>10</v>
      </c>
      <c r="E1894" s="43">
        <v>54652</v>
      </c>
      <c r="F1894" s="44">
        <v>33900278</v>
      </c>
      <c r="G1894" s="1" t="str">
        <f>IFERROR(IF(ventas_b_mes684[[#This Row],[CUIT]]="","-",VLOOKUP(ventas_b_mes684[[#This Row],[CUIT]],Lista_CUIT[#All],2,0)),"CUIT NO CARGADO")</f>
        <v>CUIT NO CARGADO</v>
      </c>
      <c r="H1894" s="64">
        <v>8264.4599999999991</v>
      </c>
      <c r="I1894" s="64">
        <f>ventas_b_mes684[[#This Row],[IMPORTE NETO]]*0.21</f>
        <v>1735.5365999999997</v>
      </c>
      <c r="J1894" s="64"/>
      <c r="K1894" s="64"/>
      <c r="L1894" s="64">
        <f>SUM(ventas_b_mes684[[#This Row],[IMPORTE NETO]:[EXENTO]])</f>
        <v>9999.9965999999986</v>
      </c>
      <c r="M1894" s="59"/>
    </row>
    <row r="1895" spans="2:13">
      <c r="B1895" s="40" t="s">
        <v>2319</v>
      </c>
      <c r="C1895" s="41">
        <v>6</v>
      </c>
      <c r="D1895" s="42">
        <v>11</v>
      </c>
      <c r="E1895" s="43">
        <v>38332</v>
      </c>
      <c r="F1895" s="44">
        <v>22039704</v>
      </c>
      <c r="G1895" s="1" t="str">
        <f>IFERROR(IF(ventas_b_mes684[[#This Row],[CUIT]]="","-",VLOOKUP(ventas_b_mes684[[#This Row],[CUIT]],Lista_CUIT[#All],2,0)),"CUIT NO CARGADO")</f>
        <v>CUIT NO CARGADO</v>
      </c>
      <c r="H1895" s="64">
        <v>12148.76</v>
      </c>
      <c r="I1895" s="64">
        <f>ventas_b_mes684[[#This Row],[IMPORTE NETO]]*0.21</f>
        <v>2551.2395999999999</v>
      </c>
      <c r="J1895" s="64"/>
      <c r="K1895" s="64"/>
      <c r="L1895" s="64">
        <f>SUM(ventas_b_mes684[[#This Row],[IMPORTE NETO]:[EXENTO]])</f>
        <v>14699.999599999999</v>
      </c>
      <c r="M1895" s="59"/>
    </row>
    <row r="1896" spans="2:13">
      <c r="B1896" s="40" t="s">
        <v>2319</v>
      </c>
      <c r="C1896" s="41">
        <v>6</v>
      </c>
      <c r="D1896" s="42">
        <v>11</v>
      </c>
      <c r="E1896" s="43">
        <v>38327</v>
      </c>
      <c r="F1896" s="44">
        <v>96368050</v>
      </c>
      <c r="G1896" s="1" t="str">
        <f>IFERROR(IF(ventas_b_mes684[[#This Row],[CUIT]]="","-",VLOOKUP(ventas_b_mes684[[#This Row],[CUIT]],Lista_CUIT[#All],2,0)),"CUIT NO CARGADO")</f>
        <v>CUIT NO CARGADO</v>
      </c>
      <c r="H1896" s="64">
        <v>297.52</v>
      </c>
      <c r="I1896" s="64">
        <f>ventas_b_mes684[[#This Row],[IMPORTE NETO]]*0.21</f>
        <v>62.479199999999992</v>
      </c>
      <c r="J1896" s="64"/>
      <c r="K1896" s="64"/>
      <c r="L1896" s="64">
        <f>SUM(ventas_b_mes684[[#This Row],[IMPORTE NETO]:[EXENTO]])</f>
        <v>359.99919999999997</v>
      </c>
      <c r="M1896" s="59"/>
    </row>
    <row r="1897" spans="2:13">
      <c r="B1897" s="40" t="s">
        <v>2319</v>
      </c>
      <c r="C1897" s="41">
        <v>6</v>
      </c>
      <c r="D1897" s="42">
        <v>15</v>
      </c>
      <c r="E1897" s="43">
        <v>13420</v>
      </c>
      <c r="F1897" s="44">
        <v>22993607</v>
      </c>
      <c r="G1897" s="1" t="str">
        <f>IFERROR(IF(ventas_b_mes684[[#This Row],[CUIT]]="","-",VLOOKUP(ventas_b_mes684[[#This Row],[CUIT]],Lista_CUIT[#All],2,0)),"CUIT NO CARGADO")</f>
        <v>MONTENEGRO,LEONOR</v>
      </c>
      <c r="H1897" s="64">
        <v>27190.080000000002</v>
      </c>
      <c r="I1897" s="64">
        <f>ventas_b_mes684[[#This Row],[IMPORTE NETO]]*0.21</f>
        <v>5709.9168</v>
      </c>
      <c r="J1897" s="64"/>
      <c r="K1897" s="64"/>
      <c r="L1897" s="64">
        <f>SUM(ventas_b_mes684[[#This Row],[IMPORTE NETO]:[EXENTO]])</f>
        <v>32899.996800000001</v>
      </c>
      <c r="M1897" s="59"/>
    </row>
    <row r="1898" spans="2:13">
      <c r="B1898" s="40" t="s">
        <v>2319</v>
      </c>
      <c r="C1898" s="41">
        <v>6</v>
      </c>
      <c r="D1898" s="42">
        <v>15</v>
      </c>
      <c r="E1898" s="43">
        <v>13417</v>
      </c>
      <c r="F1898" s="44">
        <v>26843489</v>
      </c>
      <c r="G1898" s="1" t="str">
        <f>IFERROR(IF(ventas_b_mes684[[#This Row],[CUIT]]="","-",VLOOKUP(ventas_b_mes684[[#This Row],[CUIT]],Lista_CUIT[#All],2,0)),"CUIT NO CARGADO")</f>
        <v>CAMPO, CECILIA (ALUMNA)</v>
      </c>
      <c r="H1898" s="64">
        <v>14000</v>
      </c>
      <c r="I1898" s="64">
        <f>ventas_b_mes684[[#This Row],[IMPORTE NETO]]*0.21</f>
        <v>2940</v>
      </c>
      <c r="J1898" s="64"/>
      <c r="K1898" s="64"/>
      <c r="L1898" s="64">
        <f>SUM(ventas_b_mes684[[#This Row],[IMPORTE NETO]:[EXENTO]])</f>
        <v>16940</v>
      </c>
      <c r="M1898" s="59"/>
    </row>
    <row r="1899" spans="2:13">
      <c r="B1899" s="40" t="s">
        <v>2319</v>
      </c>
      <c r="C1899" s="41">
        <v>6</v>
      </c>
      <c r="D1899" s="42">
        <v>10</v>
      </c>
      <c r="E1899" s="43">
        <v>54649</v>
      </c>
      <c r="F1899" s="44">
        <v>96275487</v>
      </c>
      <c r="G1899" s="1" t="str">
        <f>IFERROR(IF(ventas_b_mes684[[#This Row],[CUIT]]="","-",VLOOKUP(ventas_b_mes684[[#This Row],[CUIT]],Lista_CUIT[#All],2,0)),"CUIT NO CARGADO")</f>
        <v>CUIT NO CARGADO</v>
      </c>
      <c r="H1899" s="64">
        <v>6471.07</v>
      </c>
      <c r="I1899" s="64">
        <f>ventas_b_mes684[[#This Row],[IMPORTE NETO]]*0.21</f>
        <v>1358.9246999999998</v>
      </c>
      <c r="J1899" s="64"/>
      <c r="K1899" s="64"/>
      <c r="L1899" s="64">
        <f>SUM(ventas_b_mes684[[#This Row],[IMPORTE NETO]:[EXENTO]])</f>
        <v>7829.9946999999993</v>
      </c>
      <c r="M1899" s="59"/>
    </row>
    <row r="1900" spans="2:13">
      <c r="B1900" s="40" t="s">
        <v>2319</v>
      </c>
      <c r="C1900" s="41">
        <v>6</v>
      </c>
      <c r="D1900" s="42">
        <v>10</v>
      </c>
      <c r="E1900" s="43">
        <v>54651</v>
      </c>
      <c r="F1900" s="44">
        <v>20349477</v>
      </c>
      <c r="G1900" s="1" t="str">
        <f>IFERROR(IF(ventas_b_mes684[[#This Row],[CUIT]]="","-",VLOOKUP(ventas_b_mes684[[#This Row],[CUIT]],Lista_CUIT[#All],2,0)),"CUIT NO CARGADO")</f>
        <v>CUIT NO CARGADO</v>
      </c>
      <c r="H1900" s="64">
        <v>40314.050000000003</v>
      </c>
      <c r="I1900" s="64">
        <f>ventas_b_mes684[[#This Row],[IMPORTE NETO]]*0.21</f>
        <v>8465.9505000000008</v>
      </c>
      <c r="J1900" s="64"/>
      <c r="K1900" s="64"/>
      <c r="L1900" s="64">
        <f>SUM(ventas_b_mes684[[#This Row],[IMPORTE NETO]:[EXENTO]])</f>
        <v>48780.000500000002</v>
      </c>
      <c r="M1900" s="59"/>
    </row>
    <row r="1901" spans="2:13">
      <c r="B1901" s="40" t="s">
        <v>2319</v>
      </c>
      <c r="C1901" s="41">
        <v>6</v>
      </c>
      <c r="D1901" s="42">
        <v>11</v>
      </c>
      <c r="E1901" s="43">
        <v>38331</v>
      </c>
      <c r="F1901" s="44">
        <v>22039704</v>
      </c>
      <c r="G1901" s="1" t="str">
        <f>IFERROR(IF(ventas_b_mes684[[#This Row],[CUIT]]="","-",VLOOKUP(ventas_b_mes684[[#This Row],[CUIT]],Lista_CUIT[#All],2,0)),"CUIT NO CARGADO")</f>
        <v>CUIT NO CARGADO</v>
      </c>
      <c r="H1901" s="64">
        <v>29669.42</v>
      </c>
      <c r="I1901" s="64">
        <f>ventas_b_mes684[[#This Row],[IMPORTE NETO]]*0.21</f>
        <v>6230.578199999999</v>
      </c>
      <c r="J1901" s="64"/>
      <c r="K1901" s="64"/>
      <c r="L1901" s="64">
        <f>SUM(ventas_b_mes684[[#This Row],[IMPORTE NETO]:[EXENTO]])</f>
        <v>35899.998199999995</v>
      </c>
      <c r="M1901" s="59"/>
    </row>
    <row r="1902" spans="2:13">
      <c r="B1902" s="40" t="s">
        <v>2320</v>
      </c>
      <c r="C1902" s="41">
        <v>6</v>
      </c>
      <c r="D1902" s="42">
        <v>12</v>
      </c>
      <c r="E1902" s="43">
        <v>29850</v>
      </c>
      <c r="F1902" s="44">
        <v>25084623</v>
      </c>
      <c r="G1902" s="1" t="str">
        <f>IFERROR(IF(ventas_b_mes684[[#This Row],[CUIT]]="","-",VLOOKUP(ventas_b_mes684[[#This Row],[CUIT]],Lista_CUIT[#All],2,0)),"CUIT NO CARGADO")</f>
        <v>CUIT NO CARGADO</v>
      </c>
      <c r="H1902" s="64">
        <v>18446.28</v>
      </c>
      <c r="I1902" s="64">
        <f>ventas_b_mes684[[#This Row],[IMPORTE NETO]]*0.21</f>
        <v>3873.7187999999996</v>
      </c>
      <c r="J1902" s="64"/>
      <c r="K1902" s="64"/>
      <c r="L1902" s="64">
        <f>SUM(ventas_b_mes684[[#This Row],[IMPORTE NETO]:[EXENTO]])</f>
        <v>22319.998799999998</v>
      </c>
      <c r="M1902" s="59"/>
    </row>
    <row r="1903" spans="2:13">
      <c r="B1903" s="40" t="s">
        <v>2320</v>
      </c>
      <c r="C1903" s="41">
        <v>6</v>
      </c>
      <c r="D1903" s="42">
        <v>11</v>
      </c>
      <c r="E1903" s="43">
        <v>38343</v>
      </c>
      <c r="F1903" s="44">
        <v>25096698</v>
      </c>
      <c r="G1903" s="1" t="str">
        <f>IFERROR(IF(ventas_b_mes684[[#This Row],[CUIT]]="","-",VLOOKUP(ventas_b_mes684[[#This Row],[CUIT]],Lista_CUIT[#All],2,0)),"CUIT NO CARGADO")</f>
        <v>CUIT NO CARGADO</v>
      </c>
      <c r="H1903" s="64">
        <v>18909.09</v>
      </c>
      <c r="I1903" s="64">
        <f>ventas_b_mes684[[#This Row],[IMPORTE NETO]]*0.21</f>
        <v>3970.9088999999999</v>
      </c>
      <c r="J1903" s="64"/>
      <c r="K1903" s="64"/>
      <c r="L1903" s="64">
        <f>SUM(ventas_b_mes684[[#This Row],[IMPORTE NETO]:[EXENTO]])</f>
        <v>22879.998899999999</v>
      </c>
      <c r="M1903" s="59"/>
    </row>
    <row r="1904" spans="2:13">
      <c r="B1904" s="40" t="s">
        <v>2320</v>
      </c>
      <c r="C1904" s="41">
        <v>6</v>
      </c>
      <c r="D1904" s="42">
        <v>15</v>
      </c>
      <c r="E1904" s="43">
        <v>13424</v>
      </c>
      <c r="F1904" s="44">
        <v>92650983</v>
      </c>
      <c r="G1904" s="1" t="str">
        <f>IFERROR(IF(ventas_b_mes684[[#This Row],[CUIT]]="","-",VLOOKUP(ventas_b_mes684[[#This Row],[CUIT]],Lista_CUIT[#All],2,0)),"CUIT NO CARGADO")</f>
        <v>CUIT NO CARGADO</v>
      </c>
      <c r="H1904" s="64">
        <v>8396.69</v>
      </c>
      <c r="I1904" s="64">
        <f>ventas_b_mes684[[#This Row],[IMPORTE NETO]]*0.21</f>
        <v>1763.3049000000001</v>
      </c>
      <c r="J1904" s="64"/>
      <c r="K1904" s="64"/>
      <c r="L1904" s="64">
        <f>SUM(ventas_b_mes684[[#This Row],[IMPORTE NETO]:[EXENTO]])</f>
        <v>10159.994900000002</v>
      </c>
      <c r="M1904" s="59"/>
    </row>
    <row r="1905" spans="2:13">
      <c r="B1905" s="40" t="s">
        <v>2320</v>
      </c>
      <c r="C1905" s="41">
        <v>6</v>
      </c>
      <c r="D1905" s="42">
        <v>11</v>
      </c>
      <c r="E1905" s="43">
        <v>38338</v>
      </c>
      <c r="F1905" s="44">
        <v>26724779</v>
      </c>
      <c r="G1905" s="1" t="str">
        <f>IFERROR(IF(ventas_b_mes684[[#This Row],[CUIT]]="","-",VLOOKUP(ventas_b_mes684[[#This Row],[CUIT]],Lista_CUIT[#All],2,0)),"CUIT NO CARGADO")</f>
        <v>CUIT NO CARGADO</v>
      </c>
      <c r="H1905" s="64">
        <v>55545.46</v>
      </c>
      <c r="I1905" s="64">
        <f>ventas_b_mes684[[#This Row],[IMPORTE NETO]]*0.21</f>
        <v>11664.5466</v>
      </c>
      <c r="J1905" s="64"/>
      <c r="K1905" s="64"/>
      <c r="L1905" s="64">
        <f>SUM(ventas_b_mes684[[#This Row],[IMPORTE NETO]:[EXENTO]])</f>
        <v>67210.006599999993</v>
      </c>
      <c r="M1905" s="59"/>
    </row>
    <row r="1906" spans="2:13">
      <c r="B1906" s="40" t="s">
        <v>2320</v>
      </c>
      <c r="C1906" s="41">
        <v>6</v>
      </c>
      <c r="D1906" s="42">
        <v>13</v>
      </c>
      <c r="E1906" s="43">
        <v>32604</v>
      </c>
      <c r="F1906" s="44">
        <v>17885334</v>
      </c>
      <c r="G1906" s="1" t="str">
        <f>IFERROR(IF(ventas_b_mes684[[#This Row],[CUIT]]="","-",VLOOKUP(ventas_b_mes684[[#This Row],[CUIT]],Lista_CUIT[#All],2,0)),"CUIT NO CARGADO")</f>
        <v>CUIT NO CARGADO</v>
      </c>
      <c r="H1906" s="64">
        <v>56793.39</v>
      </c>
      <c r="I1906" s="64">
        <f>ventas_b_mes684[[#This Row],[IMPORTE NETO]]*0.21</f>
        <v>11926.6119</v>
      </c>
      <c r="J1906" s="64"/>
      <c r="K1906" s="64"/>
      <c r="L1906" s="64">
        <f>SUM(ventas_b_mes684[[#This Row],[IMPORTE NETO]:[EXENTO]])</f>
        <v>68720.001900000003</v>
      </c>
      <c r="M1906" s="59"/>
    </row>
    <row r="1907" spans="2:13">
      <c r="B1907" s="40" t="s">
        <v>2320</v>
      </c>
      <c r="C1907" s="41">
        <v>6</v>
      </c>
      <c r="D1907" s="42">
        <v>15</v>
      </c>
      <c r="E1907" s="43">
        <v>13434</v>
      </c>
      <c r="F1907" s="44">
        <v>31940963</v>
      </c>
      <c r="G1907" s="1" t="str">
        <f>IFERROR(IF(ventas_b_mes684[[#This Row],[CUIT]]="","-",VLOOKUP(ventas_b_mes684[[#This Row],[CUIT]],Lista_CUIT[#All],2,0)),"CUIT NO CARGADO")</f>
        <v>CUIT NO CARGADO</v>
      </c>
      <c r="H1907" s="64">
        <v>338.84</v>
      </c>
      <c r="I1907" s="64">
        <f>ventas_b_mes684[[#This Row],[IMPORTE NETO]]*0.21</f>
        <v>71.156399999999991</v>
      </c>
      <c r="J1907" s="64"/>
      <c r="K1907" s="64"/>
      <c r="L1907" s="64">
        <f>SUM(ventas_b_mes684[[#This Row],[IMPORTE NETO]:[EXENTO]])</f>
        <v>409.99639999999999</v>
      </c>
      <c r="M1907" s="59"/>
    </row>
    <row r="1908" spans="2:13">
      <c r="B1908" s="40" t="s">
        <v>2320</v>
      </c>
      <c r="C1908" s="41">
        <v>6</v>
      </c>
      <c r="D1908" s="42">
        <v>12</v>
      </c>
      <c r="E1908" s="43">
        <v>29836</v>
      </c>
      <c r="F1908" s="44">
        <v>23037138</v>
      </c>
      <c r="G1908" s="1" t="str">
        <f>IFERROR(IF(ventas_b_mes684[[#This Row],[CUIT]]="","-",VLOOKUP(ventas_b_mes684[[#This Row],[CUIT]],Lista_CUIT[#All],2,0)),"CUIT NO CARGADO")</f>
        <v>CUIT NO CARGADO</v>
      </c>
      <c r="H1908" s="64">
        <v>45134.3</v>
      </c>
      <c r="I1908" s="64">
        <f>ventas_b_mes684[[#This Row],[IMPORTE NETO]]*0.21</f>
        <v>9478.2029999999995</v>
      </c>
      <c r="J1908" s="64"/>
      <c r="K1908" s="64"/>
      <c r="L1908" s="64">
        <f>SUM(ventas_b_mes684[[#This Row],[IMPORTE NETO]:[EXENTO]])</f>
        <v>54612.503000000004</v>
      </c>
      <c r="M1908" s="59"/>
    </row>
    <row r="1909" spans="2:13">
      <c r="B1909" s="40" t="s">
        <v>2320</v>
      </c>
      <c r="C1909" s="41">
        <v>6</v>
      </c>
      <c r="D1909" s="42">
        <v>11</v>
      </c>
      <c r="E1909" s="43">
        <v>38358</v>
      </c>
      <c r="F1909" s="44">
        <v>95646957</v>
      </c>
      <c r="G1909" s="1" t="str">
        <f>IFERROR(IF(ventas_b_mes684[[#This Row],[CUIT]]="","-",VLOOKUP(ventas_b_mes684[[#This Row],[CUIT]],Lista_CUIT[#All],2,0)),"CUIT NO CARGADO")</f>
        <v>CUIT NO CARGADO</v>
      </c>
      <c r="H1909" s="64">
        <v>11181.82</v>
      </c>
      <c r="I1909" s="64">
        <f>ventas_b_mes684[[#This Row],[IMPORTE NETO]]*0.21</f>
        <v>2348.1821999999997</v>
      </c>
      <c r="J1909" s="64"/>
      <c r="K1909" s="64"/>
      <c r="L1909" s="64">
        <f>SUM(ventas_b_mes684[[#This Row],[IMPORTE NETO]:[EXENTO]])</f>
        <v>13530.002199999999</v>
      </c>
      <c r="M1909" s="59"/>
    </row>
    <row r="1910" spans="2:13">
      <c r="B1910" s="40" t="s">
        <v>2320</v>
      </c>
      <c r="C1910" s="41">
        <v>6</v>
      </c>
      <c r="D1910" s="42">
        <v>12</v>
      </c>
      <c r="E1910" s="43">
        <v>29835</v>
      </c>
      <c r="F1910" s="44">
        <v>14678334</v>
      </c>
      <c r="G1910" s="1" t="str">
        <f>IFERROR(IF(ventas_b_mes684[[#This Row],[CUIT]]="","-",VLOOKUP(ventas_b_mes684[[#This Row],[CUIT]],Lista_CUIT[#All],2,0)),"CUIT NO CARGADO")</f>
        <v>CUIT NO CARGADO</v>
      </c>
      <c r="H1910" s="64">
        <v>19256.2</v>
      </c>
      <c r="I1910" s="64">
        <f>ventas_b_mes684[[#This Row],[IMPORTE NETO]]*0.21</f>
        <v>4043.8020000000001</v>
      </c>
      <c r="J1910" s="64"/>
      <c r="K1910" s="64"/>
      <c r="L1910" s="64">
        <f>SUM(ventas_b_mes684[[#This Row],[IMPORTE NETO]:[EXENTO]])</f>
        <v>23300.002</v>
      </c>
      <c r="M1910" s="59"/>
    </row>
    <row r="1911" spans="2:13">
      <c r="B1911" s="40" t="s">
        <v>2320</v>
      </c>
      <c r="C1911" s="41">
        <v>6</v>
      </c>
      <c r="D1911" s="42">
        <v>11</v>
      </c>
      <c r="E1911" s="43">
        <v>38354</v>
      </c>
      <c r="F1911" s="44">
        <v>37029649</v>
      </c>
      <c r="G1911" s="1" t="str">
        <f>IFERROR(IF(ventas_b_mes684[[#This Row],[CUIT]]="","-",VLOOKUP(ventas_b_mes684[[#This Row],[CUIT]],Lista_CUIT[#All],2,0)),"CUIT NO CARGADO")</f>
        <v>CUIT NO CARGADO</v>
      </c>
      <c r="H1911" s="64">
        <v>13165.29</v>
      </c>
      <c r="I1911" s="64">
        <f>ventas_b_mes684[[#This Row],[IMPORTE NETO]]*0.21</f>
        <v>2764.7109</v>
      </c>
      <c r="J1911" s="64"/>
      <c r="K1911" s="64"/>
      <c r="L1911" s="64">
        <f>SUM(ventas_b_mes684[[#This Row],[IMPORTE NETO]:[EXENTO]])</f>
        <v>15930.000900000001</v>
      </c>
      <c r="M1911" s="59"/>
    </row>
    <row r="1912" spans="2:13">
      <c r="B1912" s="40" t="s">
        <v>2320</v>
      </c>
      <c r="C1912" s="41">
        <v>6</v>
      </c>
      <c r="D1912" s="42">
        <v>13</v>
      </c>
      <c r="E1912" s="43">
        <v>32602</v>
      </c>
      <c r="F1912" s="44">
        <v>21472662</v>
      </c>
      <c r="G1912" s="1" t="str">
        <f>IFERROR(IF(ventas_b_mes684[[#This Row],[CUIT]]="","-",VLOOKUP(ventas_b_mes684[[#This Row],[CUIT]],Lista_CUIT[#All],2,0)),"CUIT NO CARGADO")</f>
        <v>CUIT NO CARGADO</v>
      </c>
      <c r="H1912" s="64">
        <v>46082.64</v>
      </c>
      <c r="I1912" s="64">
        <f>ventas_b_mes684[[#This Row],[IMPORTE NETO]]*0.21</f>
        <v>9677.3544000000002</v>
      </c>
      <c r="J1912" s="64"/>
      <c r="K1912" s="64"/>
      <c r="L1912" s="64">
        <f>SUM(ventas_b_mes684[[#This Row],[IMPORTE NETO]:[EXENTO]])</f>
        <v>55759.994399999996</v>
      </c>
      <c r="M1912" s="59"/>
    </row>
    <row r="1913" spans="2:13">
      <c r="B1913" s="40" t="s">
        <v>2320</v>
      </c>
      <c r="C1913" s="41">
        <v>6</v>
      </c>
      <c r="D1913" s="42">
        <v>10</v>
      </c>
      <c r="E1913" s="43">
        <v>54680</v>
      </c>
      <c r="F1913" s="44">
        <v>26229602</v>
      </c>
      <c r="G1913" s="1" t="str">
        <f>IFERROR(IF(ventas_b_mes684[[#This Row],[CUIT]]="","-",VLOOKUP(ventas_b_mes684[[#This Row],[CUIT]],Lista_CUIT[#All],2,0)),"CUIT NO CARGADO")</f>
        <v>CUIT NO CARGADO</v>
      </c>
      <c r="H1913" s="64">
        <v>20661.16</v>
      </c>
      <c r="I1913" s="64">
        <f>ventas_b_mes684[[#This Row],[IMPORTE NETO]]*0.21</f>
        <v>4338.8436000000002</v>
      </c>
      <c r="J1913" s="64"/>
      <c r="K1913" s="64"/>
      <c r="L1913" s="64">
        <f>SUM(ventas_b_mes684[[#This Row],[IMPORTE NETO]:[EXENTO]])</f>
        <v>25000.0036</v>
      </c>
      <c r="M1913" s="59"/>
    </row>
    <row r="1914" spans="2:13">
      <c r="B1914" s="40" t="s">
        <v>2320</v>
      </c>
      <c r="C1914" s="41">
        <v>6</v>
      </c>
      <c r="D1914" s="42">
        <v>10</v>
      </c>
      <c r="E1914" s="43">
        <v>54674</v>
      </c>
      <c r="F1914" s="44">
        <v>27289788722</v>
      </c>
      <c r="G1914" s="1" t="str">
        <f>IFERROR(IF(ventas_b_mes684[[#This Row],[CUIT]]="","-",VLOOKUP(ventas_b_mes684[[#This Row],[CUIT]],Lista_CUIT[#All],2,0)),"CUIT NO CARGADO")</f>
        <v>CUIT NO CARGADO</v>
      </c>
      <c r="H1914" s="64">
        <v>60165.5</v>
      </c>
      <c r="I1914" s="64">
        <f>ventas_b_mes684[[#This Row],[IMPORTE NETO]]*0.21</f>
        <v>12634.754999999999</v>
      </c>
      <c r="J1914" s="64"/>
      <c r="K1914" s="64"/>
      <c r="L1914" s="64">
        <f>SUM(ventas_b_mes684[[#This Row],[IMPORTE NETO]:[EXENTO]])</f>
        <v>72800.255000000005</v>
      </c>
      <c r="M1914" s="59"/>
    </row>
    <row r="1915" spans="2:13">
      <c r="B1915" s="40" t="s">
        <v>2320</v>
      </c>
      <c r="C1915" s="41">
        <v>6</v>
      </c>
      <c r="D1915" s="42">
        <v>10</v>
      </c>
      <c r="E1915" s="43">
        <v>54679</v>
      </c>
      <c r="F1915" s="44">
        <v>22479568</v>
      </c>
      <c r="G1915" s="1" t="str">
        <f>IFERROR(IF(ventas_b_mes684[[#This Row],[CUIT]]="","-",VLOOKUP(ventas_b_mes684[[#This Row],[CUIT]],Lista_CUIT[#All],2,0)),"CUIT NO CARGADO")</f>
        <v>CUIT NO CARGADO</v>
      </c>
      <c r="H1915" s="64">
        <v>20661.16</v>
      </c>
      <c r="I1915" s="64">
        <f>ventas_b_mes684[[#This Row],[IMPORTE NETO]]*0.21</f>
        <v>4338.8436000000002</v>
      </c>
      <c r="J1915" s="64"/>
      <c r="K1915" s="64"/>
      <c r="L1915" s="64">
        <f>SUM(ventas_b_mes684[[#This Row],[IMPORTE NETO]:[EXENTO]])</f>
        <v>25000.0036</v>
      </c>
      <c r="M1915" s="59"/>
    </row>
    <row r="1916" spans="2:13">
      <c r="B1916" s="40" t="s">
        <v>2320</v>
      </c>
      <c r="C1916" s="41">
        <v>6</v>
      </c>
      <c r="D1916" s="42">
        <v>11</v>
      </c>
      <c r="E1916" s="43">
        <v>38357</v>
      </c>
      <c r="F1916" s="44">
        <v>94755011</v>
      </c>
      <c r="G1916" s="1" t="str">
        <f>IFERROR(IF(ventas_b_mes684[[#This Row],[CUIT]]="","-",VLOOKUP(ventas_b_mes684[[#This Row],[CUIT]],Lista_CUIT[#All],2,0)),"CUIT NO CARGADO")</f>
        <v>CUIT NO CARGADO</v>
      </c>
      <c r="H1916" s="64">
        <v>8851.24</v>
      </c>
      <c r="I1916" s="64">
        <f>ventas_b_mes684[[#This Row],[IMPORTE NETO]]*0.21</f>
        <v>1858.7603999999999</v>
      </c>
      <c r="J1916" s="64"/>
      <c r="K1916" s="64"/>
      <c r="L1916" s="64">
        <f>SUM(ventas_b_mes684[[#This Row],[IMPORTE NETO]:[EXENTO]])</f>
        <v>10710.000399999999</v>
      </c>
      <c r="M1916" s="59"/>
    </row>
    <row r="1917" spans="2:13">
      <c r="B1917" s="40" t="s">
        <v>2320</v>
      </c>
      <c r="C1917" s="41">
        <v>6</v>
      </c>
      <c r="D1917" s="42">
        <v>15</v>
      </c>
      <c r="E1917" s="43">
        <v>13425</v>
      </c>
      <c r="F1917" s="44">
        <v>45300964</v>
      </c>
      <c r="G1917" s="1" t="str">
        <f>IFERROR(IF(ventas_b_mes684[[#This Row],[CUIT]]="","-",VLOOKUP(ventas_b_mes684[[#This Row],[CUIT]],Lista_CUIT[#All],2,0)),"CUIT NO CARGADO")</f>
        <v>CUIT NO CARGADO</v>
      </c>
      <c r="H1917" s="64">
        <v>5157.0200000000004</v>
      </c>
      <c r="I1917" s="64">
        <f>ventas_b_mes684[[#This Row],[IMPORTE NETO]]*0.21</f>
        <v>1082.9742000000001</v>
      </c>
      <c r="J1917" s="64"/>
      <c r="K1917" s="64"/>
      <c r="L1917" s="64">
        <f>SUM(ventas_b_mes684[[#This Row],[IMPORTE NETO]:[EXENTO]])</f>
        <v>6239.994200000001</v>
      </c>
      <c r="M1917" s="59"/>
    </row>
    <row r="1918" spans="2:13">
      <c r="B1918" s="40" t="s">
        <v>2320</v>
      </c>
      <c r="C1918" s="41">
        <v>6</v>
      </c>
      <c r="D1918" s="42">
        <v>10</v>
      </c>
      <c r="E1918" s="43">
        <v>54659</v>
      </c>
      <c r="F1918" s="44">
        <v>27220670878</v>
      </c>
      <c r="G1918" s="1" t="str">
        <f>IFERROR(IF(ventas_b_mes684[[#This Row],[CUIT]]="","-",VLOOKUP(ventas_b_mes684[[#This Row],[CUIT]],Lista_CUIT[#All],2,0)),"CUIT NO CARGADO")</f>
        <v>SOSA KARINA ERICA</v>
      </c>
      <c r="H1918" s="64">
        <v>86466.87</v>
      </c>
      <c r="I1918" s="64">
        <f>ventas_b_mes684[[#This Row],[IMPORTE NETO]]*0.21</f>
        <v>18158.042699999998</v>
      </c>
      <c r="J1918" s="64"/>
      <c r="K1918" s="64"/>
      <c r="L1918" s="64">
        <f>SUM(ventas_b_mes684[[#This Row],[IMPORTE NETO]:[EXENTO]])</f>
        <v>104624.91269999999</v>
      </c>
      <c r="M1918" s="59"/>
    </row>
    <row r="1919" spans="2:13">
      <c r="B1919" s="40" t="s">
        <v>2320</v>
      </c>
      <c r="C1919" s="41">
        <v>6</v>
      </c>
      <c r="D1919" s="42">
        <v>12</v>
      </c>
      <c r="E1919" s="43">
        <v>29825</v>
      </c>
      <c r="F1919" s="44">
        <v>11046463</v>
      </c>
      <c r="G1919" s="1" t="str">
        <f>IFERROR(IF(ventas_b_mes684[[#This Row],[CUIT]]="","-",VLOOKUP(ventas_b_mes684[[#This Row],[CUIT]],Lista_CUIT[#All],2,0)),"CUIT NO CARGADO")</f>
        <v>LOPEZ MIRTHA MABEL</v>
      </c>
      <c r="H1919" s="64">
        <v>22366.12</v>
      </c>
      <c r="I1919" s="64">
        <f>ventas_b_mes684[[#This Row],[IMPORTE NETO]]*0.21</f>
        <v>4696.8851999999997</v>
      </c>
      <c r="J1919" s="64"/>
      <c r="K1919" s="64"/>
      <c r="L1919" s="64">
        <f>SUM(ventas_b_mes684[[#This Row],[IMPORTE NETO]:[EXENTO]])</f>
        <v>27063.0052</v>
      </c>
      <c r="M1919" s="59"/>
    </row>
    <row r="1920" spans="2:13">
      <c r="B1920" s="40" t="s">
        <v>2320</v>
      </c>
      <c r="C1920" s="41">
        <v>6</v>
      </c>
      <c r="D1920" s="42">
        <v>13</v>
      </c>
      <c r="E1920" s="43">
        <v>32597</v>
      </c>
      <c r="F1920" s="44">
        <v>111</v>
      </c>
      <c r="G1920" s="1" t="str">
        <f>IFERROR(IF(ventas_b_mes684[[#This Row],[CUIT]]="","-",VLOOKUP(ventas_b_mes684[[#This Row],[CUIT]],Lista_CUIT[#All],2,0)),"CUIT NO CARGADO")</f>
        <v>LOPEZ,Sandra</v>
      </c>
      <c r="H1920" s="64">
        <v>129049.59</v>
      </c>
      <c r="I1920" s="64">
        <f>ventas_b_mes684[[#This Row],[IMPORTE NETO]]*0.21</f>
        <v>27100.4139</v>
      </c>
      <c r="J1920" s="64"/>
      <c r="K1920" s="64"/>
      <c r="L1920" s="64">
        <f>SUM(ventas_b_mes684[[#This Row],[IMPORTE NETO]:[EXENTO]])</f>
        <v>156150.00390000001</v>
      </c>
      <c r="M1920" s="59"/>
    </row>
    <row r="1921" spans="2:13">
      <c r="B1921" s="40" t="s">
        <v>2320</v>
      </c>
      <c r="C1921" s="41">
        <v>6</v>
      </c>
      <c r="D1921" s="42">
        <v>12</v>
      </c>
      <c r="E1921" s="43">
        <v>29846</v>
      </c>
      <c r="F1921" s="44">
        <v>20515651</v>
      </c>
      <c r="G1921" s="1" t="str">
        <f>IFERROR(IF(ventas_b_mes684[[#This Row],[CUIT]]="","-",VLOOKUP(ventas_b_mes684[[#This Row],[CUIT]],Lista_CUIT[#All],2,0)),"CUIT NO CARGADO")</f>
        <v>CUIT NO CARGADO</v>
      </c>
      <c r="H1921" s="64">
        <v>21752.07</v>
      </c>
      <c r="I1921" s="64">
        <f>ventas_b_mes684[[#This Row],[IMPORTE NETO]]*0.21</f>
        <v>4567.9346999999998</v>
      </c>
      <c r="J1921" s="64"/>
      <c r="K1921" s="64"/>
      <c r="L1921" s="64">
        <f>SUM(ventas_b_mes684[[#This Row],[IMPORTE NETO]:[EXENTO]])</f>
        <v>26320.004699999998</v>
      </c>
      <c r="M1921" s="59"/>
    </row>
    <row r="1922" spans="2:13">
      <c r="B1922" s="40" t="s">
        <v>2320</v>
      </c>
      <c r="C1922" s="41">
        <v>6</v>
      </c>
      <c r="D1922" s="42">
        <v>12</v>
      </c>
      <c r="E1922" s="43">
        <v>29847</v>
      </c>
      <c r="F1922" s="44">
        <v>26543813</v>
      </c>
      <c r="G1922" s="1" t="str">
        <f>IFERROR(IF(ventas_b_mes684[[#This Row],[CUIT]]="","-",VLOOKUP(ventas_b_mes684[[#This Row],[CUIT]],Lista_CUIT[#All],2,0)),"CUIT NO CARGADO")</f>
        <v>CUIT NO CARGADO</v>
      </c>
      <c r="H1922" s="64">
        <v>9322.33</v>
      </c>
      <c r="I1922" s="64">
        <f>ventas_b_mes684[[#This Row],[IMPORTE NETO]]*0.21</f>
        <v>1957.6893</v>
      </c>
      <c r="J1922" s="64"/>
      <c r="K1922" s="64"/>
      <c r="L1922" s="64">
        <f>SUM(ventas_b_mes684[[#This Row],[IMPORTE NETO]:[EXENTO]])</f>
        <v>11280.0193</v>
      </c>
      <c r="M1922" s="59"/>
    </row>
    <row r="1923" spans="2:13">
      <c r="B1923" s="40" t="s">
        <v>2320</v>
      </c>
      <c r="C1923" s="41">
        <v>6</v>
      </c>
      <c r="D1923" s="42">
        <v>12</v>
      </c>
      <c r="E1923" s="43">
        <v>29844</v>
      </c>
      <c r="F1923" s="44">
        <v>11569458</v>
      </c>
      <c r="G1923" s="1" t="str">
        <f>IFERROR(IF(ventas_b_mes684[[#This Row],[CUIT]]="","-",VLOOKUP(ventas_b_mes684[[#This Row],[CUIT]],Lista_CUIT[#All],2,0)),"CUIT NO CARGADO")</f>
        <v>CUIT NO CARGADO</v>
      </c>
      <c r="H1923" s="64">
        <v>10909.09</v>
      </c>
      <c r="I1923" s="64">
        <f>ventas_b_mes684[[#This Row],[IMPORTE NETO]]*0.21</f>
        <v>2290.9088999999999</v>
      </c>
      <c r="J1923" s="64"/>
      <c r="K1923" s="64"/>
      <c r="L1923" s="64">
        <f>SUM(ventas_b_mes684[[#This Row],[IMPORTE NETO]:[EXENTO]])</f>
        <v>13199.998900000001</v>
      </c>
      <c r="M1923" s="59"/>
    </row>
    <row r="1924" spans="2:13">
      <c r="B1924" s="40" t="s">
        <v>2320</v>
      </c>
      <c r="C1924" s="41">
        <v>6</v>
      </c>
      <c r="D1924" s="42">
        <v>12</v>
      </c>
      <c r="E1924" s="43">
        <v>29843</v>
      </c>
      <c r="F1924" s="44">
        <v>11569458</v>
      </c>
      <c r="G1924" s="1" t="str">
        <f>IFERROR(IF(ventas_b_mes684[[#This Row],[CUIT]]="","-",VLOOKUP(ventas_b_mes684[[#This Row],[CUIT]],Lista_CUIT[#All],2,0)),"CUIT NO CARGADO")</f>
        <v>CUIT NO CARGADO</v>
      </c>
      <c r="H1924" s="64">
        <v>8256.2000000000007</v>
      </c>
      <c r="I1924" s="64">
        <f>ventas_b_mes684[[#This Row],[IMPORTE NETO]]*0.21</f>
        <v>1733.8020000000001</v>
      </c>
      <c r="J1924" s="64"/>
      <c r="K1924" s="64"/>
      <c r="L1924" s="64">
        <f>SUM(ventas_b_mes684[[#This Row],[IMPORTE NETO]:[EXENTO]])</f>
        <v>9990.0020000000004</v>
      </c>
      <c r="M1924" s="59"/>
    </row>
    <row r="1925" spans="2:13">
      <c r="B1925" s="40" t="s">
        <v>2320</v>
      </c>
      <c r="C1925" s="41">
        <v>6</v>
      </c>
      <c r="D1925" s="42">
        <v>10</v>
      </c>
      <c r="E1925" s="43">
        <v>54660</v>
      </c>
      <c r="F1925" s="44">
        <v>23213793284</v>
      </c>
      <c r="G1925" s="1" t="str">
        <f>IFERROR(IF(ventas_b_mes684[[#This Row],[CUIT]]="","-",VLOOKUP(ventas_b_mes684[[#This Row],[CUIT]],Lista_CUIT[#All],2,0)),"CUIT NO CARGADO")</f>
        <v>CUIT NO CARGADO</v>
      </c>
      <c r="H1925" s="64">
        <v>35578.51</v>
      </c>
      <c r="I1925" s="64">
        <f>ventas_b_mes684[[#This Row],[IMPORTE NETO]]*0.21</f>
        <v>7471.4871000000003</v>
      </c>
      <c r="J1925" s="64"/>
      <c r="K1925" s="64"/>
      <c r="L1925" s="64">
        <f>SUM(ventas_b_mes684[[#This Row],[IMPORTE NETO]:[EXENTO]])</f>
        <v>43049.997100000001</v>
      </c>
      <c r="M1925" s="59"/>
    </row>
    <row r="1926" spans="2:13">
      <c r="B1926" s="40" t="s">
        <v>2320</v>
      </c>
      <c r="C1926" s="41">
        <v>6</v>
      </c>
      <c r="D1926" s="42">
        <v>15</v>
      </c>
      <c r="E1926" s="43">
        <v>13426</v>
      </c>
      <c r="F1926" s="44">
        <v>13262270</v>
      </c>
      <c r="G1926" s="1" t="str">
        <f>IFERROR(IF(ventas_b_mes684[[#This Row],[CUIT]]="","-",VLOOKUP(ventas_b_mes684[[#This Row],[CUIT]],Lista_CUIT[#All],2,0)),"CUIT NO CARGADO")</f>
        <v>GENOUD,Cristina</v>
      </c>
      <c r="H1926" s="64">
        <v>4495.87</v>
      </c>
      <c r="I1926" s="64">
        <f>ventas_b_mes684[[#This Row],[IMPORTE NETO]]*0.21</f>
        <v>944.13269999999989</v>
      </c>
      <c r="J1926" s="64"/>
      <c r="K1926" s="64"/>
      <c r="L1926" s="64">
        <f>SUM(ventas_b_mes684[[#This Row],[IMPORTE NETO]:[EXENTO]])</f>
        <v>5440.0027</v>
      </c>
      <c r="M1926" s="59"/>
    </row>
    <row r="1927" spans="2:13">
      <c r="B1927" s="40" t="s">
        <v>2320</v>
      </c>
      <c r="C1927" s="41">
        <v>6</v>
      </c>
      <c r="D1927" s="42">
        <v>15</v>
      </c>
      <c r="E1927" s="43">
        <v>13437</v>
      </c>
      <c r="F1927" s="44">
        <v>32758476</v>
      </c>
      <c r="G1927" s="1" t="str">
        <f>IFERROR(IF(ventas_b_mes684[[#This Row],[CUIT]]="","-",VLOOKUP(ventas_b_mes684[[#This Row],[CUIT]],Lista_CUIT[#All],2,0)),"CUIT NO CARGADO")</f>
        <v>VONDER HEIDE, MARIBEL ROSANA (ALUMNA)</v>
      </c>
      <c r="H1927" s="64">
        <v>55735.54</v>
      </c>
      <c r="I1927" s="64">
        <f>ventas_b_mes684[[#This Row],[IMPORTE NETO]]*0.21</f>
        <v>11704.463400000001</v>
      </c>
      <c r="J1927" s="64"/>
      <c r="K1927" s="64"/>
      <c r="L1927" s="64">
        <f>SUM(ventas_b_mes684[[#This Row],[IMPORTE NETO]:[EXENTO]])</f>
        <v>67440.003400000001</v>
      </c>
      <c r="M1927" s="59"/>
    </row>
    <row r="1928" spans="2:13">
      <c r="B1928" s="40" t="s">
        <v>2320</v>
      </c>
      <c r="C1928" s="41">
        <v>6</v>
      </c>
      <c r="D1928" s="42">
        <v>11</v>
      </c>
      <c r="E1928" s="43">
        <v>38355</v>
      </c>
      <c r="F1928" s="44">
        <v>25997696</v>
      </c>
      <c r="G1928" s="1" t="str">
        <f>IFERROR(IF(ventas_b_mes684[[#This Row],[CUIT]]="","-",VLOOKUP(ventas_b_mes684[[#This Row],[CUIT]],Lista_CUIT[#All],2,0)),"CUIT NO CARGADO")</f>
        <v>CUIT NO CARGADO</v>
      </c>
      <c r="H1928" s="64">
        <v>7214.88</v>
      </c>
      <c r="I1928" s="64">
        <f>ventas_b_mes684[[#This Row],[IMPORTE NETO]]*0.21</f>
        <v>1515.1248000000001</v>
      </c>
      <c r="J1928" s="64"/>
      <c r="K1928" s="64"/>
      <c r="L1928" s="64">
        <f>SUM(ventas_b_mes684[[#This Row],[IMPORTE NETO]:[EXENTO]])</f>
        <v>8730.0048000000006</v>
      </c>
      <c r="M1928" s="59"/>
    </row>
    <row r="1929" spans="2:13">
      <c r="B1929" s="40" t="s">
        <v>2320</v>
      </c>
      <c r="C1929" s="41">
        <v>6</v>
      </c>
      <c r="D1929" s="42">
        <v>11</v>
      </c>
      <c r="E1929" s="43">
        <v>38356</v>
      </c>
      <c r="F1929" s="44">
        <v>25997696</v>
      </c>
      <c r="G1929" s="1" t="str">
        <f>IFERROR(IF(ventas_b_mes684[[#This Row],[CUIT]]="","-",VLOOKUP(ventas_b_mes684[[#This Row],[CUIT]],Lista_CUIT[#All],2,0)),"CUIT NO CARGADO")</f>
        <v>CUIT NO CARGADO</v>
      </c>
      <c r="H1929" s="64">
        <v>14876.03</v>
      </c>
      <c r="I1929" s="64">
        <f>ventas_b_mes684[[#This Row],[IMPORTE NETO]]*0.21</f>
        <v>3123.9663</v>
      </c>
      <c r="J1929" s="64"/>
      <c r="K1929" s="64"/>
      <c r="L1929" s="64">
        <f>SUM(ventas_b_mes684[[#This Row],[IMPORTE NETO]:[EXENTO]])</f>
        <v>17999.996299999999</v>
      </c>
      <c r="M1929" s="59"/>
    </row>
    <row r="1930" spans="2:13">
      <c r="B1930" s="40" t="s">
        <v>2320</v>
      </c>
      <c r="C1930" s="41">
        <v>6</v>
      </c>
      <c r="D1930" s="42">
        <v>12</v>
      </c>
      <c r="E1930" s="43">
        <v>29852</v>
      </c>
      <c r="F1930" s="44">
        <v>25839437</v>
      </c>
      <c r="G1930" s="1" t="str">
        <f>IFERROR(IF(ventas_b_mes684[[#This Row],[CUIT]]="","-",VLOOKUP(ventas_b_mes684[[#This Row],[CUIT]],Lista_CUIT[#All],2,0)),"CUIT NO CARGADO")</f>
        <v>CUIT NO CARGADO</v>
      </c>
      <c r="H1930" s="64">
        <v>32330.58</v>
      </c>
      <c r="I1930" s="64">
        <f>ventas_b_mes684[[#This Row],[IMPORTE NETO]]*0.21</f>
        <v>6789.4218000000001</v>
      </c>
      <c r="J1930" s="64"/>
      <c r="K1930" s="64"/>
      <c r="L1930" s="64">
        <f>SUM(ventas_b_mes684[[#This Row],[IMPORTE NETO]:[EXENTO]])</f>
        <v>39120.001799999998</v>
      </c>
      <c r="M1930" s="59"/>
    </row>
    <row r="1931" spans="2:13">
      <c r="B1931" s="40" t="s">
        <v>2320</v>
      </c>
      <c r="C1931" s="41">
        <v>6</v>
      </c>
      <c r="D1931" s="42">
        <v>10</v>
      </c>
      <c r="E1931" s="43">
        <v>54671</v>
      </c>
      <c r="F1931" s="44">
        <v>20216000618</v>
      </c>
      <c r="G1931" s="1" t="str">
        <f>IFERROR(IF(ventas_b_mes684[[#This Row],[CUIT]]="","-",VLOOKUP(ventas_b_mes684[[#This Row],[CUIT]],Lista_CUIT[#All],2,0)),"CUIT NO CARGADO")</f>
        <v>CUIT NO CARGADO</v>
      </c>
      <c r="H1931" s="64">
        <v>120958.82</v>
      </c>
      <c r="I1931" s="64">
        <f>ventas_b_mes684[[#This Row],[IMPORTE NETO]]*0.21</f>
        <v>25401.352200000001</v>
      </c>
      <c r="J1931" s="64"/>
      <c r="K1931" s="64"/>
      <c r="L1931" s="64">
        <f>SUM(ventas_b_mes684[[#This Row],[IMPORTE NETO]:[EXENTO]])</f>
        <v>146360.1722</v>
      </c>
      <c r="M1931" s="59"/>
    </row>
    <row r="1932" spans="2:13">
      <c r="B1932" s="40" t="s">
        <v>2320</v>
      </c>
      <c r="C1932" s="41">
        <v>6</v>
      </c>
      <c r="D1932" s="42">
        <v>10</v>
      </c>
      <c r="E1932" s="43">
        <v>54672</v>
      </c>
      <c r="F1932" s="44">
        <v>20216000618</v>
      </c>
      <c r="G1932" s="1" t="str">
        <f>IFERROR(IF(ventas_b_mes684[[#This Row],[CUIT]]="","-",VLOOKUP(ventas_b_mes684[[#This Row],[CUIT]],Lista_CUIT[#All],2,0)),"CUIT NO CARGADO")</f>
        <v>CUIT NO CARGADO</v>
      </c>
      <c r="H1932" s="64">
        <v>25943.82</v>
      </c>
      <c r="I1932" s="64">
        <f>ventas_b_mes684[[#This Row],[IMPORTE NETO]]*0.21</f>
        <v>5448.2021999999997</v>
      </c>
      <c r="J1932" s="64"/>
      <c r="K1932" s="64"/>
      <c r="L1932" s="64">
        <f>SUM(ventas_b_mes684[[#This Row],[IMPORTE NETO]:[EXENTO]])</f>
        <v>31392.022199999999</v>
      </c>
      <c r="M1932" s="59"/>
    </row>
    <row r="1933" spans="2:13">
      <c r="B1933" s="40" t="s">
        <v>2320</v>
      </c>
      <c r="C1933" s="41">
        <v>6</v>
      </c>
      <c r="D1933" s="42">
        <v>10</v>
      </c>
      <c r="E1933" s="43">
        <v>54670</v>
      </c>
      <c r="F1933" s="44">
        <v>27127676092</v>
      </c>
      <c r="G1933" s="1" t="str">
        <f>IFERROR(IF(ventas_b_mes684[[#This Row],[CUIT]]="","-",VLOOKUP(ventas_b_mes684[[#This Row],[CUIT]],Lista_CUIT[#All],2,0)),"CUIT NO CARGADO")</f>
        <v>CUIT NO CARGADO</v>
      </c>
      <c r="H1933" s="64">
        <v>98479.34</v>
      </c>
      <c r="I1933" s="64">
        <f>ventas_b_mes684[[#This Row],[IMPORTE NETO]]*0.21</f>
        <v>20680.661399999997</v>
      </c>
      <c r="J1933" s="64"/>
      <c r="K1933" s="64"/>
      <c r="L1933" s="64">
        <f>SUM(ventas_b_mes684[[#This Row],[IMPORTE NETO]:[EXENTO]])</f>
        <v>119160.00139999999</v>
      </c>
      <c r="M1933" s="59"/>
    </row>
    <row r="1934" spans="2:13">
      <c r="B1934" s="40" t="s">
        <v>2320</v>
      </c>
      <c r="C1934" s="41">
        <v>6</v>
      </c>
      <c r="D1934" s="42">
        <v>10</v>
      </c>
      <c r="E1934" s="43">
        <v>54675</v>
      </c>
      <c r="F1934" s="44">
        <v>27127676092</v>
      </c>
      <c r="G1934" s="1" t="str">
        <f>IFERROR(IF(ventas_b_mes684[[#This Row],[CUIT]]="","-",VLOOKUP(ventas_b_mes684[[#This Row],[CUIT]],Lista_CUIT[#All],2,0)),"CUIT NO CARGADO")</f>
        <v>CUIT NO CARGADO</v>
      </c>
      <c r="H1934" s="64">
        <v>338167.77</v>
      </c>
      <c r="I1934" s="64">
        <f>ventas_b_mes684[[#This Row],[IMPORTE NETO]]*0.21</f>
        <v>71015.231700000004</v>
      </c>
      <c r="J1934" s="64"/>
      <c r="K1934" s="64"/>
      <c r="L1934" s="64">
        <f>SUM(ventas_b_mes684[[#This Row],[IMPORTE NETO]:[EXENTO]])</f>
        <v>409183.00170000002</v>
      </c>
      <c r="M1934" s="59"/>
    </row>
    <row r="1935" spans="2:13">
      <c r="B1935" s="40" t="s">
        <v>2320</v>
      </c>
      <c r="C1935" s="41">
        <v>6</v>
      </c>
      <c r="D1935" s="42">
        <v>12</v>
      </c>
      <c r="E1935" s="43">
        <v>29827</v>
      </c>
      <c r="F1935" s="44">
        <v>20069109</v>
      </c>
      <c r="G1935" s="1" t="str">
        <f>IFERROR(IF(ventas_b_mes684[[#This Row],[CUIT]]="","-",VLOOKUP(ventas_b_mes684[[#This Row],[CUIT]],Lista_CUIT[#All],2,0)),"CUIT NO CARGADO")</f>
        <v>CUIT NO CARGADO</v>
      </c>
      <c r="H1935" s="64">
        <v>12413.22</v>
      </c>
      <c r="I1935" s="64">
        <f>ventas_b_mes684[[#This Row],[IMPORTE NETO]]*0.21</f>
        <v>2606.7761999999998</v>
      </c>
      <c r="J1935" s="64"/>
      <c r="K1935" s="64"/>
      <c r="L1935" s="64">
        <f>SUM(ventas_b_mes684[[#This Row],[IMPORTE NETO]:[EXENTO]])</f>
        <v>15019.9962</v>
      </c>
      <c r="M1935" s="59"/>
    </row>
    <row r="1936" spans="2:13">
      <c r="B1936" s="40" t="s">
        <v>2320</v>
      </c>
      <c r="C1936" s="41">
        <v>6</v>
      </c>
      <c r="D1936" s="42">
        <v>10</v>
      </c>
      <c r="E1936" s="43">
        <v>54684</v>
      </c>
      <c r="F1936" s="44">
        <v>41472612</v>
      </c>
      <c r="G1936" s="1" t="str">
        <f>IFERROR(IF(ventas_b_mes684[[#This Row],[CUIT]]="","-",VLOOKUP(ventas_b_mes684[[#This Row],[CUIT]],Lista_CUIT[#All],2,0)),"CUIT NO CARGADO")</f>
        <v>CUIT NO CARGADO</v>
      </c>
      <c r="H1936" s="64">
        <v>20661.16</v>
      </c>
      <c r="I1936" s="64">
        <f>ventas_b_mes684[[#This Row],[IMPORTE NETO]]*0.21</f>
        <v>4338.8436000000002</v>
      </c>
      <c r="J1936" s="64"/>
      <c r="K1936" s="64"/>
      <c r="L1936" s="64">
        <f>SUM(ventas_b_mes684[[#This Row],[IMPORTE NETO]:[EXENTO]])</f>
        <v>25000.0036</v>
      </c>
      <c r="M1936" s="59"/>
    </row>
    <row r="1937" spans="2:13">
      <c r="B1937" s="40" t="s">
        <v>2320</v>
      </c>
      <c r="C1937" s="41">
        <v>6</v>
      </c>
      <c r="D1937" s="42">
        <v>12</v>
      </c>
      <c r="E1937" s="43">
        <v>29853</v>
      </c>
      <c r="F1937" s="44">
        <v>18432994</v>
      </c>
      <c r="G1937" s="1" t="str">
        <f>IFERROR(IF(ventas_b_mes684[[#This Row],[CUIT]]="","-",VLOOKUP(ventas_b_mes684[[#This Row],[CUIT]],Lista_CUIT[#All],2,0)),"CUIT NO CARGADO")</f>
        <v>CUIT NO CARGADO</v>
      </c>
      <c r="H1937" s="64">
        <v>20661.16</v>
      </c>
      <c r="I1937" s="64">
        <f>ventas_b_mes684[[#This Row],[IMPORTE NETO]]*0.21</f>
        <v>4338.8436000000002</v>
      </c>
      <c r="J1937" s="64"/>
      <c r="K1937" s="64"/>
      <c r="L1937" s="64">
        <f>SUM(ventas_b_mes684[[#This Row],[IMPORTE NETO]:[EXENTO]])</f>
        <v>25000.0036</v>
      </c>
      <c r="M1937" s="59"/>
    </row>
    <row r="1938" spans="2:13">
      <c r="B1938" s="40" t="s">
        <v>2320</v>
      </c>
      <c r="C1938" s="41">
        <v>6</v>
      </c>
      <c r="D1938" s="42">
        <v>12</v>
      </c>
      <c r="E1938" s="43">
        <v>29854</v>
      </c>
      <c r="F1938" s="44">
        <v>32996711</v>
      </c>
      <c r="G1938" s="1" t="str">
        <f>IFERROR(IF(ventas_b_mes684[[#This Row],[CUIT]]="","-",VLOOKUP(ventas_b_mes684[[#This Row],[CUIT]],Lista_CUIT[#All],2,0)),"CUIT NO CARGADO")</f>
        <v>CUIT NO CARGADO</v>
      </c>
      <c r="H1938" s="64">
        <v>20661.16</v>
      </c>
      <c r="I1938" s="64">
        <f>ventas_b_mes684[[#This Row],[IMPORTE NETO]]*0.21</f>
        <v>4338.8436000000002</v>
      </c>
      <c r="J1938" s="64"/>
      <c r="K1938" s="64"/>
      <c r="L1938" s="64">
        <f>SUM(ventas_b_mes684[[#This Row],[IMPORTE NETO]:[EXENTO]])</f>
        <v>25000.0036</v>
      </c>
      <c r="M1938" s="59"/>
    </row>
    <row r="1939" spans="2:13">
      <c r="B1939" s="40" t="s">
        <v>2320</v>
      </c>
      <c r="C1939" s="41">
        <v>6</v>
      </c>
      <c r="D1939" s="42">
        <v>10</v>
      </c>
      <c r="E1939" s="43">
        <v>54685</v>
      </c>
      <c r="F1939" s="44">
        <v>26478603</v>
      </c>
      <c r="G1939" s="1" t="str">
        <f>IFERROR(IF(ventas_b_mes684[[#This Row],[CUIT]]="","-",VLOOKUP(ventas_b_mes684[[#This Row],[CUIT]],Lista_CUIT[#All],2,0)),"CUIT NO CARGADO")</f>
        <v>CUIT NO CARGADO</v>
      </c>
      <c r="H1939" s="64">
        <v>17322.310000000001</v>
      </c>
      <c r="I1939" s="64">
        <f>ventas_b_mes684[[#This Row],[IMPORTE NETO]]*0.21</f>
        <v>3637.6851000000001</v>
      </c>
      <c r="J1939" s="64"/>
      <c r="K1939" s="64"/>
      <c r="L1939" s="64">
        <f>SUM(ventas_b_mes684[[#This Row],[IMPORTE NETO]:[EXENTO]])</f>
        <v>20959.9951</v>
      </c>
      <c r="M1939" s="59"/>
    </row>
    <row r="1940" spans="2:13">
      <c r="B1940" s="40" t="s">
        <v>2320</v>
      </c>
      <c r="C1940" s="41">
        <v>6</v>
      </c>
      <c r="D1940" s="42">
        <v>12</v>
      </c>
      <c r="E1940" s="43">
        <v>29823</v>
      </c>
      <c r="F1940" s="44">
        <v>94050652</v>
      </c>
      <c r="G1940" s="1" t="str">
        <f>IFERROR(IF(ventas_b_mes684[[#This Row],[CUIT]]="","-",VLOOKUP(ventas_b_mes684[[#This Row],[CUIT]],Lista_CUIT[#All],2,0)),"CUIT NO CARGADO")</f>
        <v>CUIT NO CARGADO</v>
      </c>
      <c r="H1940" s="64">
        <v>52421.49</v>
      </c>
      <c r="I1940" s="64">
        <f>ventas_b_mes684[[#This Row],[IMPORTE NETO]]*0.21</f>
        <v>11008.5129</v>
      </c>
      <c r="J1940" s="64"/>
      <c r="K1940" s="64"/>
      <c r="L1940" s="64">
        <f>SUM(ventas_b_mes684[[#This Row],[IMPORTE NETO]:[EXENTO]])</f>
        <v>63430.002899999999</v>
      </c>
      <c r="M1940" s="59"/>
    </row>
    <row r="1941" spans="2:13">
      <c r="B1941" s="40" t="s">
        <v>2320</v>
      </c>
      <c r="C1941" s="41">
        <v>6</v>
      </c>
      <c r="D1941" s="42">
        <v>11</v>
      </c>
      <c r="E1941" s="43">
        <v>38348</v>
      </c>
      <c r="F1941" s="44">
        <v>25687743</v>
      </c>
      <c r="G1941" s="1" t="str">
        <f>IFERROR(IF(ventas_b_mes684[[#This Row],[CUIT]]="","-",VLOOKUP(ventas_b_mes684[[#This Row],[CUIT]],Lista_CUIT[#All],2,0)),"CUIT NO CARGADO")</f>
        <v>CUIT NO CARGADO</v>
      </c>
      <c r="H1941" s="64">
        <v>13057.85</v>
      </c>
      <c r="I1941" s="64">
        <f>ventas_b_mes684[[#This Row],[IMPORTE NETO]]*0.21</f>
        <v>2742.1484999999998</v>
      </c>
      <c r="J1941" s="64"/>
      <c r="K1941" s="64"/>
      <c r="L1941" s="64">
        <f>SUM(ventas_b_mes684[[#This Row],[IMPORTE NETO]:[EXENTO]])</f>
        <v>15799.9985</v>
      </c>
      <c r="M1941" s="59"/>
    </row>
    <row r="1942" spans="2:13">
      <c r="B1942" s="40" t="s">
        <v>2320</v>
      </c>
      <c r="C1942" s="41">
        <v>6</v>
      </c>
      <c r="D1942" s="42">
        <v>12</v>
      </c>
      <c r="E1942" s="43">
        <v>29830</v>
      </c>
      <c r="F1942" s="44">
        <v>17751206</v>
      </c>
      <c r="G1942" s="1" t="str">
        <f>IFERROR(IF(ventas_b_mes684[[#This Row],[CUIT]]="","-",VLOOKUP(ventas_b_mes684[[#This Row],[CUIT]],Lista_CUIT[#All],2,0)),"CUIT NO CARGADO")</f>
        <v>CUIT NO CARGADO</v>
      </c>
      <c r="H1942" s="64">
        <v>8595.0400000000009</v>
      </c>
      <c r="I1942" s="64">
        <f>ventas_b_mes684[[#This Row],[IMPORTE NETO]]*0.21</f>
        <v>1804.9584000000002</v>
      </c>
      <c r="J1942" s="64"/>
      <c r="K1942" s="64"/>
      <c r="L1942" s="64">
        <f>SUM(ventas_b_mes684[[#This Row],[IMPORTE NETO]:[EXENTO]])</f>
        <v>10399.9984</v>
      </c>
      <c r="M1942" s="59"/>
    </row>
    <row r="1943" spans="2:13">
      <c r="B1943" s="40" t="s">
        <v>2320</v>
      </c>
      <c r="C1943" s="41">
        <v>6</v>
      </c>
      <c r="D1943" s="42">
        <v>11</v>
      </c>
      <c r="E1943" s="43">
        <v>38347</v>
      </c>
      <c r="F1943" s="44">
        <v>42877623</v>
      </c>
      <c r="G1943" s="1" t="str">
        <f>IFERROR(IF(ventas_b_mes684[[#This Row],[CUIT]]="","-",VLOOKUP(ventas_b_mes684[[#This Row],[CUIT]],Lista_CUIT[#All],2,0)),"CUIT NO CARGADO")</f>
        <v>CUIT NO CARGADO</v>
      </c>
      <c r="H1943" s="64">
        <v>25123.97</v>
      </c>
      <c r="I1943" s="64">
        <f>ventas_b_mes684[[#This Row],[IMPORTE NETO]]*0.21</f>
        <v>5276.0337</v>
      </c>
      <c r="J1943" s="64"/>
      <c r="K1943" s="64"/>
      <c r="L1943" s="64">
        <f>SUM(ventas_b_mes684[[#This Row],[IMPORTE NETO]:[EXENTO]])</f>
        <v>30400.003700000001</v>
      </c>
      <c r="M1943" s="59"/>
    </row>
    <row r="1944" spans="2:13">
      <c r="B1944" s="40" t="s">
        <v>2320</v>
      </c>
      <c r="C1944" s="41">
        <v>6</v>
      </c>
      <c r="D1944" s="42">
        <v>10</v>
      </c>
      <c r="E1944" s="43">
        <v>54676</v>
      </c>
      <c r="F1944" s="44">
        <v>94604021</v>
      </c>
      <c r="G1944" s="1" t="str">
        <f>IFERROR(IF(ventas_b_mes684[[#This Row],[CUIT]]="","-",VLOOKUP(ventas_b_mes684[[#This Row],[CUIT]],Lista_CUIT[#All],2,0)),"CUIT NO CARGADO")</f>
        <v>CUIT NO CARGADO</v>
      </c>
      <c r="H1944" s="64">
        <v>20661.16</v>
      </c>
      <c r="I1944" s="64">
        <f>ventas_b_mes684[[#This Row],[IMPORTE NETO]]*0.21</f>
        <v>4338.8436000000002</v>
      </c>
      <c r="J1944" s="64"/>
      <c r="K1944" s="64"/>
      <c r="L1944" s="64">
        <f>SUM(ventas_b_mes684[[#This Row],[IMPORTE NETO]:[EXENTO]])</f>
        <v>25000.0036</v>
      </c>
      <c r="M1944" s="59"/>
    </row>
    <row r="1945" spans="2:13">
      <c r="B1945" s="40" t="s">
        <v>2320</v>
      </c>
      <c r="C1945" s="41">
        <v>6</v>
      </c>
      <c r="D1945" s="42">
        <v>15</v>
      </c>
      <c r="E1945" s="43">
        <v>13431</v>
      </c>
      <c r="F1945" s="44">
        <v>18800655</v>
      </c>
      <c r="G1945" s="1" t="str">
        <f>IFERROR(IF(ventas_b_mes684[[#This Row],[CUIT]]="","-",VLOOKUP(ventas_b_mes684[[#This Row],[CUIT]],Lista_CUIT[#All],2,0)),"CUIT NO CARGADO")</f>
        <v>BRITOS DEL VALLE, DALMI</v>
      </c>
      <c r="H1945" s="64">
        <v>11768.6</v>
      </c>
      <c r="I1945" s="64">
        <f>ventas_b_mes684[[#This Row],[IMPORTE NETO]]*0.21</f>
        <v>2471.4059999999999</v>
      </c>
      <c r="J1945" s="64"/>
      <c r="K1945" s="64"/>
      <c r="L1945" s="64">
        <f>SUM(ventas_b_mes684[[#This Row],[IMPORTE NETO]:[EXENTO]])</f>
        <v>14240.006000000001</v>
      </c>
      <c r="M1945" s="59"/>
    </row>
    <row r="1946" spans="2:13">
      <c r="B1946" s="40" t="s">
        <v>2320</v>
      </c>
      <c r="C1946" s="41">
        <v>6</v>
      </c>
      <c r="D1946" s="42">
        <v>12</v>
      </c>
      <c r="E1946" s="43">
        <v>29826</v>
      </c>
      <c r="F1946" s="44">
        <v>20069109</v>
      </c>
      <c r="G1946" s="1" t="str">
        <f>IFERROR(IF(ventas_b_mes684[[#This Row],[CUIT]]="","-",VLOOKUP(ventas_b_mes684[[#This Row],[CUIT]],Lista_CUIT[#All],2,0)),"CUIT NO CARGADO")</f>
        <v>CUIT NO CARGADO</v>
      </c>
      <c r="H1946" s="64">
        <v>40132.230000000003</v>
      </c>
      <c r="I1946" s="64">
        <f>ventas_b_mes684[[#This Row],[IMPORTE NETO]]*0.21</f>
        <v>8427.7682999999997</v>
      </c>
      <c r="J1946" s="64"/>
      <c r="K1946" s="64"/>
      <c r="L1946" s="64">
        <f>SUM(ventas_b_mes684[[#This Row],[IMPORTE NETO]:[EXENTO]])</f>
        <v>48559.998300000007</v>
      </c>
      <c r="M1946" s="59"/>
    </row>
    <row r="1947" spans="2:13">
      <c r="B1947" s="40" t="s">
        <v>2320</v>
      </c>
      <c r="C1947" s="41">
        <v>6</v>
      </c>
      <c r="D1947" s="42">
        <v>12</v>
      </c>
      <c r="E1947" s="43">
        <v>29845</v>
      </c>
      <c r="F1947" s="44">
        <v>94016932</v>
      </c>
      <c r="G1947" s="1" t="str">
        <f>IFERROR(IF(ventas_b_mes684[[#This Row],[CUIT]]="","-",VLOOKUP(ventas_b_mes684[[#This Row],[CUIT]],Lista_CUIT[#All],2,0)),"CUIT NO CARGADO")</f>
        <v>CUIT NO CARGADO</v>
      </c>
      <c r="H1947" s="64">
        <v>14652.89</v>
      </c>
      <c r="I1947" s="64">
        <f>ventas_b_mes684[[#This Row],[IMPORTE NETO]]*0.21</f>
        <v>3077.1068999999998</v>
      </c>
      <c r="J1947" s="64"/>
      <c r="K1947" s="64"/>
      <c r="L1947" s="64">
        <f>SUM(ventas_b_mes684[[#This Row],[IMPORTE NETO]:[EXENTO]])</f>
        <v>17729.996899999998</v>
      </c>
      <c r="M1947" s="59"/>
    </row>
    <row r="1948" spans="2:13">
      <c r="B1948" s="40" t="s">
        <v>2320</v>
      </c>
      <c r="C1948" s="41">
        <v>6</v>
      </c>
      <c r="D1948" s="42">
        <v>10</v>
      </c>
      <c r="E1948" s="43">
        <v>54668</v>
      </c>
      <c r="F1948" s="44">
        <v>27324937078</v>
      </c>
      <c r="G1948" s="1" t="str">
        <f>IFERROR(IF(ventas_b_mes684[[#This Row],[CUIT]]="","-",VLOOKUP(ventas_b_mes684[[#This Row],[CUIT]],Lista_CUIT[#All],2,0)),"CUIT NO CARGADO")</f>
        <v>CUIT NO CARGADO</v>
      </c>
      <c r="H1948" s="64">
        <v>28977.27</v>
      </c>
      <c r="I1948" s="64">
        <f>ventas_b_mes684[[#This Row],[IMPORTE NETO]]*0.21</f>
        <v>6085.2267000000002</v>
      </c>
      <c r="J1948" s="64"/>
      <c r="K1948" s="64"/>
      <c r="L1948" s="64">
        <f>SUM(ventas_b_mes684[[#This Row],[IMPORTE NETO]:[EXENTO]])</f>
        <v>35062.496700000003</v>
      </c>
      <c r="M1948" s="59"/>
    </row>
    <row r="1949" spans="2:13">
      <c r="B1949" s="40" t="s">
        <v>2320</v>
      </c>
      <c r="C1949" s="41">
        <v>6</v>
      </c>
      <c r="D1949" s="42">
        <v>13</v>
      </c>
      <c r="E1949" s="43">
        <v>32590</v>
      </c>
      <c r="F1949" s="44">
        <v>20560897</v>
      </c>
      <c r="G1949" s="1" t="str">
        <f>IFERROR(IF(ventas_b_mes684[[#This Row],[CUIT]]="","-",VLOOKUP(ventas_b_mes684[[#This Row],[CUIT]],Lista_CUIT[#All],2,0)),"CUIT NO CARGADO")</f>
        <v>CUIT NO CARGADO</v>
      </c>
      <c r="H1949" s="64">
        <v>49173.55</v>
      </c>
      <c r="I1949" s="64">
        <f>ventas_b_mes684[[#This Row],[IMPORTE NETO]]*0.21</f>
        <v>10326.4455</v>
      </c>
      <c r="J1949" s="64"/>
      <c r="K1949" s="64"/>
      <c r="L1949" s="64">
        <f>SUM(ventas_b_mes684[[#This Row],[IMPORTE NETO]:[EXENTO]])</f>
        <v>59499.995500000005</v>
      </c>
      <c r="M1949" s="59"/>
    </row>
    <row r="1950" spans="2:13">
      <c r="B1950" s="40" t="s">
        <v>2320</v>
      </c>
      <c r="C1950" s="41">
        <v>6</v>
      </c>
      <c r="D1950" s="42">
        <v>11</v>
      </c>
      <c r="E1950" s="43">
        <v>38345</v>
      </c>
      <c r="F1950" s="44">
        <v>25317620</v>
      </c>
      <c r="G1950" s="1" t="str">
        <f>IFERROR(IF(ventas_b_mes684[[#This Row],[CUIT]]="","-",VLOOKUP(ventas_b_mes684[[#This Row],[CUIT]],Lista_CUIT[#All],2,0)),"CUIT NO CARGADO")</f>
        <v>CUIT NO CARGADO</v>
      </c>
      <c r="H1950" s="64">
        <v>2892.56</v>
      </c>
      <c r="I1950" s="64">
        <f>ventas_b_mes684[[#This Row],[IMPORTE NETO]]*0.21</f>
        <v>607.43759999999997</v>
      </c>
      <c r="J1950" s="64"/>
      <c r="K1950" s="64"/>
      <c r="L1950" s="64">
        <f>SUM(ventas_b_mes684[[#This Row],[IMPORTE NETO]:[EXENTO]])</f>
        <v>3499.9975999999997</v>
      </c>
      <c r="M1950" s="59"/>
    </row>
    <row r="1951" spans="2:13">
      <c r="B1951" s="40" t="s">
        <v>2320</v>
      </c>
      <c r="C1951" s="41">
        <v>6</v>
      </c>
      <c r="D1951" s="42">
        <v>11</v>
      </c>
      <c r="E1951" s="43">
        <v>38353</v>
      </c>
      <c r="F1951" s="44">
        <v>28664336</v>
      </c>
      <c r="G1951" s="1" t="str">
        <f>IFERROR(IF(ventas_b_mes684[[#This Row],[CUIT]]="","-",VLOOKUP(ventas_b_mes684[[#This Row],[CUIT]],Lista_CUIT[#All],2,0)),"CUIT NO CARGADO")</f>
        <v>CUIT NO CARGADO</v>
      </c>
      <c r="H1951" s="64">
        <v>20661.16</v>
      </c>
      <c r="I1951" s="64">
        <f>ventas_b_mes684[[#This Row],[IMPORTE NETO]]*0.21</f>
        <v>4338.8436000000002</v>
      </c>
      <c r="J1951" s="64"/>
      <c r="K1951" s="64"/>
      <c r="L1951" s="64">
        <f>SUM(ventas_b_mes684[[#This Row],[IMPORTE NETO]:[EXENTO]])</f>
        <v>25000.0036</v>
      </c>
      <c r="M1951" s="59"/>
    </row>
    <row r="1952" spans="2:13">
      <c r="B1952" s="40" t="s">
        <v>2320</v>
      </c>
      <c r="C1952" s="41">
        <v>6</v>
      </c>
      <c r="D1952" s="42">
        <v>10</v>
      </c>
      <c r="E1952" s="43">
        <v>54681</v>
      </c>
      <c r="F1952" s="44">
        <v>39756461</v>
      </c>
      <c r="G1952" s="1" t="str">
        <f>IFERROR(IF(ventas_b_mes684[[#This Row],[CUIT]]="","-",VLOOKUP(ventas_b_mes684[[#This Row],[CUIT]],Lista_CUIT[#All],2,0)),"CUIT NO CARGADO")</f>
        <v>CUIT NO CARGADO</v>
      </c>
      <c r="H1952" s="64">
        <v>20661.16</v>
      </c>
      <c r="I1952" s="64">
        <f>ventas_b_mes684[[#This Row],[IMPORTE NETO]]*0.21</f>
        <v>4338.8436000000002</v>
      </c>
      <c r="J1952" s="64"/>
      <c r="K1952" s="64"/>
      <c r="L1952" s="64">
        <f>SUM(ventas_b_mes684[[#This Row],[IMPORTE NETO]:[EXENTO]])</f>
        <v>25000.0036</v>
      </c>
      <c r="M1952" s="59"/>
    </row>
    <row r="1953" spans="2:13">
      <c r="B1953" s="40" t="s">
        <v>2320</v>
      </c>
      <c r="C1953" s="41">
        <v>6</v>
      </c>
      <c r="D1953" s="42">
        <v>11</v>
      </c>
      <c r="E1953" s="43">
        <v>38359</v>
      </c>
      <c r="F1953" s="44">
        <v>31603353</v>
      </c>
      <c r="G1953" s="1" t="str">
        <f>IFERROR(IF(ventas_b_mes684[[#This Row],[CUIT]]="","-",VLOOKUP(ventas_b_mes684[[#This Row],[CUIT]],Lista_CUIT[#All],2,0)),"CUIT NO CARGADO")</f>
        <v>CUIT NO CARGADO</v>
      </c>
      <c r="H1953" s="64">
        <v>20661.16</v>
      </c>
      <c r="I1953" s="64">
        <f>ventas_b_mes684[[#This Row],[IMPORTE NETO]]*0.21</f>
        <v>4338.8436000000002</v>
      </c>
      <c r="J1953" s="64"/>
      <c r="K1953" s="64"/>
      <c r="L1953" s="64">
        <f>SUM(ventas_b_mes684[[#This Row],[IMPORTE NETO]:[EXENTO]])</f>
        <v>25000.0036</v>
      </c>
      <c r="M1953" s="59"/>
    </row>
    <row r="1954" spans="2:13">
      <c r="B1954" s="40" t="s">
        <v>2320</v>
      </c>
      <c r="C1954" s="41">
        <v>6</v>
      </c>
      <c r="D1954" s="42">
        <v>11</v>
      </c>
      <c r="E1954" s="43">
        <v>38337</v>
      </c>
      <c r="F1954" s="44">
        <v>23469203</v>
      </c>
      <c r="G1954" s="1" t="str">
        <f>IFERROR(IF(ventas_b_mes684[[#This Row],[CUIT]]="","-",VLOOKUP(ventas_b_mes684[[#This Row],[CUIT]],Lista_CUIT[#All],2,0)),"CUIT NO CARGADO")</f>
        <v>CUIT NO CARGADO</v>
      </c>
      <c r="H1954" s="64">
        <v>9917.36</v>
      </c>
      <c r="I1954" s="64">
        <f>ventas_b_mes684[[#This Row],[IMPORTE NETO]]*0.21</f>
        <v>2082.6455999999998</v>
      </c>
      <c r="J1954" s="64"/>
      <c r="K1954" s="64"/>
      <c r="L1954" s="64">
        <f>SUM(ventas_b_mes684[[#This Row],[IMPORTE NETO]:[EXENTO]])</f>
        <v>12000.0056</v>
      </c>
      <c r="M1954" s="59"/>
    </row>
    <row r="1955" spans="2:13">
      <c r="B1955" s="40" t="s">
        <v>2320</v>
      </c>
      <c r="C1955" s="41">
        <v>6</v>
      </c>
      <c r="D1955" s="42">
        <v>13</v>
      </c>
      <c r="E1955" s="43">
        <v>32589</v>
      </c>
      <c r="F1955" s="44">
        <v>20379198</v>
      </c>
      <c r="G1955" s="1" t="str">
        <f>IFERROR(IF(ventas_b_mes684[[#This Row],[CUIT]]="","-",VLOOKUP(ventas_b_mes684[[#This Row],[CUIT]],Lista_CUIT[#All],2,0)),"CUIT NO CARGADO")</f>
        <v>CUIT NO CARGADO</v>
      </c>
      <c r="H1955" s="64">
        <v>58677.69</v>
      </c>
      <c r="I1955" s="64">
        <f>ventas_b_mes684[[#This Row],[IMPORTE NETO]]*0.21</f>
        <v>12322.314899999999</v>
      </c>
      <c r="J1955" s="64"/>
      <c r="K1955" s="64"/>
      <c r="L1955" s="64">
        <f>SUM(ventas_b_mes684[[#This Row],[IMPORTE NETO]:[EXENTO]])</f>
        <v>71000.0049</v>
      </c>
      <c r="M1955" s="59"/>
    </row>
    <row r="1956" spans="2:13">
      <c r="B1956" s="40" t="s">
        <v>2320</v>
      </c>
      <c r="C1956" s="41">
        <v>6</v>
      </c>
      <c r="D1956" s="42">
        <v>12</v>
      </c>
      <c r="E1956" s="43">
        <v>29819</v>
      </c>
      <c r="F1956" s="44">
        <v>30850462</v>
      </c>
      <c r="G1956" s="1" t="str">
        <f>IFERROR(IF(ventas_b_mes684[[#This Row],[CUIT]]="","-",VLOOKUP(ventas_b_mes684[[#This Row],[CUIT]],Lista_CUIT[#All],2,0)),"CUIT NO CARGADO")</f>
        <v>CUIT NO CARGADO</v>
      </c>
      <c r="H1956" s="64">
        <v>11652.89</v>
      </c>
      <c r="I1956" s="64">
        <f>ventas_b_mes684[[#This Row],[IMPORTE NETO]]*0.21</f>
        <v>2447.1068999999998</v>
      </c>
      <c r="J1956" s="64"/>
      <c r="K1956" s="64"/>
      <c r="L1956" s="64">
        <f>SUM(ventas_b_mes684[[#This Row],[IMPORTE NETO]:[EXENTO]])</f>
        <v>14099.996899999998</v>
      </c>
      <c r="M1956" s="59"/>
    </row>
    <row r="1957" spans="2:13">
      <c r="B1957" s="40" t="s">
        <v>2320</v>
      </c>
      <c r="C1957" s="41">
        <v>6</v>
      </c>
      <c r="D1957" s="42">
        <v>11</v>
      </c>
      <c r="E1957" s="43">
        <v>38344</v>
      </c>
      <c r="F1957" s="44">
        <v>32081486</v>
      </c>
      <c r="G1957" s="1" t="str">
        <f>IFERROR(IF(ventas_b_mes684[[#This Row],[CUIT]]="","-",VLOOKUP(ventas_b_mes684[[#This Row],[CUIT]],Lista_CUIT[#All],2,0)),"CUIT NO CARGADO")</f>
        <v>CUIT NO CARGADO</v>
      </c>
      <c r="H1957" s="64">
        <v>9917.36</v>
      </c>
      <c r="I1957" s="64">
        <f>ventas_b_mes684[[#This Row],[IMPORTE NETO]]*0.21</f>
        <v>2082.6455999999998</v>
      </c>
      <c r="J1957" s="64"/>
      <c r="K1957" s="64"/>
      <c r="L1957" s="64">
        <f>SUM(ventas_b_mes684[[#This Row],[IMPORTE NETO]:[EXENTO]])</f>
        <v>12000.0056</v>
      </c>
      <c r="M1957" s="59"/>
    </row>
    <row r="1958" spans="2:13">
      <c r="B1958" s="40" t="s">
        <v>2320</v>
      </c>
      <c r="C1958" s="41">
        <v>6</v>
      </c>
      <c r="D1958" s="42">
        <v>11</v>
      </c>
      <c r="E1958" s="43">
        <v>38346</v>
      </c>
      <c r="F1958" s="44">
        <v>3251710</v>
      </c>
      <c r="G1958" s="1" t="str">
        <f>IFERROR(IF(ventas_b_mes684[[#This Row],[CUIT]]="","-",VLOOKUP(ventas_b_mes684[[#This Row],[CUIT]],Lista_CUIT[#All],2,0)),"CUIT NO CARGADO")</f>
        <v>CUIT NO CARGADO</v>
      </c>
      <c r="H1958" s="64">
        <v>5355.37</v>
      </c>
      <c r="I1958" s="64">
        <f>ventas_b_mes684[[#This Row],[IMPORTE NETO]]*0.21</f>
        <v>1124.6277</v>
      </c>
      <c r="J1958" s="64"/>
      <c r="K1958" s="64"/>
      <c r="L1958" s="64">
        <f>SUM(ventas_b_mes684[[#This Row],[IMPORTE NETO]:[EXENTO]])</f>
        <v>6479.9976999999999</v>
      </c>
      <c r="M1958" s="59"/>
    </row>
    <row r="1959" spans="2:13">
      <c r="B1959" s="40" t="s">
        <v>2320</v>
      </c>
      <c r="C1959" s="41">
        <v>6</v>
      </c>
      <c r="D1959" s="42">
        <v>15</v>
      </c>
      <c r="E1959" s="43">
        <v>13427</v>
      </c>
      <c r="F1959" s="44">
        <v>29435968</v>
      </c>
      <c r="G1959" s="1" t="str">
        <f>IFERROR(IF(ventas_b_mes684[[#This Row],[CUIT]]="","-",VLOOKUP(ventas_b_mes684[[#This Row],[CUIT]],Lista_CUIT[#All],2,0)),"CUIT NO CARGADO")</f>
        <v>CUIT NO CARGADO</v>
      </c>
      <c r="H1959" s="64">
        <v>1396.69</v>
      </c>
      <c r="I1959" s="64">
        <f>ventas_b_mes684[[#This Row],[IMPORTE NETO]]*0.21</f>
        <v>293.30489999999998</v>
      </c>
      <c r="J1959" s="64"/>
      <c r="K1959" s="64"/>
      <c r="L1959" s="64">
        <f>SUM(ventas_b_mes684[[#This Row],[IMPORTE NETO]:[EXENTO]])</f>
        <v>1689.9949000000001</v>
      </c>
      <c r="M1959" s="59"/>
    </row>
    <row r="1960" spans="2:13">
      <c r="B1960" s="40" t="s">
        <v>2320</v>
      </c>
      <c r="C1960" s="41">
        <v>6</v>
      </c>
      <c r="D1960" s="42">
        <v>12</v>
      </c>
      <c r="E1960" s="43">
        <v>29842</v>
      </c>
      <c r="F1960" s="44">
        <v>38661911</v>
      </c>
      <c r="G1960" s="1" t="str">
        <f>IFERROR(IF(ventas_b_mes684[[#This Row],[CUIT]]="","-",VLOOKUP(ventas_b_mes684[[#This Row],[CUIT]],Lista_CUIT[#All],2,0)),"CUIT NO CARGADO")</f>
        <v>CUIT NO CARGADO</v>
      </c>
      <c r="H1960" s="64">
        <v>18644.63</v>
      </c>
      <c r="I1960" s="64">
        <f>ventas_b_mes684[[#This Row],[IMPORTE NETO]]*0.21</f>
        <v>3915.3723</v>
      </c>
      <c r="J1960" s="64"/>
      <c r="K1960" s="64"/>
      <c r="L1960" s="64">
        <f>SUM(ventas_b_mes684[[#This Row],[IMPORTE NETO]:[EXENTO]])</f>
        <v>22560.0023</v>
      </c>
      <c r="M1960" s="59"/>
    </row>
    <row r="1961" spans="2:13">
      <c r="B1961" s="40" t="s">
        <v>2320</v>
      </c>
      <c r="C1961" s="41">
        <v>6</v>
      </c>
      <c r="D1961" s="42">
        <v>13</v>
      </c>
      <c r="E1961" s="43">
        <v>32588</v>
      </c>
      <c r="F1961" s="44">
        <v>94167255</v>
      </c>
      <c r="G1961" s="1" t="str">
        <f>IFERROR(IF(ventas_b_mes684[[#This Row],[CUIT]]="","-",VLOOKUP(ventas_b_mes684[[#This Row],[CUIT]],Lista_CUIT[#All],2,0)),"CUIT NO CARGADO")</f>
        <v>CUIT NO CARGADO</v>
      </c>
      <c r="H1961" s="64">
        <v>20661.16</v>
      </c>
      <c r="I1961" s="64">
        <f>ventas_b_mes684[[#This Row],[IMPORTE NETO]]*0.21</f>
        <v>4338.8436000000002</v>
      </c>
      <c r="J1961" s="64"/>
      <c r="K1961" s="64"/>
      <c r="L1961" s="64">
        <f>SUM(ventas_b_mes684[[#This Row],[IMPORTE NETO]:[EXENTO]])</f>
        <v>25000.0036</v>
      </c>
      <c r="M1961" s="59"/>
    </row>
    <row r="1962" spans="2:13">
      <c r="B1962" s="40" t="s">
        <v>2320</v>
      </c>
      <c r="C1962" s="41">
        <v>6</v>
      </c>
      <c r="D1962" s="42">
        <v>15</v>
      </c>
      <c r="E1962" s="43">
        <v>13423</v>
      </c>
      <c r="F1962" s="44">
        <v>32498102</v>
      </c>
      <c r="G1962" s="1" t="str">
        <f>IFERROR(IF(ventas_b_mes684[[#This Row],[CUIT]]="","-",VLOOKUP(ventas_b_mes684[[#This Row],[CUIT]],Lista_CUIT[#All],2,0)),"CUIT NO CARGADO")</f>
        <v>CUIT NO CARGADO</v>
      </c>
      <c r="H1962" s="64">
        <v>2801.65</v>
      </c>
      <c r="I1962" s="64">
        <f>ventas_b_mes684[[#This Row],[IMPORTE NETO]]*0.21</f>
        <v>588.34649999999999</v>
      </c>
      <c r="J1962" s="64"/>
      <c r="K1962" s="64"/>
      <c r="L1962" s="64">
        <f>SUM(ventas_b_mes684[[#This Row],[IMPORTE NETO]:[EXENTO]])</f>
        <v>3389.9965000000002</v>
      </c>
      <c r="M1962" s="59"/>
    </row>
    <row r="1963" spans="2:13">
      <c r="B1963" s="40" t="s">
        <v>2320</v>
      </c>
      <c r="C1963" s="41">
        <v>6</v>
      </c>
      <c r="D1963" s="42">
        <v>11</v>
      </c>
      <c r="E1963" s="43">
        <v>38341</v>
      </c>
      <c r="F1963" s="44">
        <v>34613702</v>
      </c>
      <c r="G1963" s="1" t="str">
        <f>IFERROR(IF(ventas_b_mes684[[#This Row],[CUIT]]="","-",VLOOKUP(ventas_b_mes684[[#This Row],[CUIT]],Lista_CUIT[#All],2,0)),"CUIT NO CARGADO")</f>
        <v>CUIT NO CARGADO</v>
      </c>
      <c r="H1963" s="64">
        <v>14876.03</v>
      </c>
      <c r="I1963" s="64">
        <f>ventas_b_mes684[[#This Row],[IMPORTE NETO]]*0.21</f>
        <v>3123.9663</v>
      </c>
      <c r="J1963" s="64"/>
      <c r="K1963" s="64"/>
      <c r="L1963" s="64">
        <f>SUM(ventas_b_mes684[[#This Row],[IMPORTE NETO]:[EXENTO]])</f>
        <v>17999.996299999999</v>
      </c>
      <c r="M1963" s="59"/>
    </row>
    <row r="1964" spans="2:13">
      <c r="B1964" s="40" t="s">
        <v>2320</v>
      </c>
      <c r="C1964" s="41">
        <v>6</v>
      </c>
      <c r="D1964" s="42">
        <v>11</v>
      </c>
      <c r="E1964" s="43">
        <v>38342</v>
      </c>
      <c r="F1964" s="44">
        <v>34613702</v>
      </c>
      <c r="G1964" s="1" t="str">
        <f>IFERROR(IF(ventas_b_mes684[[#This Row],[CUIT]]="","-",VLOOKUP(ventas_b_mes684[[#This Row],[CUIT]],Lista_CUIT[#All],2,0)),"CUIT NO CARGADO")</f>
        <v>CUIT NO CARGADO</v>
      </c>
      <c r="H1964" s="64">
        <v>14876.03</v>
      </c>
      <c r="I1964" s="64">
        <f>ventas_b_mes684[[#This Row],[IMPORTE NETO]]*0.21</f>
        <v>3123.9663</v>
      </c>
      <c r="J1964" s="64"/>
      <c r="K1964" s="64"/>
      <c r="L1964" s="64">
        <f>SUM(ventas_b_mes684[[#This Row],[IMPORTE NETO]:[EXENTO]])</f>
        <v>17999.996299999999</v>
      </c>
      <c r="M1964" s="59"/>
    </row>
    <row r="1965" spans="2:13">
      <c r="B1965" s="40" t="s">
        <v>2320</v>
      </c>
      <c r="C1965" s="41">
        <v>6</v>
      </c>
      <c r="D1965" s="42">
        <v>12</v>
      </c>
      <c r="E1965" s="43">
        <v>29839</v>
      </c>
      <c r="F1965" s="44">
        <v>41385913</v>
      </c>
      <c r="G1965" s="1" t="str">
        <f>IFERROR(IF(ventas_b_mes684[[#This Row],[CUIT]]="","-",VLOOKUP(ventas_b_mes684[[#This Row],[CUIT]],Lista_CUIT[#All],2,0)),"CUIT NO CARGADO")</f>
        <v>CUIT NO CARGADO</v>
      </c>
      <c r="H1965" s="64">
        <v>14652.89</v>
      </c>
      <c r="I1965" s="64">
        <f>ventas_b_mes684[[#This Row],[IMPORTE NETO]]*0.21</f>
        <v>3077.1068999999998</v>
      </c>
      <c r="J1965" s="64"/>
      <c r="K1965" s="64"/>
      <c r="L1965" s="64">
        <f>SUM(ventas_b_mes684[[#This Row],[IMPORTE NETO]:[EXENTO]])</f>
        <v>17729.996899999998</v>
      </c>
      <c r="M1965" s="59"/>
    </row>
    <row r="1966" spans="2:13">
      <c r="B1966" s="40" t="s">
        <v>2320</v>
      </c>
      <c r="C1966" s="41">
        <v>6</v>
      </c>
      <c r="D1966" s="42">
        <v>11</v>
      </c>
      <c r="E1966" s="43">
        <v>38351</v>
      </c>
      <c r="F1966" s="44">
        <v>42102205</v>
      </c>
      <c r="G1966" s="1" t="str">
        <f>IFERROR(IF(ventas_b_mes684[[#This Row],[CUIT]]="","-",VLOOKUP(ventas_b_mes684[[#This Row],[CUIT]],Lista_CUIT[#All],2,0)),"CUIT NO CARGADO")</f>
        <v>CUIT NO CARGADO</v>
      </c>
      <c r="H1966" s="64">
        <v>20661.16</v>
      </c>
      <c r="I1966" s="64">
        <f>ventas_b_mes684[[#This Row],[IMPORTE NETO]]*0.21</f>
        <v>4338.8436000000002</v>
      </c>
      <c r="J1966" s="64"/>
      <c r="K1966" s="64"/>
      <c r="L1966" s="64">
        <f>SUM(ventas_b_mes684[[#This Row],[IMPORTE NETO]:[EXENTO]])</f>
        <v>25000.0036</v>
      </c>
      <c r="M1966" s="59"/>
    </row>
    <row r="1967" spans="2:13">
      <c r="B1967" s="40" t="s">
        <v>2320</v>
      </c>
      <c r="C1967" s="41">
        <v>6</v>
      </c>
      <c r="D1967" s="42">
        <v>12</v>
      </c>
      <c r="E1967" s="43">
        <v>29831</v>
      </c>
      <c r="F1967" s="44">
        <v>23023441</v>
      </c>
      <c r="G1967" s="1" t="str">
        <f>IFERROR(IF(ventas_b_mes684[[#This Row],[CUIT]]="","-",VLOOKUP(ventas_b_mes684[[#This Row],[CUIT]],Lista_CUIT[#All],2,0)),"CUIT NO CARGADO")</f>
        <v>CUIT NO CARGADO</v>
      </c>
      <c r="H1967" s="64">
        <v>4132.2299999999996</v>
      </c>
      <c r="I1967" s="64">
        <f>ventas_b_mes684[[#This Row],[IMPORTE NETO]]*0.21</f>
        <v>867.76829999999984</v>
      </c>
      <c r="J1967" s="64"/>
      <c r="K1967" s="64"/>
      <c r="L1967" s="64">
        <f>SUM(ventas_b_mes684[[#This Row],[IMPORTE NETO]:[EXENTO]])</f>
        <v>4999.9982999999993</v>
      </c>
      <c r="M1967" s="59"/>
    </row>
    <row r="1968" spans="2:13">
      <c r="B1968" s="40" t="s">
        <v>2320</v>
      </c>
      <c r="C1968" s="41">
        <v>6</v>
      </c>
      <c r="D1968" s="42">
        <v>10</v>
      </c>
      <c r="E1968" s="43">
        <v>54669</v>
      </c>
      <c r="F1968" s="44">
        <v>95858960</v>
      </c>
      <c r="G1968" s="1" t="str">
        <f>IFERROR(IF(ventas_b_mes684[[#This Row],[CUIT]]="","-",VLOOKUP(ventas_b_mes684[[#This Row],[CUIT]],Lista_CUIT[#All],2,0)),"CUIT NO CARGADO")</f>
        <v>CUIT NO CARGADO</v>
      </c>
      <c r="H1968" s="64">
        <v>20661.16</v>
      </c>
      <c r="I1968" s="64">
        <f>ventas_b_mes684[[#This Row],[IMPORTE NETO]]*0.21</f>
        <v>4338.8436000000002</v>
      </c>
      <c r="J1968" s="64"/>
      <c r="K1968" s="64"/>
      <c r="L1968" s="64">
        <f>SUM(ventas_b_mes684[[#This Row],[IMPORTE NETO]:[EXENTO]])</f>
        <v>25000.0036</v>
      </c>
      <c r="M1968" s="59"/>
    </row>
    <row r="1969" spans="2:13">
      <c r="B1969" s="40" t="s">
        <v>2320</v>
      </c>
      <c r="C1969" s="41">
        <v>6</v>
      </c>
      <c r="D1969" s="42">
        <v>12</v>
      </c>
      <c r="E1969" s="43">
        <v>29821</v>
      </c>
      <c r="F1969" s="44">
        <v>10365066</v>
      </c>
      <c r="G1969" s="1" t="str">
        <f>IFERROR(IF(ventas_b_mes684[[#This Row],[CUIT]]="","-",VLOOKUP(ventas_b_mes684[[#This Row],[CUIT]],Lista_CUIT[#All],2,0)),"CUIT NO CARGADO")</f>
        <v>CUIT NO CARGADO</v>
      </c>
      <c r="H1969" s="64">
        <v>98049.59</v>
      </c>
      <c r="I1969" s="64">
        <f>ventas_b_mes684[[#This Row],[IMPORTE NETO]]*0.21</f>
        <v>20590.4139</v>
      </c>
      <c r="J1969" s="64"/>
      <c r="K1969" s="64"/>
      <c r="L1969" s="64">
        <f>SUM(ventas_b_mes684[[#This Row],[IMPORTE NETO]:[EXENTO]])</f>
        <v>118640.0039</v>
      </c>
      <c r="M1969" s="59"/>
    </row>
    <row r="1970" spans="2:13">
      <c r="B1970" s="40" t="s">
        <v>2320</v>
      </c>
      <c r="C1970" s="41">
        <v>6</v>
      </c>
      <c r="D1970" s="42">
        <v>13</v>
      </c>
      <c r="E1970" s="43">
        <v>32595</v>
      </c>
      <c r="F1970" s="44">
        <v>958336751</v>
      </c>
      <c r="G1970" s="1" t="str">
        <f>IFERROR(IF(ventas_b_mes684[[#This Row],[CUIT]]="","-",VLOOKUP(ventas_b_mes684[[#This Row],[CUIT]],Lista_CUIT[#All],2,0)),"CUIT NO CARGADO")</f>
        <v>CUIT NO CARGADO</v>
      </c>
      <c r="H1970" s="64">
        <v>53752.07</v>
      </c>
      <c r="I1970" s="64">
        <f>ventas_b_mes684[[#This Row],[IMPORTE NETO]]*0.21</f>
        <v>11287.9347</v>
      </c>
      <c r="J1970" s="64"/>
      <c r="K1970" s="64"/>
      <c r="L1970" s="64">
        <f>SUM(ventas_b_mes684[[#This Row],[IMPORTE NETO]:[EXENTO]])</f>
        <v>65040.004699999998</v>
      </c>
      <c r="M1970" s="59"/>
    </row>
    <row r="1971" spans="2:13">
      <c r="B1971" s="40" t="s">
        <v>2320</v>
      </c>
      <c r="C1971" s="41">
        <v>6</v>
      </c>
      <c r="D1971" s="42">
        <v>13</v>
      </c>
      <c r="E1971" s="43">
        <v>32594</v>
      </c>
      <c r="F1971" s="44">
        <v>17538873</v>
      </c>
      <c r="G1971" s="1" t="str">
        <f>IFERROR(IF(ventas_b_mes684[[#This Row],[CUIT]]="","-",VLOOKUP(ventas_b_mes684[[#This Row],[CUIT]],Lista_CUIT[#All],2,0)),"CUIT NO CARGADO")</f>
        <v>CUIT NO CARGADO</v>
      </c>
      <c r="H1971" s="64">
        <v>20826.45</v>
      </c>
      <c r="I1971" s="64">
        <f>ventas_b_mes684[[#This Row],[IMPORTE NETO]]*0.21</f>
        <v>4373.5545000000002</v>
      </c>
      <c r="J1971" s="64"/>
      <c r="K1971" s="64"/>
      <c r="L1971" s="64">
        <f>SUM(ventas_b_mes684[[#This Row],[IMPORTE NETO]:[EXENTO]])</f>
        <v>25200.004500000003</v>
      </c>
      <c r="M1971" s="59"/>
    </row>
    <row r="1972" spans="2:13">
      <c r="B1972" s="40" t="s">
        <v>2320</v>
      </c>
      <c r="C1972" s="41">
        <v>6</v>
      </c>
      <c r="D1972" s="42">
        <v>13</v>
      </c>
      <c r="E1972" s="43">
        <v>32592</v>
      </c>
      <c r="F1972" s="44">
        <v>4767244</v>
      </c>
      <c r="G1972" s="1" t="str">
        <f>IFERROR(IF(ventas_b_mes684[[#This Row],[CUIT]]="","-",VLOOKUP(ventas_b_mes684[[#This Row],[CUIT]],Lista_CUIT[#All],2,0)),"CUIT NO CARGADO")</f>
        <v>CUIT NO CARGADO</v>
      </c>
      <c r="H1972" s="64">
        <v>44363.64</v>
      </c>
      <c r="I1972" s="64">
        <f>ventas_b_mes684[[#This Row],[IMPORTE NETO]]*0.21</f>
        <v>9316.3644000000004</v>
      </c>
      <c r="J1972" s="64"/>
      <c r="K1972" s="64"/>
      <c r="L1972" s="64">
        <f>SUM(ventas_b_mes684[[#This Row],[IMPORTE NETO]:[EXENTO]])</f>
        <v>53680.004399999998</v>
      </c>
      <c r="M1972" s="59"/>
    </row>
    <row r="1973" spans="2:13">
      <c r="B1973" s="40" t="s">
        <v>2320</v>
      </c>
      <c r="C1973" s="41">
        <v>6</v>
      </c>
      <c r="D1973" s="42">
        <v>13</v>
      </c>
      <c r="E1973" s="43">
        <v>32593</v>
      </c>
      <c r="F1973" s="44">
        <v>92336714</v>
      </c>
      <c r="G1973" s="1" t="str">
        <f>IFERROR(IF(ventas_b_mes684[[#This Row],[CUIT]]="","-",VLOOKUP(ventas_b_mes684[[#This Row],[CUIT]],Lista_CUIT[#All],2,0)),"CUIT NO CARGADO")</f>
        <v>CUIT NO CARGADO</v>
      </c>
      <c r="H1973" s="64">
        <v>10512.4</v>
      </c>
      <c r="I1973" s="64">
        <f>ventas_b_mes684[[#This Row],[IMPORTE NETO]]*0.21</f>
        <v>2207.6039999999998</v>
      </c>
      <c r="J1973" s="64"/>
      <c r="K1973" s="64"/>
      <c r="L1973" s="64">
        <f>SUM(ventas_b_mes684[[#This Row],[IMPORTE NETO]:[EXENTO]])</f>
        <v>12720.003999999999</v>
      </c>
      <c r="M1973" s="59"/>
    </row>
    <row r="1974" spans="2:13">
      <c r="B1974" s="40" t="s">
        <v>2320</v>
      </c>
      <c r="C1974" s="41">
        <v>6</v>
      </c>
      <c r="D1974" s="42">
        <v>12</v>
      </c>
      <c r="E1974" s="43">
        <v>29829</v>
      </c>
      <c r="F1974" s="44">
        <v>17865836</v>
      </c>
      <c r="G1974" s="1" t="str">
        <f>IFERROR(IF(ventas_b_mes684[[#This Row],[CUIT]]="","-",VLOOKUP(ventas_b_mes684[[#This Row],[CUIT]],Lista_CUIT[#All],2,0)),"CUIT NO CARGADO")</f>
        <v>CUIT NO CARGADO</v>
      </c>
      <c r="H1974" s="64">
        <v>59256.23</v>
      </c>
      <c r="I1974" s="64">
        <f>ventas_b_mes684[[#This Row],[IMPORTE NETO]]*0.21</f>
        <v>12443.808300000001</v>
      </c>
      <c r="J1974" s="64"/>
      <c r="K1974" s="64"/>
      <c r="L1974" s="64">
        <f>SUM(ventas_b_mes684[[#This Row],[IMPORTE NETO]:[EXENTO]])</f>
        <v>71700.0383</v>
      </c>
      <c r="M1974" s="59"/>
    </row>
    <row r="1975" spans="2:13">
      <c r="B1975" s="40" t="s">
        <v>2320</v>
      </c>
      <c r="C1975" s="41">
        <v>6</v>
      </c>
      <c r="D1975" s="42">
        <v>11</v>
      </c>
      <c r="E1975" s="43">
        <v>38352</v>
      </c>
      <c r="F1975" s="44">
        <v>20521996</v>
      </c>
      <c r="G1975" s="1" t="str">
        <f>IFERROR(IF(ventas_b_mes684[[#This Row],[CUIT]]="","-",VLOOKUP(ventas_b_mes684[[#This Row],[CUIT]],Lista_CUIT[#All],2,0)),"CUIT NO CARGADO")</f>
        <v>CUIT NO CARGADO</v>
      </c>
      <c r="H1975" s="64">
        <v>24528.93</v>
      </c>
      <c r="I1975" s="64">
        <f>ventas_b_mes684[[#This Row],[IMPORTE NETO]]*0.21</f>
        <v>5151.0752999999995</v>
      </c>
      <c r="J1975" s="64"/>
      <c r="K1975" s="64"/>
      <c r="L1975" s="64">
        <f>SUM(ventas_b_mes684[[#This Row],[IMPORTE NETO]:[EXENTO]])</f>
        <v>29680.005300000001</v>
      </c>
      <c r="M1975" s="59"/>
    </row>
    <row r="1976" spans="2:13">
      <c r="B1976" s="40" t="s">
        <v>2320</v>
      </c>
      <c r="C1976" s="41">
        <v>6</v>
      </c>
      <c r="D1976" s="42">
        <v>12</v>
      </c>
      <c r="E1976" s="43">
        <v>29841</v>
      </c>
      <c r="F1976" s="44">
        <v>17874434</v>
      </c>
      <c r="G1976" s="1" t="str">
        <f>IFERROR(IF(ventas_b_mes684[[#This Row],[CUIT]]="","-",VLOOKUP(ventas_b_mes684[[#This Row],[CUIT]],Lista_CUIT[#All],2,0)),"CUIT NO CARGADO")</f>
        <v>CUIT NO CARGADO</v>
      </c>
      <c r="H1976" s="64">
        <v>18760.330000000002</v>
      </c>
      <c r="I1976" s="64">
        <f>ventas_b_mes684[[#This Row],[IMPORTE NETO]]*0.21</f>
        <v>3939.6693</v>
      </c>
      <c r="J1976" s="64"/>
      <c r="K1976" s="64"/>
      <c r="L1976" s="64">
        <f>SUM(ventas_b_mes684[[#This Row],[IMPORTE NETO]:[EXENTO]])</f>
        <v>22699.999300000003</v>
      </c>
      <c r="M1976" s="59"/>
    </row>
    <row r="1977" spans="2:13">
      <c r="B1977" s="40" t="s">
        <v>2320</v>
      </c>
      <c r="C1977" s="41">
        <v>6</v>
      </c>
      <c r="D1977" s="42">
        <v>12</v>
      </c>
      <c r="E1977" s="43">
        <v>29834</v>
      </c>
      <c r="F1977" s="44">
        <v>29799699</v>
      </c>
      <c r="G1977" s="1" t="str">
        <f>IFERROR(IF(ventas_b_mes684[[#This Row],[CUIT]]="","-",VLOOKUP(ventas_b_mes684[[#This Row],[CUIT]],Lista_CUIT[#All],2,0)),"CUIT NO CARGADO")</f>
        <v>CUIT NO CARGADO</v>
      </c>
      <c r="H1977" s="64">
        <v>33553.72</v>
      </c>
      <c r="I1977" s="64">
        <f>ventas_b_mes684[[#This Row],[IMPORTE NETO]]*0.21</f>
        <v>7046.2812000000004</v>
      </c>
      <c r="J1977" s="64"/>
      <c r="K1977" s="64"/>
      <c r="L1977" s="64">
        <f>SUM(ventas_b_mes684[[#This Row],[IMPORTE NETO]:[EXENTO]])</f>
        <v>40600.001199999999</v>
      </c>
      <c r="M1977" s="59"/>
    </row>
    <row r="1978" spans="2:13">
      <c r="B1978" s="40" t="s">
        <v>2320</v>
      </c>
      <c r="C1978" s="41">
        <v>6</v>
      </c>
      <c r="D1978" s="42">
        <v>13</v>
      </c>
      <c r="E1978" s="43">
        <v>32599</v>
      </c>
      <c r="F1978" s="44">
        <v>20560897</v>
      </c>
      <c r="G1978" s="1" t="str">
        <f>IFERROR(IF(ventas_b_mes684[[#This Row],[CUIT]]="","-",VLOOKUP(ventas_b_mes684[[#This Row],[CUIT]],Lista_CUIT[#All],2,0)),"CUIT NO CARGADO")</f>
        <v>CUIT NO CARGADO</v>
      </c>
      <c r="H1978" s="64">
        <v>11404.96</v>
      </c>
      <c r="I1978" s="64">
        <f>ventas_b_mes684[[#This Row],[IMPORTE NETO]]*0.21</f>
        <v>2395.0415999999996</v>
      </c>
      <c r="J1978" s="64"/>
      <c r="K1978" s="64"/>
      <c r="L1978" s="64">
        <f>SUM(ventas_b_mes684[[#This Row],[IMPORTE NETO]:[EXENTO]])</f>
        <v>13800.0016</v>
      </c>
      <c r="M1978" s="59"/>
    </row>
    <row r="1979" spans="2:13">
      <c r="B1979" s="40" t="s">
        <v>2320</v>
      </c>
      <c r="C1979" s="41">
        <v>6</v>
      </c>
      <c r="D1979" s="42">
        <v>11</v>
      </c>
      <c r="E1979" s="43">
        <v>38349</v>
      </c>
      <c r="F1979" s="44">
        <v>37029649</v>
      </c>
      <c r="G1979" s="1" t="str">
        <f>IFERROR(IF(ventas_b_mes684[[#This Row],[CUIT]]="","-",VLOOKUP(ventas_b_mes684[[#This Row],[CUIT]],Lista_CUIT[#All],2,0)),"CUIT NO CARGADO")</f>
        <v>CUIT NO CARGADO</v>
      </c>
      <c r="H1979" s="64">
        <v>19975.21</v>
      </c>
      <c r="I1979" s="64">
        <f>ventas_b_mes684[[#This Row],[IMPORTE NETO]]*0.21</f>
        <v>4194.7941000000001</v>
      </c>
      <c r="J1979" s="64"/>
      <c r="K1979" s="64"/>
      <c r="L1979" s="64">
        <f>SUM(ventas_b_mes684[[#This Row],[IMPORTE NETO]:[EXENTO]])</f>
        <v>24170.004099999998</v>
      </c>
      <c r="M1979" s="59"/>
    </row>
    <row r="1980" spans="2:13">
      <c r="B1980" s="40" t="s">
        <v>2320</v>
      </c>
      <c r="C1980" s="41">
        <v>6</v>
      </c>
      <c r="D1980" s="42">
        <v>12</v>
      </c>
      <c r="E1980" s="43">
        <v>29832</v>
      </c>
      <c r="F1980" s="44">
        <v>93979005</v>
      </c>
      <c r="G1980" s="1" t="str">
        <f>IFERROR(IF(ventas_b_mes684[[#This Row],[CUIT]]="","-",VLOOKUP(ventas_b_mes684[[#This Row],[CUIT]],Lista_CUIT[#All],2,0)),"CUIT NO CARGADO")</f>
        <v>CUIT NO CARGADO</v>
      </c>
      <c r="H1980" s="64">
        <v>13574.38</v>
      </c>
      <c r="I1980" s="64">
        <f>ventas_b_mes684[[#This Row],[IMPORTE NETO]]*0.21</f>
        <v>2850.6197999999999</v>
      </c>
      <c r="J1980" s="64"/>
      <c r="K1980" s="64"/>
      <c r="L1980" s="64">
        <f>SUM(ventas_b_mes684[[#This Row],[IMPORTE NETO]:[EXENTO]])</f>
        <v>16424.999799999998</v>
      </c>
      <c r="M1980" s="59"/>
    </row>
    <row r="1981" spans="2:13">
      <c r="B1981" s="40" t="s">
        <v>2320</v>
      </c>
      <c r="C1981" s="41">
        <v>6</v>
      </c>
      <c r="D1981" s="42">
        <v>12</v>
      </c>
      <c r="E1981" s="43">
        <v>29833</v>
      </c>
      <c r="F1981" s="44">
        <v>24100156</v>
      </c>
      <c r="G1981" s="1" t="str">
        <f>IFERROR(IF(ventas_b_mes684[[#This Row],[CUIT]]="","-",VLOOKUP(ventas_b_mes684[[#This Row],[CUIT]],Lista_CUIT[#All],2,0)),"CUIT NO CARGADO")</f>
        <v>CUIT NO CARGADO</v>
      </c>
      <c r="H1981" s="64">
        <v>16479.34</v>
      </c>
      <c r="I1981" s="64">
        <f>ventas_b_mes684[[#This Row],[IMPORTE NETO]]*0.21</f>
        <v>3460.6614</v>
      </c>
      <c r="J1981" s="64"/>
      <c r="K1981" s="64"/>
      <c r="L1981" s="64">
        <f>SUM(ventas_b_mes684[[#This Row],[IMPORTE NETO]:[EXENTO]])</f>
        <v>19940.001400000001</v>
      </c>
      <c r="M1981" s="59"/>
    </row>
    <row r="1982" spans="2:13">
      <c r="B1982" s="40" t="s">
        <v>2320</v>
      </c>
      <c r="C1982" s="41">
        <v>6</v>
      </c>
      <c r="D1982" s="42">
        <v>15</v>
      </c>
      <c r="E1982" s="43">
        <v>13438</v>
      </c>
      <c r="F1982" s="44">
        <v>32758476</v>
      </c>
      <c r="G1982" s="1" t="str">
        <f>IFERROR(IF(ventas_b_mes684[[#This Row],[CUIT]]="","-",VLOOKUP(ventas_b_mes684[[#This Row],[CUIT]],Lista_CUIT[#All],2,0)),"CUIT NO CARGADO")</f>
        <v>VONDER HEIDE, MARIBEL ROSANA (ALUMNA)</v>
      </c>
      <c r="H1982" s="64">
        <v>9851.24</v>
      </c>
      <c r="I1982" s="64">
        <f>ventas_b_mes684[[#This Row],[IMPORTE NETO]]*0.21</f>
        <v>2068.7603999999997</v>
      </c>
      <c r="J1982" s="64"/>
      <c r="K1982" s="64"/>
      <c r="L1982" s="64">
        <f>SUM(ventas_b_mes684[[#This Row],[IMPORTE NETO]:[EXENTO]])</f>
        <v>11920.000399999999</v>
      </c>
      <c r="M1982" s="59"/>
    </row>
    <row r="1983" spans="2:13">
      <c r="B1983" s="40" t="s">
        <v>2320</v>
      </c>
      <c r="C1983" s="41">
        <v>6</v>
      </c>
      <c r="D1983" s="42">
        <v>11</v>
      </c>
      <c r="E1983" s="43">
        <v>38336</v>
      </c>
      <c r="F1983" s="44">
        <v>23469203</v>
      </c>
      <c r="G1983" s="1" t="str">
        <f>IFERROR(IF(ventas_b_mes684[[#This Row],[CUIT]]="","-",VLOOKUP(ventas_b_mes684[[#This Row],[CUIT]],Lista_CUIT[#All],2,0)),"CUIT NO CARGADO")</f>
        <v>CUIT NO CARGADO</v>
      </c>
      <c r="H1983" s="64">
        <v>111008.27</v>
      </c>
      <c r="I1983" s="64">
        <f>ventas_b_mes684[[#This Row],[IMPORTE NETO]]*0.21</f>
        <v>23311.736700000001</v>
      </c>
      <c r="J1983" s="64"/>
      <c r="K1983" s="64"/>
      <c r="L1983" s="64">
        <f>SUM(ventas_b_mes684[[#This Row],[IMPORTE NETO]:[EXENTO]])</f>
        <v>134320.0067</v>
      </c>
      <c r="M1983" s="59"/>
    </row>
    <row r="1984" spans="2:13">
      <c r="B1984" s="40" t="s">
        <v>2320</v>
      </c>
      <c r="C1984" s="41">
        <v>6</v>
      </c>
      <c r="D1984" s="42">
        <v>10</v>
      </c>
      <c r="E1984" s="43">
        <v>54667</v>
      </c>
      <c r="F1984" s="44">
        <v>29503466</v>
      </c>
      <c r="G1984" s="1" t="str">
        <f>IFERROR(IF(ventas_b_mes684[[#This Row],[CUIT]]="","-",VLOOKUP(ventas_b_mes684[[#This Row],[CUIT]],Lista_CUIT[#All],2,0)),"CUIT NO CARGADO")</f>
        <v>CUIT NO CARGADO</v>
      </c>
      <c r="H1984" s="64">
        <v>20661.16</v>
      </c>
      <c r="I1984" s="64">
        <f>ventas_b_mes684[[#This Row],[IMPORTE NETO]]*0.21</f>
        <v>4338.8436000000002</v>
      </c>
      <c r="J1984" s="64"/>
      <c r="K1984" s="64"/>
      <c r="L1984" s="64">
        <f>SUM(ventas_b_mes684[[#This Row],[IMPORTE NETO]:[EXENTO]])</f>
        <v>25000.0036</v>
      </c>
      <c r="M1984" s="59"/>
    </row>
    <row r="1985" spans="2:13">
      <c r="B1985" s="40" t="s">
        <v>2320</v>
      </c>
      <c r="C1985" s="41">
        <v>6</v>
      </c>
      <c r="D1985" s="42">
        <v>12</v>
      </c>
      <c r="E1985" s="43">
        <v>29820</v>
      </c>
      <c r="F1985" s="44">
        <v>20213391</v>
      </c>
      <c r="G1985" s="1" t="str">
        <f>IFERROR(IF(ventas_b_mes684[[#This Row],[CUIT]]="","-",VLOOKUP(ventas_b_mes684[[#This Row],[CUIT]],Lista_CUIT[#All],2,0)),"CUIT NO CARGADO")</f>
        <v>CUIT NO CARGADO</v>
      </c>
      <c r="H1985" s="64">
        <v>25586.78</v>
      </c>
      <c r="I1985" s="64">
        <f>ventas_b_mes684[[#This Row],[IMPORTE NETO]]*0.21</f>
        <v>5373.2237999999998</v>
      </c>
      <c r="J1985" s="64"/>
      <c r="K1985" s="64"/>
      <c r="L1985" s="64">
        <f>SUM(ventas_b_mes684[[#This Row],[IMPORTE NETO]:[EXENTO]])</f>
        <v>30960.003799999999</v>
      </c>
      <c r="M1985" s="59"/>
    </row>
    <row r="1986" spans="2:13">
      <c r="B1986" s="40" t="s">
        <v>2320</v>
      </c>
      <c r="C1986" s="41">
        <v>6</v>
      </c>
      <c r="D1986" s="42">
        <v>12</v>
      </c>
      <c r="E1986" s="43">
        <v>29824</v>
      </c>
      <c r="F1986" s="44">
        <v>28029555</v>
      </c>
      <c r="G1986" s="1" t="str">
        <f>IFERROR(IF(ventas_b_mes684[[#This Row],[CUIT]]="","-",VLOOKUP(ventas_b_mes684[[#This Row],[CUIT]],Lista_CUIT[#All],2,0)),"CUIT NO CARGADO")</f>
        <v>CUIT NO CARGADO</v>
      </c>
      <c r="H1986" s="64">
        <v>20661.16</v>
      </c>
      <c r="I1986" s="64">
        <f>ventas_b_mes684[[#This Row],[IMPORTE NETO]]*0.21</f>
        <v>4338.8436000000002</v>
      </c>
      <c r="J1986" s="64"/>
      <c r="K1986" s="64"/>
      <c r="L1986" s="64">
        <f>SUM(ventas_b_mes684[[#This Row],[IMPORTE NETO]:[EXENTO]])</f>
        <v>25000.0036</v>
      </c>
      <c r="M1986" s="59"/>
    </row>
    <row r="1987" spans="2:13">
      <c r="B1987" s="40" t="s">
        <v>2320</v>
      </c>
      <c r="C1987" s="41">
        <v>6</v>
      </c>
      <c r="D1987" s="42">
        <v>11</v>
      </c>
      <c r="E1987" s="43">
        <v>38340</v>
      </c>
      <c r="F1987" s="44">
        <v>34613702</v>
      </c>
      <c r="G1987" s="1" t="str">
        <f>IFERROR(IF(ventas_b_mes684[[#This Row],[CUIT]]="","-",VLOOKUP(ventas_b_mes684[[#This Row],[CUIT]],Lista_CUIT[#All],2,0)),"CUIT NO CARGADO")</f>
        <v>CUIT NO CARGADO</v>
      </c>
      <c r="H1987" s="64">
        <v>14876.03</v>
      </c>
      <c r="I1987" s="64">
        <f>ventas_b_mes684[[#This Row],[IMPORTE NETO]]*0.21</f>
        <v>3123.9663</v>
      </c>
      <c r="J1987" s="64"/>
      <c r="K1987" s="64"/>
      <c r="L1987" s="64">
        <f>SUM(ventas_b_mes684[[#This Row],[IMPORTE NETO]:[EXENTO]])</f>
        <v>17999.996299999999</v>
      </c>
      <c r="M1987" s="59"/>
    </row>
    <row r="1988" spans="2:13">
      <c r="B1988" s="40" t="s">
        <v>2320</v>
      </c>
      <c r="C1988" s="41">
        <v>6</v>
      </c>
      <c r="D1988" s="42">
        <v>13</v>
      </c>
      <c r="E1988" s="43">
        <v>32601</v>
      </c>
      <c r="F1988" s="44">
        <v>37485965</v>
      </c>
      <c r="G1988" s="1" t="str">
        <f>IFERROR(IF(ventas_b_mes684[[#This Row],[CUIT]]="","-",VLOOKUP(ventas_b_mes684[[#This Row],[CUIT]],Lista_CUIT[#All],2,0)),"CUIT NO CARGADO")</f>
        <v>CUIT NO CARGADO</v>
      </c>
      <c r="H1988" s="64">
        <v>27107.439999999999</v>
      </c>
      <c r="I1988" s="64">
        <f>ventas_b_mes684[[#This Row],[IMPORTE NETO]]*0.21</f>
        <v>5692.5623999999998</v>
      </c>
      <c r="J1988" s="64"/>
      <c r="K1988" s="64"/>
      <c r="L1988" s="64">
        <f>SUM(ventas_b_mes684[[#This Row],[IMPORTE NETO]:[EXENTO]])</f>
        <v>32800.002399999998</v>
      </c>
      <c r="M1988" s="59"/>
    </row>
    <row r="1989" spans="2:13">
      <c r="B1989" s="40" t="s">
        <v>2320</v>
      </c>
      <c r="C1989" s="41">
        <v>6</v>
      </c>
      <c r="D1989" s="42">
        <v>11</v>
      </c>
      <c r="E1989" s="43">
        <v>38350</v>
      </c>
      <c r="F1989" s="44">
        <v>25687743</v>
      </c>
      <c r="G1989" s="1" t="str">
        <f>IFERROR(IF(ventas_b_mes684[[#This Row],[CUIT]]="","-",VLOOKUP(ventas_b_mes684[[#This Row],[CUIT]],Lista_CUIT[#All],2,0)),"CUIT NO CARGADO")</f>
        <v>CUIT NO CARGADO</v>
      </c>
      <c r="H1989" s="64">
        <v>6099.17</v>
      </c>
      <c r="I1989" s="64">
        <f>ventas_b_mes684[[#This Row],[IMPORTE NETO]]*0.21</f>
        <v>1280.8256999999999</v>
      </c>
      <c r="J1989" s="64"/>
      <c r="K1989" s="64"/>
      <c r="L1989" s="64">
        <f>SUM(ventas_b_mes684[[#This Row],[IMPORTE NETO]:[EXENTO]])</f>
        <v>7379.9956999999995</v>
      </c>
      <c r="M1989" s="59"/>
    </row>
    <row r="1990" spans="2:13">
      <c r="B1990" s="40" t="s">
        <v>2320</v>
      </c>
      <c r="C1990" s="41">
        <v>6</v>
      </c>
      <c r="D1990" s="42">
        <v>12</v>
      </c>
      <c r="E1990" s="43">
        <v>29837</v>
      </c>
      <c r="F1990" s="44">
        <v>22922464</v>
      </c>
      <c r="G1990" s="1" t="str">
        <f>IFERROR(IF(ventas_b_mes684[[#This Row],[CUIT]]="","-",VLOOKUP(ventas_b_mes684[[#This Row],[CUIT]],Lista_CUIT[#All],2,0)),"CUIT NO CARGADO")</f>
        <v>CUIT NO CARGADO</v>
      </c>
      <c r="H1990" s="64">
        <v>45871.9</v>
      </c>
      <c r="I1990" s="64">
        <f>ventas_b_mes684[[#This Row],[IMPORTE NETO]]*0.21</f>
        <v>9633.0990000000002</v>
      </c>
      <c r="J1990" s="64"/>
      <c r="K1990" s="64"/>
      <c r="L1990" s="64">
        <f>SUM(ventas_b_mes684[[#This Row],[IMPORTE NETO]:[EXENTO]])</f>
        <v>55504.999000000003</v>
      </c>
      <c r="M1990" s="59"/>
    </row>
    <row r="1991" spans="2:13">
      <c r="B1991" s="40" t="s">
        <v>2320</v>
      </c>
      <c r="C1991" s="41">
        <v>6</v>
      </c>
      <c r="D1991" s="42">
        <v>12</v>
      </c>
      <c r="E1991" s="43">
        <v>29848</v>
      </c>
      <c r="F1991" s="44">
        <v>25084623</v>
      </c>
      <c r="G1991" s="1" t="str">
        <f>IFERROR(IF(ventas_b_mes684[[#This Row],[CUIT]]="","-",VLOOKUP(ventas_b_mes684[[#This Row],[CUIT]],Lista_CUIT[#All],2,0)),"CUIT NO CARGADO")</f>
        <v>CUIT NO CARGADO</v>
      </c>
      <c r="H1991" s="64">
        <v>12165.29</v>
      </c>
      <c r="I1991" s="64">
        <f>ventas_b_mes684[[#This Row],[IMPORTE NETO]]*0.21</f>
        <v>2554.7109</v>
      </c>
      <c r="J1991" s="64"/>
      <c r="K1991" s="64"/>
      <c r="L1991" s="64">
        <f>SUM(ventas_b_mes684[[#This Row],[IMPORTE NETO]:[EXENTO]])</f>
        <v>14720.000900000001</v>
      </c>
      <c r="M1991" s="59"/>
    </row>
    <row r="1992" spans="2:13">
      <c r="B1992" s="40" t="s">
        <v>2320</v>
      </c>
      <c r="C1992" s="41">
        <v>6</v>
      </c>
      <c r="D1992" s="42">
        <v>12</v>
      </c>
      <c r="E1992" s="43">
        <v>29838</v>
      </c>
      <c r="F1992" s="44">
        <v>22922464</v>
      </c>
      <c r="G1992" s="1" t="str">
        <f>IFERROR(IF(ventas_b_mes684[[#This Row],[CUIT]]="","-",VLOOKUP(ventas_b_mes684[[#This Row],[CUIT]],Lista_CUIT[#All],2,0)),"CUIT NO CARGADO")</f>
        <v>CUIT NO CARGADO</v>
      </c>
      <c r="H1992" s="64">
        <v>24024.83</v>
      </c>
      <c r="I1992" s="64">
        <f>ventas_b_mes684[[#This Row],[IMPORTE NETO]]*0.21</f>
        <v>5045.2143000000005</v>
      </c>
      <c r="J1992" s="64"/>
      <c r="K1992" s="64"/>
      <c r="L1992" s="64">
        <f>SUM(ventas_b_mes684[[#This Row],[IMPORTE NETO]:[EXENTO]])</f>
        <v>29070.044300000001</v>
      </c>
      <c r="M1992" s="59"/>
    </row>
    <row r="1993" spans="2:13">
      <c r="B1993" s="40" t="s">
        <v>2320</v>
      </c>
      <c r="C1993" s="41">
        <v>6</v>
      </c>
      <c r="D1993" s="42">
        <v>10</v>
      </c>
      <c r="E1993" s="43">
        <v>54683</v>
      </c>
      <c r="F1993" s="44">
        <v>18211637</v>
      </c>
      <c r="G1993" s="1" t="str">
        <f>IFERROR(IF(ventas_b_mes684[[#This Row],[CUIT]]="","-",VLOOKUP(ventas_b_mes684[[#This Row],[CUIT]],Lista_CUIT[#All],2,0)),"CUIT NO CARGADO")</f>
        <v>CUIT NO CARGADO</v>
      </c>
      <c r="H1993" s="64">
        <v>4512.3999999999996</v>
      </c>
      <c r="I1993" s="64">
        <f>ventas_b_mes684[[#This Row],[IMPORTE NETO]]*0.21</f>
        <v>947.60399999999993</v>
      </c>
      <c r="J1993" s="64"/>
      <c r="K1993" s="64"/>
      <c r="L1993" s="64">
        <f>SUM(ventas_b_mes684[[#This Row],[IMPORTE NETO]:[EXENTO]])</f>
        <v>5460.0039999999999</v>
      </c>
      <c r="M1993" s="59"/>
    </row>
    <row r="1994" spans="2:13">
      <c r="B1994" s="40" t="s">
        <v>2320</v>
      </c>
      <c r="C1994" s="41">
        <v>6</v>
      </c>
      <c r="D1994" s="42">
        <v>15</v>
      </c>
      <c r="E1994" s="43">
        <v>13436</v>
      </c>
      <c r="F1994" s="44">
        <v>39275654</v>
      </c>
      <c r="G1994" s="1" t="str">
        <f>IFERROR(IF(ventas_b_mes684[[#This Row],[CUIT]]="","-",VLOOKUP(ventas_b_mes684[[#This Row],[CUIT]],Lista_CUIT[#All],2,0)),"CUIT NO CARGADO")</f>
        <v>CUIT NO CARGADO</v>
      </c>
      <c r="H1994" s="64">
        <v>33388.43</v>
      </c>
      <c r="I1994" s="64">
        <f>ventas_b_mes684[[#This Row],[IMPORTE NETO]]*0.21</f>
        <v>7011.5702999999994</v>
      </c>
      <c r="J1994" s="64"/>
      <c r="K1994" s="64"/>
      <c r="L1994" s="64">
        <f>SUM(ventas_b_mes684[[#This Row],[IMPORTE NETO]:[EXENTO]])</f>
        <v>40400.0003</v>
      </c>
      <c r="M1994" s="59"/>
    </row>
    <row r="1995" spans="2:13">
      <c r="B1995" s="40" t="s">
        <v>2320</v>
      </c>
      <c r="C1995" s="41">
        <v>6</v>
      </c>
      <c r="D1995" s="42">
        <v>15</v>
      </c>
      <c r="E1995" s="43">
        <v>13433</v>
      </c>
      <c r="F1995" s="44">
        <v>24575775</v>
      </c>
      <c r="G1995" s="1" t="str">
        <f>IFERROR(IF(ventas_b_mes684[[#This Row],[CUIT]]="","-",VLOOKUP(ventas_b_mes684[[#This Row],[CUIT]],Lista_CUIT[#All],2,0)),"CUIT NO CARGADO")</f>
        <v>CUIT NO CARGADO</v>
      </c>
      <c r="H1995" s="64">
        <v>9586.7800000000007</v>
      </c>
      <c r="I1995" s="64">
        <f>ventas_b_mes684[[#This Row],[IMPORTE NETO]]*0.21</f>
        <v>2013.2238</v>
      </c>
      <c r="J1995" s="64"/>
      <c r="K1995" s="64"/>
      <c r="L1995" s="64">
        <f>SUM(ventas_b_mes684[[#This Row],[IMPORTE NETO]:[EXENTO]])</f>
        <v>11600.0038</v>
      </c>
      <c r="M1995" s="59"/>
    </row>
    <row r="1996" spans="2:13">
      <c r="B1996" s="40" t="s">
        <v>2320</v>
      </c>
      <c r="C1996" s="41">
        <v>6</v>
      </c>
      <c r="D1996" s="42">
        <v>13</v>
      </c>
      <c r="E1996" s="43">
        <v>32603</v>
      </c>
      <c r="F1996" s="44">
        <v>20560897</v>
      </c>
      <c r="G1996" s="1" t="str">
        <f>IFERROR(IF(ventas_b_mes684[[#This Row],[CUIT]]="","-",VLOOKUP(ventas_b_mes684[[#This Row],[CUIT]],Lista_CUIT[#All],2,0)),"CUIT NO CARGADO")</f>
        <v>CUIT NO CARGADO</v>
      </c>
      <c r="H1996" s="64">
        <v>7438.02</v>
      </c>
      <c r="I1996" s="64">
        <f>ventas_b_mes684[[#This Row],[IMPORTE NETO]]*0.21</f>
        <v>1561.9842000000001</v>
      </c>
      <c r="J1996" s="64"/>
      <c r="K1996" s="64"/>
      <c r="L1996" s="64">
        <f>SUM(ventas_b_mes684[[#This Row],[IMPORTE NETO]:[EXENTO]])</f>
        <v>9000.0042000000012</v>
      </c>
      <c r="M1996" s="59"/>
    </row>
    <row r="1997" spans="2:13">
      <c r="B1997" s="40" t="s">
        <v>2320</v>
      </c>
      <c r="C1997" s="41">
        <v>6</v>
      </c>
      <c r="D1997" s="42">
        <v>10</v>
      </c>
      <c r="E1997" s="43">
        <v>54682</v>
      </c>
      <c r="F1997" s="44">
        <v>39756461</v>
      </c>
      <c r="G1997" s="1" t="str">
        <f>IFERROR(IF(ventas_b_mes684[[#This Row],[CUIT]]="","-",VLOOKUP(ventas_b_mes684[[#This Row],[CUIT]],Lista_CUIT[#All],2,0)),"CUIT NO CARGADO")</f>
        <v>CUIT NO CARGADO</v>
      </c>
      <c r="H1997" s="64">
        <v>38586.78</v>
      </c>
      <c r="I1997" s="64">
        <f>ventas_b_mes684[[#This Row],[IMPORTE NETO]]*0.21</f>
        <v>8103.2237999999998</v>
      </c>
      <c r="J1997" s="64"/>
      <c r="K1997" s="64"/>
      <c r="L1997" s="64">
        <f>SUM(ventas_b_mes684[[#This Row],[IMPORTE NETO]:[EXENTO]])</f>
        <v>46690.003799999999</v>
      </c>
      <c r="M1997" s="59"/>
    </row>
    <row r="1998" spans="2:13">
      <c r="B1998" s="40" t="s">
        <v>2320</v>
      </c>
      <c r="C1998" s="41">
        <v>6</v>
      </c>
      <c r="D1998" s="42">
        <v>10</v>
      </c>
      <c r="E1998" s="43">
        <v>54673</v>
      </c>
      <c r="F1998" s="44">
        <v>45583521</v>
      </c>
      <c r="G1998" s="1" t="str">
        <f>IFERROR(IF(ventas_b_mes684[[#This Row],[CUIT]]="","-",VLOOKUP(ventas_b_mes684[[#This Row],[CUIT]],Lista_CUIT[#All],2,0)),"CUIT NO CARGADO")</f>
        <v>CUIT NO CARGADO</v>
      </c>
      <c r="H1998" s="64">
        <v>20661.16</v>
      </c>
      <c r="I1998" s="64">
        <f>ventas_b_mes684[[#This Row],[IMPORTE NETO]]*0.21</f>
        <v>4338.8436000000002</v>
      </c>
      <c r="J1998" s="64"/>
      <c r="K1998" s="64"/>
      <c r="L1998" s="64">
        <f>SUM(ventas_b_mes684[[#This Row],[IMPORTE NETO]:[EXENTO]])</f>
        <v>25000.0036</v>
      </c>
      <c r="M1998" s="59"/>
    </row>
    <row r="1999" spans="2:13">
      <c r="B1999" s="40" t="s">
        <v>2320</v>
      </c>
      <c r="C1999" s="41">
        <v>6</v>
      </c>
      <c r="D1999" s="42">
        <v>11</v>
      </c>
      <c r="E1999" s="43">
        <v>38339</v>
      </c>
      <c r="F1999" s="44">
        <v>91355478</v>
      </c>
      <c r="G1999" s="1" t="str">
        <f>IFERROR(IF(ventas_b_mes684[[#This Row],[CUIT]]="","-",VLOOKUP(ventas_b_mes684[[#This Row],[CUIT]],Lista_CUIT[#All],2,0)),"CUIT NO CARGADO")</f>
        <v>CUIT NO CARGADO</v>
      </c>
      <c r="H1999" s="64">
        <v>39074.379999999997</v>
      </c>
      <c r="I1999" s="64">
        <f>ventas_b_mes684[[#This Row],[IMPORTE NETO]]*0.21</f>
        <v>8205.6197999999986</v>
      </c>
      <c r="J1999" s="64"/>
      <c r="K1999" s="64"/>
      <c r="L1999" s="64">
        <f>SUM(ventas_b_mes684[[#This Row],[IMPORTE NETO]:[EXENTO]])</f>
        <v>47279.999799999998</v>
      </c>
      <c r="M1999" s="59"/>
    </row>
    <row r="2000" spans="2:13">
      <c r="B2000" s="40" t="s">
        <v>2320</v>
      </c>
      <c r="C2000" s="41">
        <v>6</v>
      </c>
      <c r="D2000" s="42">
        <v>13</v>
      </c>
      <c r="E2000" s="43">
        <v>32600</v>
      </c>
      <c r="F2000" s="44">
        <v>18210120</v>
      </c>
      <c r="G2000" s="1" t="str">
        <f>IFERROR(IF(ventas_b_mes684[[#This Row],[CUIT]]="","-",VLOOKUP(ventas_b_mes684[[#This Row],[CUIT]],Lista_CUIT[#All],2,0)),"CUIT NO CARGADO")</f>
        <v>CUIT NO CARGADO</v>
      </c>
      <c r="H2000" s="64">
        <v>6611.57</v>
      </c>
      <c r="I2000" s="64">
        <f>ventas_b_mes684[[#This Row],[IMPORTE NETO]]*0.21</f>
        <v>1388.4296999999999</v>
      </c>
      <c r="J2000" s="64"/>
      <c r="K2000" s="64"/>
      <c r="L2000" s="64">
        <f>SUM(ventas_b_mes684[[#This Row],[IMPORTE NETO]:[EXENTO]])</f>
        <v>7999.9996999999994</v>
      </c>
      <c r="M2000" s="59"/>
    </row>
    <row r="2001" spans="2:13">
      <c r="B2001" s="40" t="s">
        <v>2320</v>
      </c>
      <c r="C2001" s="41">
        <v>6</v>
      </c>
      <c r="D2001" s="42">
        <v>13</v>
      </c>
      <c r="E2001" s="43">
        <v>32596</v>
      </c>
      <c r="F2001" s="44">
        <v>14531020</v>
      </c>
      <c r="G2001" s="1" t="str">
        <f>IFERROR(IF(ventas_b_mes684[[#This Row],[CUIT]]="","-",VLOOKUP(ventas_b_mes684[[#This Row],[CUIT]],Lista_CUIT[#All],2,0)),"CUIT NO CARGADO")</f>
        <v>CUIT NO CARGADO</v>
      </c>
      <c r="H2001" s="64">
        <v>28165.29</v>
      </c>
      <c r="I2001" s="64">
        <f>ventas_b_mes684[[#This Row],[IMPORTE NETO]]*0.21</f>
        <v>5914.7109</v>
      </c>
      <c r="J2001" s="64"/>
      <c r="K2001" s="64"/>
      <c r="L2001" s="64">
        <f>SUM(ventas_b_mes684[[#This Row],[IMPORTE NETO]:[EXENTO]])</f>
        <v>34080.000899999999</v>
      </c>
      <c r="M2001" s="59"/>
    </row>
    <row r="2002" spans="2:13">
      <c r="B2002" s="40" t="s">
        <v>2320</v>
      </c>
      <c r="C2002" s="41">
        <v>6</v>
      </c>
      <c r="D2002" s="42">
        <v>15</v>
      </c>
      <c r="E2002" s="43">
        <v>13432</v>
      </c>
      <c r="F2002" s="44">
        <v>32758476</v>
      </c>
      <c r="G2002" s="1" t="str">
        <f>IFERROR(IF(ventas_b_mes684[[#This Row],[CUIT]]="","-",VLOOKUP(ventas_b_mes684[[#This Row],[CUIT]],Lista_CUIT[#All],2,0)),"CUIT NO CARGADO")</f>
        <v>VONDER HEIDE, MARIBEL ROSANA (ALUMNA)</v>
      </c>
      <c r="H2002" s="64">
        <v>22727.27</v>
      </c>
      <c r="I2002" s="64">
        <f>ventas_b_mes684[[#This Row],[IMPORTE NETO]]*0.21</f>
        <v>4772.7267000000002</v>
      </c>
      <c r="J2002" s="64"/>
      <c r="K2002" s="64"/>
      <c r="L2002" s="64">
        <f>SUM(ventas_b_mes684[[#This Row],[IMPORTE NETO]:[EXENTO]])</f>
        <v>27499.9967</v>
      </c>
      <c r="M2002" s="59"/>
    </row>
    <row r="2003" spans="2:13">
      <c r="B2003" s="40" t="s">
        <v>2320</v>
      </c>
      <c r="C2003" s="41">
        <v>6</v>
      </c>
      <c r="D2003" s="42">
        <v>15</v>
      </c>
      <c r="E2003" s="43">
        <v>13429</v>
      </c>
      <c r="F2003" s="44">
        <v>39275654</v>
      </c>
      <c r="G2003" s="1" t="str">
        <f>IFERROR(IF(ventas_b_mes684[[#This Row],[CUIT]]="","-",VLOOKUP(ventas_b_mes684[[#This Row],[CUIT]],Lista_CUIT[#All],2,0)),"CUIT NO CARGADO")</f>
        <v>CUIT NO CARGADO</v>
      </c>
      <c r="H2003" s="64">
        <v>338.84</v>
      </c>
      <c r="I2003" s="64">
        <f>ventas_b_mes684[[#This Row],[IMPORTE NETO]]*0.21</f>
        <v>71.156399999999991</v>
      </c>
      <c r="J2003" s="64"/>
      <c r="K2003" s="64"/>
      <c r="L2003" s="64">
        <f>SUM(ventas_b_mes684[[#This Row],[IMPORTE NETO]:[EXENTO]])</f>
        <v>409.99639999999999</v>
      </c>
      <c r="M2003" s="59"/>
    </row>
    <row r="2004" spans="2:13">
      <c r="B2004" s="40" t="s">
        <v>2320</v>
      </c>
      <c r="C2004" s="41">
        <v>6</v>
      </c>
      <c r="D2004" s="42">
        <v>15</v>
      </c>
      <c r="E2004" s="43">
        <v>13430</v>
      </c>
      <c r="F2004" s="44">
        <v>21856835</v>
      </c>
      <c r="G2004" s="1" t="str">
        <f>IFERROR(IF(ventas_b_mes684[[#This Row],[CUIT]]="","-",VLOOKUP(ventas_b_mes684[[#This Row],[CUIT]],Lista_CUIT[#All],2,0)),"CUIT NO CARGADO")</f>
        <v>OLIVA,SANDRA</v>
      </c>
      <c r="H2004" s="64">
        <v>28033.06</v>
      </c>
      <c r="I2004" s="64">
        <f>ventas_b_mes684[[#This Row],[IMPORTE NETO]]*0.21</f>
        <v>5886.9426000000003</v>
      </c>
      <c r="J2004" s="64"/>
      <c r="K2004" s="64"/>
      <c r="L2004" s="64">
        <f>SUM(ventas_b_mes684[[#This Row],[IMPORTE NETO]:[EXENTO]])</f>
        <v>33920.0026</v>
      </c>
      <c r="M2004" s="59"/>
    </row>
    <row r="2005" spans="2:13">
      <c r="B2005" s="40" t="s">
        <v>2320</v>
      </c>
      <c r="C2005" s="41">
        <v>6</v>
      </c>
      <c r="D2005" s="42">
        <v>13</v>
      </c>
      <c r="E2005" s="43">
        <v>32598</v>
      </c>
      <c r="F2005" s="44">
        <v>20560897</v>
      </c>
      <c r="G2005" s="1" t="str">
        <f>IFERROR(IF(ventas_b_mes684[[#This Row],[CUIT]]="","-",VLOOKUP(ventas_b_mes684[[#This Row],[CUIT]],Lista_CUIT[#All],2,0)),"CUIT NO CARGADO")</f>
        <v>CUIT NO CARGADO</v>
      </c>
      <c r="H2005" s="64">
        <v>38016.53</v>
      </c>
      <c r="I2005" s="64">
        <f>ventas_b_mes684[[#This Row],[IMPORTE NETO]]*0.21</f>
        <v>7983.4712999999992</v>
      </c>
      <c r="J2005" s="64"/>
      <c r="K2005" s="64"/>
      <c r="L2005" s="64">
        <f>SUM(ventas_b_mes684[[#This Row],[IMPORTE NETO]:[EXENTO]])</f>
        <v>46000.001299999996</v>
      </c>
      <c r="M2005" s="59"/>
    </row>
    <row r="2006" spans="2:13">
      <c r="B2006" s="40" t="s">
        <v>2320</v>
      </c>
      <c r="C2006" s="41">
        <v>6</v>
      </c>
      <c r="D2006" s="42">
        <v>12</v>
      </c>
      <c r="E2006" s="43">
        <v>29840</v>
      </c>
      <c r="F2006" s="44">
        <v>34672575</v>
      </c>
      <c r="G2006" s="1" t="str">
        <f>IFERROR(IF(ventas_b_mes684[[#This Row],[CUIT]]="","-",VLOOKUP(ventas_b_mes684[[#This Row],[CUIT]],Lista_CUIT[#All],2,0)),"CUIT NO CARGADO")</f>
        <v>CUIT NO CARGADO</v>
      </c>
      <c r="H2006" s="64">
        <v>20826.45</v>
      </c>
      <c r="I2006" s="64">
        <f>ventas_b_mes684[[#This Row],[IMPORTE NETO]]*0.21</f>
        <v>4373.5545000000002</v>
      </c>
      <c r="J2006" s="64"/>
      <c r="K2006" s="64"/>
      <c r="L2006" s="64">
        <f>SUM(ventas_b_mes684[[#This Row],[IMPORTE NETO]:[EXENTO]])</f>
        <v>25200.004500000003</v>
      </c>
      <c r="M2006" s="59"/>
    </row>
    <row r="2007" spans="2:13">
      <c r="B2007" s="40" t="s">
        <v>2320</v>
      </c>
      <c r="C2007" s="41">
        <v>6</v>
      </c>
      <c r="D2007" s="42">
        <v>10</v>
      </c>
      <c r="E2007" s="43">
        <v>54661</v>
      </c>
      <c r="F2007" s="44">
        <v>30712238190</v>
      </c>
      <c r="G2007" s="1" t="str">
        <f>IFERROR(IF(ventas_b_mes684[[#This Row],[CUIT]]="","-",VLOOKUP(ventas_b_mes684[[#This Row],[CUIT]],Lista_CUIT[#All],2,0)),"CUIT NO CARGADO")</f>
        <v>CUIT NO CARGADO</v>
      </c>
      <c r="H2007" s="64">
        <v>116628.23</v>
      </c>
      <c r="I2007" s="64">
        <f>ventas_b_mes684[[#This Row],[IMPORTE NETO]]*0.21</f>
        <v>24491.9283</v>
      </c>
      <c r="J2007" s="64"/>
      <c r="K2007" s="64"/>
      <c r="L2007" s="64">
        <f>SUM(ventas_b_mes684[[#This Row],[IMPORTE NETO]:[EXENTO]])</f>
        <v>141120.15830000001</v>
      </c>
      <c r="M2007" s="59"/>
    </row>
    <row r="2008" spans="2:13">
      <c r="B2008" s="40" t="s">
        <v>2320</v>
      </c>
      <c r="C2008" s="41">
        <v>6</v>
      </c>
      <c r="D2008" s="42">
        <v>10</v>
      </c>
      <c r="E2008" s="43">
        <v>54666</v>
      </c>
      <c r="F2008" s="44">
        <v>30712238190</v>
      </c>
      <c r="G2008" s="1" t="str">
        <f>IFERROR(IF(ventas_b_mes684[[#This Row],[CUIT]]="","-",VLOOKUP(ventas_b_mes684[[#This Row],[CUIT]],Lista_CUIT[#All],2,0)),"CUIT NO CARGADO")</f>
        <v>CUIT NO CARGADO</v>
      </c>
      <c r="H2008" s="64">
        <v>18280</v>
      </c>
      <c r="I2008" s="64">
        <f>ventas_b_mes684[[#This Row],[IMPORTE NETO]]*0.21</f>
        <v>3838.7999999999997</v>
      </c>
      <c r="J2008" s="64"/>
      <c r="K2008" s="64"/>
      <c r="L2008" s="64">
        <f>SUM(ventas_b_mes684[[#This Row],[IMPORTE NETO]:[EXENTO]])</f>
        <v>22118.799999999999</v>
      </c>
      <c r="M2008" s="59"/>
    </row>
    <row r="2009" spans="2:13">
      <c r="B2009" s="40" t="s">
        <v>2320</v>
      </c>
      <c r="C2009" s="41">
        <v>6</v>
      </c>
      <c r="D2009" s="42">
        <v>10</v>
      </c>
      <c r="E2009" s="43">
        <v>54665</v>
      </c>
      <c r="F2009" s="44">
        <v>30712238190</v>
      </c>
      <c r="G2009" s="1" t="str">
        <f>IFERROR(IF(ventas_b_mes684[[#This Row],[CUIT]]="","-",VLOOKUP(ventas_b_mes684[[#This Row],[CUIT]],Lista_CUIT[#All],2,0)),"CUIT NO CARGADO")</f>
        <v>CUIT NO CARGADO</v>
      </c>
      <c r="H2009" s="64">
        <v>32376.03</v>
      </c>
      <c r="I2009" s="64">
        <f>ventas_b_mes684[[#This Row],[IMPORTE NETO]]*0.21</f>
        <v>6798.9662999999991</v>
      </c>
      <c r="J2009" s="64"/>
      <c r="K2009" s="64"/>
      <c r="L2009" s="64">
        <f>SUM(ventas_b_mes684[[#This Row],[IMPORTE NETO]:[EXENTO]])</f>
        <v>39174.996299999999</v>
      </c>
      <c r="M2009" s="59"/>
    </row>
    <row r="2010" spans="2:13">
      <c r="B2010" s="40" t="s">
        <v>2320</v>
      </c>
      <c r="C2010" s="41">
        <v>6</v>
      </c>
      <c r="D2010" s="42">
        <v>10</v>
      </c>
      <c r="E2010" s="43">
        <v>54662</v>
      </c>
      <c r="F2010" s="44">
        <v>30712238190</v>
      </c>
      <c r="G2010" s="1" t="str">
        <f>IFERROR(IF(ventas_b_mes684[[#This Row],[CUIT]]="","-",VLOOKUP(ventas_b_mes684[[#This Row],[CUIT]],Lista_CUIT[#All],2,0)),"CUIT NO CARGADO")</f>
        <v>CUIT NO CARGADO</v>
      </c>
      <c r="H2010" s="64">
        <v>131405.04999999999</v>
      </c>
      <c r="I2010" s="64">
        <f>ventas_b_mes684[[#This Row],[IMPORTE NETO]]*0.21</f>
        <v>27595.060499999996</v>
      </c>
      <c r="J2010" s="64"/>
      <c r="K2010" s="64"/>
      <c r="L2010" s="64">
        <f>SUM(ventas_b_mes684[[#This Row],[IMPORTE NETO]:[EXENTO]])</f>
        <v>159000.11049999998</v>
      </c>
      <c r="M2010" s="59"/>
    </row>
    <row r="2011" spans="2:13">
      <c r="B2011" s="40" t="s">
        <v>2320</v>
      </c>
      <c r="C2011" s="41">
        <v>6</v>
      </c>
      <c r="D2011" s="42">
        <v>10</v>
      </c>
      <c r="E2011" s="43">
        <v>54664</v>
      </c>
      <c r="F2011" s="44">
        <v>30712238190</v>
      </c>
      <c r="G2011" s="1" t="str">
        <f>IFERROR(IF(ventas_b_mes684[[#This Row],[CUIT]]="","-",VLOOKUP(ventas_b_mes684[[#This Row],[CUIT]],Lista_CUIT[#All],2,0)),"CUIT NO CARGADO")</f>
        <v>CUIT NO CARGADO</v>
      </c>
      <c r="H2011" s="64">
        <v>283285.12</v>
      </c>
      <c r="I2011" s="64">
        <f>ventas_b_mes684[[#This Row],[IMPORTE NETO]]*0.21</f>
        <v>59489.875199999995</v>
      </c>
      <c r="J2011" s="64"/>
      <c r="K2011" s="64"/>
      <c r="L2011" s="64">
        <f>SUM(ventas_b_mes684[[#This Row],[IMPORTE NETO]:[EXENTO]])</f>
        <v>342774.9952</v>
      </c>
      <c r="M2011" s="59"/>
    </row>
    <row r="2012" spans="2:13">
      <c r="B2012" s="40" t="s">
        <v>2320</v>
      </c>
      <c r="C2012" s="41">
        <v>6</v>
      </c>
      <c r="D2012" s="42">
        <v>10</v>
      </c>
      <c r="E2012" s="43">
        <v>54663</v>
      </c>
      <c r="F2012" s="44">
        <v>30712238190</v>
      </c>
      <c r="G2012" s="1" t="str">
        <f>IFERROR(IF(ventas_b_mes684[[#This Row],[CUIT]]="","-",VLOOKUP(ventas_b_mes684[[#This Row],[CUIT]],Lista_CUIT[#All],2,0)),"CUIT NO CARGADO")</f>
        <v>CUIT NO CARGADO</v>
      </c>
      <c r="H2012" s="64">
        <v>141024.91</v>
      </c>
      <c r="I2012" s="64">
        <f>ventas_b_mes684[[#This Row],[IMPORTE NETO]]*0.21</f>
        <v>29615.231100000001</v>
      </c>
      <c r="J2012" s="64"/>
      <c r="K2012" s="64"/>
      <c r="L2012" s="64">
        <f>SUM(ventas_b_mes684[[#This Row],[IMPORTE NETO]:[EXENTO]])</f>
        <v>170640.14110000001</v>
      </c>
      <c r="M2012" s="59"/>
    </row>
    <row r="2013" spans="2:13">
      <c r="B2013" s="40" t="s">
        <v>2320</v>
      </c>
      <c r="C2013" s="41">
        <v>6</v>
      </c>
      <c r="D2013" s="42">
        <v>12</v>
      </c>
      <c r="E2013" s="43">
        <v>29822</v>
      </c>
      <c r="F2013" s="44">
        <v>22524572</v>
      </c>
      <c r="G2013" s="1" t="str">
        <f>IFERROR(IF(ventas_b_mes684[[#This Row],[CUIT]]="","-",VLOOKUP(ventas_b_mes684[[#This Row],[CUIT]],Lista_CUIT[#All],2,0)),"CUIT NO CARGADO")</f>
        <v>CUIT NO CARGADO</v>
      </c>
      <c r="H2013" s="64">
        <v>134653.01999999999</v>
      </c>
      <c r="I2013" s="64">
        <f>ventas_b_mes684[[#This Row],[IMPORTE NETO]]*0.21</f>
        <v>28277.134199999997</v>
      </c>
      <c r="J2013" s="64"/>
      <c r="K2013" s="64"/>
      <c r="L2013" s="64">
        <f>SUM(ventas_b_mes684[[#This Row],[IMPORTE NETO]:[EXENTO]])</f>
        <v>162930.15419999999</v>
      </c>
      <c r="M2013" s="59"/>
    </row>
    <row r="2014" spans="2:13">
      <c r="B2014" s="40" t="s">
        <v>2320</v>
      </c>
      <c r="C2014" s="41">
        <v>6</v>
      </c>
      <c r="D2014" s="42">
        <v>13</v>
      </c>
      <c r="E2014" s="43">
        <v>32591</v>
      </c>
      <c r="F2014" s="44">
        <v>92761508</v>
      </c>
      <c r="G2014" s="1" t="str">
        <f>IFERROR(IF(ventas_b_mes684[[#This Row],[CUIT]]="","-",VLOOKUP(ventas_b_mes684[[#This Row],[CUIT]],Lista_CUIT[#All],2,0)),"CUIT NO CARGADO")</f>
        <v>CUIT NO CARGADO</v>
      </c>
      <c r="H2014" s="64">
        <v>20661.16</v>
      </c>
      <c r="I2014" s="64">
        <f>ventas_b_mes684[[#This Row],[IMPORTE NETO]]*0.21</f>
        <v>4338.8436000000002</v>
      </c>
      <c r="J2014" s="64"/>
      <c r="K2014" s="64"/>
      <c r="L2014" s="64">
        <f>SUM(ventas_b_mes684[[#This Row],[IMPORTE NETO]:[EXENTO]])</f>
        <v>25000.0036</v>
      </c>
      <c r="M2014" s="59"/>
    </row>
    <row r="2015" spans="2:13">
      <c r="B2015" s="40" t="s">
        <v>2320</v>
      </c>
      <c r="C2015" s="41">
        <v>6</v>
      </c>
      <c r="D2015" s="42">
        <v>15</v>
      </c>
      <c r="E2015" s="43">
        <v>13435</v>
      </c>
      <c r="F2015" s="44">
        <v>29435968</v>
      </c>
      <c r="G2015" s="1" t="str">
        <f>IFERROR(IF(ventas_b_mes684[[#This Row],[CUIT]]="","-",VLOOKUP(ventas_b_mes684[[#This Row],[CUIT]],Lista_CUIT[#All],2,0)),"CUIT NO CARGADO")</f>
        <v>CUIT NO CARGADO</v>
      </c>
      <c r="H2015" s="64">
        <v>24330.58</v>
      </c>
      <c r="I2015" s="64">
        <f>ventas_b_mes684[[#This Row],[IMPORTE NETO]]*0.21</f>
        <v>5109.4218000000001</v>
      </c>
      <c r="J2015" s="64"/>
      <c r="K2015" s="64"/>
      <c r="L2015" s="64">
        <f>SUM(ventas_b_mes684[[#This Row],[IMPORTE NETO]:[EXENTO]])</f>
        <v>29440.001800000002</v>
      </c>
      <c r="M2015" s="59"/>
    </row>
    <row r="2016" spans="2:13">
      <c r="B2016" s="40" t="s">
        <v>2320</v>
      </c>
      <c r="C2016" s="41">
        <v>6</v>
      </c>
      <c r="D2016" s="42">
        <v>15</v>
      </c>
      <c r="E2016" s="43">
        <v>13422</v>
      </c>
      <c r="F2016" s="44">
        <v>5143707</v>
      </c>
      <c r="G2016" s="1" t="str">
        <f>IFERROR(IF(ventas_b_mes684[[#This Row],[CUIT]]="","-",VLOOKUP(ventas_b_mes684[[#This Row],[CUIT]],Lista_CUIT[#All],2,0)),"CUIT NO CARGADO")</f>
        <v>RAFFANELLI,Mirta</v>
      </c>
      <c r="H2016" s="64">
        <v>25454.55</v>
      </c>
      <c r="I2016" s="64">
        <f>ventas_b_mes684[[#This Row],[IMPORTE NETO]]*0.21</f>
        <v>5345.4555</v>
      </c>
      <c r="J2016" s="64"/>
      <c r="K2016" s="64"/>
      <c r="L2016" s="64">
        <f>SUM(ventas_b_mes684[[#This Row],[IMPORTE NETO]:[EXENTO]])</f>
        <v>30800.005499999999</v>
      </c>
      <c r="M2016" s="59"/>
    </row>
    <row r="2017" spans="2:13">
      <c r="B2017" s="40" t="s">
        <v>2320</v>
      </c>
      <c r="C2017" s="41">
        <v>6</v>
      </c>
      <c r="D2017" s="42">
        <v>12</v>
      </c>
      <c r="E2017" s="43">
        <v>29855</v>
      </c>
      <c r="F2017" s="44">
        <v>18432994</v>
      </c>
      <c r="G2017" s="1" t="str">
        <f>IFERROR(IF(ventas_b_mes684[[#This Row],[CUIT]]="","-",VLOOKUP(ventas_b_mes684[[#This Row],[CUIT]],Lista_CUIT[#All],2,0)),"CUIT NO CARGADO")</f>
        <v>CUIT NO CARGADO</v>
      </c>
      <c r="H2017" s="64">
        <v>21123.97</v>
      </c>
      <c r="I2017" s="64">
        <f>ventas_b_mes684[[#This Row],[IMPORTE NETO]]*0.21</f>
        <v>4436.0337</v>
      </c>
      <c r="J2017" s="64"/>
      <c r="K2017" s="64"/>
      <c r="L2017" s="64">
        <f>SUM(ventas_b_mes684[[#This Row],[IMPORTE NETO]:[EXENTO]])</f>
        <v>25560.003700000001</v>
      </c>
      <c r="M2017" s="59"/>
    </row>
    <row r="2018" spans="2:13">
      <c r="B2018" s="40" t="s">
        <v>2320</v>
      </c>
      <c r="C2018" s="41">
        <v>6</v>
      </c>
      <c r="D2018" s="42">
        <v>12</v>
      </c>
      <c r="E2018" s="43">
        <v>29849</v>
      </c>
      <c r="F2018" s="44">
        <v>20213391</v>
      </c>
      <c r="G2018" s="1" t="str">
        <f>IFERROR(IF(ventas_b_mes684[[#This Row],[CUIT]]="","-",VLOOKUP(ventas_b_mes684[[#This Row],[CUIT]],Lista_CUIT[#All],2,0)),"CUIT NO CARGADO")</f>
        <v>CUIT NO CARGADO</v>
      </c>
      <c r="H2018" s="64">
        <v>16528.93</v>
      </c>
      <c r="I2018" s="64">
        <f>ventas_b_mes684[[#This Row],[IMPORTE NETO]]*0.21</f>
        <v>3471.0753</v>
      </c>
      <c r="J2018" s="64"/>
      <c r="K2018" s="64"/>
      <c r="L2018" s="64">
        <f>SUM(ventas_b_mes684[[#This Row],[IMPORTE NETO]:[EXENTO]])</f>
        <v>20000.005300000001</v>
      </c>
      <c r="M2018" s="59"/>
    </row>
    <row r="2019" spans="2:13">
      <c r="B2019" s="40" t="s">
        <v>2320</v>
      </c>
      <c r="C2019" s="41">
        <v>6</v>
      </c>
      <c r="D2019" s="42">
        <v>12</v>
      </c>
      <c r="E2019" s="43">
        <v>29851</v>
      </c>
      <c r="F2019" s="44">
        <v>25839437</v>
      </c>
      <c r="G2019" s="1" t="str">
        <f>IFERROR(IF(ventas_b_mes684[[#This Row],[CUIT]]="","-",VLOOKUP(ventas_b_mes684[[#This Row],[CUIT]],Lista_CUIT[#All],2,0)),"CUIT NO CARGADO")</f>
        <v>CUIT NO CARGADO</v>
      </c>
      <c r="H2019" s="64">
        <v>20661.16</v>
      </c>
      <c r="I2019" s="64">
        <f>ventas_b_mes684[[#This Row],[IMPORTE NETO]]*0.21</f>
        <v>4338.8436000000002</v>
      </c>
      <c r="J2019" s="64"/>
      <c r="K2019" s="64"/>
      <c r="L2019" s="64">
        <f>SUM(ventas_b_mes684[[#This Row],[IMPORTE NETO]:[EXENTO]])</f>
        <v>25000.0036</v>
      </c>
      <c r="M2019" s="59"/>
    </row>
    <row r="2020" spans="2:13">
      <c r="B2020" s="40" t="s">
        <v>2320</v>
      </c>
      <c r="C2020" s="41">
        <v>6</v>
      </c>
      <c r="D2020" s="42">
        <v>10</v>
      </c>
      <c r="E2020" s="43">
        <v>54677</v>
      </c>
      <c r="F2020" s="44">
        <v>32542531</v>
      </c>
      <c r="G2020" s="1" t="str">
        <f>IFERROR(IF(ventas_b_mes684[[#This Row],[CUIT]]="","-",VLOOKUP(ventas_b_mes684[[#This Row],[CUIT]],Lista_CUIT[#All],2,0)),"CUIT NO CARGADO")</f>
        <v>CUIT NO CARGADO</v>
      </c>
      <c r="H2020" s="64">
        <v>15404.96</v>
      </c>
      <c r="I2020" s="64">
        <f>ventas_b_mes684[[#This Row],[IMPORTE NETO]]*0.21</f>
        <v>3235.0415999999996</v>
      </c>
      <c r="J2020" s="64"/>
      <c r="K2020" s="64"/>
      <c r="L2020" s="64">
        <f>SUM(ventas_b_mes684[[#This Row],[IMPORTE NETO]:[EXENTO]])</f>
        <v>18640.0016</v>
      </c>
      <c r="M2020" s="59"/>
    </row>
    <row r="2021" spans="2:13">
      <c r="B2021" s="40" t="s">
        <v>2320</v>
      </c>
      <c r="C2021" s="41">
        <v>6</v>
      </c>
      <c r="D2021" s="42">
        <v>10</v>
      </c>
      <c r="E2021" s="43">
        <v>54678</v>
      </c>
      <c r="F2021" s="44">
        <v>27127676092</v>
      </c>
      <c r="G2021" s="1" t="str">
        <f>IFERROR(IF(ventas_b_mes684[[#This Row],[CUIT]]="","-",VLOOKUP(ventas_b_mes684[[#This Row],[CUIT]],Lista_CUIT[#All],2,0)),"CUIT NO CARGADO")</f>
        <v>CUIT NO CARGADO</v>
      </c>
      <c r="H2021" s="64">
        <v>17983.490000000002</v>
      </c>
      <c r="I2021" s="64">
        <f>ventas_b_mes684[[#This Row],[IMPORTE NETO]]*0.21</f>
        <v>3776.5329000000002</v>
      </c>
      <c r="J2021" s="64"/>
      <c r="K2021" s="64"/>
      <c r="L2021" s="64">
        <f>SUM(ventas_b_mes684[[#This Row],[IMPORTE NETO]:[EXENTO]])</f>
        <v>21760.022900000004</v>
      </c>
      <c r="M2021" s="59"/>
    </row>
    <row r="2022" spans="2:13">
      <c r="B2022" s="40" t="s">
        <v>2320</v>
      </c>
      <c r="C2022" s="41">
        <v>6</v>
      </c>
      <c r="D2022" s="42">
        <v>12</v>
      </c>
      <c r="E2022" s="43">
        <v>29828</v>
      </c>
      <c r="F2022" s="44">
        <v>30138111</v>
      </c>
      <c r="G2022" s="1" t="str">
        <f>IFERROR(IF(ventas_b_mes684[[#This Row],[CUIT]]="","-",VLOOKUP(ventas_b_mes684[[#This Row],[CUIT]],Lista_CUIT[#All],2,0)),"CUIT NO CARGADO")</f>
        <v>CUIT NO CARGADO</v>
      </c>
      <c r="H2022" s="64">
        <v>4338.84</v>
      </c>
      <c r="I2022" s="64">
        <f>ventas_b_mes684[[#This Row],[IMPORTE NETO]]*0.21</f>
        <v>911.15639999999996</v>
      </c>
      <c r="J2022" s="64"/>
      <c r="K2022" s="64"/>
      <c r="L2022" s="64">
        <f>SUM(ventas_b_mes684[[#This Row],[IMPORTE NETO]:[EXENTO]])</f>
        <v>5249.9964</v>
      </c>
      <c r="M2022" s="59"/>
    </row>
    <row r="2023" spans="2:13">
      <c r="B2023" s="40" t="s">
        <v>2320</v>
      </c>
      <c r="C2023" s="41">
        <v>6</v>
      </c>
      <c r="D2023" s="42">
        <v>15</v>
      </c>
      <c r="E2023" s="43">
        <v>13428</v>
      </c>
      <c r="F2023" s="44">
        <v>43100901</v>
      </c>
      <c r="G2023" s="1" t="str">
        <f>IFERROR(IF(ventas_b_mes684[[#This Row],[CUIT]]="","-",VLOOKUP(ventas_b_mes684[[#This Row],[CUIT]],Lista_CUIT[#All],2,0)),"CUIT NO CARGADO")</f>
        <v>CUIT NO CARGADO</v>
      </c>
      <c r="H2023" s="64">
        <v>338.84</v>
      </c>
      <c r="I2023" s="64">
        <f>ventas_b_mes684[[#This Row],[IMPORTE NETO]]*0.21</f>
        <v>71.156399999999991</v>
      </c>
      <c r="J2023" s="64"/>
      <c r="K2023" s="64"/>
      <c r="L2023" s="64">
        <f>SUM(ventas_b_mes684[[#This Row],[IMPORTE NETO]:[EXENTO]])</f>
        <v>409.99639999999999</v>
      </c>
      <c r="M2023" s="59"/>
    </row>
    <row r="2024" spans="2:13">
      <c r="B2024" s="40" t="s">
        <v>2320</v>
      </c>
      <c r="C2024" s="41">
        <v>8</v>
      </c>
      <c r="D2024" s="42">
        <v>11</v>
      </c>
      <c r="E2024" s="43">
        <v>1042</v>
      </c>
      <c r="F2024" s="44">
        <v>36827035</v>
      </c>
      <c r="G2024" s="1" t="str">
        <f>IFERROR(IF(ventas_b_mes684[[#This Row],[CUIT]]="","-",VLOOKUP(ventas_b_mes684[[#This Row],[CUIT]],Lista_CUIT[#All],2,0)),"CUIT NO CARGADO")</f>
        <v>CUIT NO CARGADO</v>
      </c>
      <c r="H2024" s="64">
        <v>-23140.5</v>
      </c>
      <c r="I2024" s="64">
        <f>ventas_b_mes684[[#This Row],[IMPORTE NETO]]*0.21</f>
        <v>-4859.5050000000001</v>
      </c>
      <c r="J2024" s="64"/>
      <c r="K2024" s="64"/>
      <c r="L2024" s="64">
        <f>SUM(ventas_b_mes684[[#This Row],[IMPORTE NETO]:[EXENTO]])</f>
        <v>-28000.005000000001</v>
      </c>
      <c r="M2024" s="59"/>
    </row>
    <row r="2025" spans="2:13">
      <c r="B2025" s="40" t="s">
        <v>2321</v>
      </c>
      <c r="C2025" s="41">
        <v>6</v>
      </c>
      <c r="D2025" s="42">
        <v>15</v>
      </c>
      <c r="E2025" s="43">
        <v>13446</v>
      </c>
      <c r="F2025" s="44">
        <v>40144881</v>
      </c>
      <c r="G2025" s="1" t="str">
        <f>IFERROR(IF(ventas_b_mes684[[#This Row],[CUIT]]="","-",VLOOKUP(ventas_b_mes684[[#This Row],[CUIT]],Lista_CUIT[#All],2,0)),"CUIT NO CARGADO")</f>
        <v>CUIT NO CARGADO</v>
      </c>
      <c r="H2025" s="64">
        <v>25851.24</v>
      </c>
      <c r="I2025" s="64">
        <f>ventas_b_mes684[[#This Row],[IMPORTE NETO]]*0.21</f>
        <v>5428.7604000000001</v>
      </c>
      <c r="J2025" s="64"/>
      <c r="K2025" s="64"/>
      <c r="L2025" s="64">
        <f>SUM(ventas_b_mes684[[#This Row],[IMPORTE NETO]:[EXENTO]])</f>
        <v>31280.000400000001</v>
      </c>
      <c r="M2025" s="59"/>
    </row>
    <row r="2026" spans="2:13">
      <c r="B2026" s="40" t="s">
        <v>2321</v>
      </c>
      <c r="C2026" s="41">
        <v>6</v>
      </c>
      <c r="D2026" s="42">
        <v>11</v>
      </c>
      <c r="E2026" s="43">
        <v>38365</v>
      </c>
      <c r="F2026" s="44">
        <v>13642025</v>
      </c>
      <c r="G2026" s="1" t="str">
        <f>IFERROR(IF(ventas_b_mes684[[#This Row],[CUIT]]="","-",VLOOKUP(ventas_b_mes684[[#This Row],[CUIT]],Lista_CUIT[#All],2,0)),"CUIT NO CARGADO")</f>
        <v>CUIT NO CARGADO</v>
      </c>
      <c r="H2026" s="64">
        <v>19363.64</v>
      </c>
      <c r="I2026" s="64">
        <f>ventas_b_mes684[[#This Row],[IMPORTE NETO]]*0.21</f>
        <v>4066.3643999999999</v>
      </c>
      <c r="J2026" s="64"/>
      <c r="K2026" s="64"/>
      <c r="L2026" s="64">
        <f>SUM(ventas_b_mes684[[#This Row],[IMPORTE NETO]:[EXENTO]])</f>
        <v>23430.004399999998</v>
      </c>
      <c r="M2026" s="59"/>
    </row>
    <row r="2027" spans="2:13">
      <c r="B2027" s="40" t="s">
        <v>2321</v>
      </c>
      <c r="C2027" s="41">
        <v>6</v>
      </c>
      <c r="D2027" s="42">
        <v>10</v>
      </c>
      <c r="E2027" s="43">
        <v>54695</v>
      </c>
      <c r="F2027" s="44">
        <v>11897487</v>
      </c>
      <c r="G2027" s="1" t="str">
        <f>IFERROR(IF(ventas_b_mes684[[#This Row],[CUIT]]="","-",VLOOKUP(ventas_b_mes684[[#This Row],[CUIT]],Lista_CUIT[#All],2,0)),"CUIT NO CARGADO")</f>
        <v>CUIT NO CARGADO</v>
      </c>
      <c r="H2027" s="64">
        <v>11809.92</v>
      </c>
      <c r="I2027" s="64">
        <f>ventas_b_mes684[[#This Row],[IMPORTE NETO]]*0.21</f>
        <v>2480.0832</v>
      </c>
      <c r="J2027" s="64"/>
      <c r="K2027" s="64"/>
      <c r="L2027" s="64">
        <f>SUM(ventas_b_mes684[[#This Row],[IMPORTE NETO]:[EXENTO]])</f>
        <v>14290.003199999999</v>
      </c>
      <c r="M2027" s="59"/>
    </row>
    <row r="2028" spans="2:13">
      <c r="B2028" s="40" t="s">
        <v>2321</v>
      </c>
      <c r="C2028" s="41">
        <v>6</v>
      </c>
      <c r="D2028" s="42">
        <v>11</v>
      </c>
      <c r="E2028" s="43">
        <v>38376</v>
      </c>
      <c r="F2028" s="44">
        <v>26710506</v>
      </c>
      <c r="G2028" s="1" t="str">
        <f>IFERROR(IF(ventas_b_mes684[[#This Row],[CUIT]]="","-",VLOOKUP(ventas_b_mes684[[#This Row],[CUIT]],Lista_CUIT[#All],2,0)),"CUIT NO CARGADO")</f>
        <v>CUIT NO CARGADO</v>
      </c>
      <c r="H2028" s="64">
        <v>9429.75</v>
      </c>
      <c r="I2028" s="64">
        <f>ventas_b_mes684[[#This Row],[IMPORTE NETO]]*0.21</f>
        <v>1980.2474999999999</v>
      </c>
      <c r="J2028" s="64"/>
      <c r="K2028" s="64"/>
      <c r="L2028" s="64">
        <f>SUM(ventas_b_mes684[[#This Row],[IMPORTE NETO]:[EXENTO]])</f>
        <v>11409.997499999999</v>
      </c>
      <c r="M2028" s="59"/>
    </row>
    <row r="2029" spans="2:13">
      <c r="B2029" s="40" t="s">
        <v>2321</v>
      </c>
      <c r="C2029" s="41">
        <v>6</v>
      </c>
      <c r="D2029" s="42">
        <v>10</v>
      </c>
      <c r="E2029" s="43">
        <v>54692</v>
      </c>
      <c r="F2029" s="44">
        <v>14653805</v>
      </c>
      <c r="G2029" s="1" t="str">
        <f>IFERROR(IF(ventas_b_mes684[[#This Row],[CUIT]]="","-",VLOOKUP(ventas_b_mes684[[#This Row],[CUIT]],Lista_CUIT[#All],2,0)),"CUIT NO CARGADO")</f>
        <v>CUIT NO CARGADO</v>
      </c>
      <c r="H2029" s="64">
        <v>115405.09</v>
      </c>
      <c r="I2029" s="64">
        <f>ventas_b_mes684[[#This Row],[IMPORTE NETO]]*0.21</f>
        <v>24235.068899999998</v>
      </c>
      <c r="J2029" s="64"/>
      <c r="K2029" s="64"/>
      <c r="L2029" s="64">
        <f>SUM(ventas_b_mes684[[#This Row],[IMPORTE NETO]:[EXENTO]])</f>
        <v>139640.15889999998</v>
      </c>
      <c r="M2029" s="59"/>
    </row>
    <row r="2030" spans="2:13">
      <c r="B2030" s="40" t="s">
        <v>2321</v>
      </c>
      <c r="C2030" s="41">
        <v>6</v>
      </c>
      <c r="D2030" s="42">
        <v>12</v>
      </c>
      <c r="E2030" s="43">
        <v>29858</v>
      </c>
      <c r="F2030" s="44">
        <v>43662734</v>
      </c>
      <c r="G2030" s="1" t="str">
        <f>IFERROR(IF(ventas_b_mes684[[#This Row],[CUIT]]="","-",VLOOKUP(ventas_b_mes684[[#This Row],[CUIT]],Lista_CUIT[#All],2,0)),"CUIT NO CARGADO")</f>
        <v>CUIT NO CARGADO</v>
      </c>
      <c r="H2030" s="64">
        <v>8925.6200000000008</v>
      </c>
      <c r="I2030" s="64">
        <f>ventas_b_mes684[[#This Row],[IMPORTE NETO]]*0.21</f>
        <v>1874.3802000000001</v>
      </c>
      <c r="J2030" s="64"/>
      <c r="K2030" s="64"/>
      <c r="L2030" s="64">
        <f>SUM(ventas_b_mes684[[#This Row],[IMPORTE NETO]:[EXENTO]])</f>
        <v>10800.0002</v>
      </c>
      <c r="M2030" s="59"/>
    </row>
    <row r="2031" spans="2:13">
      <c r="B2031" s="40" t="s">
        <v>2321</v>
      </c>
      <c r="C2031" s="41">
        <v>6</v>
      </c>
      <c r="D2031" s="42">
        <v>11</v>
      </c>
      <c r="E2031" s="43">
        <v>38368</v>
      </c>
      <c r="F2031" s="44">
        <v>16398689</v>
      </c>
      <c r="G2031" s="1" t="str">
        <f>IFERROR(IF(ventas_b_mes684[[#This Row],[CUIT]]="","-",VLOOKUP(ventas_b_mes684[[#This Row],[CUIT]],Lista_CUIT[#All],2,0)),"CUIT NO CARGADO")</f>
        <v>CUIT NO CARGADO</v>
      </c>
      <c r="H2031" s="64">
        <v>6570.25</v>
      </c>
      <c r="I2031" s="64">
        <f>ventas_b_mes684[[#This Row],[IMPORTE NETO]]*0.21</f>
        <v>1379.7525000000001</v>
      </c>
      <c r="J2031" s="64"/>
      <c r="K2031" s="64"/>
      <c r="L2031" s="64">
        <f>SUM(ventas_b_mes684[[#This Row],[IMPORTE NETO]:[EXENTO]])</f>
        <v>7950.0025000000005</v>
      </c>
      <c r="M2031" s="59"/>
    </row>
    <row r="2032" spans="2:13">
      <c r="B2032" s="40" t="s">
        <v>2321</v>
      </c>
      <c r="C2032" s="41">
        <v>6</v>
      </c>
      <c r="D2032" s="42">
        <v>12</v>
      </c>
      <c r="E2032" s="43">
        <v>29871</v>
      </c>
      <c r="F2032" s="44">
        <v>28696273</v>
      </c>
      <c r="G2032" s="1" t="str">
        <f>IFERROR(IF(ventas_b_mes684[[#This Row],[CUIT]]="","-",VLOOKUP(ventas_b_mes684[[#This Row],[CUIT]],Lista_CUIT[#All],2,0)),"CUIT NO CARGADO")</f>
        <v>CUIT NO CARGADO</v>
      </c>
      <c r="H2032" s="64">
        <v>8264.4599999999991</v>
      </c>
      <c r="I2032" s="64">
        <f>ventas_b_mes684[[#This Row],[IMPORTE NETO]]*0.21</f>
        <v>1735.5365999999997</v>
      </c>
      <c r="J2032" s="64"/>
      <c r="K2032" s="64"/>
      <c r="L2032" s="64">
        <f>SUM(ventas_b_mes684[[#This Row],[IMPORTE NETO]:[EXENTO]])</f>
        <v>9999.9965999999986</v>
      </c>
      <c r="M2032" s="59"/>
    </row>
    <row r="2033" spans="2:13">
      <c r="B2033" s="40" t="s">
        <v>2321</v>
      </c>
      <c r="C2033" s="41">
        <v>6</v>
      </c>
      <c r="D2033" s="42">
        <v>10</v>
      </c>
      <c r="E2033" s="43">
        <v>54688</v>
      </c>
      <c r="F2033" s="44">
        <v>35969790</v>
      </c>
      <c r="G2033" s="1" t="str">
        <f>IFERROR(IF(ventas_b_mes684[[#This Row],[CUIT]]="","-",VLOOKUP(ventas_b_mes684[[#This Row],[CUIT]],Lista_CUIT[#All],2,0)),"CUIT NO CARGADO")</f>
        <v>BALDINI, VICTORIA (ALUMNA)</v>
      </c>
      <c r="H2033" s="64">
        <v>56595.07</v>
      </c>
      <c r="I2033" s="64">
        <f>ventas_b_mes684[[#This Row],[IMPORTE NETO]]*0.21</f>
        <v>11884.964699999999</v>
      </c>
      <c r="J2033" s="64"/>
      <c r="K2033" s="64"/>
      <c r="L2033" s="64">
        <f>SUM(ventas_b_mes684[[#This Row],[IMPORTE NETO]:[EXENTO]])</f>
        <v>68480.034700000004</v>
      </c>
      <c r="M2033" s="59"/>
    </row>
    <row r="2034" spans="2:13">
      <c r="B2034" s="40" t="s">
        <v>2321</v>
      </c>
      <c r="C2034" s="41">
        <v>6</v>
      </c>
      <c r="D2034" s="42">
        <v>12</v>
      </c>
      <c r="E2034" s="43">
        <v>29865</v>
      </c>
      <c r="F2034" s="44">
        <v>24326071</v>
      </c>
      <c r="G2034" s="1" t="str">
        <f>IFERROR(IF(ventas_b_mes684[[#This Row],[CUIT]]="","-",VLOOKUP(ventas_b_mes684[[#This Row],[CUIT]],Lista_CUIT[#All],2,0)),"CUIT NO CARGADO")</f>
        <v>CUIT NO CARGADO</v>
      </c>
      <c r="H2034" s="64">
        <v>106859.5</v>
      </c>
      <c r="I2034" s="64">
        <f>ventas_b_mes684[[#This Row],[IMPORTE NETO]]*0.21</f>
        <v>22440.494999999999</v>
      </c>
      <c r="J2034" s="64"/>
      <c r="K2034" s="64"/>
      <c r="L2034" s="64">
        <f>SUM(ventas_b_mes684[[#This Row],[IMPORTE NETO]:[EXENTO]])</f>
        <v>129299.995</v>
      </c>
      <c r="M2034" s="59"/>
    </row>
    <row r="2035" spans="2:13">
      <c r="B2035" s="40" t="s">
        <v>2321</v>
      </c>
      <c r="C2035" s="41">
        <v>6</v>
      </c>
      <c r="D2035" s="42">
        <v>11</v>
      </c>
      <c r="E2035" s="43">
        <v>38382</v>
      </c>
      <c r="F2035" s="44">
        <v>13827485</v>
      </c>
      <c r="G2035" s="1" t="str">
        <f>IFERROR(IF(ventas_b_mes684[[#This Row],[CUIT]]="","-",VLOOKUP(ventas_b_mes684[[#This Row],[CUIT]],Lista_CUIT[#All],2,0)),"CUIT NO CARGADO")</f>
        <v>CUIT NO CARGADO</v>
      </c>
      <c r="H2035" s="64">
        <v>37289.29</v>
      </c>
      <c r="I2035" s="64">
        <f>ventas_b_mes684[[#This Row],[IMPORTE NETO]]*0.21</f>
        <v>7830.7509</v>
      </c>
      <c r="J2035" s="64"/>
      <c r="K2035" s="64"/>
      <c r="L2035" s="64">
        <f>SUM(ventas_b_mes684[[#This Row],[IMPORTE NETO]:[EXENTO]])</f>
        <v>45120.0409</v>
      </c>
      <c r="M2035" s="59"/>
    </row>
    <row r="2036" spans="2:13">
      <c r="B2036" s="40" t="s">
        <v>2321</v>
      </c>
      <c r="C2036" s="41">
        <v>6</v>
      </c>
      <c r="D2036" s="42">
        <v>12</v>
      </c>
      <c r="E2036" s="43">
        <v>29866</v>
      </c>
      <c r="F2036" s="44">
        <v>24326071</v>
      </c>
      <c r="G2036" s="1" t="str">
        <f>IFERROR(IF(ventas_b_mes684[[#This Row],[CUIT]]="","-",VLOOKUP(ventas_b_mes684[[#This Row],[CUIT]],Lista_CUIT[#All],2,0)),"CUIT NO CARGADO")</f>
        <v>CUIT NO CARGADO</v>
      </c>
      <c r="H2036" s="64">
        <v>25537.19</v>
      </c>
      <c r="I2036" s="64">
        <f>ventas_b_mes684[[#This Row],[IMPORTE NETO]]*0.21</f>
        <v>5362.8098999999993</v>
      </c>
      <c r="J2036" s="64"/>
      <c r="K2036" s="64"/>
      <c r="L2036" s="64">
        <f>SUM(ventas_b_mes684[[#This Row],[IMPORTE NETO]:[EXENTO]])</f>
        <v>30899.999899999999</v>
      </c>
      <c r="M2036" s="59"/>
    </row>
    <row r="2037" spans="2:13">
      <c r="B2037" s="40" t="s">
        <v>2321</v>
      </c>
      <c r="C2037" s="41">
        <v>6</v>
      </c>
      <c r="D2037" s="42">
        <v>11</v>
      </c>
      <c r="E2037" s="43">
        <v>38383</v>
      </c>
      <c r="F2037" s="44">
        <v>20957396</v>
      </c>
      <c r="G2037" s="1" t="str">
        <f>IFERROR(IF(ventas_b_mes684[[#This Row],[CUIT]]="","-",VLOOKUP(ventas_b_mes684[[#This Row],[CUIT]],Lista_CUIT[#All],2,0)),"CUIT NO CARGADO")</f>
        <v>CUIT NO CARGADO</v>
      </c>
      <c r="H2037" s="64">
        <v>7933.88</v>
      </c>
      <c r="I2037" s="64">
        <f>ventas_b_mes684[[#This Row],[IMPORTE NETO]]*0.21</f>
        <v>1666.1148000000001</v>
      </c>
      <c r="J2037" s="64"/>
      <c r="K2037" s="64"/>
      <c r="L2037" s="64">
        <f>SUM(ventas_b_mes684[[#This Row],[IMPORTE NETO]:[EXENTO]])</f>
        <v>9599.9948000000004</v>
      </c>
      <c r="M2037" s="59"/>
    </row>
    <row r="2038" spans="2:13">
      <c r="B2038" s="40" t="s">
        <v>2321</v>
      </c>
      <c r="C2038" s="41">
        <v>6</v>
      </c>
      <c r="D2038" s="42">
        <v>12</v>
      </c>
      <c r="E2038" s="43">
        <v>29868</v>
      </c>
      <c r="F2038" s="44">
        <v>17622732</v>
      </c>
      <c r="G2038" s="1" t="str">
        <f>IFERROR(IF(ventas_b_mes684[[#This Row],[CUIT]]="","-",VLOOKUP(ventas_b_mes684[[#This Row],[CUIT]],Lista_CUIT[#All],2,0)),"CUIT NO CARGADO")</f>
        <v>CUIT NO CARGADO</v>
      </c>
      <c r="H2038" s="64">
        <v>79991.740000000005</v>
      </c>
      <c r="I2038" s="64">
        <f>ventas_b_mes684[[#This Row],[IMPORTE NETO]]*0.21</f>
        <v>16798.2654</v>
      </c>
      <c r="J2038" s="64"/>
      <c r="K2038" s="64"/>
      <c r="L2038" s="64">
        <f>SUM(ventas_b_mes684[[#This Row],[IMPORTE NETO]:[EXENTO]])</f>
        <v>96790.005400000009</v>
      </c>
      <c r="M2038" s="59"/>
    </row>
    <row r="2039" spans="2:13">
      <c r="B2039" s="40" t="s">
        <v>2321</v>
      </c>
      <c r="C2039" s="41">
        <v>6</v>
      </c>
      <c r="D2039" s="42">
        <v>12</v>
      </c>
      <c r="E2039" s="43">
        <v>29867</v>
      </c>
      <c r="F2039" s="44">
        <v>20375243</v>
      </c>
      <c r="G2039" s="1" t="str">
        <f>IFERROR(IF(ventas_b_mes684[[#This Row],[CUIT]]="","-",VLOOKUP(ventas_b_mes684[[#This Row],[CUIT]],Lista_CUIT[#All],2,0)),"CUIT NO CARGADO")</f>
        <v>CUIT NO CARGADO</v>
      </c>
      <c r="H2039" s="64">
        <v>9322.31</v>
      </c>
      <c r="I2039" s="64">
        <f>ventas_b_mes684[[#This Row],[IMPORTE NETO]]*0.21</f>
        <v>1957.6850999999999</v>
      </c>
      <c r="J2039" s="64"/>
      <c r="K2039" s="64"/>
      <c r="L2039" s="64">
        <f>SUM(ventas_b_mes684[[#This Row],[IMPORTE NETO]:[EXENTO]])</f>
        <v>11279.9951</v>
      </c>
      <c r="M2039" s="59"/>
    </row>
    <row r="2040" spans="2:13">
      <c r="B2040" s="40" t="s">
        <v>2321</v>
      </c>
      <c r="C2040" s="41">
        <v>6</v>
      </c>
      <c r="D2040" s="42">
        <v>12</v>
      </c>
      <c r="E2040" s="43">
        <v>29857</v>
      </c>
      <c r="F2040" s="44">
        <v>94016932</v>
      </c>
      <c r="G2040" s="1" t="str">
        <f>IFERROR(IF(ventas_b_mes684[[#This Row],[CUIT]]="","-",VLOOKUP(ventas_b_mes684[[#This Row],[CUIT]],Lista_CUIT[#All],2,0)),"CUIT NO CARGADO")</f>
        <v>CUIT NO CARGADO</v>
      </c>
      <c r="H2040" s="64">
        <v>19107.439999999999</v>
      </c>
      <c r="I2040" s="64">
        <f>ventas_b_mes684[[#This Row],[IMPORTE NETO]]*0.21</f>
        <v>4012.5623999999998</v>
      </c>
      <c r="J2040" s="64"/>
      <c r="K2040" s="64"/>
      <c r="L2040" s="64">
        <f>SUM(ventas_b_mes684[[#This Row],[IMPORTE NETO]:[EXENTO]])</f>
        <v>23120.002399999998</v>
      </c>
      <c r="M2040" s="59"/>
    </row>
    <row r="2041" spans="2:13">
      <c r="B2041" s="40" t="s">
        <v>2321</v>
      </c>
      <c r="C2041" s="41">
        <v>6</v>
      </c>
      <c r="D2041" s="42">
        <v>10</v>
      </c>
      <c r="E2041" s="43">
        <v>54689</v>
      </c>
      <c r="F2041" s="44">
        <v>30744744</v>
      </c>
      <c r="G2041" s="1" t="str">
        <f>IFERROR(IF(ventas_b_mes684[[#This Row],[CUIT]]="","-",VLOOKUP(ventas_b_mes684[[#This Row],[CUIT]],Lista_CUIT[#All],2,0)),"CUIT NO CARGADO")</f>
        <v>CUIT NO CARGADO</v>
      </c>
      <c r="H2041" s="64">
        <v>4462.8100000000004</v>
      </c>
      <c r="I2041" s="64">
        <f>ventas_b_mes684[[#This Row],[IMPORTE NETO]]*0.21</f>
        <v>937.19010000000003</v>
      </c>
      <c r="J2041" s="64"/>
      <c r="K2041" s="64"/>
      <c r="L2041" s="64">
        <f>SUM(ventas_b_mes684[[#This Row],[IMPORTE NETO]:[EXENTO]])</f>
        <v>5400.0001000000002</v>
      </c>
      <c r="M2041" s="59"/>
    </row>
    <row r="2042" spans="2:13">
      <c r="B2042" s="40" t="s">
        <v>2321</v>
      </c>
      <c r="C2042" s="41">
        <v>6</v>
      </c>
      <c r="D2042" s="42">
        <v>10</v>
      </c>
      <c r="E2042" s="43">
        <v>54686</v>
      </c>
      <c r="F2042" s="44">
        <v>21848517</v>
      </c>
      <c r="G2042" s="1" t="str">
        <f>IFERROR(IF(ventas_b_mes684[[#This Row],[CUIT]]="","-",VLOOKUP(ventas_b_mes684[[#This Row],[CUIT]],Lista_CUIT[#All],2,0)),"CUIT NO CARGADO")</f>
        <v>CUIT NO CARGADO</v>
      </c>
      <c r="H2042" s="64">
        <v>33851.24</v>
      </c>
      <c r="I2042" s="64">
        <f>ventas_b_mes684[[#This Row],[IMPORTE NETO]]*0.21</f>
        <v>7108.7603999999992</v>
      </c>
      <c r="J2042" s="64"/>
      <c r="K2042" s="64"/>
      <c r="L2042" s="64">
        <f>SUM(ventas_b_mes684[[#This Row],[IMPORTE NETO]:[EXENTO]])</f>
        <v>40960.000399999997</v>
      </c>
      <c r="M2042" s="59"/>
    </row>
    <row r="2043" spans="2:13">
      <c r="B2043" s="40" t="s">
        <v>2321</v>
      </c>
      <c r="C2043" s="41">
        <v>6</v>
      </c>
      <c r="D2043" s="42">
        <v>11</v>
      </c>
      <c r="E2043" s="43">
        <v>38372</v>
      </c>
      <c r="F2043" s="44">
        <v>43444890</v>
      </c>
      <c r="G2043" s="1" t="str">
        <f>IFERROR(IF(ventas_b_mes684[[#This Row],[CUIT]]="","-",VLOOKUP(ventas_b_mes684[[#This Row],[CUIT]],Lista_CUIT[#All],2,0)),"CUIT NO CARGADO")</f>
        <v>CUIT NO CARGADO</v>
      </c>
      <c r="H2043" s="64">
        <v>31223.14</v>
      </c>
      <c r="I2043" s="64">
        <f>ventas_b_mes684[[#This Row],[IMPORTE NETO]]*0.21</f>
        <v>6556.8593999999994</v>
      </c>
      <c r="J2043" s="64"/>
      <c r="K2043" s="64"/>
      <c r="L2043" s="64">
        <f>SUM(ventas_b_mes684[[#This Row],[IMPORTE NETO]:[EXENTO]])</f>
        <v>37779.999400000001</v>
      </c>
      <c r="M2043" s="59"/>
    </row>
    <row r="2044" spans="2:13">
      <c r="B2044" s="40" t="s">
        <v>2321</v>
      </c>
      <c r="C2044" s="41">
        <v>6</v>
      </c>
      <c r="D2044" s="42">
        <v>10</v>
      </c>
      <c r="E2044" s="43">
        <v>54691</v>
      </c>
      <c r="F2044" s="44">
        <v>38176985</v>
      </c>
      <c r="G2044" s="1" t="str">
        <f>IFERROR(IF(ventas_b_mes684[[#This Row],[CUIT]]="","-",VLOOKUP(ventas_b_mes684[[#This Row],[CUIT]],Lista_CUIT[#All],2,0)),"CUIT NO CARGADO")</f>
        <v>CUIT NO CARGADO</v>
      </c>
      <c r="H2044" s="64">
        <v>12495.87</v>
      </c>
      <c r="I2044" s="64">
        <f>ventas_b_mes684[[#This Row],[IMPORTE NETO]]*0.21</f>
        <v>2624.1327000000001</v>
      </c>
      <c r="J2044" s="64"/>
      <c r="K2044" s="64"/>
      <c r="L2044" s="64">
        <f>SUM(ventas_b_mes684[[#This Row],[IMPORTE NETO]:[EXENTO]])</f>
        <v>15120.002700000001</v>
      </c>
      <c r="M2044" s="59"/>
    </row>
    <row r="2045" spans="2:13">
      <c r="B2045" s="40" t="s">
        <v>2321</v>
      </c>
      <c r="C2045" s="41">
        <v>6</v>
      </c>
      <c r="D2045" s="42">
        <v>11</v>
      </c>
      <c r="E2045" s="43">
        <v>38367</v>
      </c>
      <c r="F2045" s="44">
        <v>43240534</v>
      </c>
      <c r="G2045" s="1" t="str">
        <f>IFERROR(IF(ventas_b_mes684[[#This Row],[CUIT]]="","-",VLOOKUP(ventas_b_mes684[[#This Row],[CUIT]],Lista_CUIT[#All],2,0)),"CUIT NO CARGADO")</f>
        <v>CUIT NO CARGADO</v>
      </c>
      <c r="H2045" s="64">
        <v>6115.7</v>
      </c>
      <c r="I2045" s="64">
        <f>ventas_b_mes684[[#This Row],[IMPORTE NETO]]*0.21</f>
        <v>1284.297</v>
      </c>
      <c r="J2045" s="64"/>
      <c r="K2045" s="64"/>
      <c r="L2045" s="64">
        <f>SUM(ventas_b_mes684[[#This Row],[IMPORTE NETO]:[EXENTO]])</f>
        <v>7399.9969999999994</v>
      </c>
      <c r="M2045" s="59"/>
    </row>
    <row r="2046" spans="2:13">
      <c r="B2046" s="40" t="s">
        <v>2321</v>
      </c>
      <c r="C2046" s="41">
        <v>6</v>
      </c>
      <c r="D2046" s="42">
        <v>11</v>
      </c>
      <c r="E2046" s="43">
        <v>38375</v>
      </c>
      <c r="F2046" s="44">
        <v>46753234</v>
      </c>
      <c r="G2046" s="1" t="str">
        <f>IFERROR(IF(ventas_b_mes684[[#This Row],[CUIT]]="","-",VLOOKUP(ventas_b_mes684[[#This Row],[CUIT]],Lista_CUIT[#All],2,0)),"CUIT NO CARGADO")</f>
        <v>CUIT NO CARGADO</v>
      </c>
      <c r="H2046" s="64">
        <v>41322.31</v>
      </c>
      <c r="I2046" s="64">
        <f>ventas_b_mes684[[#This Row],[IMPORTE NETO]]*0.21</f>
        <v>8677.6850999999988</v>
      </c>
      <c r="J2046" s="64"/>
      <c r="K2046" s="64"/>
      <c r="L2046" s="64">
        <f>SUM(ventas_b_mes684[[#This Row],[IMPORTE NETO]:[EXENTO]])</f>
        <v>49999.9951</v>
      </c>
      <c r="M2046" s="59"/>
    </row>
    <row r="2047" spans="2:13">
      <c r="B2047" s="40" t="s">
        <v>2321</v>
      </c>
      <c r="C2047" s="41">
        <v>6</v>
      </c>
      <c r="D2047" s="42">
        <v>11</v>
      </c>
      <c r="E2047" s="43">
        <v>38361</v>
      </c>
      <c r="F2047" s="44">
        <v>42877623</v>
      </c>
      <c r="G2047" s="1" t="str">
        <f>IFERROR(IF(ventas_b_mes684[[#This Row],[CUIT]]="","-",VLOOKUP(ventas_b_mes684[[#This Row],[CUIT]],Lista_CUIT[#All],2,0)),"CUIT NO CARGADO")</f>
        <v>CUIT NO CARGADO</v>
      </c>
      <c r="H2047" s="64">
        <v>22793.39</v>
      </c>
      <c r="I2047" s="64">
        <f>ventas_b_mes684[[#This Row],[IMPORTE NETO]]*0.21</f>
        <v>4786.6118999999999</v>
      </c>
      <c r="J2047" s="64"/>
      <c r="K2047" s="64"/>
      <c r="L2047" s="64">
        <f>SUM(ventas_b_mes684[[#This Row],[IMPORTE NETO]:[EXENTO]])</f>
        <v>27580.001899999999</v>
      </c>
      <c r="M2047" s="59"/>
    </row>
    <row r="2048" spans="2:13">
      <c r="B2048" s="40" t="s">
        <v>2321</v>
      </c>
      <c r="C2048" s="41">
        <v>6</v>
      </c>
      <c r="D2048" s="42">
        <v>15</v>
      </c>
      <c r="E2048" s="43">
        <v>13439</v>
      </c>
      <c r="F2048" s="44">
        <v>23874501</v>
      </c>
      <c r="G2048" s="1" t="str">
        <f>IFERROR(IF(ventas_b_mes684[[#This Row],[CUIT]]="","-",VLOOKUP(ventas_b_mes684[[#This Row],[CUIT]],Lista_CUIT[#All],2,0)),"CUIT NO CARGADO")</f>
        <v>CUIT NO CARGADO</v>
      </c>
      <c r="H2048" s="64">
        <v>33983.47</v>
      </c>
      <c r="I2048" s="64">
        <f>ventas_b_mes684[[#This Row],[IMPORTE NETO]]*0.21</f>
        <v>7136.5286999999998</v>
      </c>
      <c r="J2048" s="64"/>
      <c r="K2048" s="64"/>
      <c r="L2048" s="64">
        <f>SUM(ventas_b_mes684[[#This Row],[IMPORTE NETO]:[EXENTO]])</f>
        <v>41119.998700000004</v>
      </c>
      <c r="M2048" s="59"/>
    </row>
    <row r="2049" spans="2:13">
      <c r="B2049" s="40" t="s">
        <v>2321</v>
      </c>
      <c r="C2049" s="41">
        <v>6</v>
      </c>
      <c r="D2049" s="42">
        <v>10</v>
      </c>
      <c r="E2049" s="43">
        <v>54698</v>
      </c>
      <c r="F2049" s="44">
        <v>12649003</v>
      </c>
      <c r="G2049" s="1" t="str">
        <f>IFERROR(IF(ventas_b_mes684[[#This Row],[CUIT]]="","-",VLOOKUP(ventas_b_mes684[[#This Row],[CUIT]],Lista_CUIT[#All],2,0)),"CUIT NO CARGADO")</f>
        <v>CUIT NO CARGADO</v>
      </c>
      <c r="H2049" s="64">
        <v>40462.85</v>
      </c>
      <c r="I2049" s="64">
        <f>ventas_b_mes684[[#This Row],[IMPORTE NETO]]*0.21</f>
        <v>8497.1984999999986</v>
      </c>
      <c r="J2049" s="64"/>
      <c r="K2049" s="64"/>
      <c r="L2049" s="64">
        <f>SUM(ventas_b_mes684[[#This Row],[IMPORTE NETO]:[EXENTO]])</f>
        <v>48960.048499999997</v>
      </c>
      <c r="M2049" s="59"/>
    </row>
    <row r="2050" spans="2:13">
      <c r="B2050" s="40" t="s">
        <v>2321</v>
      </c>
      <c r="C2050" s="41">
        <v>6</v>
      </c>
      <c r="D2050" s="42">
        <v>15</v>
      </c>
      <c r="E2050" s="43">
        <v>13445</v>
      </c>
      <c r="F2050" s="44">
        <v>30551541</v>
      </c>
      <c r="G2050" s="1" t="str">
        <f>IFERROR(IF(ventas_b_mes684[[#This Row],[CUIT]]="","-",VLOOKUP(ventas_b_mes684[[#This Row],[CUIT]],Lista_CUIT[#All],2,0)),"CUIT NO CARGADO")</f>
        <v>CUIT NO CARGADO</v>
      </c>
      <c r="H2050" s="64">
        <v>20363.64</v>
      </c>
      <c r="I2050" s="64">
        <f>ventas_b_mes684[[#This Row],[IMPORTE NETO]]*0.21</f>
        <v>4276.3643999999995</v>
      </c>
      <c r="J2050" s="64"/>
      <c r="K2050" s="64"/>
      <c r="L2050" s="64">
        <f>SUM(ventas_b_mes684[[#This Row],[IMPORTE NETO]:[EXENTO]])</f>
        <v>24640.004399999998</v>
      </c>
      <c r="M2050" s="59"/>
    </row>
    <row r="2051" spans="2:13">
      <c r="B2051" s="40" t="s">
        <v>2321</v>
      </c>
      <c r="C2051" s="41">
        <v>6</v>
      </c>
      <c r="D2051" s="42">
        <v>11</v>
      </c>
      <c r="E2051" s="43">
        <v>38377</v>
      </c>
      <c r="F2051" s="44">
        <v>46753234</v>
      </c>
      <c r="G2051" s="1" t="str">
        <f>IFERROR(IF(ventas_b_mes684[[#This Row],[CUIT]]="","-",VLOOKUP(ventas_b_mes684[[#This Row],[CUIT]],Lista_CUIT[#All],2,0)),"CUIT NO CARGADO")</f>
        <v>CUIT NO CARGADO</v>
      </c>
      <c r="H2051" s="64">
        <v>9727.27</v>
      </c>
      <c r="I2051" s="64">
        <f>ventas_b_mes684[[#This Row],[IMPORTE NETO]]*0.21</f>
        <v>2042.7266999999999</v>
      </c>
      <c r="J2051" s="64"/>
      <c r="K2051" s="64"/>
      <c r="L2051" s="64">
        <f>SUM(ventas_b_mes684[[#This Row],[IMPORTE NETO]:[EXENTO]])</f>
        <v>11769.9967</v>
      </c>
      <c r="M2051" s="59"/>
    </row>
    <row r="2052" spans="2:13">
      <c r="B2052" s="40" t="s">
        <v>2321</v>
      </c>
      <c r="C2052" s="41">
        <v>6</v>
      </c>
      <c r="D2052" s="42">
        <v>11</v>
      </c>
      <c r="E2052" s="43">
        <v>38362</v>
      </c>
      <c r="F2052" s="44">
        <v>43240534</v>
      </c>
      <c r="G2052" s="1" t="str">
        <f>IFERROR(IF(ventas_b_mes684[[#This Row],[CUIT]]="","-",VLOOKUP(ventas_b_mes684[[#This Row],[CUIT]],Lista_CUIT[#All],2,0)),"CUIT NO CARGADO")</f>
        <v>CUIT NO CARGADO</v>
      </c>
      <c r="H2052" s="64">
        <v>950.41</v>
      </c>
      <c r="I2052" s="64">
        <f>ventas_b_mes684[[#This Row],[IMPORTE NETO]]*0.21</f>
        <v>199.58609999999999</v>
      </c>
      <c r="J2052" s="64"/>
      <c r="K2052" s="64"/>
      <c r="L2052" s="64">
        <f>SUM(ventas_b_mes684[[#This Row],[IMPORTE NETO]:[EXENTO]])</f>
        <v>1149.9960999999998</v>
      </c>
      <c r="M2052" s="59"/>
    </row>
    <row r="2053" spans="2:13">
      <c r="B2053" s="40" t="s">
        <v>2321</v>
      </c>
      <c r="C2053" s="41">
        <v>6</v>
      </c>
      <c r="D2053" s="42">
        <v>11</v>
      </c>
      <c r="E2053" s="43">
        <v>38363</v>
      </c>
      <c r="F2053" s="44">
        <v>94666759</v>
      </c>
      <c r="G2053" s="1" t="str">
        <f>IFERROR(IF(ventas_b_mes684[[#This Row],[CUIT]]="","-",VLOOKUP(ventas_b_mes684[[#This Row],[CUIT]],Lista_CUIT[#All],2,0)),"CUIT NO CARGADO")</f>
        <v>CUIT NO CARGADO</v>
      </c>
      <c r="H2053" s="64">
        <v>14876.03</v>
      </c>
      <c r="I2053" s="64">
        <f>ventas_b_mes684[[#This Row],[IMPORTE NETO]]*0.21</f>
        <v>3123.9663</v>
      </c>
      <c r="J2053" s="64"/>
      <c r="K2053" s="64"/>
      <c r="L2053" s="64">
        <f>SUM(ventas_b_mes684[[#This Row],[IMPORTE NETO]:[EXENTO]])</f>
        <v>17999.996299999999</v>
      </c>
      <c r="M2053" s="59"/>
    </row>
    <row r="2054" spans="2:13">
      <c r="B2054" s="40" t="s">
        <v>2321</v>
      </c>
      <c r="C2054" s="41">
        <v>6</v>
      </c>
      <c r="D2054" s="42">
        <v>11</v>
      </c>
      <c r="E2054" s="43">
        <v>38378</v>
      </c>
      <c r="F2054" s="44">
        <v>95879477</v>
      </c>
      <c r="G2054" s="1" t="str">
        <f>IFERROR(IF(ventas_b_mes684[[#This Row],[CUIT]]="","-",VLOOKUP(ventas_b_mes684[[#This Row],[CUIT]],Lista_CUIT[#All],2,0)),"CUIT NO CARGADO")</f>
        <v>CUIT NO CARGADO</v>
      </c>
      <c r="H2054" s="64">
        <v>20661.16</v>
      </c>
      <c r="I2054" s="64">
        <f>ventas_b_mes684[[#This Row],[IMPORTE NETO]]*0.21</f>
        <v>4338.8436000000002</v>
      </c>
      <c r="J2054" s="64"/>
      <c r="K2054" s="64"/>
      <c r="L2054" s="64">
        <f>SUM(ventas_b_mes684[[#This Row],[IMPORTE NETO]:[EXENTO]])</f>
        <v>25000.0036</v>
      </c>
      <c r="M2054" s="59"/>
    </row>
    <row r="2055" spans="2:13">
      <c r="B2055" s="40" t="s">
        <v>2321</v>
      </c>
      <c r="C2055" s="41">
        <v>6</v>
      </c>
      <c r="D2055" s="42">
        <v>11</v>
      </c>
      <c r="E2055" s="43">
        <v>38366</v>
      </c>
      <c r="F2055" s="44">
        <v>16398689</v>
      </c>
      <c r="G2055" s="1" t="str">
        <f>IFERROR(IF(ventas_b_mes684[[#This Row],[CUIT]]="","-",VLOOKUP(ventas_b_mes684[[#This Row],[CUIT]],Lista_CUIT[#All],2,0)),"CUIT NO CARGADO")</f>
        <v>CUIT NO CARGADO</v>
      </c>
      <c r="H2055" s="64">
        <v>18380.169999999998</v>
      </c>
      <c r="I2055" s="64">
        <f>ventas_b_mes684[[#This Row],[IMPORTE NETO]]*0.21</f>
        <v>3859.8356999999996</v>
      </c>
      <c r="J2055" s="64"/>
      <c r="K2055" s="64"/>
      <c r="L2055" s="64">
        <f>SUM(ventas_b_mes684[[#This Row],[IMPORTE NETO]:[EXENTO]])</f>
        <v>22240.005699999998</v>
      </c>
      <c r="M2055" s="59"/>
    </row>
    <row r="2056" spans="2:13">
      <c r="B2056" s="40" t="s">
        <v>2321</v>
      </c>
      <c r="C2056" s="41">
        <v>6</v>
      </c>
      <c r="D2056" s="42">
        <v>10</v>
      </c>
      <c r="E2056" s="43">
        <v>54697</v>
      </c>
      <c r="F2056" s="44">
        <v>12649003</v>
      </c>
      <c r="G2056" s="1" t="str">
        <f>IFERROR(IF(ventas_b_mes684[[#This Row],[CUIT]]="","-",VLOOKUP(ventas_b_mes684[[#This Row],[CUIT]],Lista_CUIT[#All],2,0)),"CUIT NO CARGADO")</f>
        <v>CUIT NO CARGADO</v>
      </c>
      <c r="H2056" s="64">
        <v>760.33</v>
      </c>
      <c r="I2056" s="64">
        <f>ventas_b_mes684[[#This Row],[IMPORTE NETO]]*0.21</f>
        <v>159.66929999999999</v>
      </c>
      <c r="J2056" s="64"/>
      <c r="K2056" s="64"/>
      <c r="L2056" s="64">
        <f>SUM(ventas_b_mes684[[#This Row],[IMPORTE NETO]:[EXENTO]])</f>
        <v>919.99930000000006</v>
      </c>
      <c r="M2056" s="59"/>
    </row>
    <row r="2057" spans="2:13">
      <c r="B2057" s="40" t="s">
        <v>2321</v>
      </c>
      <c r="C2057" s="41">
        <v>6</v>
      </c>
      <c r="D2057" s="42">
        <v>11</v>
      </c>
      <c r="E2057" s="43">
        <v>38389</v>
      </c>
      <c r="F2057" s="44">
        <v>94667464</v>
      </c>
      <c r="G2057" s="1" t="str">
        <f>IFERROR(IF(ventas_b_mes684[[#This Row],[CUIT]]="","-",VLOOKUP(ventas_b_mes684[[#This Row],[CUIT]],Lista_CUIT[#All],2,0)),"CUIT NO CARGADO")</f>
        <v>CUIT NO CARGADO</v>
      </c>
      <c r="H2057" s="64">
        <v>34181.86</v>
      </c>
      <c r="I2057" s="64">
        <f>ventas_b_mes684[[#This Row],[IMPORTE NETO]]*0.21</f>
        <v>7178.1905999999999</v>
      </c>
      <c r="J2057" s="64"/>
      <c r="K2057" s="64"/>
      <c r="L2057" s="64">
        <f>SUM(ventas_b_mes684[[#This Row],[IMPORTE NETO]:[EXENTO]])</f>
        <v>41360.050600000002</v>
      </c>
      <c r="M2057" s="59"/>
    </row>
    <row r="2058" spans="2:13">
      <c r="B2058" s="40" t="s">
        <v>2321</v>
      </c>
      <c r="C2058" s="41">
        <v>6</v>
      </c>
      <c r="D2058" s="42">
        <v>11</v>
      </c>
      <c r="E2058" s="43">
        <v>38393</v>
      </c>
      <c r="F2058" s="44">
        <v>25553620</v>
      </c>
      <c r="G2058" s="1" t="str">
        <f>IFERROR(IF(ventas_b_mes684[[#This Row],[CUIT]]="","-",VLOOKUP(ventas_b_mes684[[#This Row],[CUIT]],Lista_CUIT[#All],2,0)),"CUIT NO CARGADO")</f>
        <v>CUIT NO CARGADO</v>
      </c>
      <c r="H2058" s="64">
        <v>13223.14</v>
      </c>
      <c r="I2058" s="64">
        <f>ventas_b_mes684[[#This Row],[IMPORTE NETO]]*0.21</f>
        <v>2776.8593999999998</v>
      </c>
      <c r="J2058" s="64"/>
      <c r="K2058" s="64"/>
      <c r="L2058" s="64">
        <f>SUM(ventas_b_mes684[[#This Row],[IMPORTE NETO]:[EXENTO]])</f>
        <v>15999.999399999999</v>
      </c>
      <c r="M2058" s="59"/>
    </row>
    <row r="2059" spans="2:13">
      <c r="B2059" s="40" t="s">
        <v>2321</v>
      </c>
      <c r="C2059" s="41">
        <v>6</v>
      </c>
      <c r="D2059" s="42">
        <v>15</v>
      </c>
      <c r="E2059" s="43">
        <v>13444</v>
      </c>
      <c r="F2059" s="44">
        <v>46525084</v>
      </c>
      <c r="G2059" s="1" t="str">
        <f>IFERROR(IF(ventas_b_mes684[[#This Row],[CUIT]]="","-",VLOOKUP(ventas_b_mes684[[#This Row],[CUIT]],Lista_CUIT[#All],2,0)),"CUIT NO CARGADO")</f>
        <v>CUIT NO CARGADO</v>
      </c>
      <c r="H2059" s="64">
        <v>6198.35</v>
      </c>
      <c r="I2059" s="64">
        <f>ventas_b_mes684[[#This Row],[IMPORTE NETO]]*0.21</f>
        <v>1301.6535000000001</v>
      </c>
      <c r="J2059" s="64"/>
      <c r="K2059" s="64"/>
      <c r="L2059" s="64">
        <f>SUM(ventas_b_mes684[[#This Row],[IMPORTE NETO]:[EXENTO]])</f>
        <v>7500.0035000000007</v>
      </c>
      <c r="M2059" s="59"/>
    </row>
    <row r="2060" spans="2:13">
      <c r="B2060" s="40" t="s">
        <v>2321</v>
      </c>
      <c r="C2060" s="41">
        <v>6</v>
      </c>
      <c r="D2060" s="42">
        <v>11</v>
      </c>
      <c r="E2060" s="43">
        <v>38370</v>
      </c>
      <c r="F2060" s="44">
        <v>40382816</v>
      </c>
      <c r="G2060" s="1" t="str">
        <f>IFERROR(IF(ventas_b_mes684[[#This Row],[CUIT]]="","-",VLOOKUP(ventas_b_mes684[[#This Row],[CUIT]],Lista_CUIT[#All],2,0)),"CUIT NO CARGADO")</f>
        <v>CUIT NO CARGADO</v>
      </c>
      <c r="H2060" s="64">
        <v>20661.16</v>
      </c>
      <c r="I2060" s="64">
        <f>ventas_b_mes684[[#This Row],[IMPORTE NETO]]*0.21</f>
        <v>4338.8436000000002</v>
      </c>
      <c r="J2060" s="64"/>
      <c r="K2060" s="64"/>
      <c r="L2060" s="64">
        <f>SUM(ventas_b_mes684[[#This Row],[IMPORTE NETO]:[EXENTO]])</f>
        <v>25000.0036</v>
      </c>
      <c r="M2060" s="59"/>
    </row>
    <row r="2061" spans="2:13">
      <c r="B2061" s="40" t="s">
        <v>2321</v>
      </c>
      <c r="C2061" s="41">
        <v>6</v>
      </c>
      <c r="D2061" s="42">
        <v>11</v>
      </c>
      <c r="E2061" s="43">
        <v>38392</v>
      </c>
      <c r="F2061" s="44">
        <v>94016769</v>
      </c>
      <c r="G2061" s="1" t="str">
        <f>IFERROR(IF(ventas_b_mes684[[#This Row],[CUIT]]="","-",VLOOKUP(ventas_b_mes684[[#This Row],[CUIT]],Lista_CUIT[#All],2,0)),"CUIT NO CARGADO")</f>
        <v>CUIT NO CARGADO</v>
      </c>
      <c r="H2061" s="64">
        <v>11925.62</v>
      </c>
      <c r="I2061" s="64">
        <f>ventas_b_mes684[[#This Row],[IMPORTE NETO]]*0.21</f>
        <v>2504.3802000000001</v>
      </c>
      <c r="J2061" s="64"/>
      <c r="K2061" s="64"/>
      <c r="L2061" s="64">
        <f>SUM(ventas_b_mes684[[#This Row],[IMPORTE NETO]:[EXENTO]])</f>
        <v>14430.0002</v>
      </c>
      <c r="M2061" s="59"/>
    </row>
    <row r="2062" spans="2:13">
      <c r="B2062" s="40" t="s">
        <v>2321</v>
      </c>
      <c r="C2062" s="41">
        <v>6</v>
      </c>
      <c r="D2062" s="42">
        <v>11</v>
      </c>
      <c r="E2062" s="43">
        <v>38386</v>
      </c>
      <c r="F2062" s="44">
        <v>96002461</v>
      </c>
      <c r="G2062" s="1" t="str">
        <f>IFERROR(IF(ventas_b_mes684[[#This Row],[CUIT]]="","-",VLOOKUP(ventas_b_mes684[[#This Row],[CUIT]],Lista_CUIT[#All],2,0)),"CUIT NO CARGADO")</f>
        <v>CUIT NO CARGADO</v>
      </c>
      <c r="H2062" s="64">
        <v>11694.21</v>
      </c>
      <c r="I2062" s="64">
        <f>ventas_b_mes684[[#This Row],[IMPORTE NETO]]*0.21</f>
        <v>2455.7840999999999</v>
      </c>
      <c r="J2062" s="64"/>
      <c r="K2062" s="64"/>
      <c r="L2062" s="64">
        <f>SUM(ventas_b_mes684[[#This Row],[IMPORTE NETO]:[EXENTO]])</f>
        <v>14149.9941</v>
      </c>
      <c r="M2062" s="59"/>
    </row>
    <row r="2063" spans="2:13">
      <c r="B2063" s="40" t="s">
        <v>2321</v>
      </c>
      <c r="C2063" s="41">
        <v>6</v>
      </c>
      <c r="D2063" s="42">
        <v>12</v>
      </c>
      <c r="E2063" s="43">
        <v>29861</v>
      </c>
      <c r="F2063" s="44">
        <v>33298973</v>
      </c>
      <c r="G2063" s="1" t="str">
        <f>IFERROR(IF(ventas_b_mes684[[#This Row],[CUIT]]="","-",VLOOKUP(ventas_b_mes684[[#This Row],[CUIT]],Lista_CUIT[#All],2,0)),"CUIT NO CARGADO")</f>
        <v>CUIT NO CARGADO</v>
      </c>
      <c r="H2063" s="64">
        <v>7537.19</v>
      </c>
      <c r="I2063" s="64">
        <f>ventas_b_mes684[[#This Row],[IMPORTE NETO]]*0.21</f>
        <v>1582.8099</v>
      </c>
      <c r="J2063" s="64"/>
      <c r="K2063" s="64"/>
      <c r="L2063" s="64">
        <f>SUM(ventas_b_mes684[[#This Row],[IMPORTE NETO]:[EXENTO]])</f>
        <v>9119.9998999999989</v>
      </c>
      <c r="M2063" s="59"/>
    </row>
    <row r="2064" spans="2:13">
      <c r="B2064" s="40" t="s">
        <v>2321</v>
      </c>
      <c r="C2064" s="41">
        <v>6</v>
      </c>
      <c r="D2064" s="42">
        <v>11</v>
      </c>
      <c r="E2064" s="43">
        <v>38385</v>
      </c>
      <c r="F2064" s="44">
        <v>45524372</v>
      </c>
      <c r="G2064" s="1" t="str">
        <f>IFERROR(IF(ventas_b_mes684[[#This Row],[CUIT]]="","-",VLOOKUP(ventas_b_mes684[[#This Row],[CUIT]],Lista_CUIT[#All],2,0)),"CUIT NO CARGADO")</f>
        <v>CUIT NO CARGADO</v>
      </c>
      <c r="H2064" s="64">
        <v>14413.22</v>
      </c>
      <c r="I2064" s="64">
        <f>ventas_b_mes684[[#This Row],[IMPORTE NETO]]*0.21</f>
        <v>3026.7761999999998</v>
      </c>
      <c r="J2064" s="64"/>
      <c r="K2064" s="64"/>
      <c r="L2064" s="64">
        <f>SUM(ventas_b_mes684[[#This Row],[IMPORTE NETO]:[EXENTO]])</f>
        <v>17439.996199999998</v>
      </c>
      <c r="M2064" s="59"/>
    </row>
    <row r="2065" spans="2:13">
      <c r="B2065" s="40" t="s">
        <v>2321</v>
      </c>
      <c r="C2065" s="41">
        <v>6</v>
      </c>
      <c r="D2065" s="42">
        <v>10</v>
      </c>
      <c r="E2065" s="43">
        <v>54693</v>
      </c>
      <c r="F2065" s="44">
        <v>28547912</v>
      </c>
      <c r="G2065" s="1" t="str">
        <f>IFERROR(IF(ventas_b_mes684[[#This Row],[CUIT]]="","-",VLOOKUP(ventas_b_mes684[[#This Row],[CUIT]],Lista_CUIT[#All],2,0)),"CUIT NO CARGADO")</f>
        <v>CUIT NO CARGADO</v>
      </c>
      <c r="H2065" s="64">
        <v>71669.42</v>
      </c>
      <c r="I2065" s="64">
        <f>ventas_b_mes684[[#This Row],[IMPORTE NETO]]*0.21</f>
        <v>15050.5782</v>
      </c>
      <c r="J2065" s="64"/>
      <c r="K2065" s="64"/>
      <c r="L2065" s="64">
        <f>SUM(ventas_b_mes684[[#This Row],[IMPORTE NETO]:[EXENTO]])</f>
        <v>86719.998200000002</v>
      </c>
      <c r="M2065" s="59"/>
    </row>
    <row r="2066" spans="2:13">
      <c r="B2066" s="40" t="s">
        <v>2321</v>
      </c>
      <c r="C2066" s="41">
        <v>6</v>
      </c>
      <c r="D2066" s="42">
        <v>12</v>
      </c>
      <c r="E2066" s="43">
        <v>29859</v>
      </c>
      <c r="F2066" s="44">
        <v>43662734</v>
      </c>
      <c r="G2066" s="1" t="str">
        <f>IFERROR(IF(ventas_b_mes684[[#This Row],[CUIT]]="","-",VLOOKUP(ventas_b_mes684[[#This Row],[CUIT]],Lista_CUIT[#All],2,0)),"CUIT NO CARGADO")</f>
        <v>CUIT NO CARGADO</v>
      </c>
      <c r="H2066" s="64">
        <v>4462.8100000000004</v>
      </c>
      <c r="I2066" s="64">
        <f>ventas_b_mes684[[#This Row],[IMPORTE NETO]]*0.21</f>
        <v>937.19010000000003</v>
      </c>
      <c r="J2066" s="64"/>
      <c r="K2066" s="64"/>
      <c r="L2066" s="64">
        <f>SUM(ventas_b_mes684[[#This Row],[IMPORTE NETO]:[EXENTO]])</f>
        <v>5400.0001000000002</v>
      </c>
      <c r="M2066" s="59"/>
    </row>
    <row r="2067" spans="2:13">
      <c r="B2067" s="40" t="s">
        <v>2321</v>
      </c>
      <c r="C2067" s="41">
        <v>6</v>
      </c>
      <c r="D2067" s="42">
        <v>12</v>
      </c>
      <c r="E2067" s="43">
        <v>29856</v>
      </c>
      <c r="F2067" s="44">
        <v>23805833</v>
      </c>
      <c r="G2067" s="1" t="str">
        <f>IFERROR(IF(ventas_b_mes684[[#This Row],[CUIT]]="","-",VLOOKUP(ventas_b_mes684[[#This Row],[CUIT]],Lista_CUIT[#All],2,0)),"CUIT NO CARGADO")</f>
        <v>CUIT NO CARGADO</v>
      </c>
      <c r="H2067" s="64">
        <v>23669.42</v>
      </c>
      <c r="I2067" s="64">
        <f>ventas_b_mes684[[#This Row],[IMPORTE NETO]]*0.21</f>
        <v>4970.578199999999</v>
      </c>
      <c r="J2067" s="64"/>
      <c r="K2067" s="64"/>
      <c r="L2067" s="64">
        <f>SUM(ventas_b_mes684[[#This Row],[IMPORTE NETO]:[EXENTO]])</f>
        <v>28639.998199999998</v>
      </c>
      <c r="M2067" s="59"/>
    </row>
    <row r="2068" spans="2:13">
      <c r="B2068" s="40" t="s">
        <v>2321</v>
      </c>
      <c r="C2068" s="41">
        <v>6</v>
      </c>
      <c r="D2068" s="42">
        <v>13</v>
      </c>
      <c r="E2068" s="43">
        <v>32607</v>
      </c>
      <c r="F2068" s="44">
        <v>33944702</v>
      </c>
      <c r="G2068" s="1" t="str">
        <f>IFERROR(IF(ventas_b_mes684[[#This Row],[CUIT]]="","-",VLOOKUP(ventas_b_mes684[[#This Row],[CUIT]],Lista_CUIT[#All],2,0)),"CUIT NO CARGADO")</f>
        <v>CUIT NO CARGADO</v>
      </c>
      <c r="H2068" s="64">
        <v>6413.22</v>
      </c>
      <c r="I2068" s="64">
        <f>ventas_b_mes684[[#This Row],[IMPORTE NETO]]*0.21</f>
        <v>1346.7762</v>
      </c>
      <c r="J2068" s="64"/>
      <c r="K2068" s="64"/>
      <c r="L2068" s="64">
        <f>SUM(ventas_b_mes684[[#This Row],[IMPORTE NETO]:[EXENTO]])</f>
        <v>7759.9962000000005</v>
      </c>
      <c r="M2068" s="59"/>
    </row>
    <row r="2069" spans="2:13">
      <c r="B2069" s="40" t="s">
        <v>2321</v>
      </c>
      <c r="C2069" s="41">
        <v>6</v>
      </c>
      <c r="D2069" s="42">
        <v>11</v>
      </c>
      <c r="E2069" s="43">
        <v>38395</v>
      </c>
      <c r="F2069" s="44">
        <v>34343863</v>
      </c>
      <c r="G2069" s="1" t="str">
        <f>IFERROR(IF(ventas_b_mes684[[#This Row],[CUIT]]="","-",VLOOKUP(ventas_b_mes684[[#This Row],[CUIT]],Lista_CUIT[#All],2,0)),"CUIT NO CARGADO")</f>
        <v>CUIT NO CARGADO</v>
      </c>
      <c r="H2069" s="64">
        <v>11396.69</v>
      </c>
      <c r="I2069" s="64">
        <f>ventas_b_mes684[[#This Row],[IMPORTE NETO]]*0.21</f>
        <v>2393.3049000000001</v>
      </c>
      <c r="J2069" s="64"/>
      <c r="K2069" s="64"/>
      <c r="L2069" s="64">
        <f>SUM(ventas_b_mes684[[#This Row],[IMPORTE NETO]:[EXENTO]])</f>
        <v>13789.994900000002</v>
      </c>
      <c r="M2069" s="59"/>
    </row>
    <row r="2070" spans="2:13">
      <c r="B2070" s="40" t="s">
        <v>2321</v>
      </c>
      <c r="C2070" s="41">
        <v>6</v>
      </c>
      <c r="D2070" s="42">
        <v>11</v>
      </c>
      <c r="E2070" s="43">
        <v>38394</v>
      </c>
      <c r="F2070" s="44">
        <v>94667464</v>
      </c>
      <c r="G2070" s="1" t="str">
        <f>IFERROR(IF(ventas_b_mes684[[#This Row],[CUIT]]="","-",VLOOKUP(ventas_b_mes684[[#This Row],[CUIT]],Lista_CUIT[#All],2,0)),"CUIT NO CARGADO")</f>
        <v>CUIT NO CARGADO</v>
      </c>
      <c r="H2070" s="64">
        <v>12826.45</v>
      </c>
      <c r="I2070" s="64">
        <f>ventas_b_mes684[[#This Row],[IMPORTE NETO]]*0.21</f>
        <v>2693.5545000000002</v>
      </c>
      <c r="J2070" s="64"/>
      <c r="K2070" s="64"/>
      <c r="L2070" s="64">
        <f>SUM(ventas_b_mes684[[#This Row],[IMPORTE NETO]:[EXENTO]])</f>
        <v>15520.004500000001</v>
      </c>
      <c r="M2070" s="59"/>
    </row>
    <row r="2071" spans="2:13">
      <c r="B2071" s="40" t="s">
        <v>2321</v>
      </c>
      <c r="C2071" s="41">
        <v>6</v>
      </c>
      <c r="D2071" s="42">
        <v>11</v>
      </c>
      <c r="E2071" s="43">
        <v>38360</v>
      </c>
      <c r="F2071" s="44">
        <v>5516469</v>
      </c>
      <c r="G2071" s="1" t="str">
        <f>IFERROR(IF(ventas_b_mes684[[#This Row],[CUIT]]="","-",VLOOKUP(ventas_b_mes684[[#This Row],[CUIT]],Lista_CUIT[#All],2,0)),"CUIT NO CARGADO")</f>
        <v>CUIT NO CARGADO</v>
      </c>
      <c r="H2071" s="64">
        <v>9388.43</v>
      </c>
      <c r="I2071" s="64">
        <f>ventas_b_mes684[[#This Row],[IMPORTE NETO]]*0.21</f>
        <v>1971.5703000000001</v>
      </c>
      <c r="J2071" s="64"/>
      <c r="K2071" s="64"/>
      <c r="L2071" s="64">
        <f>SUM(ventas_b_mes684[[#This Row],[IMPORTE NETO]:[EXENTO]])</f>
        <v>11360.0003</v>
      </c>
      <c r="M2071" s="59"/>
    </row>
    <row r="2072" spans="2:13">
      <c r="B2072" s="40" t="s">
        <v>2321</v>
      </c>
      <c r="C2072" s="41">
        <v>6</v>
      </c>
      <c r="D2072" s="42">
        <v>10</v>
      </c>
      <c r="E2072" s="43">
        <v>54690</v>
      </c>
      <c r="F2072" s="44">
        <v>94740610</v>
      </c>
      <c r="G2072" s="1" t="str">
        <f>IFERROR(IF(ventas_b_mes684[[#This Row],[CUIT]]="","-",VLOOKUP(ventas_b_mes684[[#This Row],[CUIT]],Lista_CUIT[#All],2,0)),"CUIT NO CARGADO")</f>
        <v>CUIT NO CARGADO</v>
      </c>
      <c r="H2072" s="64">
        <v>20661.16</v>
      </c>
      <c r="I2072" s="64">
        <f>ventas_b_mes684[[#This Row],[IMPORTE NETO]]*0.21</f>
        <v>4338.8436000000002</v>
      </c>
      <c r="J2072" s="64"/>
      <c r="K2072" s="64"/>
      <c r="L2072" s="64">
        <f>SUM(ventas_b_mes684[[#This Row],[IMPORTE NETO]:[EXENTO]])</f>
        <v>25000.0036</v>
      </c>
      <c r="M2072" s="59"/>
    </row>
    <row r="2073" spans="2:13">
      <c r="B2073" s="40" t="s">
        <v>2321</v>
      </c>
      <c r="C2073" s="41">
        <v>6</v>
      </c>
      <c r="D2073" s="42">
        <v>11</v>
      </c>
      <c r="E2073" s="43">
        <v>38388</v>
      </c>
      <c r="F2073" s="44">
        <v>40382816</v>
      </c>
      <c r="G2073" s="1" t="str">
        <f>IFERROR(IF(ventas_b_mes684[[#This Row],[CUIT]]="","-",VLOOKUP(ventas_b_mes684[[#This Row],[CUIT]],Lista_CUIT[#All],2,0)),"CUIT NO CARGADO")</f>
        <v>CUIT NO CARGADO</v>
      </c>
      <c r="H2073" s="64">
        <v>14214.88</v>
      </c>
      <c r="I2073" s="64">
        <f>ventas_b_mes684[[#This Row],[IMPORTE NETO]]*0.21</f>
        <v>2985.1247999999996</v>
      </c>
      <c r="J2073" s="64"/>
      <c r="K2073" s="64"/>
      <c r="L2073" s="64">
        <f>SUM(ventas_b_mes684[[#This Row],[IMPORTE NETO]:[EXENTO]])</f>
        <v>17200.004799999999</v>
      </c>
      <c r="M2073" s="59"/>
    </row>
    <row r="2074" spans="2:13">
      <c r="B2074" s="40" t="s">
        <v>2321</v>
      </c>
      <c r="C2074" s="41">
        <v>6</v>
      </c>
      <c r="D2074" s="42">
        <v>11</v>
      </c>
      <c r="E2074" s="43">
        <v>38374</v>
      </c>
      <c r="F2074" s="44">
        <v>40665972</v>
      </c>
      <c r="G2074" s="1" t="str">
        <f>IFERROR(IF(ventas_b_mes684[[#This Row],[CUIT]]="","-",VLOOKUP(ventas_b_mes684[[#This Row],[CUIT]],Lista_CUIT[#All],2,0)),"CUIT NO CARGADO")</f>
        <v>CUIT NO CARGADO</v>
      </c>
      <c r="H2074" s="64">
        <v>9429.75</v>
      </c>
      <c r="I2074" s="64">
        <f>ventas_b_mes684[[#This Row],[IMPORTE NETO]]*0.21</f>
        <v>1980.2474999999999</v>
      </c>
      <c r="J2074" s="64"/>
      <c r="K2074" s="64"/>
      <c r="L2074" s="64">
        <f>SUM(ventas_b_mes684[[#This Row],[IMPORTE NETO]:[EXENTO]])</f>
        <v>11409.997499999999</v>
      </c>
      <c r="M2074" s="59"/>
    </row>
    <row r="2075" spans="2:13">
      <c r="B2075" s="40" t="s">
        <v>2321</v>
      </c>
      <c r="C2075" s="41">
        <v>6</v>
      </c>
      <c r="D2075" s="42">
        <v>11</v>
      </c>
      <c r="E2075" s="43">
        <v>38371</v>
      </c>
      <c r="F2075" s="44">
        <v>40382816</v>
      </c>
      <c r="G2075" s="1" t="str">
        <f>IFERROR(IF(ventas_b_mes684[[#This Row],[CUIT]]="","-",VLOOKUP(ventas_b_mes684[[#This Row],[CUIT]],Lista_CUIT[#All],2,0)),"CUIT NO CARGADO")</f>
        <v>CUIT NO CARGADO</v>
      </c>
      <c r="H2075" s="64">
        <v>9429.75</v>
      </c>
      <c r="I2075" s="64">
        <f>ventas_b_mes684[[#This Row],[IMPORTE NETO]]*0.21</f>
        <v>1980.2474999999999</v>
      </c>
      <c r="J2075" s="64"/>
      <c r="K2075" s="64"/>
      <c r="L2075" s="64">
        <f>SUM(ventas_b_mes684[[#This Row],[IMPORTE NETO]:[EXENTO]])</f>
        <v>11409.997499999999</v>
      </c>
      <c r="M2075" s="59"/>
    </row>
    <row r="2076" spans="2:13">
      <c r="B2076" s="40" t="s">
        <v>2321</v>
      </c>
      <c r="C2076" s="41">
        <v>6</v>
      </c>
      <c r="D2076" s="42">
        <v>12</v>
      </c>
      <c r="E2076" s="43">
        <v>29864</v>
      </c>
      <c r="F2076" s="44">
        <v>16019062</v>
      </c>
      <c r="G2076" s="1" t="str">
        <f>IFERROR(IF(ventas_b_mes684[[#This Row],[CUIT]]="","-",VLOOKUP(ventas_b_mes684[[#This Row],[CUIT]],Lista_CUIT[#All],2,0)),"CUIT NO CARGADO")</f>
        <v>CUIT NO CARGADO</v>
      </c>
      <c r="H2076" s="64">
        <v>23537.19</v>
      </c>
      <c r="I2076" s="64">
        <f>ventas_b_mes684[[#This Row],[IMPORTE NETO]]*0.21</f>
        <v>4942.8098999999993</v>
      </c>
      <c r="J2076" s="64"/>
      <c r="K2076" s="64"/>
      <c r="L2076" s="64">
        <f>SUM(ventas_b_mes684[[#This Row],[IMPORTE NETO]:[EXENTO]])</f>
        <v>28479.999899999999</v>
      </c>
      <c r="M2076" s="59"/>
    </row>
    <row r="2077" spans="2:13">
      <c r="B2077" s="40" t="s">
        <v>2321</v>
      </c>
      <c r="C2077" s="41">
        <v>6</v>
      </c>
      <c r="D2077" s="42">
        <v>12</v>
      </c>
      <c r="E2077" s="43">
        <v>29870</v>
      </c>
      <c r="F2077" s="44">
        <v>33298973</v>
      </c>
      <c r="G2077" s="1" t="str">
        <f>IFERROR(IF(ventas_b_mes684[[#This Row],[CUIT]]="","-",VLOOKUP(ventas_b_mes684[[#This Row],[CUIT]],Lista_CUIT[#All],2,0)),"CUIT NO CARGADO")</f>
        <v>CUIT NO CARGADO</v>
      </c>
      <c r="H2077" s="64">
        <v>8859.5</v>
      </c>
      <c r="I2077" s="64">
        <f>ventas_b_mes684[[#This Row],[IMPORTE NETO]]*0.21</f>
        <v>1860.4949999999999</v>
      </c>
      <c r="J2077" s="64"/>
      <c r="K2077" s="64"/>
      <c r="L2077" s="64">
        <f>SUM(ventas_b_mes684[[#This Row],[IMPORTE NETO]:[EXENTO]])</f>
        <v>10719.994999999999</v>
      </c>
      <c r="M2077" s="59"/>
    </row>
    <row r="2078" spans="2:13">
      <c r="B2078" s="40" t="s">
        <v>2321</v>
      </c>
      <c r="C2078" s="41">
        <v>6</v>
      </c>
      <c r="D2078" s="42">
        <v>12</v>
      </c>
      <c r="E2078" s="43">
        <v>29863</v>
      </c>
      <c r="F2078" s="44">
        <v>28537620</v>
      </c>
      <c r="G2078" s="1" t="str">
        <f>IFERROR(IF(ventas_b_mes684[[#This Row],[CUIT]]="","-",VLOOKUP(ventas_b_mes684[[#This Row],[CUIT]],Lista_CUIT[#All],2,0)),"CUIT NO CARGADO")</f>
        <v>CUIT NO CARGADO</v>
      </c>
      <c r="H2078" s="64">
        <v>5157.0200000000004</v>
      </c>
      <c r="I2078" s="64">
        <f>ventas_b_mes684[[#This Row],[IMPORTE NETO]]*0.21</f>
        <v>1082.9742000000001</v>
      </c>
      <c r="J2078" s="64"/>
      <c r="K2078" s="64"/>
      <c r="L2078" s="64">
        <f>SUM(ventas_b_mes684[[#This Row],[IMPORTE NETO]:[EXENTO]])</f>
        <v>6239.994200000001</v>
      </c>
      <c r="M2078" s="59"/>
    </row>
    <row r="2079" spans="2:13">
      <c r="B2079" s="40" t="s">
        <v>2321</v>
      </c>
      <c r="C2079" s="41">
        <v>6</v>
      </c>
      <c r="D2079" s="42">
        <v>10</v>
      </c>
      <c r="E2079" s="43">
        <v>54687</v>
      </c>
      <c r="F2079" s="44">
        <v>20312100267</v>
      </c>
      <c r="G2079" s="1" t="str">
        <f>IFERROR(IF(ventas_b_mes684[[#This Row],[CUIT]]="","-",VLOOKUP(ventas_b_mes684[[#This Row],[CUIT]],Lista_CUIT[#All],2,0)),"CUIT NO CARGADO")</f>
        <v>CUIT NO CARGADO</v>
      </c>
      <c r="H2079" s="64">
        <v>50843.03</v>
      </c>
      <c r="I2079" s="64">
        <f>ventas_b_mes684[[#This Row],[IMPORTE NETO]]*0.21</f>
        <v>10677.0363</v>
      </c>
      <c r="J2079" s="64"/>
      <c r="K2079" s="64"/>
      <c r="L2079" s="64">
        <f>SUM(ventas_b_mes684[[#This Row],[IMPORTE NETO]:[EXENTO]])</f>
        <v>61520.066299999999</v>
      </c>
      <c r="M2079" s="59"/>
    </row>
    <row r="2080" spans="2:13">
      <c r="B2080" s="40" t="s">
        <v>2321</v>
      </c>
      <c r="C2080" s="41">
        <v>6</v>
      </c>
      <c r="D2080" s="42">
        <v>15</v>
      </c>
      <c r="E2080" s="43">
        <v>13440</v>
      </c>
      <c r="F2080" s="44">
        <v>21879608</v>
      </c>
      <c r="G2080" s="1" t="str">
        <f>IFERROR(IF(ventas_b_mes684[[#This Row],[CUIT]]="","-",VLOOKUP(ventas_b_mes684[[#This Row],[CUIT]],Lista_CUIT[#All],2,0)),"CUIT NO CARGADO")</f>
        <v>CUIT NO CARGADO</v>
      </c>
      <c r="H2080" s="64">
        <v>16528.93</v>
      </c>
      <c r="I2080" s="64">
        <f>ventas_b_mes684[[#This Row],[IMPORTE NETO]]*0.21</f>
        <v>3471.0753</v>
      </c>
      <c r="J2080" s="64"/>
      <c r="K2080" s="64"/>
      <c r="L2080" s="64">
        <f>SUM(ventas_b_mes684[[#This Row],[IMPORTE NETO]:[EXENTO]])</f>
        <v>20000.005300000001</v>
      </c>
      <c r="M2080" s="59"/>
    </row>
    <row r="2081" spans="2:13">
      <c r="B2081" s="40" t="s">
        <v>2321</v>
      </c>
      <c r="C2081" s="41">
        <v>6</v>
      </c>
      <c r="D2081" s="42">
        <v>11</v>
      </c>
      <c r="E2081" s="43">
        <v>38369</v>
      </c>
      <c r="F2081" s="44">
        <v>42102205</v>
      </c>
      <c r="G2081" s="1" t="str">
        <f>IFERROR(IF(ventas_b_mes684[[#This Row],[CUIT]]="","-",VLOOKUP(ventas_b_mes684[[#This Row],[CUIT]],Lista_CUIT[#All],2,0)),"CUIT NO CARGADO")</f>
        <v>CUIT NO CARGADO</v>
      </c>
      <c r="H2081" s="64">
        <v>38413.22</v>
      </c>
      <c r="I2081" s="64">
        <f>ventas_b_mes684[[#This Row],[IMPORTE NETO]]*0.21</f>
        <v>8066.7762000000002</v>
      </c>
      <c r="J2081" s="64"/>
      <c r="K2081" s="64"/>
      <c r="L2081" s="64">
        <f>SUM(ventas_b_mes684[[#This Row],[IMPORTE NETO]:[EXENTO]])</f>
        <v>46479.996200000001</v>
      </c>
      <c r="M2081" s="59"/>
    </row>
    <row r="2082" spans="2:13">
      <c r="B2082" s="40" t="s">
        <v>2321</v>
      </c>
      <c r="C2082" s="41">
        <v>6</v>
      </c>
      <c r="D2082" s="42">
        <v>11</v>
      </c>
      <c r="E2082" s="43">
        <v>38373</v>
      </c>
      <c r="F2082" s="44">
        <v>37885731</v>
      </c>
      <c r="G2082" s="1" t="str">
        <f>IFERROR(IF(ventas_b_mes684[[#This Row],[CUIT]]="","-",VLOOKUP(ventas_b_mes684[[#This Row],[CUIT]],Lista_CUIT[#All],2,0)),"CUIT NO CARGADO")</f>
        <v>CUIT NO CARGADO</v>
      </c>
      <c r="H2082" s="64">
        <v>9429.75</v>
      </c>
      <c r="I2082" s="64">
        <f>ventas_b_mes684[[#This Row],[IMPORTE NETO]]*0.21</f>
        <v>1980.2474999999999</v>
      </c>
      <c r="J2082" s="64"/>
      <c r="K2082" s="64"/>
      <c r="L2082" s="64">
        <f>SUM(ventas_b_mes684[[#This Row],[IMPORTE NETO]:[EXENTO]])</f>
        <v>11409.997499999999</v>
      </c>
      <c r="M2082" s="59"/>
    </row>
    <row r="2083" spans="2:13">
      <c r="B2083" s="40" t="s">
        <v>2321</v>
      </c>
      <c r="C2083" s="41">
        <v>6</v>
      </c>
      <c r="D2083" s="42">
        <v>11</v>
      </c>
      <c r="E2083" s="43">
        <v>38391</v>
      </c>
      <c r="F2083" s="44">
        <v>28147987</v>
      </c>
      <c r="G2083" s="1" t="str">
        <f>IFERROR(IF(ventas_b_mes684[[#This Row],[CUIT]]="","-",VLOOKUP(ventas_b_mes684[[#This Row],[CUIT]],Lista_CUIT[#All],2,0)),"CUIT NO CARGADO")</f>
        <v>CUIT NO CARGADO</v>
      </c>
      <c r="H2083" s="64">
        <v>14347.11</v>
      </c>
      <c r="I2083" s="64">
        <f>ventas_b_mes684[[#This Row],[IMPORTE NETO]]*0.21</f>
        <v>3012.8931000000002</v>
      </c>
      <c r="J2083" s="64"/>
      <c r="K2083" s="64"/>
      <c r="L2083" s="64">
        <f>SUM(ventas_b_mes684[[#This Row],[IMPORTE NETO]:[EXENTO]])</f>
        <v>17360.003100000002</v>
      </c>
      <c r="M2083" s="59"/>
    </row>
    <row r="2084" spans="2:13">
      <c r="B2084" s="40" t="s">
        <v>2321</v>
      </c>
      <c r="C2084" s="41">
        <v>6</v>
      </c>
      <c r="D2084" s="42">
        <v>11</v>
      </c>
      <c r="E2084" s="43">
        <v>38380</v>
      </c>
      <c r="F2084" s="44">
        <v>6192668</v>
      </c>
      <c r="G2084" s="1" t="str">
        <f>IFERROR(IF(ventas_b_mes684[[#This Row],[CUIT]]="","-",VLOOKUP(ventas_b_mes684[[#This Row],[CUIT]],Lista_CUIT[#All],2,0)),"CUIT NO CARGADO")</f>
        <v>CUIT NO CARGADO</v>
      </c>
      <c r="H2084" s="64">
        <v>17388.43</v>
      </c>
      <c r="I2084" s="64">
        <f>ventas_b_mes684[[#This Row],[IMPORTE NETO]]*0.21</f>
        <v>3651.5702999999999</v>
      </c>
      <c r="J2084" s="64"/>
      <c r="K2084" s="64"/>
      <c r="L2084" s="64">
        <f>SUM(ventas_b_mes684[[#This Row],[IMPORTE NETO]:[EXENTO]])</f>
        <v>21040.0003</v>
      </c>
      <c r="M2084" s="59"/>
    </row>
    <row r="2085" spans="2:13">
      <c r="B2085" s="40" t="s">
        <v>2321</v>
      </c>
      <c r="C2085" s="41">
        <v>6</v>
      </c>
      <c r="D2085" s="42">
        <v>11</v>
      </c>
      <c r="E2085" s="43">
        <v>38387</v>
      </c>
      <c r="F2085" s="44">
        <v>46753234</v>
      </c>
      <c r="G2085" s="1" t="str">
        <f>IFERROR(IF(ventas_b_mes684[[#This Row],[CUIT]]="","-",VLOOKUP(ventas_b_mes684[[#This Row],[CUIT]],Lista_CUIT[#All],2,0)),"CUIT NO CARGADO")</f>
        <v>CUIT NO CARGADO</v>
      </c>
      <c r="H2085" s="64">
        <v>7140.5</v>
      </c>
      <c r="I2085" s="64">
        <f>ventas_b_mes684[[#This Row],[IMPORTE NETO]]*0.21</f>
        <v>1499.5049999999999</v>
      </c>
      <c r="J2085" s="64"/>
      <c r="K2085" s="64"/>
      <c r="L2085" s="64">
        <f>SUM(ventas_b_mes684[[#This Row],[IMPORTE NETO]:[EXENTO]])</f>
        <v>8640.0049999999992</v>
      </c>
      <c r="M2085" s="59"/>
    </row>
    <row r="2086" spans="2:13">
      <c r="B2086" s="40" t="s">
        <v>2321</v>
      </c>
      <c r="C2086" s="41">
        <v>6</v>
      </c>
      <c r="D2086" s="42">
        <v>12</v>
      </c>
      <c r="E2086" s="43">
        <v>29862</v>
      </c>
      <c r="F2086" s="44">
        <v>11247353</v>
      </c>
      <c r="G2086" s="1" t="str">
        <f>IFERROR(IF(ventas_b_mes684[[#This Row],[CUIT]]="","-",VLOOKUP(ventas_b_mes684[[#This Row],[CUIT]],Lista_CUIT[#All],2,0)),"CUIT NO CARGADO")</f>
        <v>CUIT NO CARGADO</v>
      </c>
      <c r="H2086" s="64">
        <v>9388.43</v>
      </c>
      <c r="I2086" s="64">
        <f>ventas_b_mes684[[#This Row],[IMPORTE NETO]]*0.21</f>
        <v>1971.5703000000001</v>
      </c>
      <c r="J2086" s="64"/>
      <c r="K2086" s="64"/>
      <c r="L2086" s="64">
        <f>SUM(ventas_b_mes684[[#This Row],[IMPORTE NETO]:[EXENTO]])</f>
        <v>11360.0003</v>
      </c>
      <c r="M2086" s="59"/>
    </row>
    <row r="2087" spans="2:13">
      <c r="B2087" s="40" t="s">
        <v>2321</v>
      </c>
      <c r="C2087" s="41">
        <v>6</v>
      </c>
      <c r="D2087" s="42">
        <v>15</v>
      </c>
      <c r="E2087" s="43">
        <v>13442</v>
      </c>
      <c r="F2087" s="44">
        <v>30267269</v>
      </c>
      <c r="G2087" s="1" t="str">
        <f>IFERROR(IF(ventas_b_mes684[[#This Row],[CUIT]]="","-",VLOOKUP(ventas_b_mes684[[#This Row],[CUIT]],Lista_CUIT[#All],2,0)),"CUIT NO CARGADO")</f>
        <v>ALVAREZ,NATALIA</v>
      </c>
      <c r="H2087" s="64">
        <v>90842.98</v>
      </c>
      <c r="I2087" s="64">
        <f>ventas_b_mes684[[#This Row],[IMPORTE NETO]]*0.21</f>
        <v>19077.025799999999</v>
      </c>
      <c r="J2087" s="64"/>
      <c r="K2087" s="64"/>
      <c r="L2087" s="64">
        <f>SUM(ventas_b_mes684[[#This Row],[IMPORTE NETO]:[EXENTO]])</f>
        <v>109920.0058</v>
      </c>
      <c r="M2087" s="59"/>
    </row>
    <row r="2088" spans="2:13">
      <c r="B2088" s="40" t="s">
        <v>2321</v>
      </c>
      <c r="C2088" s="41">
        <v>6</v>
      </c>
      <c r="D2088" s="42">
        <v>12</v>
      </c>
      <c r="E2088" s="43">
        <v>29860</v>
      </c>
      <c r="F2088" s="44">
        <v>94796022</v>
      </c>
      <c r="G2088" s="1" t="str">
        <f>IFERROR(IF(ventas_b_mes684[[#This Row],[CUIT]]="","-",VLOOKUP(ventas_b_mes684[[#This Row],[CUIT]],Lista_CUIT[#All],2,0)),"CUIT NO CARGADO")</f>
        <v>CUIT NO CARGADO</v>
      </c>
      <c r="H2088" s="64">
        <v>20661.16</v>
      </c>
      <c r="I2088" s="64">
        <f>ventas_b_mes684[[#This Row],[IMPORTE NETO]]*0.21</f>
        <v>4338.8436000000002</v>
      </c>
      <c r="J2088" s="64"/>
      <c r="K2088" s="64"/>
      <c r="L2088" s="64">
        <f>SUM(ventas_b_mes684[[#This Row],[IMPORTE NETO]:[EXENTO]])</f>
        <v>25000.0036</v>
      </c>
      <c r="M2088" s="59"/>
    </row>
    <row r="2089" spans="2:13">
      <c r="B2089" s="40" t="s">
        <v>2321</v>
      </c>
      <c r="C2089" s="41">
        <v>6</v>
      </c>
      <c r="D2089" s="42">
        <v>13</v>
      </c>
      <c r="E2089" s="43">
        <v>32605</v>
      </c>
      <c r="F2089" s="44">
        <v>20560897</v>
      </c>
      <c r="G2089" s="1" t="str">
        <f>IFERROR(IF(ventas_b_mes684[[#This Row],[CUIT]]="","-",VLOOKUP(ventas_b_mes684[[#This Row],[CUIT]],Lista_CUIT[#All],2,0)),"CUIT NO CARGADO")</f>
        <v>CUIT NO CARGADO</v>
      </c>
      <c r="H2089" s="64">
        <v>33652.94</v>
      </c>
      <c r="I2089" s="64">
        <f>ventas_b_mes684[[#This Row],[IMPORTE NETO]]*0.21</f>
        <v>7067.1174000000001</v>
      </c>
      <c r="J2089" s="64"/>
      <c r="K2089" s="64"/>
      <c r="L2089" s="64">
        <f>SUM(ventas_b_mes684[[#This Row],[IMPORTE NETO]:[EXENTO]])</f>
        <v>40720.057400000005</v>
      </c>
      <c r="M2089" s="59"/>
    </row>
    <row r="2090" spans="2:13">
      <c r="B2090" s="40" t="s">
        <v>2321</v>
      </c>
      <c r="C2090" s="41">
        <v>6</v>
      </c>
      <c r="D2090" s="42">
        <v>11</v>
      </c>
      <c r="E2090" s="43">
        <v>38364</v>
      </c>
      <c r="F2090" s="44">
        <v>6436196</v>
      </c>
      <c r="G2090" s="1" t="str">
        <f>IFERROR(IF(ventas_b_mes684[[#This Row],[CUIT]]="","-",VLOOKUP(ventas_b_mes684[[#This Row],[CUIT]],Lista_CUIT[#All],2,0)),"CUIT NO CARGADO")</f>
        <v>CUIT NO CARGADO</v>
      </c>
      <c r="H2090" s="64">
        <v>17355.37</v>
      </c>
      <c r="I2090" s="64">
        <f>ventas_b_mes684[[#This Row],[IMPORTE NETO]]*0.21</f>
        <v>3644.6276999999995</v>
      </c>
      <c r="J2090" s="64"/>
      <c r="K2090" s="64"/>
      <c r="L2090" s="64">
        <f>SUM(ventas_b_mes684[[#This Row],[IMPORTE NETO]:[EXENTO]])</f>
        <v>20999.9977</v>
      </c>
      <c r="M2090" s="59"/>
    </row>
    <row r="2091" spans="2:13">
      <c r="B2091" s="40" t="s">
        <v>2321</v>
      </c>
      <c r="C2091" s="41">
        <v>6</v>
      </c>
      <c r="D2091" s="42">
        <v>10</v>
      </c>
      <c r="E2091" s="43">
        <v>54696</v>
      </c>
      <c r="F2091" s="44">
        <v>94740610</v>
      </c>
      <c r="G2091" s="1" t="str">
        <f>IFERROR(IF(ventas_b_mes684[[#This Row],[CUIT]]="","-",VLOOKUP(ventas_b_mes684[[#This Row],[CUIT]],Lista_CUIT[#All],2,0)),"CUIT NO CARGADO")</f>
        <v>CUIT NO CARGADO</v>
      </c>
      <c r="H2091" s="64">
        <v>8396.69</v>
      </c>
      <c r="I2091" s="64">
        <f>ventas_b_mes684[[#This Row],[IMPORTE NETO]]*0.21</f>
        <v>1763.3049000000001</v>
      </c>
      <c r="J2091" s="64"/>
      <c r="K2091" s="64"/>
      <c r="L2091" s="64">
        <f>SUM(ventas_b_mes684[[#This Row],[IMPORTE NETO]:[EXENTO]])</f>
        <v>10159.994900000002</v>
      </c>
      <c r="M2091" s="59"/>
    </row>
    <row r="2092" spans="2:13">
      <c r="B2092" s="40" t="s">
        <v>2321</v>
      </c>
      <c r="C2092" s="41">
        <v>6</v>
      </c>
      <c r="D2092" s="42">
        <v>15</v>
      </c>
      <c r="E2092" s="43">
        <v>13441</v>
      </c>
      <c r="F2092" s="44">
        <v>28951546</v>
      </c>
      <c r="G2092" s="1" t="str">
        <f>IFERROR(IF(ventas_b_mes684[[#This Row],[CUIT]]="","-",VLOOKUP(ventas_b_mes684[[#This Row],[CUIT]],Lista_CUIT[#All],2,0)),"CUIT NO CARGADO")</f>
        <v>SUAREZ, LAURA VERONICA</v>
      </c>
      <c r="H2092" s="64">
        <v>11371.9</v>
      </c>
      <c r="I2092" s="64">
        <f>ventas_b_mes684[[#This Row],[IMPORTE NETO]]*0.21</f>
        <v>2388.0989999999997</v>
      </c>
      <c r="J2092" s="64"/>
      <c r="K2092" s="64"/>
      <c r="L2092" s="64">
        <f>SUM(ventas_b_mes684[[#This Row],[IMPORTE NETO]:[EXENTO]])</f>
        <v>13759.999</v>
      </c>
      <c r="M2092" s="59"/>
    </row>
    <row r="2093" spans="2:13">
      <c r="B2093" s="40" t="s">
        <v>2321</v>
      </c>
      <c r="C2093" s="41">
        <v>6</v>
      </c>
      <c r="D2093" s="42">
        <v>11</v>
      </c>
      <c r="E2093" s="43">
        <v>38379</v>
      </c>
      <c r="F2093" s="44">
        <v>6192668</v>
      </c>
      <c r="G2093" s="1" t="str">
        <f>IFERROR(IF(ventas_b_mes684[[#This Row],[CUIT]]="","-",VLOOKUP(ventas_b_mes684[[#This Row],[CUIT]],Lista_CUIT[#All],2,0)),"CUIT NO CARGADO")</f>
        <v>CUIT NO CARGADO</v>
      </c>
      <c r="H2093" s="64">
        <v>21619.84</v>
      </c>
      <c r="I2093" s="64">
        <f>ventas_b_mes684[[#This Row],[IMPORTE NETO]]*0.21</f>
        <v>4540.1664000000001</v>
      </c>
      <c r="J2093" s="64"/>
      <c r="K2093" s="64"/>
      <c r="L2093" s="64">
        <f>SUM(ventas_b_mes684[[#This Row],[IMPORTE NETO]:[EXENTO]])</f>
        <v>26160.006399999998</v>
      </c>
      <c r="M2093" s="59"/>
    </row>
    <row r="2094" spans="2:13">
      <c r="B2094" s="40" t="s">
        <v>2321</v>
      </c>
      <c r="C2094" s="41">
        <v>6</v>
      </c>
      <c r="D2094" s="42">
        <v>12</v>
      </c>
      <c r="E2094" s="43">
        <v>29869</v>
      </c>
      <c r="F2094" s="44">
        <v>27333109</v>
      </c>
      <c r="G2094" s="1" t="str">
        <f>IFERROR(IF(ventas_b_mes684[[#This Row],[CUIT]]="","-",VLOOKUP(ventas_b_mes684[[#This Row],[CUIT]],Lista_CUIT[#All],2,0)),"CUIT NO CARGADO")</f>
        <v>CUIT NO CARGADO</v>
      </c>
      <c r="H2094" s="64">
        <v>20826.45</v>
      </c>
      <c r="I2094" s="64">
        <f>ventas_b_mes684[[#This Row],[IMPORTE NETO]]*0.21</f>
        <v>4373.5545000000002</v>
      </c>
      <c r="J2094" s="64"/>
      <c r="K2094" s="64"/>
      <c r="L2094" s="64">
        <f>SUM(ventas_b_mes684[[#This Row],[IMPORTE NETO]:[EXENTO]])</f>
        <v>25200.004500000003</v>
      </c>
      <c r="M2094" s="59"/>
    </row>
    <row r="2095" spans="2:13">
      <c r="B2095" s="40" t="s">
        <v>2321</v>
      </c>
      <c r="C2095" s="41">
        <v>6</v>
      </c>
      <c r="D2095" s="42">
        <v>11</v>
      </c>
      <c r="E2095" s="43">
        <v>38384</v>
      </c>
      <c r="F2095" s="44">
        <v>12276380</v>
      </c>
      <c r="G2095" s="1" t="str">
        <f>IFERROR(IF(ventas_b_mes684[[#This Row],[CUIT]]="","-",VLOOKUP(ventas_b_mes684[[#This Row],[CUIT]],Lista_CUIT[#All],2,0)),"CUIT NO CARGADO")</f>
        <v>CUIT NO CARGADO</v>
      </c>
      <c r="H2095" s="64">
        <v>12495.87</v>
      </c>
      <c r="I2095" s="64">
        <f>ventas_b_mes684[[#This Row],[IMPORTE NETO]]*0.21</f>
        <v>2624.1327000000001</v>
      </c>
      <c r="J2095" s="64"/>
      <c r="K2095" s="64"/>
      <c r="L2095" s="64">
        <f>SUM(ventas_b_mes684[[#This Row],[IMPORTE NETO]:[EXENTO]])</f>
        <v>15120.002700000001</v>
      </c>
      <c r="M2095" s="59"/>
    </row>
    <row r="2096" spans="2:13">
      <c r="B2096" s="40" t="s">
        <v>2321</v>
      </c>
      <c r="C2096" s="41">
        <v>6</v>
      </c>
      <c r="D2096" s="42">
        <v>10</v>
      </c>
      <c r="E2096" s="43">
        <v>54694</v>
      </c>
      <c r="F2096" s="44">
        <v>14525134</v>
      </c>
      <c r="G2096" s="1" t="str">
        <f>IFERROR(IF(ventas_b_mes684[[#This Row],[CUIT]]="","-",VLOOKUP(ventas_b_mes684[[#This Row],[CUIT]],Lista_CUIT[#All],2,0)),"CUIT NO CARGADO")</f>
        <v>CUIT NO CARGADO</v>
      </c>
      <c r="H2096" s="64">
        <v>8528.93</v>
      </c>
      <c r="I2096" s="64">
        <f>ventas_b_mes684[[#This Row],[IMPORTE NETO]]*0.21</f>
        <v>1791.0753</v>
      </c>
      <c r="J2096" s="64"/>
      <c r="K2096" s="64"/>
      <c r="L2096" s="64">
        <f>SUM(ventas_b_mes684[[#This Row],[IMPORTE NETO]:[EXENTO]])</f>
        <v>10320.005300000001</v>
      </c>
      <c r="M2096" s="59"/>
    </row>
    <row r="2097" spans="2:13">
      <c r="B2097" s="40" t="s">
        <v>2321</v>
      </c>
      <c r="C2097" s="41">
        <v>6</v>
      </c>
      <c r="D2097" s="42">
        <v>15</v>
      </c>
      <c r="E2097" s="43">
        <v>13443</v>
      </c>
      <c r="F2097" s="44">
        <v>94821517</v>
      </c>
      <c r="G2097" s="1" t="str">
        <f>IFERROR(IF(ventas_b_mes684[[#This Row],[CUIT]]="","-",VLOOKUP(ventas_b_mes684[[#This Row],[CUIT]],Lista_CUIT[#All],2,0)),"CUIT NO CARGADO")</f>
        <v>CUIT NO CARGADO</v>
      </c>
      <c r="H2097" s="64">
        <v>3239.67</v>
      </c>
      <c r="I2097" s="64">
        <f>ventas_b_mes684[[#This Row],[IMPORTE NETO]]*0.21</f>
        <v>680.33069999999998</v>
      </c>
      <c r="J2097" s="64"/>
      <c r="K2097" s="64"/>
      <c r="L2097" s="64">
        <f>SUM(ventas_b_mes684[[#This Row],[IMPORTE NETO]:[EXENTO]])</f>
        <v>3920.0007000000001</v>
      </c>
      <c r="M2097" s="59"/>
    </row>
    <row r="2098" spans="2:13">
      <c r="B2098" s="40" t="s">
        <v>2321</v>
      </c>
      <c r="C2098" s="41">
        <v>6</v>
      </c>
      <c r="D2098" s="42">
        <v>12</v>
      </c>
      <c r="E2098" s="43">
        <v>29872</v>
      </c>
      <c r="F2098" s="44">
        <v>40950199</v>
      </c>
      <c r="G2098" s="1" t="str">
        <f>IFERROR(IF(ventas_b_mes684[[#This Row],[CUIT]]="","-",VLOOKUP(ventas_b_mes684[[#This Row],[CUIT]],Lista_CUIT[#All],2,0)),"CUIT NO CARGADO")</f>
        <v>CUIT NO CARGADO</v>
      </c>
      <c r="H2098" s="64">
        <v>5553.72</v>
      </c>
      <c r="I2098" s="64">
        <f>ventas_b_mes684[[#This Row],[IMPORTE NETO]]*0.21</f>
        <v>1166.2811999999999</v>
      </c>
      <c r="J2098" s="64"/>
      <c r="K2098" s="64"/>
      <c r="L2098" s="64">
        <f>SUM(ventas_b_mes684[[#This Row],[IMPORTE NETO]:[EXENTO]])</f>
        <v>6720.0012000000006</v>
      </c>
      <c r="M2098" s="59"/>
    </row>
    <row r="2099" spans="2:13">
      <c r="B2099" s="40" t="s">
        <v>2321</v>
      </c>
      <c r="C2099" s="41">
        <v>6</v>
      </c>
      <c r="D2099" s="42">
        <v>11</v>
      </c>
      <c r="E2099" s="43">
        <v>38390</v>
      </c>
      <c r="F2099" s="44">
        <v>94016769</v>
      </c>
      <c r="G2099" s="1" t="str">
        <f>IFERROR(IF(ventas_b_mes684[[#This Row],[CUIT]]="","-",VLOOKUP(ventas_b_mes684[[#This Row],[CUIT]],Lista_CUIT[#All],2,0)),"CUIT NO CARGADO")</f>
        <v>CUIT NO CARGADO</v>
      </c>
      <c r="H2099" s="64">
        <v>116612.4</v>
      </c>
      <c r="I2099" s="64">
        <f>ventas_b_mes684[[#This Row],[IMPORTE NETO]]*0.21</f>
        <v>24488.603999999999</v>
      </c>
      <c r="J2099" s="64"/>
      <c r="K2099" s="64"/>
      <c r="L2099" s="64">
        <f>SUM(ventas_b_mes684[[#This Row],[IMPORTE NETO]:[EXENTO]])</f>
        <v>141101.00399999999</v>
      </c>
      <c r="M2099" s="59"/>
    </row>
    <row r="2100" spans="2:13">
      <c r="B2100" s="40" t="s">
        <v>2321</v>
      </c>
      <c r="C2100" s="41">
        <v>6</v>
      </c>
      <c r="D2100" s="42">
        <v>13</v>
      </c>
      <c r="E2100" s="43">
        <v>32606</v>
      </c>
      <c r="F2100" s="44">
        <v>25905150</v>
      </c>
      <c r="G2100" s="1" t="str">
        <f>IFERROR(IF(ventas_b_mes684[[#This Row],[CUIT]]="","-",VLOOKUP(ventas_b_mes684[[#This Row],[CUIT]],Lista_CUIT[#All],2,0)),"CUIT NO CARGADO")</f>
        <v>CUIT NO CARGADO</v>
      </c>
      <c r="H2100" s="64">
        <v>12363.64</v>
      </c>
      <c r="I2100" s="64">
        <f>ventas_b_mes684[[#This Row],[IMPORTE NETO]]*0.21</f>
        <v>2596.3643999999999</v>
      </c>
      <c r="J2100" s="64"/>
      <c r="K2100" s="64"/>
      <c r="L2100" s="64">
        <f>SUM(ventas_b_mes684[[#This Row],[IMPORTE NETO]:[EXENTO]])</f>
        <v>14960.0044</v>
      </c>
      <c r="M2100" s="59"/>
    </row>
    <row r="2101" spans="2:13">
      <c r="B2101" s="40" t="s">
        <v>2321</v>
      </c>
      <c r="C2101" s="41">
        <v>6</v>
      </c>
      <c r="D2101" s="42">
        <v>11</v>
      </c>
      <c r="E2101" s="43">
        <v>38381</v>
      </c>
      <c r="F2101" s="44">
        <v>18905338</v>
      </c>
      <c r="G2101" s="1" t="str">
        <f>IFERROR(IF(ventas_b_mes684[[#This Row],[CUIT]]="","-",VLOOKUP(ventas_b_mes684[[#This Row],[CUIT]],Lista_CUIT[#All],2,0)),"CUIT NO CARGADO")</f>
        <v>CUIT NO CARGADO</v>
      </c>
      <c r="H2101" s="64">
        <v>70661.16</v>
      </c>
      <c r="I2101" s="64">
        <f>ventas_b_mes684[[#This Row],[IMPORTE NETO]]*0.21</f>
        <v>14838.8436</v>
      </c>
      <c r="J2101" s="64"/>
      <c r="K2101" s="64"/>
      <c r="L2101" s="64">
        <f>SUM(ventas_b_mes684[[#This Row],[IMPORTE NETO]:[EXENTO]])</f>
        <v>85500.003599999996</v>
      </c>
      <c r="M2101" s="59"/>
    </row>
    <row r="2102" spans="2:13">
      <c r="B2102" s="40" t="s">
        <v>2321</v>
      </c>
      <c r="C2102" s="41">
        <v>8</v>
      </c>
      <c r="D2102" s="42">
        <v>12</v>
      </c>
      <c r="E2102" s="43">
        <v>915</v>
      </c>
      <c r="F2102" s="44">
        <v>28537620</v>
      </c>
      <c r="G2102" s="1" t="str">
        <f>IFERROR(IF(ventas_b_mes684[[#This Row],[CUIT]]="","-",VLOOKUP(ventas_b_mes684[[#This Row],[CUIT]],Lista_CUIT[#All],2,0)),"CUIT NO CARGADO")</f>
        <v>CUIT NO CARGADO</v>
      </c>
      <c r="H2102" s="64">
        <v>-5157.0200000000004</v>
      </c>
      <c r="I2102" s="64">
        <f>ventas_b_mes684[[#This Row],[IMPORTE NETO]]*0.21</f>
        <v>-1082.9742000000001</v>
      </c>
      <c r="J2102" s="64"/>
      <c r="K2102" s="64"/>
      <c r="L2102" s="64">
        <f>SUM(ventas_b_mes684[[#This Row],[IMPORTE NETO]:[EXENTO]])</f>
        <v>-6239.994200000001</v>
      </c>
      <c r="M2102" s="59"/>
    </row>
    <row r="2103" spans="2:13">
      <c r="B2103" s="40" t="s">
        <v>2321</v>
      </c>
      <c r="C2103" s="41">
        <v>8</v>
      </c>
      <c r="D2103" s="42">
        <v>11</v>
      </c>
      <c r="E2103" s="43">
        <v>1043</v>
      </c>
      <c r="F2103" s="44">
        <v>43240534</v>
      </c>
      <c r="G2103" s="1" t="str">
        <f>IFERROR(IF(ventas_b_mes684[[#This Row],[CUIT]]="","-",VLOOKUP(ventas_b_mes684[[#This Row],[CUIT]],Lista_CUIT[#All],2,0)),"CUIT NO CARGADO")</f>
        <v>CUIT NO CARGADO</v>
      </c>
      <c r="H2103" s="64">
        <v>-727.27</v>
      </c>
      <c r="I2103" s="64">
        <f>ventas_b_mes684[[#This Row],[IMPORTE NETO]]*0.21</f>
        <v>-152.72669999999999</v>
      </c>
      <c r="J2103" s="64"/>
      <c r="K2103" s="64"/>
      <c r="L2103" s="64">
        <f>SUM(ventas_b_mes684[[#This Row],[IMPORTE NETO]:[EXENTO]])</f>
        <v>-879.99669999999992</v>
      </c>
      <c r="M2103" s="59"/>
    </row>
    <row r="2104" spans="2:13">
      <c r="B2104" s="40" t="s">
        <v>2321</v>
      </c>
      <c r="C2104" s="41">
        <v>8</v>
      </c>
      <c r="D2104" s="42">
        <v>12</v>
      </c>
      <c r="E2104" s="43">
        <v>914</v>
      </c>
      <c r="F2104" s="44">
        <v>43662734</v>
      </c>
      <c r="G2104" s="1" t="str">
        <f>IFERROR(IF(ventas_b_mes684[[#This Row],[CUIT]]="","-",VLOOKUP(ventas_b_mes684[[#This Row],[CUIT]],Lista_CUIT[#All],2,0)),"CUIT NO CARGADO")</f>
        <v>CUIT NO CARGADO</v>
      </c>
      <c r="H2104" s="64">
        <v>-8925.6200000000008</v>
      </c>
      <c r="I2104" s="64">
        <f>ventas_b_mes684[[#This Row],[IMPORTE NETO]]*0.21</f>
        <v>-1874.3802000000001</v>
      </c>
      <c r="J2104" s="64"/>
      <c r="K2104" s="64"/>
      <c r="L2104" s="64">
        <f>SUM(ventas_b_mes684[[#This Row],[IMPORTE NETO]:[EXENTO]])</f>
        <v>-10800.0002</v>
      </c>
      <c r="M2104" s="59"/>
    </row>
    <row r="2105" spans="2:13">
      <c r="B2105" s="40" t="s">
        <v>2322</v>
      </c>
      <c r="C2105" s="41">
        <v>6</v>
      </c>
      <c r="D2105" s="42">
        <v>15</v>
      </c>
      <c r="E2105" s="43">
        <v>13460</v>
      </c>
      <c r="F2105" s="44">
        <v>24951742</v>
      </c>
      <c r="G2105" s="1" t="str">
        <f>IFERROR(IF(ventas_b_mes684[[#This Row],[CUIT]]="","-",VLOOKUP(ventas_b_mes684[[#This Row],[CUIT]],Lista_CUIT[#All],2,0)),"CUIT NO CARGADO")</f>
        <v>CUIT NO CARGADO</v>
      </c>
      <c r="H2105" s="64">
        <v>8991.74</v>
      </c>
      <c r="I2105" s="64">
        <f>ventas_b_mes684[[#This Row],[IMPORTE NETO]]*0.21</f>
        <v>1888.2653999999998</v>
      </c>
      <c r="J2105" s="64"/>
      <c r="K2105" s="64"/>
      <c r="L2105" s="64">
        <f>SUM(ventas_b_mes684[[#This Row],[IMPORTE NETO]:[EXENTO]])</f>
        <v>10880.0054</v>
      </c>
      <c r="M2105" s="59"/>
    </row>
    <row r="2106" spans="2:13">
      <c r="B2106" s="40" t="s">
        <v>2322</v>
      </c>
      <c r="C2106" s="41">
        <v>6</v>
      </c>
      <c r="D2106" s="42">
        <v>11</v>
      </c>
      <c r="E2106" s="43">
        <v>38397</v>
      </c>
      <c r="F2106" s="44">
        <v>37374218</v>
      </c>
      <c r="G2106" s="1" t="str">
        <f>IFERROR(IF(ventas_b_mes684[[#This Row],[CUIT]]="","-",VLOOKUP(ventas_b_mes684[[#This Row],[CUIT]],Lista_CUIT[#All],2,0)),"CUIT NO CARGADO")</f>
        <v>CUIT NO CARGADO</v>
      </c>
      <c r="H2106" s="64">
        <v>76528.929999999993</v>
      </c>
      <c r="I2106" s="64">
        <f>ventas_b_mes684[[#This Row],[IMPORTE NETO]]*0.21</f>
        <v>16071.075299999999</v>
      </c>
      <c r="J2106" s="64"/>
      <c r="K2106" s="64"/>
      <c r="L2106" s="64">
        <f>SUM(ventas_b_mes684[[#This Row],[IMPORTE NETO]:[EXENTO]])</f>
        <v>92600.00529999999</v>
      </c>
      <c r="M2106" s="59"/>
    </row>
    <row r="2107" spans="2:13">
      <c r="B2107" s="40" t="s">
        <v>2322</v>
      </c>
      <c r="C2107" s="41">
        <v>6</v>
      </c>
      <c r="D2107" s="42">
        <v>10</v>
      </c>
      <c r="E2107" s="43">
        <v>54702</v>
      </c>
      <c r="F2107" s="44">
        <v>26996097</v>
      </c>
      <c r="G2107" s="1" t="str">
        <f>IFERROR(IF(ventas_b_mes684[[#This Row],[CUIT]]="","-",VLOOKUP(ventas_b_mes684[[#This Row],[CUIT]],Lista_CUIT[#All],2,0)),"CUIT NO CARGADO")</f>
        <v>DOBROSOLSKY PATRICIA ALEJANDRA</v>
      </c>
      <c r="H2107" s="64">
        <v>9123.9699999999993</v>
      </c>
      <c r="I2107" s="64">
        <f>ventas_b_mes684[[#This Row],[IMPORTE NETO]]*0.21</f>
        <v>1916.0336999999997</v>
      </c>
      <c r="J2107" s="64"/>
      <c r="K2107" s="64"/>
      <c r="L2107" s="64">
        <f>SUM(ventas_b_mes684[[#This Row],[IMPORTE NETO]:[EXENTO]])</f>
        <v>11040.003699999999</v>
      </c>
      <c r="M2107" s="59"/>
    </row>
    <row r="2108" spans="2:13">
      <c r="B2108" s="40" t="s">
        <v>2322</v>
      </c>
      <c r="C2108" s="41">
        <v>6</v>
      </c>
      <c r="D2108" s="42">
        <v>15</v>
      </c>
      <c r="E2108" s="43">
        <v>13468</v>
      </c>
      <c r="F2108" s="44">
        <v>38453129</v>
      </c>
      <c r="G2108" s="1" t="str">
        <f>IFERROR(IF(ventas_b_mes684[[#This Row],[CUIT]]="","-",VLOOKUP(ventas_b_mes684[[#This Row],[CUIT]],Lista_CUIT[#All],2,0)),"CUIT NO CARGADO")</f>
        <v>CUIT NO CARGADO</v>
      </c>
      <c r="H2108" s="64">
        <v>13157.03</v>
      </c>
      <c r="I2108" s="64">
        <f>ventas_b_mes684[[#This Row],[IMPORTE NETO]]*0.21</f>
        <v>2762.9762999999998</v>
      </c>
      <c r="J2108" s="64"/>
      <c r="K2108" s="64"/>
      <c r="L2108" s="64">
        <f>SUM(ventas_b_mes684[[#This Row],[IMPORTE NETO]:[EXENTO]])</f>
        <v>15920.006300000001</v>
      </c>
      <c r="M2108" s="59"/>
    </row>
    <row r="2109" spans="2:13">
      <c r="B2109" s="40" t="s">
        <v>2322</v>
      </c>
      <c r="C2109" s="41">
        <v>6</v>
      </c>
      <c r="D2109" s="42">
        <v>13</v>
      </c>
      <c r="E2109" s="43">
        <v>32614</v>
      </c>
      <c r="F2109" s="44">
        <v>27949525061</v>
      </c>
      <c r="G2109" s="1" t="str">
        <f>IFERROR(IF(ventas_b_mes684[[#This Row],[CUIT]]="","-",VLOOKUP(ventas_b_mes684[[#This Row],[CUIT]],Lista_CUIT[#All],2,0)),"CUIT NO CARGADO")</f>
        <v>LOAIZA LOAYZA GRACIELA ELIZABETH</v>
      </c>
      <c r="H2109" s="64">
        <v>24595.040000000001</v>
      </c>
      <c r="I2109" s="64">
        <f>ventas_b_mes684[[#This Row],[IMPORTE NETO]]*0.21</f>
        <v>5164.9584000000004</v>
      </c>
      <c r="J2109" s="64"/>
      <c r="K2109" s="64"/>
      <c r="L2109" s="64">
        <f>SUM(ventas_b_mes684[[#This Row],[IMPORTE NETO]:[EXENTO]])</f>
        <v>29759.9984</v>
      </c>
      <c r="M2109" s="59"/>
    </row>
    <row r="2110" spans="2:13">
      <c r="B2110" s="40" t="s">
        <v>2322</v>
      </c>
      <c r="C2110" s="41">
        <v>6</v>
      </c>
      <c r="D2110" s="42">
        <v>15</v>
      </c>
      <c r="E2110" s="43">
        <v>13456</v>
      </c>
      <c r="F2110" s="44">
        <v>36332770</v>
      </c>
      <c r="G2110" s="1" t="str">
        <f>IFERROR(IF(ventas_b_mes684[[#This Row],[CUIT]]="","-",VLOOKUP(ventas_b_mes684[[#This Row],[CUIT]],Lista_CUIT[#All],2,0)),"CUIT NO CARGADO")</f>
        <v>CUIT NO CARGADO</v>
      </c>
      <c r="H2110" s="64">
        <v>6198.35</v>
      </c>
      <c r="I2110" s="64">
        <f>ventas_b_mes684[[#This Row],[IMPORTE NETO]]*0.21</f>
        <v>1301.6535000000001</v>
      </c>
      <c r="J2110" s="64"/>
      <c r="K2110" s="64"/>
      <c r="L2110" s="64">
        <f>SUM(ventas_b_mes684[[#This Row],[IMPORTE NETO]:[EXENTO]])</f>
        <v>7500.0035000000007</v>
      </c>
      <c r="M2110" s="59"/>
    </row>
    <row r="2111" spans="2:13">
      <c r="B2111" s="40" t="s">
        <v>2322</v>
      </c>
      <c r="C2111" s="41">
        <v>6</v>
      </c>
      <c r="D2111" s="42">
        <v>12</v>
      </c>
      <c r="E2111" s="43">
        <v>29882</v>
      </c>
      <c r="F2111" s="44">
        <v>27256583157</v>
      </c>
      <c r="G2111" s="1" t="str">
        <f>IFERROR(IF(ventas_b_mes684[[#This Row],[CUIT]]="","-",VLOOKUP(ventas_b_mes684[[#This Row],[CUIT]],Lista_CUIT[#All],2,0)),"CUIT NO CARGADO")</f>
        <v>DIAZ NATALIA</v>
      </c>
      <c r="H2111" s="64">
        <v>48198.35</v>
      </c>
      <c r="I2111" s="64">
        <f>ventas_b_mes684[[#This Row],[IMPORTE NETO]]*0.21</f>
        <v>10121.653499999999</v>
      </c>
      <c r="J2111" s="64"/>
      <c r="K2111" s="64"/>
      <c r="L2111" s="64">
        <f>SUM(ventas_b_mes684[[#This Row],[IMPORTE NETO]:[EXENTO]])</f>
        <v>58320.003499999999</v>
      </c>
      <c r="M2111" s="59"/>
    </row>
    <row r="2112" spans="2:13">
      <c r="B2112" s="40" t="s">
        <v>2322</v>
      </c>
      <c r="C2112" s="41">
        <v>6</v>
      </c>
      <c r="D2112" s="42">
        <v>15</v>
      </c>
      <c r="E2112" s="43">
        <v>13459</v>
      </c>
      <c r="F2112" s="44">
        <v>21857947</v>
      </c>
      <c r="G2112" s="1" t="str">
        <f>IFERROR(IF(ventas_b_mes684[[#This Row],[CUIT]]="","-",VLOOKUP(ventas_b_mes684[[#This Row],[CUIT]],Lista_CUIT[#All],2,0)),"CUIT NO CARGADO")</f>
        <v>CUIT NO CARGADO</v>
      </c>
      <c r="H2112" s="64">
        <v>15933.88</v>
      </c>
      <c r="I2112" s="64">
        <f>ventas_b_mes684[[#This Row],[IMPORTE NETO]]*0.21</f>
        <v>3346.1147999999998</v>
      </c>
      <c r="J2112" s="64"/>
      <c r="K2112" s="64"/>
      <c r="L2112" s="64">
        <f>SUM(ventas_b_mes684[[#This Row],[IMPORTE NETO]:[EXENTO]])</f>
        <v>19279.9948</v>
      </c>
      <c r="M2112" s="59"/>
    </row>
    <row r="2113" spans="2:13">
      <c r="B2113" s="40" t="s">
        <v>2322</v>
      </c>
      <c r="C2113" s="41">
        <v>6</v>
      </c>
      <c r="D2113" s="42">
        <v>13</v>
      </c>
      <c r="E2113" s="43">
        <v>32617</v>
      </c>
      <c r="F2113" s="44">
        <v>20560897</v>
      </c>
      <c r="G2113" s="1" t="str">
        <f>IFERROR(IF(ventas_b_mes684[[#This Row],[CUIT]]="","-",VLOOKUP(ventas_b_mes684[[#This Row],[CUIT]],Lista_CUIT[#All],2,0)),"CUIT NO CARGADO")</f>
        <v>CUIT NO CARGADO</v>
      </c>
      <c r="H2113" s="64">
        <v>37851.199999999997</v>
      </c>
      <c r="I2113" s="64">
        <f>ventas_b_mes684[[#This Row],[IMPORTE NETO]]*0.21</f>
        <v>7948.7519999999995</v>
      </c>
      <c r="J2113" s="64"/>
      <c r="K2113" s="64"/>
      <c r="L2113" s="64">
        <f>SUM(ventas_b_mes684[[#This Row],[IMPORTE NETO]:[EXENTO]])</f>
        <v>45799.951999999997</v>
      </c>
      <c r="M2113" s="59"/>
    </row>
    <row r="2114" spans="2:13">
      <c r="B2114" s="40" t="s">
        <v>2322</v>
      </c>
      <c r="C2114" s="41">
        <v>6</v>
      </c>
      <c r="D2114" s="42">
        <v>11</v>
      </c>
      <c r="E2114" s="43">
        <v>38412</v>
      </c>
      <c r="F2114" s="44">
        <v>14340921</v>
      </c>
      <c r="G2114" s="1" t="str">
        <f>IFERROR(IF(ventas_b_mes684[[#This Row],[CUIT]]="","-",VLOOKUP(ventas_b_mes684[[#This Row],[CUIT]],Lista_CUIT[#All],2,0)),"CUIT NO CARGADO")</f>
        <v>CUIT NO CARGADO</v>
      </c>
      <c r="H2114" s="64">
        <v>41983.47</v>
      </c>
      <c r="I2114" s="64">
        <f>ventas_b_mes684[[#This Row],[IMPORTE NETO]]*0.21</f>
        <v>8816.5287000000008</v>
      </c>
      <c r="J2114" s="64"/>
      <c r="K2114" s="64"/>
      <c r="L2114" s="64">
        <f>SUM(ventas_b_mes684[[#This Row],[IMPORTE NETO]:[EXENTO]])</f>
        <v>50799.998700000004</v>
      </c>
      <c r="M2114" s="59"/>
    </row>
    <row r="2115" spans="2:13">
      <c r="B2115" s="40" t="s">
        <v>2322</v>
      </c>
      <c r="C2115" s="41">
        <v>6</v>
      </c>
      <c r="D2115" s="42">
        <v>11</v>
      </c>
      <c r="E2115" s="43">
        <v>38418</v>
      </c>
      <c r="F2115" s="44">
        <v>14952833</v>
      </c>
      <c r="G2115" s="1" t="str">
        <f>IFERROR(IF(ventas_b_mes684[[#This Row],[CUIT]]="","-",VLOOKUP(ventas_b_mes684[[#This Row],[CUIT]],Lista_CUIT[#All],2,0)),"CUIT NO CARGADO")</f>
        <v>CUIT NO CARGADO</v>
      </c>
      <c r="H2115" s="64">
        <v>5190.08</v>
      </c>
      <c r="I2115" s="64">
        <f>ventas_b_mes684[[#This Row],[IMPORTE NETO]]*0.21</f>
        <v>1089.9168</v>
      </c>
      <c r="J2115" s="64"/>
      <c r="K2115" s="64"/>
      <c r="L2115" s="64">
        <f>SUM(ventas_b_mes684[[#This Row],[IMPORTE NETO]:[EXENTO]])</f>
        <v>6279.9967999999999</v>
      </c>
      <c r="M2115" s="59"/>
    </row>
    <row r="2116" spans="2:13">
      <c r="B2116" s="40" t="s">
        <v>2322</v>
      </c>
      <c r="C2116" s="41">
        <v>6</v>
      </c>
      <c r="D2116" s="42">
        <v>11</v>
      </c>
      <c r="E2116" s="43">
        <v>38399</v>
      </c>
      <c r="F2116" s="44">
        <v>3689975</v>
      </c>
      <c r="G2116" s="1" t="str">
        <f>IFERROR(IF(ventas_b_mes684[[#This Row],[CUIT]]="","-",VLOOKUP(ventas_b_mes684[[#This Row],[CUIT]],Lista_CUIT[#All],2,0)),"CUIT NO CARGADO")</f>
        <v>CUIT NO CARGADO</v>
      </c>
      <c r="H2116" s="64">
        <v>20661.16</v>
      </c>
      <c r="I2116" s="64">
        <f>ventas_b_mes684[[#This Row],[IMPORTE NETO]]*0.21</f>
        <v>4338.8436000000002</v>
      </c>
      <c r="J2116" s="64"/>
      <c r="K2116" s="64"/>
      <c r="L2116" s="64">
        <f>SUM(ventas_b_mes684[[#This Row],[IMPORTE NETO]:[EXENTO]])</f>
        <v>25000.0036</v>
      </c>
      <c r="M2116" s="59"/>
    </row>
    <row r="2117" spans="2:13">
      <c r="B2117" s="40" t="s">
        <v>2322</v>
      </c>
      <c r="C2117" s="41">
        <v>6</v>
      </c>
      <c r="D2117" s="42">
        <v>13</v>
      </c>
      <c r="E2117" s="43">
        <v>32623</v>
      </c>
      <c r="F2117" s="44">
        <v>1111</v>
      </c>
      <c r="G2117" s="1" t="str">
        <f>IFERROR(IF(ventas_b_mes684[[#This Row],[CUIT]]="","-",VLOOKUP(ventas_b_mes684[[#This Row],[CUIT]],Lista_CUIT[#All],2,0)),"CUIT NO CARGADO")</f>
        <v>CUIT NO CARGADO</v>
      </c>
      <c r="H2117" s="64">
        <v>26710.74</v>
      </c>
      <c r="I2117" s="64">
        <f>ventas_b_mes684[[#This Row],[IMPORTE NETO]]*0.21</f>
        <v>5609.2554</v>
      </c>
      <c r="J2117" s="64"/>
      <c r="K2117" s="64"/>
      <c r="L2117" s="64">
        <f>SUM(ventas_b_mes684[[#This Row],[IMPORTE NETO]:[EXENTO]])</f>
        <v>32319.9954</v>
      </c>
      <c r="M2117" s="59"/>
    </row>
    <row r="2118" spans="2:13">
      <c r="B2118" s="40" t="s">
        <v>2322</v>
      </c>
      <c r="C2118" s="41">
        <v>6</v>
      </c>
      <c r="D2118" s="42">
        <v>10</v>
      </c>
      <c r="E2118" s="43">
        <v>54713</v>
      </c>
      <c r="F2118" s="44">
        <v>30734156</v>
      </c>
      <c r="G2118" s="1" t="str">
        <f>IFERROR(IF(ventas_b_mes684[[#This Row],[CUIT]]="","-",VLOOKUP(ventas_b_mes684[[#This Row],[CUIT]],Lista_CUIT[#All],2,0)),"CUIT NO CARGADO")</f>
        <v>CUIT NO CARGADO</v>
      </c>
      <c r="H2118" s="64">
        <v>20661.16</v>
      </c>
      <c r="I2118" s="64">
        <f>ventas_b_mes684[[#This Row],[IMPORTE NETO]]*0.21</f>
        <v>4338.8436000000002</v>
      </c>
      <c r="J2118" s="64"/>
      <c r="K2118" s="64"/>
      <c r="L2118" s="64">
        <f>SUM(ventas_b_mes684[[#This Row],[IMPORTE NETO]:[EXENTO]])</f>
        <v>25000.0036</v>
      </c>
      <c r="M2118" s="59"/>
    </row>
    <row r="2119" spans="2:13">
      <c r="B2119" s="40" t="s">
        <v>2322</v>
      </c>
      <c r="C2119" s="41">
        <v>6</v>
      </c>
      <c r="D2119" s="42">
        <v>11</v>
      </c>
      <c r="E2119" s="43">
        <v>38396</v>
      </c>
      <c r="F2119" s="44">
        <v>34490563</v>
      </c>
      <c r="G2119" s="1" t="str">
        <f>IFERROR(IF(ventas_b_mes684[[#This Row],[CUIT]]="","-",VLOOKUP(ventas_b_mes684[[#This Row],[CUIT]],Lista_CUIT[#All],2,0)),"CUIT NO CARGADO")</f>
        <v>CUIT NO CARGADO</v>
      </c>
      <c r="H2119" s="64">
        <v>36694.22</v>
      </c>
      <c r="I2119" s="64">
        <f>ventas_b_mes684[[#This Row],[IMPORTE NETO]]*0.21</f>
        <v>7705.7861999999996</v>
      </c>
      <c r="J2119" s="64"/>
      <c r="K2119" s="64"/>
      <c r="L2119" s="64">
        <f>SUM(ventas_b_mes684[[#This Row],[IMPORTE NETO]:[EXENTO]])</f>
        <v>44400.006200000003</v>
      </c>
      <c r="M2119" s="59"/>
    </row>
    <row r="2120" spans="2:13">
      <c r="B2120" s="40" t="s">
        <v>2322</v>
      </c>
      <c r="C2120" s="41">
        <v>6</v>
      </c>
      <c r="D2120" s="42">
        <v>11</v>
      </c>
      <c r="E2120" s="43">
        <v>38398</v>
      </c>
      <c r="F2120" s="44">
        <v>23469203</v>
      </c>
      <c r="G2120" s="1" t="str">
        <f>IFERROR(IF(ventas_b_mes684[[#This Row],[CUIT]]="","-",VLOOKUP(ventas_b_mes684[[#This Row],[CUIT]],Lista_CUIT[#All],2,0)),"CUIT NO CARGADO")</f>
        <v>CUIT NO CARGADO</v>
      </c>
      <c r="H2120" s="64">
        <v>26347.11</v>
      </c>
      <c r="I2120" s="64">
        <f>ventas_b_mes684[[#This Row],[IMPORTE NETO]]*0.21</f>
        <v>5532.8931000000002</v>
      </c>
      <c r="J2120" s="64"/>
      <c r="K2120" s="64"/>
      <c r="L2120" s="64">
        <f>SUM(ventas_b_mes684[[#This Row],[IMPORTE NETO]:[EXENTO]])</f>
        <v>31880.003100000002</v>
      </c>
      <c r="M2120" s="59"/>
    </row>
    <row r="2121" spans="2:13">
      <c r="B2121" s="40" t="s">
        <v>2322</v>
      </c>
      <c r="C2121" s="41">
        <v>6</v>
      </c>
      <c r="D2121" s="42">
        <v>13</v>
      </c>
      <c r="E2121" s="43">
        <v>32609</v>
      </c>
      <c r="F2121" s="44">
        <v>33951861</v>
      </c>
      <c r="G2121" s="1" t="str">
        <f>IFERROR(IF(ventas_b_mes684[[#This Row],[CUIT]]="","-",VLOOKUP(ventas_b_mes684[[#This Row],[CUIT]],Lista_CUIT[#All],2,0)),"CUIT NO CARGADO")</f>
        <v>CUIT NO CARGADO</v>
      </c>
      <c r="H2121" s="64">
        <v>46854.55</v>
      </c>
      <c r="I2121" s="64">
        <f>ventas_b_mes684[[#This Row],[IMPORTE NETO]]*0.21</f>
        <v>9839.4555</v>
      </c>
      <c r="J2121" s="64"/>
      <c r="K2121" s="64"/>
      <c r="L2121" s="64">
        <f>SUM(ventas_b_mes684[[#This Row],[IMPORTE NETO]:[EXENTO]])</f>
        <v>56694.005499999999</v>
      </c>
      <c r="M2121" s="59"/>
    </row>
    <row r="2122" spans="2:13">
      <c r="B2122" s="40" t="s">
        <v>2322</v>
      </c>
      <c r="C2122" s="41">
        <v>6</v>
      </c>
      <c r="D2122" s="42">
        <v>10</v>
      </c>
      <c r="E2122" s="43">
        <v>54703</v>
      </c>
      <c r="F2122" s="44">
        <v>32736876</v>
      </c>
      <c r="G2122" s="1" t="str">
        <f>IFERROR(IF(ventas_b_mes684[[#This Row],[CUIT]]="","-",VLOOKUP(ventas_b_mes684[[#This Row],[CUIT]],Lista_CUIT[#All],2,0)),"CUIT NO CARGADO")</f>
        <v>CUIT NO CARGADO</v>
      </c>
      <c r="H2122" s="64">
        <v>35900.86</v>
      </c>
      <c r="I2122" s="64">
        <f>ventas_b_mes684[[#This Row],[IMPORTE NETO]]*0.21</f>
        <v>7539.1805999999997</v>
      </c>
      <c r="J2122" s="64"/>
      <c r="K2122" s="64"/>
      <c r="L2122" s="64">
        <f>SUM(ventas_b_mes684[[#This Row],[IMPORTE NETO]:[EXENTO]])</f>
        <v>43440.0406</v>
      </c>
      <c r="M2122" s="59"/>
    </row>
    <row r="2123" spans="2:13">
      <c r="B2123" s="40" t="s">
        <v>2322</v>
      </c>
      <c r="C2123" s="41">
        <v>6</v>
      </c>
      <c r="D2123" s="42">
        <v>12</v>
      </c>
      <c r="E2123" s="43">
        <v>29877</v>
      </c>
      <c r="F2123" s="44">
        <v>44194181</v>
      </c>
      <c r="G2123" s="1" t="str">
        <f>IFERROR(IF(ventas_b_mes684[[#This Row],[CUIT]]="","-",VLOOKUP(ventas_b_mes684[[#This Row],[CUIT]],Lista_CUIT[#All],2,0)),"CUIT NO CARGADO")</f>
        <v>CUIT NO CARGADO</v>
      </c>
      <c r="H2123" s="64">
        <v>214347.11</v>
      </c>
      <c r="I2123" s="64">
        <f>ventas_b_mes684[[#This Row],[IMPORTE NETO]]*0.21</f>
        <v>45012.893099999994</v>
      </c>
      <c r="J2123" s="64"/>
      <c r="K2123" s="64"/>
      <c r="L2123" s="64">
        <f>SUM(ventas_b_mes684[[#This Row],[IMPORTE NETO]:[EXENTO]])</f>
        <v>259360.00309999997</v>
      </c>
      <c r="M2123" s="59"/>
    </row>
    <row r="2124" spans="2:13">
      <c r="B2124" s="40" t="s">
        <v>2322</v>
      </c>
      <c r="C2124" s="41">
        <v>6</v>
      </c>
      <c r="D2124" s="42">
        <v>15</v>
      </c>
      <c r="E2124" s="43">
        <v>13455</v>
      </c>
      <c r="F2124" s="44">
        <v>23856987</v>
      </c>
      <c r="G2124" s="1" t="str">
        <f>IFERROR(IF(ventas_b_mes684[[#This Row],[CUIT]]="","-",VLOOKUP(ventas_b_mes684[[#This Row],[CUIT]],Lista_CUIT[#All],2,0)),"CUIT NO CARGADO")</f>
        <v>CUIT NO CARGADO</v>
      </c>
      <c r="H2124" s="64">
        <v>1760.33</v>
      </c>
      <c r="I2124" s="64">
        <f>ventas_b_mes684[[#This Row],[IMPORTE NETO]]*0.21</f>
        <v>369.66929999999996</v>
      </c>
      <c r="J2124" s="64"/>
      <c r="K2124" s="64"/>
      <c r="L2124" s="64">
        <f>SUM(ventas_b_mes684[[#This Row],[IMPORTE NETO]:[EXENTO]])</f>
        <v>2129.9992999999999</v>
      </c>
      <c r="M2124" s="59"/>
    </row>
    <row r="2125" spans="2:13">
      <c r="B2125" s="40" t="s">
        <v>2322</v>
      </c>
      <c r="C2125" s="41">
        <v>6</v>
      </c>
      <c r="D2125" s="42">
        <v>12</v>
      </c>
      <c r="E2125" s="43">
        <v>29880</v>
      </c>
      <c r="F2125" s="44">
        <v>44668755</v>
      </c>
      <c r="G2125" s="1" t="str">
        <f>IFERROR(IF(ventas_b_mes684[[#This Row],[CUIT]]="","-",VLOOKUP(ventas_b_mes684[[#This Row],[CUIT]],Lista_CUIT[#All],2,0)),"CUIT NO CARGADO")</f>
        <v>CUIT NO CARGADO</v>
      </c>
      <c r="H2125" s="64">
        <v>5553.73</v>
      </c>
      <c r="I2125" s="64">
        <f>ventas_b_mes684[[#This Row],[IMPORTE NETO]]*0.21</f>
        <v>1166.2832999999998</v>
      </c>
      <c r="J2125" s="64"/>
      <c r="K2125" s="64"/>
      <c r="L2125" s="64">
        <f>SUM(ventas_b_mes684[[#This Row],[IMPORTE NETO]:[EXENTO]])</f>
        <v>6720.0132999999996</v>
      </c>
      <c r="M2125" s="59"/>
    </row>
    <row r="2126" spans="2:13">
      <c r="B2126" s="40" t="s">
        <v>2322</v>
      </c>
      <c r="C2126" s="41">
        <v>6</v>
      </c>
      <c r="D2126" s="42">
        <v>15</v>
      </c>
      <c r="E2126" s="43">
        <v>13454</v>
      </c>
      <c r="F2126" s="44">
        <v>5965253</v>
      </c>
      <c r="G2126" s="1" t="str">
        <f>IFERROR(IF(ventas_b_mes684[[#This Row],[CUIT]]="","-",VLOOKUP(ventas_b_mes684[[#This Row],[CUIT]],Lista_CUIT[#All],2,0)),"CUIT NO CARGADO")</f>
        <v>PONTE, IRMA</v>
      </c>
      <c r="H2126" s="64">
        <v>55867.839999999997</v>
      </c>
      <c r="I2126" s="64">
        <f>ventas_b_mes684[[#This Row],[IMPORTE NETO]]*0.21</f>
        <v>11732.246399999998</v>
      </c>
      <c r="J2126" s="64"/>
      <c r="K2126" s="64"/>
      <c r="L2126" s="64">
        <f>SUM(ventas_b_mes684[[#This Row],[IMPORTE NETO]:[EXENTO]])</f>
        <v>67600.0864</v>
      </c>
      <c r="M2126" s="59"/>
    </row>
    <row r="2127" spans="2:13">
      <c r="B2127" s="40" t="s">
        <v>2322</v>
      </c>
      <c r="C2127" s="41">
        <v>6</v>
      </c>
      <c r="D2127" s="42">
        <v>13</v>
      </c>
      <c r="E2127" s="43">
        <v>32618</v>
      </c>
      <c r="F2127" s="44">
        <v>31270108</v>
      </c>
      <c r="G2127" s="1" t="str">
        <f>IFERROR(IF(ventas_b_mes684[[#This Row],[CUIT]]="","-",VLOOKUP(ventas_b_mes684[[#This Row],[CUIT]],Lista_CUIT[#All],2,0)),"CUIT NO CARGADO")</f>
        <v>CUIT NO CARGADO</v>
      </c>
      <c r="H2127" s="64">
        <v>27900.85</v>
      </c>
      <c r="I2127" s="64">
        <f>ventas_b_mes684[[#This Row],[IMPORTE NETO]]*0.21</f>
        <v>5859.1784999999991</v>
      </c>
      <c r="J2127" s="64"/>
      <c r="K2127" s="64"/>
      <c r="L2127" s="64">
        <f>SUM(ventas_b_mes684[[#This Row],[IMPORTE NETO]:[EXENTO]])</f>
        <v>33760.0285</v>
      </c>
      <c r="M2127" s="59"/>
    </row>
    <row r="2128" spans="2:13">
      <c r="B2128" s="40" t="s">
        <v>2322</v>
      </c>
      <c r="C2128" s="41">
        <v>6</v>
      </c>
      <c r="D2128" s="42">
        <v>15</v>
      </c>
      <c r="E2128" s="43">
        <v>13458</v>
      </c>
      <c r="F2128" s="44">
        <v>34240156</v>
      </c>
      <c r="G2128" s="1" t="str">
        <f>IFERROR(IF(ventas_b_mes684[[#This Row],[CUIT]]="","-",VLOOKUP(ventas_b_mes684[[#This Row],[CUIT]],Lista_CUIT[#All],2,0)),"CUIT NO CARGADO")</f>
        <v>CUIT NO CARGADO</v>
      </c>
      <c r="H2128" s="64">
        <v>16925.62</v>
      </c>
      <c r="I2128" s="64">
        <f>ventas_b_mes684[[#This Row],[IMPORTE NETO]]*0.21</f>
        <v>3554.3801999999996</v>
      </c>
      <c r="J2128" s="64"/>
      <c r="K2128" s="64"/>
      <c r="L2128" s="64">
        <f>SUM(ventas_b_mes684[[#This Row],[IMPORTE NETO]:[EXENTO]])</f>
        <v>20480.000199999999</v>
      </c>
      <c r="M2128" s="59"/>
    </row>
    <row r="2129" spans="2:13">
      <c r="B2129" s="40" t="s">
        <v>2322</v>
      </c>
      <c r="C2129" s="41">
        <v>6</v>
      </c>
      <c r="D2129" s="42">
        <v>11</v>
      </c>
      <c r="E2129" s="43">
        <v>38410</v>
      </c>
      <c r="F2129" s="44">
        <v>18641131</v>
      </c>
      <c r="G2129" s="1" t="str">
        <f>IFERROR(IF(ventas_b_mes684[[#This Row],[CUIT]]="","-",VLOOKUP(ventas_b_mes684[[#This Row],[CUIT]],Lista_CUIT[#All],2,0)),"CUIT NO CARGADO")</f>
        <v>CUIT NO CARGADO</v>
      </c>
      <c r="H2129" s="64">
        <v>9917.36</v>
      </c>
      <c r="I2129" s="64">
        <f>ventas_b_mes684[[#This Row],[IMPORTE NETO]]*0.21</f>
        <v>2082.6455999999998</v>
      </c>
      <c r="J2129" s="64"/>
      <c r="K2129" s="64"/>
      <c r="L2129" s="64">
        <f>SUM(ventas_b_mes684[[#This Row],[IMPORTE NETO]:[EXENTO]])</f>
        <v>12000.0056</v>
      </c>
      <c r="M2129" s="59"/>
    </row>
    <row r="2130" spans="2:13">
      <c r="B2130" s="40" t="s">
        <v>2322</v>
      </c>
      <c r="C2130" s="41">
        <v>6</v>
      </c>
      <c r="D2130" s="42">
        <v>10</v>
      </c>
      <c r="E2130" s="43">
        <v>54707</v>
      </c>
      <c r="F2130" s="44">
        <v>40639048</v>
      </c>
      <c r="G2130" s="1" t="str">
        <f>IFERROR(IF(ventas_b_mes684[[#This Row],[CUIT]]="","-",VLOOKUP(ventas_b_mes684[[#This Row],[CUIT]],Lista_CUIT[#All],2,0)),"CUIT NO CARGADO")</f>
        <v>CUIT NO CARGADO</v>
      </c>
      <c r="H2130" s="64">
        <v>26842.97</v>
      </c>
      <c r="I2130" s="64">
        <f>ventas_b_mes684[[#This Row],[IMPORTE NETO]]*0.21</f>
        <v>5637.0236999999997</v>
      </c>
      <c r="J2130" s="64"/>
      <c r="K2130" s="64"/>
      <c r="L2130" s="64">
        <f>SUM(ventas_b_mes684[[#This Row],[IMPORTE NETO]:[EXENTO]])</f>
        <v>32479.993699999999</v>
      </c>
      <c r="M2130" s="59"/>
    </row>
    <row r="2131" spans="2:13">
      <c r="B2131" s="40" t="s">
        <v>2322</v>
      </c>
      <c r="C2131" s="41">
        <v>6</v>
      </c>
      <c r="D2131" s="42">
        <v>11</v>
      </c>
      <c r="E2131" s="43">
        <v>38409</v>
      </c>
      <c r="F2131" s="44">
        <v>94306033</v>
      </c>
      <c r="G2131" s="1" t="str">
        <f>IFERROR(IF(ventas_b_mes684[[#This Row],[CUIT]]="","-",VLOOKUP(ventas_b_mes684[[#This Row],[CUIT]],Lista_CUIT[#All],2,0)),"CUIT NO CARGADO")</f>
        <v>CUIT NO CARGADO</v>
      </c>
      <c r="H2131" s="64">
        <v>4760.33</v>
      </c>
      <c r="I2131" s="64">
        <f>ventas_b_mes684[[#This Row],[IMPORTE NETO]]*0.21</f>
        <v>999.66929999999991</v>
      </c>
      <c r="J2131" s="64"/>
      <c r="K2131" s="64"/>
      <c r="L2131" s="64">
        <f>SUM(ventas_b_mes684[[#This Row],[IMPORTE NETO]:[EXENTO]])</f>
        <v>5759.9992999999995</v>
      </c>
      <c r="M2131" s="59"/>
    </row>
    <row r="2132" spans="2:13">
      <c r="B2132" s="40" t="s">
        <v>2322</v>
      </c>
      <c r="C2132" s="41">
        <v>6</v>
      </c>
      <c r="D2132" s="42">
        <v>12</v>
      </c>
      <c r="E2132" s="43">
        <v>29893</v>
      </c>
      <c r="F2132" s="44">
        <v>26216526</v>
      </c>
      <c r="G2132" s="1" t="str">
        <f>IFERROR(IF(ventas_b_mes684[[#This Row],[CUIT]]="","-",VLOOKUP(ventas_b_mes684[[#This Row],[CUIT]],Lista_CUIT[#All],2,0)),"CUIT NO CARGADO")</f>
        <v>CUIT NO CARGADO</v>
      </c>
      <c r="H2132" s="64">
        <v>32132.23</v>
      </c>
      <c r="I2132" s="64">
        <f>ventas_b_mes684[[#This Row],[IMPORTE NETO]]*0.21</f>
        <v>6747.7682999999997</v>
      </c>
      <c r="J2132" s="64"/>
      <c r="K2132" s="64"/>
      <c r="L2132" s="64">
        <f>SUM(ventas_b_mes684[[#This Row],[IMPORTE NETO]:[EXENTO]])</f>
        <v>38879.998299999999</v>
      </c>
      <c r="M2132" s="59"/>
    </row>
    <row r="2133" spans="2:13">
      <c r="B2133" s="40" t="s">
        <v>2322</v>
      </c>
      <c r="C2133" s="41">
        <v>6</v>
      </c>
      <c r="D2133" s="42">
        <v>15</v>
      </c>
      <c r="E2133" s="43">
        <v>13470</v>
      </c>
      <c r="F2133" s="44">
        <v>14837628</v>
      </c>
      <c r="G2133" s="1" t="str">
        <f>IFERROR(IF(ventas_b_mes684[[#This Row],[CUIT]]="","-",VLOOKUP(ventas_b_mes684[[#This Row],[CUIT]],Lista_CUIT[#All],2,0)),"CUIT NO CARGADO")</f>
        <v>CUIT NO CARGADO</v>
      </c>
      <c r="H2133" s="64">
        <v>56595.040000000001</v>
      </c>
      <c r="I2133" s="64">
        <f>ventas_b_mes684[[#This Row],[IMPORTE NETO]]*0.21</f>
        <v>11884.9584</v>
      </c>
      <c r="J2133" s="64"/>
      <c r="K2133" s="64"/>
      <c r="L2133" s="64">
        <f>SUM(ventas_b_mes684[[#This Row],[IMPORTE NETO]:[EXENTO]])</f>
        <v>68479.998399999997</v>
      </c>
      <c r="M2133" s="59"/>
    </row>
    <row r="2134" spans="2:13">
      <c r="B2134" s="40" t="s">
        <v>2322</v>
      </c>
      <c r="C2134" s="41">
        <v>6</v>
      </c>
      <c r="D2134" s="42">
        <v>12</v>
      </c>
      <c r="E2134" s="43">
        <v>29890</v>
      </c>
      <c r="F2134" s="44">
        <v>34150034</v>
      </c>
      <c r="G2134" s="1" t="str">
        <f>IFERROR(IF(ventas_b_mes684[[#This Row],[CUIT]]="","-",VLOOKUP(ventas_b_mes684[[#This Row],[CUIT]],Lista_CUIT[#All],2,0)),"CUIT NO CARGADO")</f>
        <v>CUIT NO CARGADO</v>
      </c>
      <c r="H2134" s="64">
        <v>9330.58</v>
      </c>
      <c r="I2134" s="64">
        <f>ventas_b_mes684[[#This Row],[IMPORTE NETO]]*0.21</f>
        <v>1959.4217999999998</v>
      </c>
      <c r="J2134" s="64"/>
      <c r="K2134" s="64"/>
      <c r="L2134" s="64">
        <f>SUM(ventas_b_mes684[[#This Row],[IMPORTE NETO]:[EXENTO]])</f>
        <v>11290.0018</v>
      </c>
      <c r="M2134" s="59"/>
    </row>
    <row r="2135" spans="2:13">
      <c r="B2135" s="40" t="s">
        <v>2322</v>
      </c>
      <c r="C2135" s="41">
        <v>6</v>
      </c>
      <c r="D2135" s="42">
        <v>11</v>
      </c>
      <c r="E2135" s="43">
        <v>38422</v>
      </c>
      <c r="F2135" s="44">
        <v>20249213</v>
      </c>
      <c r="G2135" s="1" t="str">
        <f>IFERROR(IF(ventas_b_mes684[[#This Row],[CUIT]]="","-",VLOOKUP(ventas_b_mes684[[#This Row],[CUIT]],Lista_CUIT[#All],2,0)),"CUIT NO CARGADO")</f>
        <v>CUIT NO CARGADO</v>
      </c>
      <c r="H2135" s="64">
        <v>26942.15</v>
      </c>
      <c r="I2135" s="64">
        <f>ventas_b_mes684[[#This Row],[IMPORTE NETO]]*0.21</f>
        <v>5657.8514999999998</v>
      </c>
      <c r="J2135" s="64"/>
      <c r="K2135" s="64"/>
      <c r="L2135" s="64">
        <f>SUM(ventas_b_mes684[[#This Row],[IMPORTE NETO]:[EXENTO]])</f>
        <v>32600.001500000002</v>
      </c>
      <c r="M2135" s="59"/>
    </row>
    <row r="2136" spans="2:13">
      <c r="B2136" s="40" t="s">
        <v>2322</v>
      </c>
      <c r="C2136" s="41">
        <v>6</v>
      </c>
      <c r="D2136" s="42">
        <v>15</v>
      </c>
      <c r="E2136" s="43">
        <v>13449</v>
      </c>
      <c r="F2136" s="44">
        <v>25671318</v>
      </c>
      <c r="G2136" s="1" t="str">
        <f>IFERROR(IF(ventas_b_mes684[[#This Row],[CUIT]]="","-",VLOOKUP(ventas_b_mes684[[#This Row],[CUIT]],Lista_CUIT[#All],2,0)),"CUIT NO CARGADO")</f>
        <v>GOMEZ,Griselda graciela</v>
      </c>
      <c r="H2136" s="64">
        <v>42710.74</v>
      </c>
      <c r="I2136" s="64">
        <f>ventas_b_mes684[[#This Row],[IMPORTE NETO]]*0.21</f>
        <v>8969.2554</v>
      </c>
      <c r="J2136" s="64"/>
      <c r="K2136" s="64"/>
      <c r="L2136" s="64">
        <f>SUM(ventas_b_mes684[[#This Row],[IMPORTE NETO]:[EXENTO]])</f>
        <v>51679.9954</v>
      </c>
      <c r="M2136" s="59"/>
    </row>
    <row r="2137" spans="2:13">
      <c r="B2137" s="40" t="s">
        <v>2322</v>
      </c>
      <c r="C2137" s="41">
        <v>6</v>
      </c>
      <c r="D2137" s="42">
        <v>13</v>
      </c>
      <c r="E2137" s="43">
        <v>32610</v>
      </c>
      <c r="F2137" s="44">
        <v>95881710</v>
      </c>
      <c r="G2137" s="1" t="str">
        <f>IFERROR(IF(ventas_b_mes684[[#This Row],[CUIT]]="","-",VLOOKUP(ventas_b_mes684[[#This Row],[CUIT]],Lista_CUIT[#All],2,0)),"CUIT NO CARGADO")</f>
        <v>CUIT NO CARGADO</v>
      </c>
      <c r="H2137" s="64">
        <v>5619.83</v>
      </c>
      <c r="I2137" s="64">
        <f>ventas_b_mes684[[#This Row],[IMPORTE NETO]]*0.21</f>
        <v>1180.1642999999999</v>
      </c>
      <c r="J2137" s="64"/>
      <c r="K2137" s="64"/>
      <c r="L2137" s="64">
        <f>SUM(ventas_b_mes684[[#This Row],[IMPORTE NETO]:[EXENTO]])</f>
        <v>6799.9943000000003</v>
      </c>
      <c r="M2137" s="59"/>
    </row>
    <row r="2138" spans="2:13">
      <c r="B2138" s="40" t="s">
        <v>2322</v>
      </c>
      <c r="C2138" s="41">
        <v>6</v>
      </c>
      <c r="D2138" s="42">
        <v>11</v>
      </c>
      <c r="E2138" s="43">
        <v>38407</v>
      </c>
      <c r="F2138" s="44">
        <v>95894806</v>
      </c>
      <c r="G2138" s="1" t="str">
        <f>IFERROR(IF(ventas_b_mes684[[#This Row],[CUIT]]="","-",VLOOKUP(ventas_b_mes684[[#This Row],[CUIT]],Lista_CUIT[#All],2,0)),"CUIT NO CARGADO")</f>
        <v>CUIT NO CARGADO</v>
      </c>
      <c r="H2138" s="64">
        <v>20661.16</v>
      </c>
      <c r="I2138" s="64">
        <f>ventas_b_mes684[[#This Row],[IMPORTE NETO]]*0.21</f>
        <v>4338.8436000000002</v>
      </c>
      <c r="J2138" s="64"/>
      <c r="K2138" s="64"/>
      <c r="L2138" s="64">
        <f>SUM(ventas_b_mes684[[#This Row],[IMPORTE NETO]:[EXENTO]])</f>
        <v>25000.0036</v>
      </c>
      <c r="M2138" s="59"/>
    </row>
    <row r="2139" spans="2:13">
      <c r="B2139" s="40" t="s">
        <v>2322</v>
      </c>
      <c r="C2139" s="41">
        <v>6</v>
      </c>
      <c r="D2139" s="42">
        <v>11</v>
      </c>
      <c r="E2139" s="43">
        <v>38406</v>
      </c>
      <c r="F2139" s="44">
        <v>43100109</v>
      </c>
      <c r="G2139" s="1" t="str">
        <f>IFERROR(IF(ventas_b_mes684[[#This Row],[CUIT]]="","-",VLOOKUP(ventas_b_mes684[[#This Row],[CUIT]],Lista_CUIT[#All],2,0)),"CUIT NO CARGADO")</f>
        <v>CUIT NO CARGADO</v>
      </c>
      <c r="H2139" s="64">
        <v>59173.55</v>
      </c>
      <c r="I2139" s="64">
        <f>ventas_b_mes684[[#This Row],[IMPORTE NETO]]*0.21</f>
        <v>12426.4455</v>
      </c>
      <c r="J2139" s="64"/>
      <c r="K2139" s="64"/>
      <c r="L2139" s="64">
        <f>SUM(ventas_b_mes684[[#This Row],[IMPORTE NETO]:[EXENTO]])</f>
        <v>71599.995500000005</v>
      </c>
      <c r="M2139" s="59"/>
    </row>
    <row r="2140" spans="2:13">
      <c r="B2140" s="40" t="s">
        <v>2322</v>
      </c>
      <c r="C2140" s="41">
        <v>6</v>
      </c>
      <c r="D2140" s="42">
        <v>11</v>
      </c>
      <c r="E2140" s="43">
        <v>38416</v>
      </c>
      <c r="F2140" s="44">
        <v>28664336</v>
      </c>
      <c r="G2140" s="1" t="str">
        <f>IFERROR(IF(ventas_b_mes684[[#This Row],[CUIT]]="","-",VLOOKUP(ventas_b_mes684[[#This Row],[CUIT]],Lista_CUIT[#All],2,0)),"CUIT NO CARGADO")</f>
        <v>CUIT NO CARGADO</v>
      </c>
      <c r="H2140" s="64">
        <v>51570.25</v>
      </c>
      <c r="I2140" s="64">
        <f>ventas_b_mes684[[#This Row],[IMPORTE NETO]]*0.21</f>
        <v>10829.752499999999</v>
      </c>
      <c r="J2140" s="64"/>
      <c r="K2140" s="64"/>
      <c r="L2140" s="64">
        <f>SUM(ventas_b_mes684[[#This Row],[IMPORTE NETO]:[EXENTO]])</f>
        <v>62400.002500000002</v>
      </c>
      <c r="M2140" s="59"/>
    </row>
    <row r="2141" spans="2:13">
      <c r="B2141" s="40" t="s">
        <v>2322</v>
      </c>
      <c r="C2141" s="41">
        <v>6</v>
      </c>
      <c r="D2141" s="42">
        <v>10</v>
      </c>
      <c r="E2141" s="43">
        <v>54711</v>
      </c>
      <c r="F2141" s="44">
        <v>14824069</v>
      </c>
      <c r="G2141" s="1" t="str">
        <f>IFERROR(IF(ventas_b_mes684[[#This Row],[CUIT]]="","-",VLOOKUP(ventas_b_mes684[[#This Row],[CUIT]],Lista_CUIT[#All],2,0)),"CUIT NO CARGADO")</f>
        <v>CUIT NO CARGADO</v>
      </c>
      <c r="H2141" s="64">
        <v>20661.16</v>
      </c>
      <c r="I2141" s="64">
        <f>ventas_b_mes684[[#This Row],[IMPORTE NETO]]*0.21</f>
        <v>4338.8436000000002</v>
      </c>
      <c r="J2141" s="64"/>
      <c r="K2141" s="64"/>
      <c r="L2141" s="64">
        <f>SUM(ventas_b_mes684[[#This Row],[IMPORTE NETO]:[EXENTO]])</f>
        <v>25000.0036</v>
      </c>
      <c r="M2141" s="59"/>
    </row>
    <row r="2142" spans="2:13">
      <c r="B2142" s="40" t="s">
        <v>2322</v>
      </c>
      <c r="C2142" s="41">
        <v>6</v>
      </c>
      <c r="D2142" s="42">
        <v>13</v>
      </c>
      <c r="E2142" s="43">
        <v>32624</v>
      </c>
      <c r="F2142" s="44">
        <v>94527582</v>
      </c>
      <c r="G2142" s="1" t="str">
        <f>IFERROR(IF(ventas_b_mes684[[#This Row],[CUIT]]="","-",VLOOKUP(ventas_b_mes684[[#This Row],[CUIT]],Lista_CUIT[#All],2,0)),"CUIT NO CARGADO")</f>
        <v>CUIT NO CARGADO</v>
      </c>
      <c r="H2142" s="64">
        <v>18644.63</v>
      </c>
      <c r="I2142" s="64">
        <f>ventas_b_mes684[[#This Row],[IMPORTE NETO]]*0.21</f>
        <v>3915.3723</v>
      </c>
      <c r="J2142" s="64"/>
      <c r="K2142" s="64"/>
      <c r="L2142" s="64">
        <f>SUM(ventas_b_mes684[[#This Row],[IMPORTE NETO]:[EXENTO]])</f>
        <v>22560.0023</v>
      </c>
      <c r="M2142" s="59"/>
    </row>
    <row r="2143" spans="2:13">
      <c r="B2143" s="40" t="s">
        <v>2322</v>
      </c>
      <c r="C2143" s="41">
        <v>6</v>
      </c>
      <c r="D2143" s="42">
        <v>15</v>
      </c>
      <c r="E2143" s="43">
        <v>13447</v>
      </c>
      <c r="F2143" s="44">
        <v>35183523</v>
      </c>
      <c r="G2143" s="1" t="str">
        <f>IFERROR(IF(ventas_b_mes684[[#This Row],[CUIT]]="","-",VLOOKUP(ventas_b_mes684[[#This Row],[CUIT]],Lista_CUIT[#All],2,0)),"CUIT NO CARGADO")</f>
        <v>CUIT NO CARGADO</v>
      </c>
      <c r="H2143" s="64">
        <v>34644.629999999997</v>
      </c>
      <c r="I2143" s="64">
        <f>ventas_b_mes684[[#This Row],[IMPORTE NETO]]*0.21</f>
        <v>7275.3722999999991</v>
      </c>
      <c r="J2143" s="64"/>
      <c r="K2143" s="64"/>
      <c r="L2143" s="64">
        <f>SUM(ventas_b_mes684[[#This Row],[IMPORTE NETO]:[EXENTO]])</f>
        <v>41920.002299999993</v>
      </c>
      <c r="M2143" s="59"/>
    </row>
    <row r="2144" spans="2:13">
      <c r="B2144" s="40" t="s">
        <v>2322</v>
      </c>
      <c r="C2144" s="41">
        <v>6</v>
      </c>
      <c r="D2144" s="42">
        <v>10</v>
      </c>
      <c r="E2144" s="43">
        <v>54699</v>
      </c>
      <c r="F2144" s="44">
        <v>30128683</v>
      </c>
      <c r="G2144" s="1" t="str">
        <f>IFERROR(IF(ventas_b_mes684[[#This Row],[CUIT]]="","-",VLOOKUP(ventas_b_mes684[[#This Row],[CUIT]],Lista_CUIT[#All],2,0)),"CUIT NO CARGADO")</f>
        <v>CUIT NO CARGADO</v>
      </c>
      <c r="H2144" s="64">
        <v>20661.16</v>
      </c>
      <c r="I2144" s="64">
        <f>ventas_b_mes684[[#This Row],[IMPORTE NETO]]*0.21</f>
        <v>4338.8436000000002</v>
      </c>
      <c r="J2144" s="64"/>
      <c r="K2144" s="64"/>
      <c r="L2144" s="64">
        <f>SUM(ventas_b_mes684[[#This Row],[IMPORTE NETO]:[EXENTO]])</f>
        <v>25000.0036</v>
      </c>
      <c r="M2144" s="59"/>
    </row>
    <row r="2145" spans="2:13">
      <c r="B2145" s="40" t="s">
        <v>2322</v>
      </c>
      <c r="C2145" s="41">
        <v>6</v>
      </c>
      <c r="D2145" s="42">
        <v>15</v>
      </c>
      <c r="E2145" s="43">
        <v>13448</v>
      </c>
      <c r="F2145" s="44">
        <v>18800818</v>
      </c>
      <c r="G2145" s="1" t="str">
        <f>IFERROR(IF(ventas_b_mes684[[#This Row],[CUIT]]="","-",VLOOKUP(ventas_b_mes684[[#This Row],[CUIT]],Lista_CUIT[#All],2,0)),"CUIT NO CARGADO")</f>
        <v>CUIT NO CARGADO</v>
      </c>
      <c r="H2145" s="64">
        <v>3471.07</v>
      </c>
      <c r="I2145" s="64">
        <f>ventas_b_mes684[[#This Row],[IMPORTE NETO]]*0.21</f>
        <v>728.92470000000003</v>
      </c>
      <c r="J2145" s="64"/>
      <c r="K2145" s="64"/>
      <c r="L2145" s="64">
        <f>SUM(ventas_b_mes684[[#This Row],[IMPORTE NETO]:[EXENTO]])</f>
        <v>4199.9947000000002</v>
      </c>
      <c r="M2145" s="59"/>
    </row>
    <row r="2146" spans="2:13">
      <c r="B2146" s="40" t="s">
        <v>2322</v>
      </c>
      <c r="C2146" s="41">
        <v>6</v>
      </c>
      <c r="D2146" s="42">
        <v>10</v>
      </c>
      <c r="E2146" s="43">
        <v>54704</v>
      </c>
      <c r="F2146" s="44">
        <v>94272674</v>
      </c>
      <c r="G2146" s="1" t="str">
        <f>IFERROR(IF(ventas_b_mes684[[#This Row],[CUIT]]="","-",VLOOKUP(ventas_b_mes684[[#This Row],[CUIT]],Lista_CUIT[#All],2,0)),"CUIT NO CARGADO")</f>
        <v>CUIT NO CARGADO</v>
      </c>
      <c r="H2146" s="64">
        <v>20661.16</v>
      </c>
      <c r="I2146" s="64">
        <f>ventas_b_mes684[[#This Row],[IMPORTE NETO]]*0.21</f>
        <v>4338.8436000000002</v>
      </c>
      <c r="J2146" s="64"/>
      <c r="K2146" s="64"/>
      <c r="L2146" s="64">
        <f>SUM(ventas_b_mes684[[#This Row],[IMPORTE NETO]:[EXENTO]])</f>
        <v>25000.0036</v>
      </c>
      <c r="M2146" s="59"/>
    </row>
    <row r="2147" spans="2:13">
      <c r="B2147" s="40" t="s">
        <v>2322</v>
      </c>
      <c r="C2147" s="41">
        <v>6</v>
      </c>
      <c r="D2147" s="42">
        <v>13</v>
      </c>
      <c r="E2147" s="43">
        <v>32616</v>
      </c>
      <c r="F2147" s="44">
        <v>1234</v>
      </c>
      <c r="G2147" s="1" t="str">
        <f>IFERROR(IF(ventas_b_mes684[[#This Row],[CUIT]]="","-",VLOOKUP(ventas_b_mes684[[#This Row],[CUIT]],Lista_CUIT[#All],2,0)),"CUIT NO CARGADO")</f>
        <v>CUIT NO CARGADO</v>
      </c>
      <c r="H2147" s="64">
        <v>22677.69</v>
      </c>
      <c r="I2147" s="64">
        <f>ventas_b_mes684[[#This Row],[IMPORTE NETO]]*0.21</f>
        <v>4762.3148999999994</v>
      </c>
      <c r="J2147" s="64"/>
      <c r="K2147" s="64"/>
      <c r="L2147" s="64">
        <f>SUM(ventas_b_mes684[[#This Row],[IMPORTE NETO]:[EXENTO]])</f>
        <v>27440.0049</v>
      </c>
      <c r="M2147" s="59"/>
    </row>
    <row r="2148" spans="2:13">
      <c r="B2148" s="40" t="s">
        <v>2322</v>
      </c>
      <c r="C2148" s="41">
        <v>6</v>
      </c>
      <c r="D2148" s="42">
        <v>15</v>
      </c>
      <c r="E2148" s="43">
        <v>13453</v>
      </c>
      <c r="F2148" s="44">
        <v>34692504</v>
      </c>
      <c r="G2148" s="1" t="str">
        <f>IFERROR(IF(ventas_b_mes684[[#This Row],[CUIT]]="","-",VLOOKUP(ventas_b_mes684[[#This Row],[CUIT]],Lista_CUIT[#All],2,0)),"CUIT NO CARGADO")</f>
        <v>CUIT NO CARGADO</v>
      </c>
      <c r="H2148" s="64">
        <v>5661.16</v>
      </c>
      <c r="I2148" s="64">
        <f>ventas_b_mes684[[#This Row],[IMPORTE NETO]]*0.21</f>
        <v>1188.8435999999999</v>
      </c>
      <c r="J2148" s="64"/>
      <c r="K2148" s="64"/>
      <c r="L2148" s="64">
        <f>SUM(ventas_b_mes684[[#This Row],[IMPORTE NETO]:[EXENTO]])</f>
        <v>6850.0036</v>
      </c>
      <c r="M2148" s="59"/>
    </row>
    <row r="2149" spans="2:13">
      <c r="B2149" s="40" t="s">
        <v>2322</v>
      </c>
      <c r="C2149" s="41">
        <v>6</v>
      </c>
      <c r="D2149" s="42">
        <v>15</v>
      </c>
      <c r="E2149" s="43">
        <v>13472</v>
      </c>
      <c r="F2149" s="44">
        <v>24767073</v>
      </c>
      <c r="G2149" s="1" t="str">
        <f>IFERROR(IF(ventas_b_mes684[[#This Row],[CUIT]]="","-",VLOOKUP(ventas_b_mes684[[#This Row],[CUIT]],Lista_CUIT[#All],2,0)),"CUIT NO CARGADO")</f>
        <v>CUIT NO CARGADO</v>
      </c>
      <c r="H2149" s="64">
        <v>8595.0400000000009</v>
      </c>
      <c r="I2149" s="64">
        <f>ventas_b_mes684[[#This Row],[IMPORTE NETO]]*0.21</f>
        <v>1804.9584000000002</v>
      </c>
      <c r="J2149" s="64"/>
      <c r="K2149" s="64"/>
      <c r="L2149" s="64">
        <f>SUM(ventas_b_mes684[[#This Row],[IMPORTE NETO]:[EXENTO]])</f>
        <v>10399.9984</v>
      </c>
      <c r="M2149" s="59"/>
    </row>
    <row r="2150" spans="2:13">
      <c r="B2150" s="40" t="s">
        <v>2322</v>
      </c>
      <c r="C2150" s="41">
        <v>6</v>
      </c>
      <c r="D2150" s="42">
        <v>11</v>
      </c>
      <c r="E2150" s="43">
        <v>38404</v>
      </c>
      <c r="F2150" s="44">
        <v>13028576</v>
      </c>
      <c r="G2150" s="1" t="str">
        <f>IFERROR(IF(ventas_b_mes684[[#This Row],[CUIT]]="","-",VLOOKUP(ventas_b_mes684[[#This Row],[CUIT]],Lista_CUIT[#All],2,0)),"CUIT NO CARGADO")</f>
        <v>CUIT NO CARGADO</v>
      </c>
      <c r="H2150" s="64">
        <v>19371.900000000001</v>
      </c>
      <c r="I2150" s="64">
        <f>ventas_b_mes684[[#This Row],[IMPORTE NETO]]*0.21</f>
        <v>4068.0990000000002</v>
      </c>
      <c r="J2150" s="64"/>
      <c r="K2150" s="64"/>
      <c r="L2150" s="64">
        <f>SUM(ventas_b_mes684[[#This Row],[IMPORTE NETO]:[EXENTO]])</f>
        <v>23439.999000000003</v>
      </c>
      <c r="M2150" s="59"/>
    </row>
    <row r="2151" spans="2:13">
      <c r="B2151" s="40" t="s">
        <v>2322</v>
      </c>
      <c r="C2151" s="41">
        <v>6</v>
      </c>
      <c r="D2151" s="42">
        <v>13</v>
      </c>
      <c r="E2151" s="43">
        <v>32619</v>
      </c>
      <c r="F2151" s="44">
        <v>46646397</v>
      </c>
      <c r="G2151" s="1" t="str">
        <f>IFERROR(IF(ventas_b_mes684[[#This Row],[CUIT]]="","-",VLOOKUP(ventas_b_mes684[[#This Row],[CUIT]],Lista_CUIT[#All],2,0)),"CUIT NO CARGADO")</f>
        <v>CUIT NO CARGADO</v>
      </c>
      <c r="H2151" s="64">
        <v>8396.69</v>
      </c>
      <c r="I2151" s="64">
        <f>ventas_b_mes684[[#This Row],[IMPORTE NETO]]*0.21</f>
        <v>1763.3049000000001</v>
      </c>
      <c r="J2151" s="64"/>
      <c r="K2151" s="64"/>
      <c r="L2151" s="64">
        <f>SUM(ventas_b_mes684[[#This Row],[IMPORTE NETO]:[EXENTO]])</f>
        <v>10159.994900000002</v>
      </c>
      <c r="M2151" s="59"/>
    </row>
    <row r="2152" spans="2:13">
      <c r="B2152" s="40" t="s">
        <v>2322</v>
      </c>
      <c r="C2152" s="41">
        <v>6</v>
      </c>
      <c r="D2152" s="42">
        <v>15</v>
      </c>
      <c r="E2152" s="43">
        <v>13467</v>
      </c>
      <c r="F2152" s="44">
        <v>21066432</v>
      </c>
      <c r="G2152" s="1" t="str">
        <f>IFERROR(IF(ventas_b_mes684[[#This Row],[CUIT]]="","-",VLOOKUP(ventas_b_mes684[[#This Row],[CUIT]],Lista_CUIT[#All],2,0)),"CUIT NO CARGADO")</f>
        <v>CUIT NO CARGADO</v>
      </c>
      <c r="H2152" s="64">
        <v>22611.57</v>
      </c>
      <c r="I2152" s="64">
        <f>ventas_b_mes684[[#This Row],[IMPORTE NETO]]*0.21</f>
        <v>4748.4296999999997</v>
      </c>
      <c r="J2152" s="64"/>
      <c r="K2152" s="64"/>
      <c r="L2152" s="64">
        <f>SUM(ventas_b_mes684[[#This Row],[IMPORTE NETO]:[EXENTO]])</f>
        <v>27359.9997</v>
      </c>
      <c r="M2152" s="59"/>
    </row>
    <row r="2153" spans="2:13">
      <c r="B2153" s="40" t="s">
        <v>2322</v>
      </c>
      <c r="C2153" s="41">
        <v>6</v>
      </c>
      <c r="D2153" s="42">
        <v>15</v>
      </c>
      <c r="E2153" s="43">
        <v>13474</v>
      </c>
      <c r="F2153" s="44">
        <v>34624335</v>
      </c>
      <c r="G2153" s="1" t="str">
        <f>IFERROR(IF(ventas_b_mes684[[#This Row],[CUIT]]="","-",VLOOKUP(ventas_b_mes684[[#This Row],[CUIT]],Lista_CUIT[#All],2,0)),"CUIT NO CARGADO")</f>
        <v>CABRAL, ELIZABETH NOEMI</v>
      </c>
      <c r="H2153" s="64">
        <v>31669.42</v>
      </c>
      <c r="I2153" s="64">
        <f>ventas_b_mes684[[#This Row],[IMPORTE NETO]]*0.21</f>
        <v>6650.578199999999</v>
      </c>
      <c r="J2153" s="64"/>
      <c r="K2153" s="64"/>
      <c r="L2153" s="64">
        <f>SUM(ventas_b_mes684[[#This Row],[IMPORTE NETO]:[EXENTO]])</f>
        <v>38319.998199999995</v>
      </c>
      <c r="M2153" s="59"/>
    </row>
    <row r="2154" spans="2:13">
      <c r="B2154" s="40" t="s">
        <v>2322</v>
      </c>
      <c r="C2154" s="41">
        <v>6</v>
      </c>
      <c r="D2154" s="42">
        <v>11</v>
      </c>
      <c r="E2154" s="43">
        <v>38421</v>
      </c>
      <c r="F2154" s="44">
        <v>47113324</v>
      </c>
      <c r="G2154" s="1" t="str">
        <f>IFERROR(IF(ventas_b_mes684[[#This Row],[CUIT]]="","-",VLOOKUP(ventas_b_mes684[[#This Row],[CUIT]],Lista_CUIT[#All],2,0)),"CUIT NO CARGADO")</f>
        <v>CUIT NO CARGADO</v>
      </c>
      <c r="H2154" s="64">
        <v>20661.16</v>
      </c>
      <c r="I2154" s="64">
        <f>ventas_b_mes684[[#This Row],[IMPORTE NETO]]*0.21</f>
        <v>4338.8436000000002</v>
      </c>
      <c r="J2154" s="64"/>
      <c r="K2154" s="64"/>
      <c r="L2154" s="64">
        <f>SUM(ventas_b_mes684[[#This Row],[IMPORTE NETO]:[EXENTO]])</f>
        <v>25000.0036</v>
      </c>
      <c r="M2154" s="59"/>
    </row>
    <row r="2155" spans="2:13">
      <c r="B2155" s="40" t="s">
        <v>2322</v>
      </c>
      <c r="C2155" s="41">
        <v>6</v>
      </c>
      <c r="D2155" s="42">
        <v>10</v>
      </c>
      <c r="E2155" s="43">
        <v>54700</v>
      </c>
      <c r="F2155" s="44">
        <v>41472612</v>
      </c>
      <c r="G2155" s="1" t="str">
        <f>IFERROR(IF(ventas_b_mes684[[#This Row],[CUIT]]="","-",VLOOKUP(ventas_b_mes684[[#This Row],[CUIT]],Lista_CUIT[#All],2,0)),"CUIT NO CARGADO")</f>
        <v>CUIT NO CARGADO</v>
      </c>
      <c r="H2155" s="64">
        <v>23471.07</v>
      </c>
      <c r="I2155" s="64">
        <f>ventas_b_mes684[[#This Row],[IMPORTE NETO]]*0.21</f>
        <v>4928.9246999999996</v>
      </c>
      <c r="J2155" s="64"/>
      <c r="K2155" s="64"/>
      <c r="L2155" s="64">
        <f>SUM(ventas_b_mes684[[#This Row],[IMPORTE NETO]:[EXENTO]])</f>
        <v>28399.994699999999</v>
      </c>
      <c r="M2155" s="59"/>
    </row>
    <row r="2156" spans="2:13">
      <c r="B2156" s="40" t="s">
        <v>2322</v>
      </c>
      <c r="C2156" s="41">
        <v>6</v>
      </c>
      <c r="D2156" s="42">
        <v>10</v>
      </c>
      <c r="E2156" s="43">
        <v>54708</v>
      </c>
      <c r="F2156" s="44">
        <v>41469946</v>
      </c>
      <c r="G2156" s="1" t="str">
        <f>IFERROR(IF(ventas_b_mes684[[#This Row],[CUIT]]="","-",VLOOKUP(ventas_b_mes684[[#This Row],[CUIT]],Lista_CUIT[#All],2,0)),"CUIT NO CARGADO")</f>
        <v>CUIT NO CARGADO</v>
      </c>
      <c r="H2156" s="64">
        <v>20661.16</v>
      </c>
      <c r="I2156" s="64">
        <f>ventas_b_mes684[[#This Row],[IMPORTE NETO]]*0.21</f>
        <v>4338.8436000000002</v>
      </c>
      <c r="J2156" s="64"/>
      <c r="K2156" s="64"/>
      <c r="L2156" s="64">
        <f>SUM(ventas_b_mes684[[#This Row],[IMPORTE NETO]:[EXENTO]])</f>
        <v>25000.0036</v>
      </c>
      <c r="M2156" s="59"/>
    </row>
    <row r="2157" spans="2:13">
      <c r="B2157" s="40" t="s">
        <v>2322</v>
      </c>
      <c r="C2157" s="41">
        <v>6</v>
      </c>
      <c r="D2157" s="42">
        <v>13</v>
      </c>
      <c r="E2157" s="43">
        <v>32612</v>
      </c>
      <c r="F2157" s="44">
        <v>23564987</v>
      </c>
      <c r="G2157" s="1" t="str">
        <f>IFERROR(IF(ventas_b_mes684[[#This Row],[CUIT]]="","-",VLOOKUP(ventas_b_mes684[[#This Row],[CUIT]],Lista_CUIT[#All],2,0)),"CUIT NO CARGADO")</f>
        <v>CUIT NO CARGADO</v>
      </c>
      <c r="H2157" s="64">
        <v>32757.05</v>
      </c>
      <c r="I2157" s="64">
        <f>ventas_b_mes684[[#This Row],[IMPORTE NETO]]*0.21</f>
        <v>6878.9804999999997</v>
      </c>
      <c r="J2157" s="64"/>
      <c r="K2157" s="64"/>
      <c r="L2157" s="64">
        <f>SUM(ventas_b_mes684[[#This Row],[IMPORTE NETO]:[EXENTO]])</f>
        <v>39636.030500000001</v>
      </c>
      <c r="M2157" s="59"/>
    </row>
    <row r="2158" spans="2:13">
      <c r="B2158" s="40" t="s">
        <v>2322</v>
      </c>
      <c r="C2158" s="41">
        <v>6</v>
      </c>
      <c r="D2158" s="42">
        <v>15</v>
      </c>
      <c r="E2158" s="43">
        <v>13469</v>
      </c>
      <c r="F2158" s="44">
        <v>33086577</v>
      </c>
      <c r="G2158" s="1" t="str">
        <f>IFERROR(IF(ventas_b_mes684[[#This Row],[CUIT]]="","-",VLOOKUP(ventas_b_mes684[[#This Row],[CUIT]],Lista_CUIT[#All],2,0)),"CUIT NO CARGADO")</f>
        <v>CUIT NO CARGADO</v>
      </c>
      <c r="H2158" s="64">
        <v>5752.07</v>
      </c>
      <c r="I2158" s="64">
        <f>ventas_b_mes684[[#This Row],[IMPORTE NETO]]*0.21</f>
        <v>1207.9346999999998</v>
      </c>
      <c r="J2158" s="64"/>
      <c r="K2158" s="64"/>
      <c r="L2158" s="64">
        <f>SUM(ventas_b_mes684[[#This Row],[IMPORTE NETO]:[EXENTO]])</f>
        <v>6960.0046999999995</v>
      </c>
      <c r="M2158" s="59"/>
    </row>
    <row r="2159" spans="2:13">
      <c r="B2159" s="40" t="s">
        <v>2322</v>
      </c>
      <c r="C2159" s="41">
        <v>6</v>
      </c>
      <c r="D2159" s="42">
        <v>12</v>
      </c>
      <c r="E2159" s="43">
        <v>29891</v>
      </c>
      <c r="F2159" s="44">
        <v>28010582</v>
      </c>
      <c r="G2159" s="1" t="str">
        <f>IFERROR(IF(ventas_b_mes684[[#This Row],[CUIT]]="","-",VLOOKUP(ventas_b_mes684[[#This Row],[CUIT]],Lista_CUIT[#All],2,0)),"CUIT NO CARGADO")</f>
        <v>CUIT NO CARGADO</v>
      </c>
      <c r="H2159" s="64">
        <v>20661.16</v>
      </c>
      <c r="I2159" s="64">
        <f>ventas_b_mes684[[#This Row],[IMPORTE NETO]]*0.21</f>
        <v>4338.8436000000002</v>
      </c>
      <c r="J2159" s="64"/>
      <c r="K2159" s="64"/>
      <c r="L2159" s="64">
        <f>SUM(ventas_b_mes684[[#This Row],[IMPORTE NETO]:[EXENTO]])</f>
        <v>25000.0036</v>
      </c>
      <c r="M2159" s="59"/>
    </row>
    <row r="2160" spans="2:13">
      <c r="B2160" s="40" t="s">
        <v>2322</v>
      </c>
      <c r="C2160" s="41">
        <v>6</v>
      </c>
      <c r="D2160" s="42">
        <v>15</v>
      </c>
      <c r="E2160" s="43">
        <v>13450</v>
      </c>
      <c r="F2160" s="44">
        <v>25263388</v>
      </c>
      <c r="G2160" s="1" t="str">
        <f>IFERROR(IF(ventas_b_mes684[[#This Row],[CUIT]]="","-",VLOOKUP(ventas_b_mes684[[#This Row],[CUIT]],Lista_CUIT[#All],2,0)),"CUIT NO CARGADO")</f>
        <v>CUIT NO CARGADO</v>
      </c>
      <c r="H2160" s="64">
        <v>6198.35</v>
      </c>
      <c r="I2160" s="64">
        <f>ventas_b_mes684[[#This Row],[IMPORTE NETO]]*0.21</f>
        <v>1301.6535000000001</v>
      </c>
      <c r="J2160" s="64"/>
      <c r="K2160" s="64"/>
      <c r="L2160" s="64">
        <f>SUM(ventas_b_mes684[[#This Row],[IMPORTE NETO]:[EXENTO]])</f>
        <v>7500.0035000000007</v>
      </c>
      <c r="M2160" s="59"/>
    </row>
    <row r="2161" spans="2:13">
      <c r="B2161" s="40" t="s">
        <v>2322</v>
      </c>
      <c r="C2161" s="41">
        <v>6</v>
      </c>
      <c r="D2161" s="42">
        <v>11</v>
      </c>
      <c r="E2161" s="43">
        <v>38420</v>
      </c>
      <c r="F2161" s="44">
        <v>28664336</v>
      </c>
      <c r="G2161" s="1" t="str">
        <f>IFERROR(IF(ventas_b_mes684[[#This Row],[CUIT]]="","-",VLOOKUP(ventas_b_mes684[[#This Row],[CUIT]],Lista_CUIT[#All],2,0)),"CUIT NO CARGADO")</f>
        <v>CUIT NO CARGADO</v>
      </c>
      <c r="H2161" s="64">
        <v>10971.07</v>
      </c>
      <c r="I2161" s="64">
        <f>ventas_b_mes684[[#This Row],[IMPORTE NETO]]*0.21</f>
        <v>2303.9247</v>
      </c>
      <c r="J2161" s="64"/>
      <c r="K2161" s="64"/>
      <c r="L2161" s="64">
        <f>SUM(ventas_b_mes684[[#This Row],[IMPORTE NETO]:[EXENTO]])</f>
        <v>13274.994699999999</v>
      </c>
      <c r="M2161" s="59"/>
    </row>
    <row r="2162" spans="2:13">
      <c r="B2162" s="40" t="s">
        <v>2322</v>
      </c>
      <c r="C2162" s="41">
        <v>6</v>
      </c>
      <c r="D2162" s="42">
        <v>11</v>
      </c>
      <c r="E2162" s="43">
        <v>38414</v>
      </c>
      <c r="F2162" s="44">
        <v>23284387</v>
      </c>
      <c r="G2162" s="1" t="str">
        <f>IFERROR(IF(ventas_b_mes684[[#This Row],[CUIT]]="","-",VLOOKUP(ventas_b_mes684[[#This Row],[CUIT]],Lista_CUIT[#All],2,0)),"CUIT NO CARGADO")</f>
        <v>CUIT NO CARGADO</v>
      </c>
      <c r="H2162" s="64">
        <v>17983.47</v>
      </c>
      <c r="I2162" s="64">
        <f>ventas_b_mes684[[#This Row],[IMPORTE NETO]]*0.21</f>
        <v>3776.5287000000003</v>
      </c>
      <c r="J2162" s="64"/>
      <c r="K2162" s="64"/>
      <c r="L2162" s="64">
        <f>SUM(ventas_b_mes684[[#This Row],[IMPORTE NETO]:[EXENTO]])</f>
        <v>21759.9987</v>
      </c>
      <c r="M2162" s="59"/>
    </row>
    <row r="2163" spans="2:13">
      <c r="B2163" s="40" t="s">
        <v>2322</v>
      </c>
      <c r="C2163" s="41">
        <v>6</v>
      </c>
      <c r="D2163" s="42">
        <v>11</v>
      </c>
      <c r="E2163" s="43">
        <v>38411</v>
      </c>
      <c r="F2163" s="44">
        <v>94667543</v>
      </c>
      <c r="G2163" s="1" t="str">
        <f>IFERROR(IF(ventas_b_mes684[[#This Row],[CUIT]]="","-",VLOOKUP(ventas_b_mes684[[#This Row],[CUIT]],Lista_CUIT[#All],2,0)),"CUIT NO CARGADO")</f>
        <v>CUIT NO CARGADO</v>
      </c>
      <c r="H2163" s="64">
        <v>9917.36</v>
      </c>
      <c r="I2163" s="64">
        <f>ventas_b_mes684[[#This Row],[IMPORTE NETO]]*0.21</f>
        <v>2082.6455999999998</v>
      </c>
      <c r="J2163" s="64"/>
      <c r="K2163" s="64"/>
      <c r="L2163" s="64">
        <f>SUM(ventas_b_mes684[[#This Row],[IMPORTE NETO]:[EXENTO]])</f>
        <v>12000.0056</v>
      </c>
      <c r="M2163" s="59"/>
    </row>
    <row r="2164" spans="2:13">
      <c r="B2164" s="40" t="s">
        <v>2322</v>
      </c>
      <c r="C2164" s="41">
        <v>6</v>
      </c>
      <c r="D2164" s="42">
        <v>12</v>
      </c>
      <c r="E2164" s="43">
        <v>29873</v>
      </c>
      <c r="F2164" s="44">
        <v>168742589</v>
      </c>
      <c r="G2164" s="1" t="str">
        <f>IFERROR(IF(ventas_b_mes684[[#This Row],[CUIT]]="","-",VLOOKUP(ventas_b_mes684[[#This Row],[CUIT]],Lista_CUIT[#All],2,0)),"CUIT NO CARGADO")</f>
        <v>CUIT NO CARGADO</v>
      </c>
      <c r="H2164" s="64">
        <v>9322.31</v>
      </c>
      <c r="I2164" s="64">
        <f>ventas_b_mes684[[#This Row],[IMPORTE NETO]]*0.21</f>
        <v>1957.6850999999999</v>
      </c>
      <c r="J2164" s="64"/>
      <c r="K2164" s="64"/>
      <c r="L2164" s="64">
        <f>SUM(ventas_b_mes684[[#This Row],[IMPORTE NETO]:[EXENTO]])</f>
        <v>11279.9951</v>
      </c>
      <c r="M2164" s="59"/>
    </row>
    <row r="2165" spans="2:13">
      <c r="B2165" s="40" t="s">
        <v>2322</v>
      </c>
      <c r="C2165" s="41">
        <v>6</v>
      </c>
      <c r="D2165" s="42">
        <v>12</v>
      </c>
      <c r="E2165" s="43">
        <v>29876</v>
      </c>
      <c r="F2165" s="44">
        <v>20767108</v>
      </c>
      <c r="G2165" s="1" t="str">
        <f>IFERROR(IF(ventas_b_mes684[[#This Row],[CUIT]]="","-",VLOOKUP(ventas_b_mes684[[#This Row],[CUIT]],Lista_CUIT[#All],2,0)),"CUIT NO CARGADO")</f>
        <v>CUIT NO CARGADO</v>
      </c>
      <c r="H2165" s="64">
        <v>117652.92</v>
      </c>
      <c r="I2165" s="64">
        <f>ventas_b_mes684[[#This Row],[IMPORTE NETO]]*0.21</f>
        <v>24707.1132</v>
      </c>
      <c r="J2165" s="64"/>
      <c r="K2165" s="64"/>
      <c r="L2165" s="64">
        <f>SUM(ventas_b_mes684[[#This Row],[IMPORTE NETO]:[EXENTO]])</f>
        <v>142360.03320000001</v>
      </c>
      <c r="M2165" s="59"/>
    </row>
    <row r="2166" spans="2:13">
      <c r="B2166" s="40" t="s">
        <v>2322</v>
      </c>
      <c r="C2166" s="41">
        <v>6</v>
      </c>
      <c r="D2166" s="42">
        <v>11</v>
      </c>
      <c r="E2166" s="43">
        <v>38408</v>
      </c>
      <c r="F2166" s="44">
        <v>38890414</v>
      </c>
      <c r="G2166" s="1" t="str">
        <f>IFERROR(IF(ventas_b_mes684[[#This Row],[CUIT]]="","-",VLOOKUP(ventas_b_mes684[[#This Row],[CUIT]],Lista_CUIT[#All],2,0)),"CUIT NO CARGADO")</f>
        <v>CUIT NO CARGADO</v>
      </c>
      <c r="H2166" s="64">
        <v>9917.36</v>
      </c>
      <c r="I2166" s="64">
        <f>ventas_b_mes684[[#This Row],[IMPORTE NETO]]*0.21</f>
        <v>2082.6455999999998</v>
      </c>
      <c r="J2166" s="64"/>
      <c r="K2166" s="64"/>
      <c r="L2166" s="64">
        <f>SUM(ventas_b_mes684[[#This Row],[IMPORTE NETO]:[EXENTO]])</f>
        <v>12000.0056</v>
      </c>
      <c r="M2166" s="59"/>
    </row>
    <row r="2167" spans="2:13">
      <c r="B2167" s="40" t="s">
        <v>2322</v>
      </c>
      <c r="C2167" s="41">
        <v>6</v>
      </c>
      <c r="D2167" s="42">
        <v>11</v>
      </c>
      <c r="E2167" s="43">
        <v>38402</v>
      </c>
      <c r="F2167" s="44">
        <v>10478965</v>
      </c>
      <c r="G2167" s="1" t="str">
        <f>IFERROR(IF(ventas_b_mes684[[#This Row],[CUIT]]="","-",VLOOKUP(ventas_b_mes684[[#This Row],[CUIT]],Lista_CUIT[#All],2,0)),"CUIT NO CARGADO")</f>
        <v>CUIT NO CARGADO</v>
      </c>
      <c r="H2167" s="64">
        <v>42181.82</v>
      </c>
      <c r="I2167" s="64">
        <f>ventas_b_mes684[[#This Row],[IMPORTE NETO]]*0.21</f>
        <v>8858.1821999999993</v>
      </c>
      <c r="J2167" s="64"/>
      <c r="K2167" s="64"/>
      <c r="L2167" s="64">
        <f>SUM(ventas_b_mes684[[#This Row],[IMPORTE NETO]:[EXENTO]])</f>
        <v>51040.002200000003</v>
      </c>
      <c r="M2167" s="59"/>
    </row>
    <row r="2168" spans="2:13">
      <c r="B2168" s="40" t="s">
        <v>2322</v>
      </c>
      <c r="C2168" s="41">
        <v>6</v>
      </c>
      <c r="D2168" s="42">
        <v>11</v>
      </c>
      <c r="E2168" s="43">
        <v>38417</v>
      </c>
      <c r="F2168" s="44">
        <v>94505751</v>
      </c>
      <c r="G2168" s="1" t="str">
        <f>IFERROR(IF(ventas_b_mes684[[#This Row],[CUIT]]="","-",VLOOKUP(ventas_b_mes684[[#This Row],[CUIT]],Lista_CUIT[#All],2,0)),"CUIT NO CARGADO")</f>
        <v>CUIT NO CARGADO</v>
      </c>
      <c r="H2168" s="64">
        <v>14413.22</v>
      </c>
      <c r="I2168" s="64">
        <f>ventas_b_mes684[[#This Row],[IMPORTE NETO]]*0.21</f>
        <v>3026.7761999999998</v>
      </c>
      <c r="J2168" s="64"/>
      <c r="K2168" s="64"/>
      <c r="L2168" s="64">
        <f>SUM(ventas_b_mes684[[#This Row],[IMPORTE NETO]:[EXENTO]])</f>
        <v>17439.996199999998</v>
      </c>
      <c r="M2168" s="59"/>
    </row>
    <row r="2169" spans="2:13">
      <c r="B2169" s="40" t="s">
        <v>2322</v>
      </c>
      <c r="C2169" s="41">
        <v>6</v>
      </c>
      <c r="D2169" s="42">
        <v>12</v>
      </c>
      <c r="E2169" s="43">
        <v>29892</v>
      </c>
      <c r="F2169" s="44">
        <v>20806557</v>
      </c>
      <c r="G2169" s="1" t="str">
        <f>IFERROR(IF(ventas_b_mes684[[#This Row],[CUIT]]="","-",VLOOKUP(ventas_b_mes684[[#This Row],[CUIT]],Lista_CUIT[#All],2,0)),"CUIT NO CARGADO")</f>
        <v>CUIT NO CARGADO</v>
      </c>
      <c r="H2169" s="64">
        <v>108826.45</v>
      </c>
      <c r="I2169" s="64">
        <f>ventas_b_mes684[[#This Row],[IMPORTE NETO]]*0.21</f>
        <v>22853.554499999998</v>
      </c>
      <c r="J2169" s="64"/>
      <c r="K2169" s="64"/>
      <c r="L2169" s="64">
        <f>SUM(ventas_b_mes684[[#This Row],[IMPORTE NETO]:[EXENTO]])</f>
        <v>131680.00449999998</v>
      </c>
      <c r="M2169" s="59"/>
    </row>
    <row r="2170" spans="2:13">
      <c r="B2170" s="40" t="s">
        <v>2322</v>
      </c>
      <c r="C2170" s="41">
        <v>6</v>
      </c>
      <c r="D2170" s="42">
        <v>11</v>
      </c>
      <c r="E2170" s="43">
        <v>38415</v>
      </c>
      <c r="F2170" s="44">
        <v>21593842</v>
      </c>
      <c r="G2170" s="1" t="str">
        <f>IFERROR(IF(ventas_b_mes684[[#This Row],[CUIT]]="","-",VLOOKUP(ventas_b_mes684[[#This Row],[CUIT]],Lista_CUIT[#All],2,0)),"CUIT NO CARGADO")</f>
        <v>CUIT NO CARGADO</v>
      </c>
      <c r="H2170" s="64">
        <v>20661.16</v>
      </c>
      <c r="I2170" s="64">
        <f>ventas_b_mes684[[#This Row],[IMPORTE NETO]]*0.21</f>
        <v>4338.8436000000002</v>
      </c>
      <c r="J2170" s="64"/>
      <c r="K2170" s="64"/>
      <c r="L2170" s="64">
        <f>SUM(ventas_b_mes684[[#This Row],[IMPORTE NETO]:[EXENTO]])</f>
        <v>25000.0036</v>
      </c>
      <c r="M2170" s="59"/>
    </row>
    <row r="2171" spans="2:13">
      <c r="B2171" s="40" t="s">
        <v>2322</v>
      </c>
      <c r="C2171" s="41">
        <v>6</v>
      </c>
      <c r="D2171" s="42">
        <v>12</v>
      </c>
      <c r="E2171" s="43">
        <v>29886</v>
      </c>
      <c r="F2171" s="44">
        <v>25802685</v>
      </c>
      <c r="G2171" s="1" t="str">
        <f>IFERROR(IF(ventas_b_mes684[[#This Row],[CUIT]]="","-",VLOOKUP(ventas_b_mes684[[#This Row],[CUIT]],Lista_CUIT[#All],2,0)),"CUIT NO CARGADO")</f>
        <v>CUIT NO CARGADO</v>
      </c>
      <c r="H2171" s="64">
        <v>8462.81</v>
      </c>
      <c r="I2171" s="64">
        <f>ventas_b_mes684[[#This Row],[IMPORTE NETO]]*0.21</f>
        <v>1777.1900999999998</v>
      </c>
      <c r="J2171" s="64"/>
      <c r="K2171" s="64"/>
      <c r="L2171" s="64">
        <f>SUM(ventas_b_mes684[[#This Row],[IMPORTE NETO]:[EXENTO]])</f>
        <v>10240.000099999999</v>
      </c>
      <c r="M2171" s="59"/>
    </row>
    <row r="2172" spans="2:13">
      <c r="B2172" s="40" t="s">
        <v>2322</v>
      </c>
      <c r="C2172" s="41">
        <v>6</v>
      </c>
      <c r="D2172" s="42">
        <v>15</v>
      </c>
      <c r="E2172" s="43">
        <v>13461</v>
      </c>
      <c r="F2172" s="44">
        <v>21066432</v>
      </c>
      <c r="G2172" s="1" t="str">
        <f>IFERROR(IF(ventas_b_mes684[[#This Row],[CUIT]]="","-",VLOOKUP(ventas_b_mes684[[#This Row],[CUIT]],Lista_CUIT[#All],2,0)),"CUIT NO CARGADO")</f>
        <v>CUIT NO CARGADO</v>
      </c>
      <c r="H2172" s="64">
        <v>16528.93</v>
      </c>
      <c r="I2172" s="64">
        <f>ventas_b_mes684[[#This Row],[IMPORTE NETO]]*0.21</f>
        <v>3471.0753</v>
      </c>
      <c r="J2172" s="64"/>
      <c r="K2172" s="64"/>
      <c r="L2172" s="64">
        <f>SUM(ventas_b_mes684[[#This Row],[IMPORTE NETO]:[EXENTO]])</f>
        <v>20000.005300000001</v>
      </c>
      <c r="M2172" s="59"/>
    </row>
    <row r="2173" spans="2:13">
      <c r="B2173" s="40" t="s">
        <v>2322</v>
      </c>
      <c r="C2173" s="41">
        <v>6</v>
      </c>
      <c r="D2173" s="42">
        <v>11</v>
      </c>
      <c r="E2173" s="43">
        <v>38400</v>
      </c>
      <c r="F2173" s="44">
        <v>23469203</v>
      </c>
      <c r="G2173" s="1" t="str">
        <f>IFERROR(IF(ventas_b_mes684[[#This Row],[CUIT]]="","-",VLOOKUP(ventas_b_mes684[[#This Row],[CUIT]],Lista_CUIT[#All],2,0)),"CUIT NO CARGADO")</f>
        <v>CUIT NO CARGADO</v>
      </c>
      <c r="H2173" s="64">
        <v>29024.79</v>
      </c>
      <c r="I2173" s="64">
        <f>ventas_b_mes684[[#This Row],[IMPORTE NETO]]*0.21</f>
        <v>6095.2058999999999</v>
      </c>
      <c r="J2173" s="64"/>
      <c r="K2173" s="64"/>
      <c r="L2173" s="64">
        <f>SUM(ventas_b_mes684[[#This Row],[IMPORTE NETO]:[EXENTO]])</f>
        <v>35119.995900000002</v>
      </c>
      <c r="M2173" s="59"/>
    </row>
    <row r="2174" spans="2:13">
      <c r="B2174" s="40" t="s">
        <v>2322</v>
      </c>
      <c r="C2174" s="41">
        <v>6</v>
      </c>
      <c r="D2174" s="42">
        <v>12</v>
      </c>
      <c r="E2174" s="43">
        <v>29883</v>
      </c>
      <c r="F2174" s="44">
        <v>20213391</v>
      </c>
      <c r="G2174" s="1" t="str">
        <f>IFERROR(IF(ventas_b_mes684[[#This Row],[CUIT]]="","-",VLOOKUP(ventas_b_mes684[[#This Row],[CUIT]],Lista_CUIT[#All],2,0)),"CUIT NO CARGADO")</f>
        <v>CUIT NO CARGADO</v>
      </c>
      <c r="H2174" s="64">
        <v>33157.019999999997</v>
      </c>
      <c r="I2174" s="64">
        <f>ventas_b_mes684[[#This Row],[IMPORTE NETO]]*0.21</f>
        <v>6962.9741999999987</v>
      </c>
      <c r="J2174" s="64"/>
      <c r="K2174" s="64"/>
      <c r="L2174" s="64">
        <f>SUM(ventas_b_mes684[[#This Row],[IMPORTE NETO]:[EXENTO]])</f>
        <v>40119.994199999994</v>
      </c>
      <c r="M2174" s="59"/>
    </row>
    <row r="2175" spans="2:13">
      <c r="B2175" s="40" t="s">
        <v>2322</v>
      </c>
      <c r="C2175" s="41">
        <v>6</v>
      </c>
      <c r="D2175" s="42">
        <v>13</v>
      </c>
      <c r="E2175" s="43">
        <v>32621</v>
      </c>
      <c r="F2175" s="44">
        <v>17618048</v>
      </c>
      <c r="G2175" s="1" t="str">
        <f>IFERROR(IF(ventas_b_mes684[[#This Row],[CUIT]]="","-",VLOOKUP(ventas_b_mes684[[#This Row],[CUIT]],Lista_CUIT[#All],2,0)),"CUIT NO CARGADO")</f>
        <v>CUIT NO CARGADO</v>
      </c>
      <c r="H2175" s="64">
        <v>79008.259999999995</v>
      </c>
      <c r="I2175" s="64">
        <f>ventas_b_mes684[[#This Row],[IMPORTE NETO]]*0.21</f>
        <v>16591.7346</v>
      </c>
      <c r="J2175" s="64"/>
      <c r="K2175" s="64"/>
      <c r="L2175" s="64">
        <f>SUM(ventas_b_mes684[[#This Row],[IMPORTE NETO]:[EXENTO]])</f>
        <v>95599.994599999991</v>
      </c>
      <c r="M2175" s="59"/>
    </row>
    <row r="2176" spans="2:13">
      <c r="B2176" s="40" t="s">
        <v>2322</v>
      </c>
      <c r="C2176" s="41">
        <v>6</v>
      </c>
      <c r="D2176" s="42">
        <v>12</v>
      </c>
      <c r="E2176" s="43">
        <v>29878</v>
      </c>
      <c r="F2176" s="44">
        <v>17815696</v>
      </c>
      <c r="G2176" s="1" t="str">
        <f>IFERROR(IF(ventas_b_mes684[[#This Row],[CUIT]]="","-",VLOOKUP(ventas_b_mes684[[#This Row],[CUIT]],Lista_CUIT[#All],2,0)),"CUIT NO CARGADO")</f>
        <v>CUIT NO CARGADO</v>
      </c>
      <c r="H2176" s="64">
        <v>62082.66</v>
      </c>
      <c r="I2176" s="64">
        <f>ventas_b_mes684[[#This Row],[IMPORTE NETO]]*0.21</f>
        <v>13037.3586</v>
      </c>
      <c r="J2176" s="64"/>
      <c r="K2176" s="64"/>
      <c r="L2176" s="64">
        <f>SUM(ventas_b_mes684[[#This Row],[IMPORTE NETO]:[EXENTO]])</f>
        <v>75120.01860000001</v>
      </c>
      <c r="M2176" s="59"/>
    </row>
    <row r="2177" spans="2:13">
      <c r="B2177" s="40" t="s">
        <v>2322</v>
      </c>
      <c r="C2177" s="41">
        <v>6</v>
      </c>
      <c r="D2177" s="42">
        <v>12</v>
      </c>
      <c r="E2177" s="43">
        <v>29888</v>
      </c>
      <c r="F2177" s="44">
        <v>16056751</v>
      </c>
      <c r="G2177" s="1" t="str">
        <f>IFERROR(IF(ventas_b_mes684[[#This Row],[CUIT]]="","-",VLOOKUP(ventas_b_mes684[[#This Row],[CUIT]],Lista_CUIT[#All],2,0)),"CUIT NO CARGADO")</f>
        <v>CUIT NO CARGADO</v>
      </c>
      <c r="H2177" s="64">
        <v>147438.01999999999</v>
      </c>
      <c r="I2177" s="64">
        <f>ventas_b_mes684[[#This Row],[IMPORTE NETO]]*0.21</f>
        <v>30961.984199999995</v>
      </c>
      <c r="J2177" s="64"/>
      <c r="K2177" s="64"/>
      <c r="L2177" s="64">
        <f>SUM(ventas_b_mes684[[#This Row],[IMPORTE NETO]:[EXENTO]])</f>
        <v>178400.0042</v>
      </c>
      <c r="M2177" s="59"/>
    </row>
    <row r="2178" spans="2:13">
      <c r="B2178" s="40" t="s">
        <v>2322</v>
      </c>
      <c r="C2178" s="41">
        <v>6</v>
      </c>
      <c r="D2178" s="42">
        <v>13</v>
      </c>
      <c r="E2178" s="43">
        <v>32620</v>
      </c>
      <c r="F2178" s="44">
        <v>17618048</v>
      </c>
      <c r="G2178" s="1" t="str">
        <f>IFERROR(IF(ventas_b_mes684[[#This Row],[CUIT]]="","-",VLOOKUP(ventas_b_mes684[[#This Row],[CUIT]],Lista_CUIT[#All],2,0)),"CUIT NO CARGADO")</f>
        <v>CUIT NO CARGADO</v>
      </c>
      <c r="H2178" s="64">
        <v>42520.66</v>
      </c>
      <c r="I2178" s="64">
        <f>ventas_b_mes684[[#This Row],[IMPORTE NETO]]*0.21</f>
        <v>8929.338600000001</v>
      </c>
      <c r="J2178" s="64"/>
      <c r="K2178" s="64"/>
      <c r="L2178" s="64">
        <f>SUM(ventas_b_mes684[[#This Row],[IMPORTE NETO]:[EXENTO]])</f>
        <v>51449.998600000006</v>
      </c>
      <c r="M2178" s="59"/>
    </row>
    <row r="2179" spans="2:13">
      <c r="B2179" s="40" t="s">
        <v>2322</v>
      </c>
      <c r="C2179" s="41">
        <v>6</v>
      </c>
      <c r="D2179" s="42">
        <v>15</v>
      </c>
      <c r="E2179" s="43">
        <v>13462</v>
      </c>
      <c r="F2179" s="44">
        <v>5965253</v>
      </c>
      <c r="G2179" s="1" t="str">
        <f>IFERROR(IF(ventas_b_mes684[[#This Row],[CUIT]]="","-",VLOOKUP(ventas_b_mes684[[#This Row],[CUIT]],Lista_CUIT[#All],2,0)),"CUIT NO CARGADO")</f>
        <v>PONTE, IRMA</v>
      </c>
      <c r="H2179" s="64">
        <v>23669.45</v>
      </c>
      <c r="I2179" s="64">
        <f>ventas_b_mes684[[#This Row],[IMPORTE NETO]]*0.21</f>
        <v>4970.5844999999999</v>
      </c>
      <c r="J2179" s="64"/>
      <c r="K2179" s="64"/>
      <c r="L2179" s="64">
        <f>SUM(ventas_b_mes684[[#This Row],[IMPORTE NETO]:[EXENTO]])</f>
        <v>28640.034500000002</v>
      </c>
      <c r="M2179" s="59"/>
    </row>
    <row r="2180" spans="2:13">
      <c r="B2180" s="40" t="s">
        <v>2322</v>
      </c>
      <c r="C2180" s="41">
        <v>6</v>
      </c>
      <c r="D2180" s="42">
        <v>15</v>
      </c>
      <c r="E2180" s="43">
        <v>13463</v>
      </c>
      <c r="F2180" s="44">
        <v>30809515</v>
      </c>
      <c r="G2180" s="1" t="str">
        <f>IFERROR(IF(ventas_b_mes684[[#This Row],[CUIT]]="","-",VLOOKUP(ventas_b_mes684[[#This Row],[CUIT]],Lista_CUIT[#All],2,0)),"CUIT NO CARGADO")</f>
        <v>CUIT NO CARGADO</v>
      </c>
      <c r="H2180" s="64">
        <v>48462.81</v>
      </c>
      <c r="I2180" s="64">
        <f>ventas_b_mes684[[#This Row],[IMPORTE NETO]]*0.21</f>
        <v>10177.1901</v>
      </c>
      <c r="J2180" s="64"/>
      <c r="K2180" s="64"/>
      <c r="L2180" s="64">
        <f>SUM(ventas_b_mes684[[#This Row],[IMPORTE NETO]:[EXENTO]])</f>
        <v>58640.000099999997</v>
      </c>
      <c r="M2180" s="59"/>
    </row>
    <row r="2181" spans="2:13">
      <c r="B2181" s="40" t="s">
        <v>2322</v>
      </c>
      <c r="C2181" s="41">
        <v>6</v>
      </c>
      <c r="D2181" s="42">
        <v>15</v>
      </c>
      <c r="E2181" s="43">
        <v>13464</v>
      </c>
      <c r="F2181" s="44">
        <v>22456987</v>
      </c>
      <c r="G2181" s="1" t="str">
        <f>IFERROR(IF(ventas_b_mes684[[#This Row],[CUIT]]="","-",VLOOKUP(ventas_b_mes684[[#This Row],[CUIT]],Lista_CUIT[#All],2,0)),"CUIT NO CARGADO")</f>
        <v>CUIT NO CARGADO</v>
      </c>
      <c r="H2181" s="64">
        <v>51173.62</v>
      </c>
      <c r="I2181" s="64">
        <f>ventas_b_mes684[[#This Row],[IMPORTE NETO]]*0.21</f>
        <v>10746.4602</v>
      </c>
      <c r="J2181" s="64"/>
      <c r="K2181" s="64"/>
      <c r="L2181" s="64">
        <f>SUM(ventas_b_mes684[[#This Row],[IMPORTE NETO]:[EXENTO]])</f>
        <v>61920.080200000004</v>
      </c>
      <c r="M2181" s="59"/>
    </row>
    <row r="2182" spans="2:13">
      <c r="B2182" s="40" t="s">
        <v>2322</v>
      </c>
      <c r="C2182" s="41">
        <v>6</v>
      </c>
      <c r="D2182" s="42">
        <v>15</v>
      </c>
      <c r="E2182" s="43">
        <v>13465</v>
      </c>
      <c r="F2182" s="44">
        <v>28474983</v>
      </c>
      <c r="G2182" s="1" t="str">
        <f>IFERROR(IF(ventas_b_mes684[[#This Row],[CUIT]]="","-",VLOOKUP(ventas_b_mes684[[#This Row],[CUIT]],Lista_CUIT[#All],2,0)),"CUIT NO CARGADO")</f>
        <v>CUIT NO CARGADO</v>
      </c>
      <c r="H2182" s="64">
        <v>56198.35</v>
      </c>
      <c r="I2182" s="64">
        <f>ventas_b_mes684[[#This Row],[IMPORTE NETO]]*0.21</f>
        <v>11801.653499999999</v>
      </c>
      <c r="J2182" s="64"/>
      <c r="K2182" s="64"/>
      <c r="L2182" s="64">
        <f>SUM(ventas_b_mes684[[#This Row],[IMPORTE NETO]:[EXENTO]])</f>
        <v>68000.003499999992</v>
      </c>
      <c r="M2182" s="59"/>
    </row>
    <row r="2183" spans="2:13">
      <c r="B2183" s="40" t="s">
        <v>2322</v>
      </c>
      <c r="C2183" s="41">
        <v>6</v>
      </c>
      <c r="D2183" s="42">
        <v>12</v>
      </c>
      <c r="E2183" s="43">
        <v>29875</v>
      </c>
      <c r="F2183" s="44">
        <v>27167857278</v>
      </c>
      <c r="G2183" s="1" t="str">
        <f>IFERROR(IF(ventas_b_mes684[[#This Row],[CUIT]]="","-",VLOOKUP(ventas_b_mes684[[#This Row],[CUIT]],Lista_CUIT[#All],2,0)),"CUIT NO CARGADO")</f>
        <v>CUIT NO CARGADO</v>
      </c>
      <c r="H2183" s="64">
        <v>10909.09</v>
      </c>
      <c r="I2183" s="64">
        <f>ventas_b_mes684[[#This Row],[IMPORTE NETO]]*0.21</f>
        <v>2290.9088999999999</v>
      </c>
      <c r="J2183" s="64"/>
      <c r="K2183" s="64"/>
      <c r="L2183" s="64">
        <f>SUM(ventas_b_mes684[[#This Row],[IMPORTE NETO]:[EXENTO]])</f>
        <v>13199.998900000001</v>
      </c>
      <c r="M2183" s="59"/>
    </row>
    <row r="2184" spans="2:13">
      <c r="B2184" s="40" t="s">
        <v>2322</v>
      </c>
      <c r="C2184" s="41">
        <v>6</v>
      </c>
      <c r="D2184" s="42">
        <v>11</v>
      </c>
      <c r="E2184" s="43">
        <v>38401</v>
      </c>
      <c r="F2184" s="44">
        <v>24742084</v>
      </c>
      <c r="G2184" s="1" t="str">
        <f>IFERROR(IF(ventas_b_mes684[[#This Row],[CUIT]]="","-",VLOOKUP(ventas_b_mes684[[#This Row],[CUIT]],Lista_CUIT[#All],2,0)),"CUIT NO CARGADO")</f>
        <v>CUIT NO CARGADO</v>
      </c>
      <c r="H2184" s="64">
        <v>10115.700000000001</v>
      </c>
      <c r="I2184" s="64">
        <f>ventas_b_mes684[[#This Row],[IMPORTE NETO]]*0.21</f>
        <v>2124.297</v>
      </c>
      <c r="J2184" s="64"/>
      <c r="K2184" s="64"/>
      <c r="L2184" s="64">
        <f>SUM(ventas_b_mes684[[#This Row],[IMPORTE NETO]:[EXENTO]])</f>
        <v>12239.997000000001</v>
      </c>
      <c r="M2184" s="59"/>
    </row>
    <row r="2185" spans="2:13">
      <c r="B2185" s="40" t="s">
        <v>2322</v>
      </c>
      <c r="C2185" s="41">
        <v>6</v>
      </c>
      <c r="D2185" s="42">
        <v>13</v>
      </c>
      <c r="E2185" s="43">
        <v>32622</v>
      </c>
      <c r="F2185" s="44">
        <v>14547227</v>
      </c>
      <c r="G2185" s="1" t="str">
        <f>IFERROR(IF(ventas_b_mes684[[#This Row],[CUIT]]="","-",VLOOKUP(ventas_b_mes684[[#This Row],[CUIT]],Lista_CUIT[#All],2,0)),"CUIT NO CARGADO")</f>
        <v>CUIT NO CARGADO</v>
      </c>
      <c r="H2185" s="64">
        <v>73123.990000000005</v>
      </c>
      <c r="I2185" s="64">
        <f>ventas_b_mes684[[#This Row],[IMPORTE NETO]]*0.21</f>
        <v>15356.037900000001</v>
      </c>
      <c r="J2185" s="64"/>
      <c r="K2185" s="64"/>
      <c r="L2185" s="64">
        <f>SUM(ventas_b_mes684[[#This Row],[IMPORTE NETO]:[EXENTO]])</f>
        <v>88480.027900000001</v>
      </c>
      <c r="M2185" s="59"/>
    </row>
    <row r="2186" spans="2:13">
      <c r="B2186" s="40" t="s">
        <v>2322</v>
      </c>
      <c r="C2186" s="41">
        <v>6</v>
      </c>
      <c r="D2186" s="42">
        <v>10</v>
      </c>
      <c r="E2186" s="43">
        <v>54709</v>
      </c>
      <c r="F2186" s="44">
        <v>28958249</v>
      </c>
      <c r="G2186" s="1" t="str">
        <f>IFERROR(IF(ventas_b_mes684[[#This Row],[CUIT]]="","-",VLOOKUP(ventas_b_mes684[[#This Row],[CUIT]],Lista_CUIT[#All],2,0)),"CUIT NO CARGADO")</f>
        <v>CUIT NO CARGADO</v>
      </c>
      <c r="H2186" s="64">
        <v>4462.8100000000004</v>
      </c>
      <c r="I2186" s="64">
        <f>ventas_b_mes684[[#This Row],[IMPORTE NETO]]*0.21</f>
        <v>937.19010000000003</v>
      </c>
      <c r="J2186" s="64"/>
      <c r="K2186" s="64"/>
      <c r="L2186" s="64">
        <f>SUM(ventas_b_mes684[[#This Row],[IMPORTE NETO]:[EXENTO]])</f>
        <v>5400.0001000000002</v>
      </c>
      <c r="M2186" s="59"/>
    </row>
    <row r="2187" spans="2:13">
      <c r="B2187" s="40" t="s">
        <v>2322</v>
      </c>
      <c r="C2187" s="41">
        <v>6</v>
      </c>
      <c r="D2187" s="42">
        <v>12</v>
      </c>
      <c r="E2187" s="43">
        <v>29889</v>
      </c>
      <c r="F2187" s="44">
        <v>16056751</v>
      </c>
      <c r="G2187" s="1" t="str">
        <f>IFERROR(IF(ventas_b_mes684[[#This Row],[CUIT]]="","-",VLOOKUP(ventas_b_mes684[[#This Row],[CUIT]],Lista_CUIT[#All],2,0)),"CUIT NO CARGADO")</f>
        <v>CUIT NO CARGADO</v>
      </c>
      <c r="H2187" s="64">
        <v>1685.95</v>
      </c>
      <c r="I2187" s="64">
        <f>ventas_b_mes684[[#This Row],[IMPORTE NETO]]*0.21</f>
        <v>354.04950000000002</v>
      </c>
      <c r="J2187" s="64"/>
      <c r="K2187" s="64"/>
      <c r="L2187" s="64">
        <f>SUM(ventas_b_mes684[[#This Row],[IMPORTE NETO]:[EXENTO]])</f>
        <v>2039.9995000000001</v>
      </c>
      <c r="M2187" s="59"/>
    </row>
    <row r="2188" spans="2:13">
      <c r="B2188" s="40" t="s">
        <v>2322</v>
      </c>
      <c r="C2188" s="41">
        <v>6</v>
      </c>
      <c r="D2188" s="42">
        <v>15</v>
      </c>
      <c r="E2188" s="43">
        <v>13452</v>
      </c>
      <c r="F2188" s="44">
        <v>29734146</v>
      </c>
      <c r="G2188" s="1" t="str">
        <f>IFERROR(IF(ventas_b_mes684[[#This Row],[CUIT]]="","-",VLOOKUP(ventas_b_mes684[[#This Row],[CUIT]],Lista_CUIT[#All],2,0)),"CUIT NO CARGADO")</f>
        <v>ARCEIZ,NOELIA</v>
      </c>
      <c r="H2188" s="64">
        <v>21289.26</v>
      </c>
      <c r="I2188" s="64">
        <f>ventas_b_mes684[[#This Row],[IMPORTE NETO]]*0.21</f>
        <v>4470.7445999999991</v>
      </c>
      <c r="J2188" s="64"/>
      <c r="K2188" s="64"/>
      <c r="L2188" s="64">
        <f>SUM(ventas_b_mes684[[#This Row],[IMPORTE NETO]:[EXENTO]])</f>
        <v>25760.004599999997</v>
      </c>
      <c r="M2188" s="59"/>
    </row>
    <row r="2189" spans="2:13">
      <c r="B2189" s="40" t="s">
        <v>2322</v>
      </c>
      <c r="C2189" s="41">
        <v>6</v>
      </c>
      <c r="D2189" s="42">
        <v>13</v>
      </c>
      <c r="E2189" s="43">
        <v>32611</v>
      </c>
      <c r="F2189" s="44">
        <v>26479003</v>
      </c>
      <c r="G2189" s="1" t="str">
        <f>IFERROR(IF(ventas_b_mes684[[#This Row],[CUIT]]="","-",VLOOKUP(ventas_b_mes684[[#This Row],[CUIT]],Lista_CUIT[#All],2,0)),"CUIT NO CARGADO")</f>
        <v>CUIT NO CARGADO</v>
      </c>
      <c r="H2189" s="64">
        <v>21157.02</v>
      </c>
      <c r="I2189" s="64">
        <f>ventas_b_mes684[[#This Row],[IMPORTE NETO]]*0.21</f>
        <v>4442.9741999999997</v>
      </c>
      <c r="J2189" s="64"/>
      <c r="K2189" s="64"/>
      <c r="L2189" s="64">
        <f>SUM(ventas_b_mes684[[#This Row],[IMPORTE NETO]:[EXENTO]])</f>
        <v>25599.994200000001</v>
      </c>
      <c r="M2189" s="59"/>
    </row>
    <row r="2190" spans="2:13">
      <c r="B2190" s="40" t="s">
        <v>2322</v>
      </c>
      <c r="C2190" s="41">
        <v>6</v>
      </c>
      <c r="D2190" s="42">
        <v>13</v>
      </c>
      <c r="E2190" s="43">
        <v>32613</v>
      </c>
      <c r="F2190" s="44">
        <v>22549264</v>
      </c>
      <c r="G2190" s="1" t="str">
        <f>IFERROR(IF(ventas_b_mes684[[#This Row],[CUIT]]="","-",VLOOKUP(ventas_b_mes684[[#This Row],[CUIT]],Lista_CUIT[#All],2,0)),"CUIT NO CARGADO")</f>
        <v>CUIT NO CARGADO</v>
      </c>
      <c r="H2190" s="64">
        <v>103462.79</v>
      </c>
      <c r="I2190" s="64">
        <f>ventas_b_mes684[[#This Row],[IMPORTE NETO]]*0.21</f>
        <v>21727.185899999997</v>
      </c>
      <c r="J2190" s="64"/>
      <c r="K2190" s="64"/>
      <c r="L2190" s="64">
        <f>SUM(ventas_b_mes684[[#This Row],[IMPORTE NETO]:[EXENTO]])</f>
        <v>125189.97589999999</v>
      </c>
      <c r="M2190" s="59"/>
    </row>
    <row r="2191" spans="2:13">
      <c r="B2191" s="40" t="s">
        <v>2322</v>
      </c>
      <c r="C2191" s="41">
        <v>6</v>
      </c>
      <c r="D2191" s="42">
        <v>15</v>
      </c>
      <c r="E2191" s="43">
        <v>13457</v>
      </c>
      <c r="F2191" s="44">
        <v>33086577</v>
      </c>
      <c r="G2191" s="1" t="str">
        <f>IFERROR(IF(ventas_b_mes684[[#This Row],[CUIT]]="","-",VLOOKUP(ventas_b_mes684[[#This Row],[CUIT]],Lista_CUIT[#All],2,0)),"CUIT NO CARGADO")</f>
        <v>CUIT NO CARGADO</v>
      </c>
      <c r="H2191" s="64">
        <v>11239.67</v>
      </c>
      <c r="I2191" s="64">
        <f>ventas_b_mes684[[#This Row],[IMPORTE NETO]]*0.21</f>
        <v>2360.3307</v>
      </c>
      <c r="J2191" s="64"/>
      <c r="K2191" s="64"/>
      <c r="L2191" s="64">
        <f>SUM(ventas_b_mes684[[#This Row],[IMPORTE NETO]:[EXENTO]])</f>
        <v>13600.000700000001</v>
      </c>
      <c r="M2191" s="59"/>
    </row>
    <row r="2192" spans="2:13">
      <c r="B2192" s="40" t="s">
        <v>2322</v>
      </c>
      <c r="C2192" s="41">
        <v>6</v>
      </c>
      <c r="D2192" s="538">
        <v>13</v>
      </c>
      <c r="E2192" s="539">
        <v>32615</v>
      </c>
      <c r="F2192" s="540">
        <v>27949525061</v>
      </c>
      <c r="G2192" s="541" t="str">
        <f>IFERROR(IF(ventas_b_mes684[[#This Row],[CUIT]]="","-",VLOOKUP(ventas_b_mes684[[#This Row],[CUIT]],Lista_CUIT[#All],2,0)),"CUIT NO CARGADO")</f>
        <v>LOAIZA LOAYZA GRACIELA ELIZABETH</v>
      </c>
      <c r="H2192" s="64">
        <v>63272.73</v>
      </c>
      <c r="I2192" s="485">
        <f>ventas_b_mes684[[#This Row],[IMPORTE NETO]]*0.21</f>
        <v>13287.273300000001</v>
      </c>
      <c r="J2192" s="486"/>
      <c r="K2192" s="486"/>
      <c r="L2192" s="486">
        <f>SUM(ventas_b_mes684[[#This Row],[IMPORTE NETO]:[EXENTO]])</f>
        <v>76560.003300000011</v>
      </c>
      <c r="M2192" s="487"/>
    </row>
    <row r="2193" spans="2:13">
      <c r="B2193" s="40" t="s">
        <v>2322</v>
      </c>
      <c r="C2193" s="41">
        <v>6</v>
      </c>
      <c r="D2193" s="538">
        <v>11</v>
      </c>
      <c r="E2193" s="539">
        <v>38403</v>
      </c>
      <c r="F2193" s="540">
        <v>21471333</v>
      </c>
      <c r="G2193" s="541" t="str">
        <f>IFERROR(IF(ventas_b_mes684[[#This Row],[CUIT]]="","-",VLOOKUP(ventas_b_mes684[[#This Row],[CUIT]],Lista_CUIT[#All],2,0)),"CUIT NO CARGADO")</f>
        <v>CUIT NO CARGADO</v>
      </c>
      <c r="H2193" s="64">
        <v>20661.16</v>
      </c>
      <c r="I2193" s="485">
        <f>ventas_b_mes684[[#This Row],[IMPORTE NETO]]*0.21</f>
        <v>4338.8436000000002</v>
      </c>
      <c r="J2193" s="486"/>
      <c r="K2193" s="486"/>
      <c r="L2193" s="486">
        <f>SUM(ventas_b_mes684[[#This Row],[IMPORTE NETO]:[EXENTO]])</f>
        <v>25000.0036</v>
      </c>
      <c r="M2193" s="487"/>
    </row>
    <row r="2194" spans="2:13">
      <c r="B2194" s="40" t="s">
        <v>2322</v>
      </c>
      <c r="C2194" s="41">
        <v>6</v>
      </c>
      <c r="D2194" s="538">
        <v>15</v>
      </c>
      <c r="E2194" s="539">
        <v>13466</v>
      </c>
      <c r="F2194" s="540">
        <v>26317214</v>
      </c>
      <c r="G2194" s="541" t="str">
        <f>IFERROR(IF(ventas_b_mes684[[#This Row],[CUIT]]="","-",VLOOKUP(ventas_b_mes684[[#This Row],[CUIT]],Lista_CUIT[#All],2,0)),"CUIT NO CARGADO")</f>
        <v>CUIT NO CARGADO</v>
      </c>
      <c r="H2194" s="64">
        <v>23603.31</v>
      </c>
      <c r="I2194" s="485">
        <f>ventas_b_mes684[[#This Row],[IMPORTE NETO]]*0.21</f>
        <v>4956.6950999999999</v>
      </c>
      <c r="J2194" s="486"/>
      <c r="K2194" s="486"/>
      <c r="L2194" s="486">
        <f>SUM(ventas_b_mes684[[#This Row],[IMPORTE NETO]:[EXENTO]])</f>
        <v>28560.005100000002</v>
      </c>
      <c r="M2194" s="487"/>
    </row>
    <row r="2195" spans="2:13">
      <c r="B2195" s="40" t="s">
        <v>2322</v>
      </c>
      <c r="C2195" s="41">
        <v>6</v>
      </c>
      <c r="D2195" s="538">
        <v>12</v>
      </c>
      <c r="E2195" s="539">
        <v>29884</v>
      </c>
      <c r="F2195" s="540">
        <v>17540232</v>
      </c>
      <c r="G2195" s="541" t="str">
        <f>IFERROR(IF(ventas_b_mes684[[#This Row],[CUIT]]="","-",VLOOKUP(ventas_b_mes684[[#This Row],[CUIT]],Lista_CUIT[#All],2,0)),"CUIT NO CARGADO")</f>
        <v>CUIT NO CARGADO</v>
      </c>
      <c r="H2195" s="64">
        <v>16264.46</v>
      </c>
      <c r="I2195" s="485">
        <f>ventas_b_mes684[[#This Row],[IMPORTE NETO]]*0.21</f>
        <v>3415.5365999999999</v>
      </c>
      <c r="J2195" s="486"/>
      <c r="K2195" s="486"/>
      <c r="L2195" s="486">
        <f>SUM(ventas_b_mes684[[#This Row],[IMPORTE NETO]:[EXENTO]])</f>
        <v>19679.996599999999</v>
      </c>
      <c r="M2195" s="487"/>
    </row>
    <row r="2196" spans="2:13">
      <c r="B2196" s="40" t="s">
        <v>2322</v>
      </c>
      <c r="C2196" s="41">
        <v>6</v>
      </c>
      <c r="D2196" s="538">
        <v>12</v>
      </c>
      <c r="E2196" s="539">
        <v>29887</v>
      </c>
      <c r="F2196" s="540">
        <v>22226569</v>
      </c>
      <c r="G2196" s="541" t="str">
        <f>IFERROR(IF(ventas_b_mes684[[#This Row],[CUIT]]="","-",VLOOKUP(ventas_b_mes684[[#This Row],[CUIT]],Lista_CUIT[#All],2,0)),"CUIT NO CARGADO")</f>
        <v>CUIT NO CARGADO</v>
      </c>
      <c r="H2196" s="64">
        <v>17388.43</v>
      </c>
      <c r="I2196" s="485">
        <f>ventas_b_mes684[[#This Row],[IMPORTE NETO]]*0.21</f>
        <v>3651.5702999999999</v>
      </c>
      <c r="J2196" s="486"/>
      <c r="K2196" s="486"/>
      <c r="L2196" s="486">
        <f>SUM(ventas_b_mes684[[#This Row],[IMPORTE NETO]:[EXENTO]])</f>
        <v>21040.0003</v>
      </c>
      <c r="M2196" s="487"/>
    </row>
    <row r="2197" spans="2:13">
      <c r="B2197" s="40" t="s">
        <v>2322</v>
      </c>
      <c r="C2197" s="41">
        <v>6</v>
      </c>
      <c r="D2197" s="538">
        <v>15</v>
      </c>
      <c r="E2197" s="539">
        <v>13471</v>
      </c>
      <c r="F2197" s="540">
        <v>94821517</v>
      </c>
      <c r="G2197" s="541" t="str">
        <f>IFERROR(IF(ventas_b_mes684[[#This Row],[CUIT]]="","-",VLOOKUP(ventas_b_mes684[[#This Row],[CUIT]],Lista_CUIT[#All],2,0)),"CUIT NO CARGADO")</f>
        <v>CUIT NO CARGADO</v>
      </c>
      <c r="H2197" s="64">
        <v>8991.74</v>
      </c>
      <c r="I2197" s="485">
        <f>ventas_b_mes684[[#This Row],[IMPORTE NETO]]*0.21</f>
        <v>1888.2653999999998</v>
      </c>
      <c r="J2197" s="486"/>
      <c r="K2197" s="486"/>
      <c r="L2197" s="486">
        <f>SUM(ventas_b_mes684[[#This Row],[IMPORTE NETO]:[EXENTO]])</f>
        <v>10880.0054</v>
      </c>
      <c r="M2197" s="487"/>
    </row>
    <row r="2198" spans="2:13">
      <c r="B2198" s="40" t="s">
        <v>2322</v>
      </c>
      <c r="C2198" s="41">
        <v>6</v>
      </c>
      <c r="D2198" s="538">
        <v>10</v>
      </c>
      <c r="E2198" s="539">
        <v>54701</v>
      </c>
      <c r="F2198" s="540">
        <v>27220670878</v>
      </c>
      <c r="G2198" s="541" t="str">
        <f>IFERROR(IF(ventas_b_mes684[[#This Row],[CUIT]]="","-",VLOOKUP(ventas_b_mes684[[#This Row],[CUIT]],Lista_CUIT[#All],2,0)),"CUIT NO CARGADO")</f>
        <v>SOSA KARINA ERICA</v>
      </c>
      <c r="H2198" s="64">
        <v>41126.03</v>
      </c>
      <c r="I2198" s="485">
        <f>ventas_b_mes684[[#This Row],[IMPORTE NETO]]*0.21</f>
        <v>8636.4663</v>
      </c>
      <c r="J2198" s="486"/>
      <c r="K2198" s="486"/>
      <c r="L2198" s="486">
        <f>SUM(ventas_b_mes684[[#This Row],[IMPORTE NETO]:[EXENTO]])</f>
        <v>49762.496299999999</v>
      </c>
      <c r="M2198" s="487"/>
    </row>
    <row r="2199" spans="2:13">
      <c r="B2199" s="40" t="s">
        <v>2322</v>
      </c>
      <c r="C2199" s="41">
        <v>6</v>
      </c>
      <c r="D2199" s="538">
        <v>11</v>
      </c>
      <c r="E2199" s="539">
        <v>38423</v>
      </c>
      <c r="F2199" s="540">
        <v>23953508</v>
      </c>
      <c r="G2199" s="541" t="str">
        <f>IFERROR(IF(ventas_b_mes684[[#This Row],[CUIT]]="","-",VLOOKUP(ventas_b_mes684[[#This Row],[CUIT]],Lista_CUIT[#All],2,0)),"CUIT NO CARGADO")</f>
        <v>CUIT NO CARGADO</v>
      </c>
      <c r="H2199" s="64">
        <v>16528.93</v>
      </c>
      <c r="I2199" s="485">
        <f>ventas_b_mes684[[#This Row],[IMPORTE NETO]]*0.21</f>
        <v>3471.0753</v>
      </c>
      <c r="J2199" s="486"/>
      <c r="K2199" s="486"/>
      <c r="L2199" s="486">
        <f>SUM(ventas_b_mes684[[#This Row],[IMPORTE NETO]:[EXENTO]])</f>
        <v>20000.005300000001</v>
      </c>
      <c r="M2199" s="487"/>
    </row>
    <row r="2200" spans="2:13">
      <c r="B2200" s="40" t="s">
        <v>2322</v>
      </c>
      <c r="C2200" s="41">
        <v>6</v>
      </c>
      <c r="D2200" s="538">
        <v>12</v>
      </c>
      <c r="E2200" s="539">
        <v>29879</v>
      </c>
      <c r="F2200" s="540">
        <v>25515798</v>
      </c>
      <c r="G2200" s="541" t="str">
        <f>IFERROR(IF(ventas_b_mes684[[#This Row],[CUIT]]="","-",VLOOKUP(ventas_b_mes684[[#This Row],[CUIT]],Lista_CUIT[#All],2,0)),"CUIT NO CARGADO")</f>
        <v>CUIT NO CARGADO</v>
      </c>
      <c r="H2200" s="64">
        <v>46611.6</v>
      </c>
      <c r="I2200" s="485">
        <f>ventas_b_mes684[[#This Row],[IMPORTE NETO]]*0.21</f>
        <v>9788.4359999999997</v>
      </c>
      <c r="J2200" s="486"/>
      <c r="K2200" s="486"/>
      <c r="L2200" s="486">
        <f>SUM(ventas_b_mes684[[#This Row],[IMPORTE NETO]:[EXENTO]])</f>
        <v>56400.036</v>
      </c>
      <c r="M2200" s="487"/>
    </row>
    <row r="2201" spans="2:13">
      <c r="B2201" s="40" t="s">
        <v>2322</v>
      </c>
      <c r="C2201" s="41">
        <v>6</v>
      </c>
      <c r="D2201" s="538">
        <v>12</v>
      </c>
      <c r="E2201" s="539">
        <v>29874</v>
      </c>
      <c r="F2201" s="540">
        <v>28537620</v>
      </c>
      <c r="G2201" s="541" t="str">
        <f>IFERROR(IF(ventas_b_mes684[[#This Row],[CUIT]]="","-",VLOOKUP(ventas_b_mes684[[#This Row],[CUIT]],Lista_CUIT[#All],2,0)),"CUIT NO CARGADO")</f>
        <v>CUIT NO CARGADO</v>
      </c>
      <c r="H2201" s="64">
        <v>5157.0200000000004</v>
      </c>
      <c r="I2201" s="485">
        <f>ventas_b_mes684[[#This Row],[IMPORTE NETO]]*0.21</f>
        <v>1082.9742000000001</v>
      </c>
      <c r="J2201" s="486"/>
      <c r="K2201" s="486"/>
      <c r="L2201" s="486">
        <f>SUM(ventas_b_mes684[[#This Row],[IMPORTE NETO]:[EXENTO]])</f>
        <v>6239.994200000001</v>
      </c>
      <c r="M2201" s="487"/>
    </row>
    <row r="2202" spans="2:13">
      <c r="B2202" s="40" t="s">
        <v>2322</v>
      </c>
      <c r="C2202" s="41">
        <v>6</v>
      </c>
      <c r="D2202" s="538">
        <v>13</v>
      </c>
      <c r="E2202" s="539">
        <v>32608</v>
      </c>
      <c r="F2202" s="540">
        <v>16987456</v>
      </c>
      <c r="G2202" s="541" t="str">
        <f>IFERROR(IF(ventas_b_mes684[[#This Row],[CUIT]]="","-",VLOOKUP(ventas_b_mes684[[#This Row],[CUIT]],Lista_CUIT[#All],2,0)),"CUIT NO CARGADO")</f>
        <v>CUIT NO CARGADO</v>
      </c>
      <c r="H2202" s="64">
        <v>28960.36</v>
      </c>
      <c r="I2202" s="485">
        <f>ventas_b_mes684[[#This Row],[IMPORTE NETO]]*0.21</f>
        <v>6081.6755999999996</v>
      </c>
      <c r="J2202" s="486"/>
      <c r="K2202" s="486"/>
      <c r="L2202" s="486">
        <f>SUM(ventas_b_mes684[[#This Row],[IMPORTE NETO]:[EXENTO]])</f>
        <v>35042.035600000003</v>
      </c>
      <c r="M2202" s="487"/>
    </row>
    <row r="2203" spans="2:13">
      <c r="B2203" s="40" t="s">
        <v>2322</v>
      </c>
      <c r="C2203" s="41">
        <v>6</v>
      </c>
      <c r="D2203" s="538">
        <v>15</v>
      </c>
      <c r="E2203" s="539">
        <v>13451</v>
      </c>
      <c r="F2203" s="540">
        <v>16518619</v>
      </c>
      <c r="G2203" s="541" t="str">
        <f>IFERROR(IF(ventas_b_mes684[[#This Row],[CUIT]]="","-",VLOOKUP(ventas_b_mes684[[#This Row],[CUIT]],Lista_CUIT[#All],2,0)),"CUIT NO CARGADO")</f>
        <v>CUIT NO CARGADO</v>
      </c>
      <c r="H2203" s="64">
        <v>10776.86</v>
      </c>
      <c r="I2203" s="485">
        <f>ventas_b_mes684[[#This Row],[IMPORTE NETO]]*0.21</f>
        <v>2263.1406000000002</v>
      </c>
      <c r="J2203" s="486"/>
      <c r="K2203" s="486"/>
      <c r="L2203" s="486">
        <f>SUM(ventas_b_mes684[[#This Row],[IMPORTE NETO]:[EXENTO]])</f>
        <v>13040.000600000001</v>
      </c>
      <c r="M2203" s="487"/>
    </row>
    <row r="2204" spans="2:13">
      <c r="B2204" s="40" t="s">
        <v>2322</v>
      </c>
      <c r="C2204" s="41">
        <v>6</v>
      </c>
      <c r="D2204" s="538">
        <v>11</v>
      </c>
      <c r="E2204" s="539">
        <v>38405</v>
      </c>
      <c r="F2204" s="540">
        <v>16404214</v>
      </c>
      <c r="G2204" s="541" t="str">
        <f>IFERROR(IF(ventas_b_mes684[[#This Row],[CUIT]]="","-",VLOOKUP(ventas_b_mes684[[#This Row],[CUIT]],Lista_CUIT[#All],2,0)),"CUIT NO CARGADO")</f>
        <v>CUIT NO CARGADO</v>
      </c>
      <c r="H2204" s="64">
        <v>27438.02</v>
      </c>
      <c r="I2204" s="485">
        <f>ventas_b_mes684[[#This Row],[IMPORTE NETO]]*0.21</f>
        <v>5761.9841999999999</v>
      </c>
      <c r="J2204" s="486"/>
      <c r="K2204" s="486"/>
      <c r="L2204" s="486">
        <f>SUM(ventas_b_mes684[[#This Row],[IMPORTE NETO]:[EXENTO]])</f>
        <v>33200.004200000003</v>
      </c>
      <c r="M2204" s="487"/>
    </row>
    <row r="2205" spans="2:13">
      <c r="B2205" s="40" t="s">
        <v>2322</v>
      </c>
      <c r="C2205" s="41">
        <v>6</v>
      </c>
      <c r="D2205" s="538">
        <v>10</v>
      </c>
      <c r="E2205" s="539">
        <v>54705</v>
      </c>
      <c r="F2205" s="540">
        <v>28692080</v>
      </c>
      <c r="G2205" s="541" t="str">
        <f>IFERROR(IF(ventas_b_mes684[[#This Row],[CUIT]]="","-",VLOOKUP(ventas_b_mes684[[#This Row],[CUIT]],Lista_CUIT[#All],2,0)),"CUIT NO CARGADO")</f>
        <v>CUIT NO CARGADO</v>
      </c>
      <c r="H2205" s="64">
        <v>20661.16</v>
      </c>
      <c r="I2205" s="485">
        <f>ventas_b_mes684[[#This Row],[IMPORTE NETO]]*0.21</f>
        <v>4338.8436000000002</v>
      </c>
      <c r="J2205" s="486"/>
      <c r="K2205" s="486"/>
      <c r="L2205" s="486">
        <f>SUM(ventas_b_mes684[[#This Row],[IMPORTE NETO]:[EXENTO]])</f>
        <v>25000.0036</v>
      </c>
      <c r="M2205" s="487"/>
    </row>
    <row r="2206" spans="2:13">
      <c r="B2206" s="40" t="s">
        <v>2322</v>
      </c>
      <c r="C2206" s="41">
        <v>6</v>
      </c>
      <c r="D2206" s="538">
        <v>10</v>
      </c>
      <c r="E2206" s="539">
        <v>54710</v>
      </c>
      <c r="F2206" s="540">
        <v>40639048</v>
      </c>
      <c r="G2206" s="541" t="str">
        <f>IFERROR(IF(ventas_b_mes684[[#This Row],[CUIT]]="","-",VLOOKUP(ventas_b_mes684[[#This Row],[CUIT]],Lista_CUIT[#All],2,0)),"CUIT NO CARGADO")</f>
        <v>CUIT NO CARGADO</v>
      </c>
      <c r="H2206" s="64">
        <v>33586.78</v>
      </c>
      <c r="I2206" s="485">
        <f>ventas_b_mes684[[#This Row],[IMPORTE NETO]]*0.21</f>
        <v>7053.2237999999998</v>
      </c>
      <c r="J2206" s="486"/>
      <c r="K2206" s="486"/>
      <c r="L2206" s="486">
        <f>SUM(ventas_b_mes684[[#This Row],[IMPORTE NETO]:[EXENTO]])</f>
        <v>40640.003799999999</v>
      </c>
      <c r="M2206" s="487"/>
    </row>
    <row r="2207" spans="2:13">
      <c r="B2207" s="40" t="s">
        <v>2322</v>
      </c>
      <c r="C2207" s="41">
        <v>6</v>
      </c>
      <c r="D2207" s="538">
        <v>12</v>
      </c>
      <c r="E2207" s="539">
        <v>29894</v>
      </c>
      <c r="F2207" s="540">
        <v>20001277</v>
      </c>
      <c r="G2207" s="541" t="str">
        <f>IFERROR(IF(ventas_b_mes684[[#This Row],[CUIT]]="","-",VLOOKUP(ventas_b_mes684[[#This Row],[CUIT]],Lista_CUIT[#All],2,0)),"CUIT NO CARGADO")</f>
        <v>CUIT NO CARGADO</v>
      </c>
      <c r="H2207" s="64">
        <v>12297.52</v>
      </c>
      <c r="I2207" s="485">
        <f>ventas_b_mes684[[#This Row],[IMPORTE NETO]]*0.21</f>
        <v>2582.4792000000002</v>
      </c>
      <c r="J2207" s="486"/>
      <c r="K2207" s="486"/>
      <c r="L2207" s="486">
        <f>SUM(ventas_b_mes684[[#This Row],[IMPORTE NETO]:[EXENTO]])</f>
        <v>14879.9992</v>
      </c>
      <c r="M2207" s="487"/>
    </row>
    <row r="2208" spans="2:13">
      <c r="B2208" s="40" t="s">
        <v>2322</v>
      </c>
      <c r="C2208" s="41">
        <v>6</v>
      </c>
      <c r="D2208" s="538">
        <v>15</v>
      </c>
      <c r="E2208" s="539">
        <v>13473</v>
      </c>
      <c r="F2208" s="540">
        <v>26272468</v>
      </c>
      <c r="G2208" s="541" t="str">
        <f>IFERROR(IF(ventas_b_mes684[[#This Row],[CUIT]]="","-",VLOOKUP(ventas_b_mes684[[#This Row],[CUIT]],Lista_CUIT[#All],2,0)),"CUIT NO CARGADO")</f>
        <v>CUIT NO CARGADO</v>
      </c>
      <c r="H2208" s="64">
        <v>28495.87</v>
      </c>
      <c r="I2208" s="485">
        <f>ventas_b_mes684[[#This Row],[IMPORTE NETO]]*0.21</f>
        <v>5984.1326999999992</v>
      </c>
      <c r="J2208" s="486"/>
      <c r="K2208" s="486"/>
      <c r="L2208" s="486">
        <f>SUM(ventas_b_mes684[[#This Row],[IMPORTE NETO]:[EXENTO]])</f>
        <v>34480.002699999997</v>
      </c>
      <c r="M2208" s="487"/>
    </row>
    <row r="2209" spans="2:13">
      <c r="B2209" s="40" t="s">
        <v>2322</v>
      </c>
      <c r="C2209" s="41">
        <v>6</v>
      </c>
      <c r="D2209" s="538">
        <v>11</v>
      </c>
      <c r="E2209" s="539">
        <v>38419</v>
      </c>
      <c r="F2209" s="540">
        <v>14952833</v>
      </c>
      <c r="G2209" s="541" t="str">
        <f>IFERROR(IF(ventas_b_mes684[[#This Row],[CUIT]]="","-",VLOOKUP(ventas_b_mes684[[#This Row],[CUIT]],Lista_CUIT[#All],2,0)),"CUIT NO CARGADO")</f>
        <v>CUIT NO CARGADO</v>
      </c>
      <c r="H2209" s="64">
        <v>40264.46</v>
      </c>
      <c r="I2209" s="485">
        <f>ventas_b_mes684[[#This Row],[IMPORTE NETO]]*0.21</f>
        <v>8455.5365999999995</v>
      </c>
      <c r="J2209" s="486"/>
      <c r="K2209" s="486"/>
      <c r="L2209" s="486">
        <f>SUM(ventas_b_mes684[[#This Row],[IMPORTE NETO]:[EXENTO]])</f>
        <v>48719.996599999999</v>
      </c>
      <c r="M2209" s="487"/>
    </row>
    <row r="2210" spans="2:13">
      <c r="B2210" s="40" t="s">
        <v>2322</v>
      </c>
      <c r="C2210" s="41">
        <v>6</v>
      </c>
      <c r="D2210" s="538">
        <v>13</v>
      </c>
      <c r="E2210" s="539">
        <v>32625</v>
      </c>
      <c r="F2210" s="540">
        <v>94402336</v>
      </c>
      <c r="G2210" s="541" t="str">
        <f>IFERROR(IF(ventas_b_mes684[[#This Row],[CUIT]]="","-",VLOOKUP(ventas_b_mes684[[#This Row],[CUIT]],Lista_CUIT[#All],2,0)),"CUIT NO CARGADO")</f>
        <v>CUIT NO CARGADO</v>
      </c>
      <c r="H2210" s="64">
        <v>20661.16</v>
      </c>
      <c r="I2210" s="485">
        <f>ventas_b_mes684[[#This Row],[IMPORTE NETO]]*0.21</f>
        <v>4338.8436000000002</v>
      </c>
      <c r="J2210" s="486"/>
      <c r="K2210" s="486"/>
      <c r="L2210" s="486">
        <f>SUM(ventas_b_mes684[[#This Row],[IMPORTE NETO]:[EXENTO]])</f>
        <v>25000.0036</v>
      </c>
      <c r="M2210" s="487"/>
    </row>
    <row r="2211" spans="2:13">
      <c r="B2211" s="40" t="s">
        <v>2322</v>
      </c>
      <c r="C2211" s="41">
        <v>6</v>
      </c>
      <c r="D2211" s="538">
        <v>12</v>
      </c>
      <c r="E2211" s="539">
        <v>29881</v>
      </c>
      <c r="F2211" s="540">
        <v>20069109</v>
      </c>
      <c r="G2211" s="541" t="str">
        <f>IFERROR(IF(ventas_b_mes684[[#This Row],[CUIT]]="","-",VLOOKUP(ventas_b_mes684[[#This Row],[CUIT]],Lista_CUIT[#All],2,0)),"CUIT NO CARGADO")</f>
        <v>CUIT NO CARGADO</v>
      </c>
      <c r="H2211" s="64">
        <v>25123.97</v>
      </c>
      <c r="I2211" s="485">
        <f>ventas_b_mes684[[#This Row],[IMPORTE NETO]]*0.21</f>
        <v>5276.0337</v>
      </c>
      <c r="J2211" s="486"/>
      <c r="K2211" s="486"/>
      <c r="L2211" s="486">
        <f>SUM(ventas_b_mes684[[#This Row],[IMPORTE NETO]:[EXENTO]])</f>
        <v>30400.003700000001</v>
      </c>
      <c r="M2211" s="487"/>
    </row>
    <row r="2212" spans="2:13">
      <c r="B2212" s="40" t="s">
        <v>2322</v>
      </c>
      <c r="C2212" s="41">
        <v>6</v>
      </c>
      <c r="D2212" s="538">
        <v>12</v>
      </c>
      <c r="E2212" s="539">
        <v>29885</v>
      </c>
      <c r="F2212" s="540">
        <v>20375243</v>
      </c>
      <c r="G2212" s="541" t="str">
        <f>IFERROR(IF(ventas_b_mes684[[#This Row],[CUIT]]="","-",VLOOKUP(ventas_b_mes684[[#This Row],[CUIT]],Lista_CUIT[#All],2,0)),"CUIT NO CARGADO")</f>
        <v>CUIT NO CARGADO</v>
      </c>
      <c r="H2212" s="64">
        <v>7603.32</v>
      </c>
      <c r="I2212" s="485">
        <f>ventas_b_mes684[[#This Row],[IMPORTE NETO]]*0.21</f>
        <v>1596.6971999999998</v>
      </c>
      <c r="J2212" s="486"/>
      <c r="K2212" s="486"/>
      <c r="L2212" s="486">
        <f>SUM(ventas_b_mes684[[#This Row],[IMPORTE NETO]:[EXENTO]])</f>
        <v>9200.0172000000002</v>
      </c>
      <c r="M2212" s="487"/>
    </row>
    <row r="2213" spans="2:13">
      <c r="B2213" s="40" t="s">
        <v>2322</v>
      </c>
      <c r="C2213" s="41">
        <v>6</v>
      </c>
      <c r="D2213" s="538">
        <v>10</v>
      </c>
      <c r="E2213" s="539">
        <v>54706</v>
      </c>
      <c r="F2213" s="540">
        <v>94531695</v>
      </c>
      <c r="G2213" s="541" t="str">
        <f>IFERROR(IF(ventas_b_mes684[[#This Row],[CUIT]]="","-",VLOOKUP(ventas_b_mes684[[#This Row],[CUIT]],Lista_CUIT[#All],2,0)),"CUIT NO CARGADO")</f>
        <v>CUIT NO CARGADO</v>
      </c>
      <c r="H2213" s="64">
        <v>20661.16</v>
      </c>
      <c r="I2213" s="485">
        <f>ventas_b_mes684[[#This Row],[IMPORTE NETO]]*0.21</f>
        <v>4338.8436000000002</v>
      </c>
      <c r="J2213" s="486"/>
      <c r="K2213" s="486"/>
      <c r="L2213" s="486">
        <f>SUM(ventas_b_mes684[[#This Row],[IMPORTE NETO]:[EXENTO]])</f>
        <v>25000.0036</v>
      </c>
      <c r="M2213" s="487"/>
    </row>
    <row r="2214" spans="2:13">
      <c r="B2214" s="40" t="s">
        <v>2322</v>
      </c>
      <c r="C2214" s="41">
        <v>6</v>
      </c>
      <c r="D2214" s="538">
        <v>10</v>
      </c>
      <c r="E2214" s="539">
        <v>54712</v>
      </c>
      <c r="F2214" s="540">
        <v>29506419</v>
      </c>
      <c r="G2214" s="541" t="str">
        <f>IFERROR(IF(ventas_b_mes684[[#This Row],[CUIT]]="","-",VLOOKUP(ventas_b_mes684[[#This Row],[CUIT]],Lista_CUIT[#All],2,0)),"CUIT NO CARGADO")</f>
        <v>CUIT NO CARGADO</v>
      </c>
      <c r="H2214" s="64">
        <v>71206.63</v>
      </c>
      <c r="I2214" s="485">
        <f>ventas_b_mes684[[#This Row],[IMPORTE NETO]]*0.21</f>
        <v>14953.3923</v>
      </c>
      <c r="J2214" s="486"/>
      <c r="K2214" s="486"/>
      <c r="L2214" s="486">
        <f>SUM(ventas_b_mes684[[#This Row],[IMPORTE NETO]:[EXENTO]])</f>
        <v>86160.022300000011</v>
      </c>
      <c r="M2214" s="487"/>
    </row>
    <row r="2215" spans="2:13">
      <c r="B2215" s="40" t="s">
        <v>2322</v>
      </c>
      <c r="C2215" s="41">
        <v>6</v>
      </c>
      <c r="D2215" s="538">
        <v>11</v>
      </c>
      <c r="E2215" s="539">
        <v>38413</v>
      </c>
      <c r="F2215" s="540">
        <v>0</v>
      </c>
      <c r="G2215" s="541" t="str">
        <f>IFERROR(IF(ventas_b_mes684[[#This Row],[CUIT]]="","-",VLOOKUP(ventas_b_mes684[[#This Row],[CUIT]],Lista_CUIT[#All],2,0)),"CUIT NO CARGADO")</f>
        <v>CUIT NO CARGADO</v>
      </c>
      <c r="H2215" s="64">
        <v>2776.86</v>
      </c>
      <c r="I2215" s="485">
        <f>ventas_b_mes684[[#This Row],[IMPORTE NETO]]*0.21</f>
        <v>583.14059999999995</v>
      </c>
      <c r="J2215" s="486"/>
      <c r="K2215" s="486"/>
      <c r="L2215" s="486">
        <f>SUM(ventas_b_mes684[[#This Row],[IMPORTE NETO]:[EXENTO]])</f>
        <v>3360.0006000000003</v>
      </c>
      <c r="M2215" s="487"/>
    </row>
    <row r="2216" spans="2:13">
      <c r="B2216" s="40" t="s">
        <v>2322</v>
      </c>
      <c r="C2216" s="41">
        <v>8</v>
      </c>
      <c r="D2216" s="538">
        <v>13</v>
      </c>
      <c r="E2216" s="539">
        <v>833</v>
      </c>
      <c r="F2216" s="540">
        <v>17618048</v>
      </c>
      <c r="G2216" s="541" t="str">
        <f>IFERROR(IF(ventas_b_mes684[[#This Row],[CUIT]]="","-",VLOOKUP(ventas_b_mes684[[#This Row],[CUIT]],Lista_CUIT[#All],2,0)),"CUIT NO CARGADO")</f>
        <v>CUIT NO CARGADO</v>
      </c>
      <c r="H2216" s="64">
        <v>-79008.259999999995</v>
      </c>
      <c r="I2216" s="485">
        <f>ventas_b_mes684[[#This Row],[IMPORTE NETO]]*0.21</f>
        <v>-16591.7346</v>
      </c>
      <c r="J2216" s="486"/>
      <c r="K2216" s="486"/>
      <c r="L2216" s="486">
        <f>SUM(ventas_b_mes684[[#This Row],[IMPORTE NETO]:[EXENTO]])</f>
        <v>-95599.994599999991</v>
      </c>
      <c r="M2216" s="487"/>
    </row>
    <row r="2217" spans="2:13">
      <c r="B2217" s="40" t="s">
        <v>2322</v>
      </c>
      <c r="C2217" s="41">
        <v>8</v>
      </c>
      <c r="D2217" s="538">
        <v>11</v>
      </c>
      <c r="E2217" s="539">
        <v>1044</v>
      </c>
      <c r="F2217" s="540">
        <v>28664336</v>
      </c>
      <c r="G2217" s="541" t="str">
        <f>IFERROR(IF(ventas_b_mes684[[#This Row],[CUIT]]="","-",VLOOKUP(ventas_b_mes684[[#This Row],[CUIT]],Lista_CUIT[#All],2,0)),"CUIT NO CARGADO")</f>
        <v>CUIT NO CARGADO</v>
      </c>
      <c r="H2217" s="64">
        <v>-7933.88</v>
      </c>
      <c r="I2217" s="485">
        <f>ventas_b_mes684[[#This Row],[IMPORTE NETO]]*0.21</f>
        <v>-1666.1148000000001</v>
      </c>
      <c r="J2217" s="486"/>
      <c r="K2217" s="486"/>
      <c r="L2217" s="486">
        <f>SUM(ventas_b_mes684[[#This Row],[IMPORTE NETO]:[EXENTO]])</f>
        <v>-9599.9948000000004</v>
      </c>
      <c r="M2217" s="487"/>
    </row>
    <row r="2218" spans="2:13">
      <c r="B2218" s="40" t="s">
        <v>2323</v>
      </c>
      <c r="C2218" s="41">
        <v>6</v>
      </c>
      <c r="D2218" s="538">
        <v>15</v>
      </c>
      <c r="E2218" s="539">
        <v>13509</v>
      </c>
      <c r="F2218" s="540">
        <v>29674993</v>
      </c>
      <c r="G2218" s="541" t="str">
        <f>IFERROR(IF(ventas_b_mes684[[#This Row],[CUIT]]="","-",VLOOKUP(ventas_b_mes684[[#This Row],[CUIT]],Lista_CUIT[#All],2,0)),"CUIT NO CARGADO")</f>
        <v>CUIT NO CARGADO</v>
      </c>
      <c r="H2218" s="64">
        <v>25256.2</v>
      </c>
      <c r="I2218" s="485">
        <f>ventas_b_mes684[[#This Row],[IMPORTE NETO]]*0.21</f>
        <v>5303.8019999999997</v>
      </c>
      <c r="J2218" s="486"/>
      <c r="K2218" s="486"/>
      <c r="L2218" s="486">
        <f>SUM(ventas_b_mes684[[#This Row],[IMPORTE NETO]:[EXENTO]])</f>
        <v>30560.002</v>
      </c>
      <c r="M2218" s="487"/>
    </row>
    <row r="2219" spans="2:13">
      <c r="B2219" s="40" t="s">
        <v>2323</v>
      </c>
      <c r="C2219" s="41">
        <v>6</v>
      </c>
      <c r="D2219" s="538">
        <v>12</v>
      </c>
      <c r="E2219" s="539">
        <v>29896</v>
      </c>
      <c r="F2219" s="540">
        <v>46352658</v>
      </c>
      <c r="G2219" s="541" t="str">
        <f>IFERROR(IF(ventas_b_mes684[[#This Row],[CUIT]]="","-",VLOOKUP(ventas_b_mes684[[#This Row],[CUIT]],Lista_CUIT[#All],2,0)),"CUIT NO CARGADO")</f>
        <v>CUIT NO CARGADO</v>
      </c>
      <c r="H2219" s="64">
        <v>32000.01</v>
      </c>
      <c r="I2219" s="485">
        <f>ventas_b_mes684[[#This Row],[IMPORTE NETO]]*0.21</f>
        <v>6720.0020999999997</v>
      </c>
      <c r="J2219" s="486"/>
      <c r="K2219" s="486"/>
      <c r="L2219" s="486">
        <f>SUM(ventas_b_mes684[[#This Row],[IMPORTE NETO]:[EXENTO]])</f>
        <v>38720.0121</v>
      </c>
      <c r="M2219" s="487"/>
    </row>
    <row r="2220" spans="2:13">
      <c r="B2220" s="40" t="s">
        <v>2323</v>
      </c>
      <c r="C2220" s="41">
        <v>6</v>
      </c>
      <c r="D2220" s="538">
        <v>15</v>
      </c>
      <c r="E2220" s="539">
        <v>13479</v>
      </c>
      <c r="F2220" s="540">
        <v>23992370</v>
      </c>
      <c r="G2220" s="541" t="str">
        <f>IFERROR(IF(ventas_b_mes684[[#This Row],[CUIT]]="","-",VLOOKUP(ventas_b_mes684[[#This Row],[CUIT]],Lista_CUIT[#All],2,0)),"CUIT NO CARGADO")</f>
        <v>CUIT NO CARGADO</v>
      </c>
      <c r="H2220" s="64">
        <v>20661.16</v>
      </c>
      <c r="I2220" s="485">
        <f>ventas_b_mes684[[#This Row],[IMPORTE NETO]]*0.21</f>
        <v>4338.8436000000002</v>
      </c>
      <c r="J2220" s="486"/>
      <c r="K2220" s="486"/>
      <c r="L2220" s="486">
        <f>SUM(ventas_b_mes684[[#This Row],[IMPORTE NETO]:[EXENTO]])</f>
        <v>25000.0036</v>
      </c>
      <c r="M2220" s="487"/>
    </row>
    <row r="2221" spans="2:13">
      <c r="B2221" s="40" t="s">
        <v>2323</v>
      </c>
      <c r="C2221" s="41">
        <v>6</v>
      </c>
      <c r="D2221" s="538">
        <v>10</v>
      </c>
      <c r="E2221" s="539">
        <v>54715</v>
      </c>
      <c r="F2221" s="540">
        <v>17988851</v>
      </c>
      <c r="G2221" s="541" t="str">
        <f>IFERROR(IF(ventas_b_mes684[[#This Row],[CUIT]]="","-",VLOOKUP(ventas_b_mes684[[#This Row],[CUIT]],Lista_CUIT[#All],2,0)),"CUIT NO CARGADO")</f>
        <v>CUIT NO CARGADO</v>
      </c>
      <c r="H2221" s="64">
        <v>55008.29</v>
      </c>
      <c r="I2221" s="485">
        <f>ventas_b_mes684[[#This Row],[IMPORTE NETO]]*0.21</f>
        <v>11551.740899999999</v>
      </c>
      <c r="J2221" s="486"/>
      <c r="K2221" s="486"/>
      <c r="L2221" s="486">
        <f>SUM(ventas_b_mes684[[#This Row],[IMPORTE NETO]:[EXENTO]])</f>
        <v>66560.030899999998</v>
      </c>
      <c r="M2221" s="487"/>
    </row>
    <row r="2222" spans="2:13">
      <c r="B2222" s="40" t="s">
        <v>2323</v>
      </c>
      <c r="C2222" s="41">
        <v>6</v>
      </c>
      <c r="D2222" s="538">
        <v>10</v>
      </c>
      <c r="E2222" s="539">
        <v>54714</v>
      </c>
      <c r="F2222" s="540">
        <v>26996097</v>
      </c>
      <c r="G2222" s="541" t="str">
        <f>IFERROR(IF(ventas_b_mes684[[#This Row],[CUIT]]="","-",VLOOKUP(ventas_b_mes684[[#This Row],[CUIT]],Lista_CUIT[#All],2,0)),"CUIT NO CARGADO")</f>
        <v>DOBROSOLSKY PATRICIA ALEJANDRA</v>
      </c>
      <c r="H2222" s="64">
        <v>21090.92</v>
      </c>
      <c r="I2222" s="485">
        <f>ventas_b_mes684[[#This Row],[IMPORTE NETO]]*0.21</f>
        <v>4429.0931999999993</v>
      </c>
      <c r="J2222" s="486"/>
      <c r="K2222" s="486"/>
      <c r="L2222" s="486">
        <f>SUM(ventas_b_mes684[[#This Row],[IMPORTE NETO]:[EXENTO]])</f>
        <v>25520.013199999998</v>
      </c>
      <c r="M2222" s="487"/>
    </row>
    <row r="2223" spans="2:13">
      <c r="B2223" s="40" t="s">
        <v>2323</v>
      </c>
      <c r="C2223" s="41">
        <v>6</v>
      </c>
      <c r="D2223" s="538">
        <v>10</v>
      </c>
      <c r="E2223" s="539">
        <v>54734</v>
      </c>
      <c r="F2223" s="540">
        <v>27281035970</v>
      </c>
      <c r="G2223" s="541" t="str">
        <f>IFERROR(IF(ventas_b_mes684[[#This Row],[CUIT]]="","-",VLOOKUP(ventas_b_mes684[[#This Row],[CUIT]],Lista_CUIT[#All],2,0)),"CUIT NO CARGADO")</f>
        <v>CUIT NO CARGADO</v>
      </c>
      <c r="H2223" s="64">
        <v>13190.08</v>
      </c>
      <c r="I2223" s="485">
        <f>ventas_b_mes684[[#This Row],[IMPORTE NETO]]*0.21</f>
        <v>2769.9168</v>
      </c>
      <c r="J2223" s="486"/>
      <c r="K2223" s="486"/>
      <c r="L2223" s="486">
        <f>SUM(ventas_b_mes684[[#This Row],[IMPORTE NETO]:[EXENTO]])</f>
        <v>15959.996800000001</v>
      </c>
      <c r="M2223" s="487"/>
    </row>
    <row r="2224" spans="2:13">
      <c r="B2224" s="40" t="s">
        <v>2323</v>
      </c>
      <c r="C2224" s="41">
        <v>6</v>
      </c>
      <c r="D2224" s="538">
        <v>12</v>
      </c>
      <c r="E2224" s="539">
        <v>29898</v>
      </c>
      <c r="F2224" s="540">
        <v>40663557</v>
      </c>
      <c r="G2224" s="541" t="str">
        <f>IFERROR(IF(ventas_b_mes684[[#This Row],[CUIT]]="","-",VLOOKUP(ventas_b_mes684[[#This Row],[CUIT]],Lista_CUIT[#All],2,0)),"CUIT NO CARGADO")</f>
        <v>CUIT NO CARGADO</v>
      </c>
      <c r="H2224" s="64">
        <v>35768.6</v>
      </c>
      <c r="I2224" s="485">
        <f>ventas_b_mes684[[#This Row],[IMPORTE NETO]]*0.21</f>
        <v>7511.405999999999</v>
      </c>
      <c r="J2224" s="486"/>
      <c r="K2224" s="486"/>
      <c r="L2224" s="486">
        <f>SUM(ventas_b_mes684[[#This Row],[IMPORTE NETO]:[EXENTO]])</f>
        <v>43280.005999999994</v>
      </c>
      <c r="M2224" s="487"/>
    </row>
    <row r="2225" spans="2:13">
      <c r="B2225" s="40" t="s">
        <v>2323</v>
      </c>
      <c r="C2225" s="41">
        <v>6</v>
      </c>
      <c r="D2225" s="538">
        <v>11</v>
      </c>
      <c r="E2225" s="539">
        <v>38434</v>
      </c>
      <c r="F2225" s="540">
        <v>38618076</v>
      </c>
      <c r="G2225" s="541" t="str">
        <f>IFERROR(IF(ventas_b_mes684[[#This Row],[CUIT]]="","-",VLOOKUP(ventas_b_mes684[[#This Row],[CUIT]],Lista_CUIT[#All],2,0)),"CUIT NO CARGADO")</f>
        <v>CUIT NO CARGADO</v>
      </c>
      <c r="H2225" s="64">
        <v>45024.83</v>
      </c>
      <c r="I2225" s="485">
        <f>ventas_b_mes684[[#This Row],[IMPORTE NETO]]*0.21</f>
        <v>9455.2142999999996</v>
      </c>
      <c r="J2225" s="486"/>
      <c r="K2225" s="486"/>
      <c r="L2225" s="486">
        <f>SUM(ventas_b_mes684[[#This Row],[IMPORTE NETO]:[EXENTO]])</f>
        <v>54480.044300000001</v>
      </c>
      <c r="M2225" s="487"/>
    </row>
    <row r="2226" spans="2:13">
      <c r="B2226" s="40" t="s">
        <v>2323</v>
      </c>
      <c r="C2226" s="41">
        <v>6</v>
      </c>
      <c r="D2226" s="538">
        <v>10</v>
      </c>
      <c r="E2226" s="539">
        <v>54736</v>
      </c>
      <c r="F2226" s="540">
        <v>21871018</v>
      </c>
      <c r="G2226" s="541" t="str">
        <f>IFERROR(IF(ventas_b_mes684[[#This Row],[CUIT]]="","-",VLOOKUP(ventas_b_mes684[[#This Row],[CUIT]],Lista_CUIT[#All],2,0)),"CUIT NO CARGADO")</f>
        <v>CUIT NO CARGADO</v>
      </c>
      <c r="H2226" s="64">
        <v>19107.439999999999</v>
      </c>
      <c r="I2226" s="485">
        <f>ventas_b_mes684[[#This Row],[IMPORTE NETO]]*0.21</f>
        <v>4012.5623999999998</v>
      </c>
      <c r="J2226" s="486"/>
      <c r="K2226" s="486"/>
      <c r="L2226" s="486">
        <f>SUM(ventas_b_mes684[[#This Row],[IMPORTE NETO]:[EXENTO]])</f>
        <v>23120.002399999998</v>
      </c>
      <c r="M2226" s="487"/>
    </row>
    <row r="2227" spans="2:13">
      <c r="B2227" s="40" t="s">
        <v>2323</v>
      </c>
      <c r="C2227" s="41">
        <v>6</v>
      </c>
      <c r="D2227" s="538">
        <v>11</v>
      </c>
      <c r="E2227" s="539">
        <v>38424</v>
      </c>
      <c r="F2227" s="540">
        <v>41821271</v>
      </c>
      <c r="G2227" s="541" t="str">
        <f>IFERROR(IF(ventas_b_mes684[[#This Row],[CUIT]]="","-",VLOOKUP(ventas_b_mes684[[#This Row],[CUIT]],Lista_CUIT[#All],2,0)),"CUIT NO CARGADO")</f>
        <v>CUIT NO CARGADO</v>
      </c>
      <c r="H2227" s="64">
        <v>20661.16</v>
      </c>
      <c r="I2227" s="485">
        <f>ventas_b_mes684[[#This Row],[IMPORTE NETO]]*0.21</f>
        <v>4338.8436000000002</v>
      </c>
      <c r="J2227" s="486"/>
      <c r="K2227" s="486"/>
      <c r="L2227" s="486">
        <f>SUM(ventas_b_mes684[[#This Row],[IMPORTE NETO]:[EXENTO]])</f>
        <v>25000.0036</v>
      </c>
      <c r="M2227" s="487"/>
    </row>
    <row r="2228" spans="2:13">
      <c r="B2228" s="40" t="s">
        <v>2323</v>
      </c>
      <c r="C2228" s="41">
        <v>6</v>
      </c>
      <c r="D2228" s="538">
        <v>10</v>
      </c>
      <c r="E2228" s="539">
        <v>54716</v>
      </c>
      <c r="F2228" s="540">
        <v>45041334</v>
      </c>
      <c r="G2228" s="541" t="str">
        <f>IFERROR(IF(ventas_b_mes684[[#This Row],[CUIT]]="","-",VLOOKUP(ventas_b_mes684[[#This Row],[CUIT]],Lista_CUIT[#All],2,0)),"CUIT NO CARGADO")</f>
        <v>CUIT NO CARGADO</v>
      </c>
      <c r="H2228" s="64">
        <v>23074.41</v>
      </c>
      <c r="I2228" s="485">
        <f>ventas_b_mes684[[#This Row],[IMPORTE NETO]]*0.21</f>
        <v>4845.6260999999995</v>
      </c>
      <c r="J2228" s="486"/>
      <c r="K2228" s="486"/>
      <c r="L2228" s="486">
        <f>SUM(ventas_b_mes684[[#This Row],[IMPORTE NETO]:[EXENTO]])</f>
        <v>27920.036099999998</v>
      </c>
      <c r="M2228" s="487"/>
    </row>
    <row r="2229" spans="2:13">
      <c r="B2229" s="40" t="s">
        <v>2323</v>
      </c>
      <c r="C2229" s="41">
        <v>6</v>
      </c>
      <c r="D2229" s="538">
        <v>15</v>
      </c>
      <c r="E2229" s="539">
        <v>13475</v>
      </c>
      <c r="F2229" s="540">
        <v>34651132</v>
      </c>
      <c r="G2229" s="541" t="str">
        <f>IFERROR(IF(ventas_b_mes684[[#This Row],[CUIT]]="","-",VLOOKUP(ventas_b_mes684[[#This Row],[CUIT]],Lista_CUIT[#All],2,0)),"CUIT NO CARGADO")</f>
        <v>EURO BOLUMBURU, MARIA FERNANDA</v>
      </c>
      <c r="H2229" s="64">
        <v>6570.25</v>
      </c>
      <c r="I2229" s="485">
        <f>ventas_b_mes684[[#This Row],[IMPORTE NETO]]*0.21</f>
        <v>1379.7525000000001</v>
      </c>
      <c r="J2229" s="486"/>
      <c r="K2229" s="486"/>
      <c r="L2229" s="486">
        <f>SUM(ventas_b_mes684[[#This Row],[IMPORTE NETO]:[EXENTO]])</f>
        <v>7950.0025000000005</v>
      </c>
      <c r="M2229" s="487"/>
    </row>
    <row r="2230" spans="2:13">
      <c r="B2230" s="40" t="s">
        <v>2323</v>
      </c>
      <c r="C2230" s="41">
        <v>6</v>
      </c>
      <c r="D2230" s="538">
        <v>10</v>
      </c>
      <c r="E2230" s="539">
        <v>54730</v>
      </c>
      <c r="F2230" s="540">
        <v>17881248</v>
      </c>
      <c r="G2230" s="541" t="str">
        <f>IFERROR(IF(ventas_b_mes684[[#This Row],[CUIT]]="","-",VLOOKUP(ventas_b_mes684[[#This Row],[CUIT]],Lista_CUIT[#All],2,0)),"CUIT NO CARGADO")</f>
        <v>CUIT NO CARGADO</v>
      </c>
      <c r="H2230" s="64">
        <v>58049.61</v>
      </c>
      <c r="I2230" s="485">
        <f>ventas_b_mes684[[#This Row],[IMPORTE NETO]]*0.21</f>
        <v>12190.418099999999</v>
      </c>
      <c r="J2230" s="486"/>
      <c r="K2230" s="486"/>
      <c r="L2230" s="486">
        <f>SUM(ventas_b_mes684[[#This Row],[IMPORTE NETO]:[EXENTO]])</f>
        <v>70240.028099999996</v>
      </c>
      <c r="M2230" s="487"/>
    </row>
    <row r="2231" spans="2:13">
      <c r="B2231" s="40" t="s">
        <v>2323</v>
      </c>
      <c r="C2231" s="41">
        <v>6</v>
      </c>
      <c r="D2231" s="538">
        <v>10</v>
      </c>
      <c r="E2231" s="539">
        <v>54723</v>
      </c>
      <c r="F2231" s="540">
        <v>29332286</v>
      </c>
      <c r="G2231" s="541" t="str">
        <f>IFERROR(IF(ventas_b_mes684[[#This Row],[CUIT]]="","-",VLOOKUP(ventas_b_mes684[[#This Row],[CUIT]],Lista_CUIT[#All],2,0)),"CUIT NO CARGADO")</f>
        <v>CUIT NO CARGADO</v>
      </c>
      <c r="H2231" s="64">
        <v>119653.03</v>
      </c>
      <c r="I2231" s="485">
        <f>ventas_b_mes684[[#This Row],[IMPORTE NETO]]*0.21</f>
        <v>25127.136299999998</v>
      </c>
      <c r="J2231" s="486"/>
      <c r="K2231" s="486"/>
      <c r="L2231" s="486">
        <f>SUM(ventas_b_mes684[[#This Row],[IMPORTE NETO]:[EXENTO]])</f>
        <v>144780.16629999998</v>
      </c>
      <c r="M2231" s="487"/>
    </row>
    <row r="2232" spans="2:13">
      <c r="B2232" s="40" t="s">
        <v>2323</v>
      </c>
      <c r="C2232" s="41">
        <v>6</v>
      </c>
      <c r="D2232" s="538">
        <v>13</v>
      </c>
      <c r="E2232" s="539">
        <v>32633</v>
      </c>
      <c r="F2232" s="540">
        <v>23813926</v>
      </c>
      <c r="G2232" s="541" t="str">
        <f>IFERROR(IF(ventas_b_mes684[[#This Row],[CUIT]]="","-",VLOOKUP(ventas_b_mes684[[#This Row],[CUIT]],Lista_CUIT[#All],2,0)),"CUIT NO CARGADO")</f>
        <v>CUIT NO CARGADO</v>
      </c>
      <c r="H2232" s="64">
        <v>25537.19</v>
      </c>
      <c r="I2232" s="485">
        <f>ventas_b_mes684[[#This Row],[IMPORTE NETO]]*0.21</f>
        <v>5362.8098999999993</v>
      </c>
      <c r="J2232" s="486"/>
      <c r="K2232" s="486"/>
      <c r="L2232" s="486">
        <f>SUM(ventas_b_mes684[[#This Row],[IMPORTE NETO]:[EXENTO]])</f>
        <v>30899.999899999999</v>
      </c>
      <c r="M2232" s="487"/>
    </row>
    <row r="2233" spans="2:13">
      <c r="B2233" s="40" t="s">
        <v>2323</v>
      </c>
      <c r="C2233" s="41">
        <v>6</v>
      </c>
      <c r="D2233" s="538">
        <v>11</v>
      </c>
      <c r="E2233" s="539">
        <v>38433</v>
      </c>
      <c r="F2233" s="540">
        <v>16198219</v>
      </c>
      <c r="G2233" s="541" t="str">
        <f>IFERROR(IF(ventas_b_mes684[[#This Row],[CUIT]]="","-",VLOOKUP(ventas_b_mes684[[#This Row],[CUIT]],Lista_CUIT[#All],2,0)),"CUIT NO CARGADO")</f>
        <v>CUIT NO CARGADO</v>
      </c>
      <c r="H2233" s="64">
        <v>79008.259999999995</v>
      </c>
      <c r="I2233" s="485">
        <f>ventas_b_mes684[[#This Row],[IMPORTE NETO]]*0.21</f>
        <v>16591.7346</v>
      </c>
      <c r="J2233" s="486"/>
      <c r="K2233" s="486"/>
      <c r="L2233" s="486">
        <f>SUM(ventas_b_mes684[[#This Row],[IMPORTE NETO]:[EXENTO]])</f>
        <v>95599.994599999991</v>
      </c>
      <c r="M2233" s="487"/>
    </row>
    <row r="2234" spans="2:13">
      <c r="B2234" s="40" t="s">
        <v>2323</v>
      </c>
      <c r="C2234" s="41">
        <v>6</v>
      </c>
      <c r="D2234" s="538">
        <v>12</v>
      </c>
      <c r="E2234" s="539">
        <v>29906</v>
      </c>
      <c r="F2234" s="540">
        <v>30832515</v>
      </c>
      <c r="G2234" s="541" t="str">
        <f>IFERROR(IF(ventas_b_mes684[[#This Row],[CUIT]]="","-",VLOOKUP(ventas_b_mes684[[#This Row],[CUIT]],Lista_CUIT[#All],2,0)),"CUIT NO CARGADO")</f>
        <v>CUIT NO CARGADO</v>
      </c>
      <c r="H2234" s="64">
        <v>16925.64</v>
      </c>
      <c r="I2234" s="485">
        <f>ventas_b_mes684[[#This Row],[IMPORTE NETO]]*0.21</f>
        <v>3554.3843999999999</v>
      </c>
      <c r="J2234" s="486"/>
      <c r="K2234" s="486"/>
      <c r="L2234" s="486">
        <f>SUM(ventas_b_mes684[[#This Row],[IMPORTE NETO]:[EXENTO]])</f>
        <v>20480.024399999998</v>
      </c>
      <c r="M2234" s="487"/>
    </row>
    <row r="2235" spans="2:13">
      <c r="B2235" s="40" t="s">
        <v>2323</v>
      </c>
      <c r="C2235" s="41">
        <v>6</v>
      </c>
      <c r="D2235" s="538">
        <v>15</v>
      </c>
      <c r="E2235" s="539">
        <v>13503</v>
      </c>
      <c r="F2235" s="540">
        <v>28434680</v>
      </c>
      <c r="G2235" s="541" t="str">
        <f>IFERROR(IF(ventas_b_mes684[[#This Row],[CUIT]]="","-",VLOOKUP(ventas_b_mes684[[#This Row],[CUIT]],Lista_CUIT[#All],2,0)),"CUIT NO CARGADO")</f>
        <v>CUIT NO CARGADO</v>
      </c>
      <c r="H2235" s="64">
        <v>28098.35</v>
      </c>
      <c r="I2235" s="485">
        <f>ventas_b_mes684[[#This Row],[IMPORTE NETO]]*0.21</f>
        <v>5900.6534999999994</v>
      </c>
      <c r="J2235" s="486"/>
      <c r="K2235" s="486"/>
      <c r="L2235" s="486">
        <f>SUM(ventas_b_mes684[[#This Row],[IMPORTE NETO]:[EXENTO]])</f>
        <v>33999.003499999999</v>
      </c>
      <c r="M2235" s="487"/>
    </row>
    <row r="2236" spans="2:13">
      <c r="B2236" s="40" t="s">
        <v>2323</v>
      </c>
      <c r="C2236" s="41">
        <v>6</v>
      </c>
      <c r="D2236" s="538">
        <v>13</v>
      </c>
      <c r="E2236" s="539">
        <v>32626</v>
      </c>
      <c r="F2236" s="540">
        <v>38999765</v>
      </c>
      <c r="G2236" s="541" t="str">
        <f>IFERROR(IF(ventas_b_mes684[[#This Row],[CUIT]]="","-",VLOOKUP(ventas_b_mes684[[#This Row],[CUIT]],Lista_CUIT[#All],2,0)),"CUIT NO CARGADO")</f>
        <v>CUIT NO CARGADO</v>
      </c>
      <c r="H2236" s="64">
        <v>23206.61</v>
      </c>
      <c r="I2236" s="485">
        <f>ventas_b_mes684[[#This Row],[IMPORTE NETO]]*0.21</f>
        <v>4873.3881000000001</v>
      </c>
      <c r="J2236" s="486"/>
      <c r="K2236" s="486"/>
      <c r="L2236" s="486">
        <f>SUM(ventas_b_mes684[[#This Row],[IMPORTE NETO]:[EXENTO]])</f>
        <v>28079.998100000001</v>
      </c>
      <c r="M2236" s="487"/>
    </row>
    <row r="2237" spans="2:13">
      <c r="B2237" s="40" t="s">
        <v>2323</v>
      </c>
      <c r="C2237" s="41">
        <v>6</v>
      </c>
      <c r="D2237" s="538">
        <v>13</v>
      </c>
      <c r="E2237" s="539">
        <v>32631</v>
      </c>
      <c r="F2237" s="540">
        <v>20560897</v>
      </c>
      <c r="G2237" s="541" t="str">
        <f>IFERROR(IF(ventas_b_mes684[[#This Row],[CUIT]]="","-",VLOOKUP(ventas_b_mes684[[#This Row],[CUIT]],Lista_CUIT[#All],2,0)),"CUIT NO CARGADO")</f>
        <v>CUIT NO CARGADO</v>
      </c>
      <c r="H2237" s="64">
        <v>28396.69</v>
      </c>
      <c r="I2237" s="485">
        <f>ventas_b_mes684[[#This Row],[IMPORTE NETO]]*0.21</f>
        <v>5963.3048999999992</v>
      </c>
      <c r="J2237" s="486"/>
      <c r="K2237" s="486"/>
      <c r="L2237" s="486">
        <f>SUM(ventas_b_mes684[[#This Row],[IMPORTE NETO]:[EXENTO]])</f>
        <v>34359.994899999998</v>
      </c>
      <c r="M2237" s="487"/>
    </row>
    <row r="2238" spans="2:13">
      <c r="B2238" s="40" t="s">
        <v>2323</v>
      </c>
      <c r="C2238" s="41">
        <v>6</v>
      </c>
      <c r="D2238" s="538">
        <v>13</v>
      </c>
      <c r="E2238" s="539">
        <v>32639</v>
      </c>
      <c r="F2238" s="540">
        <v>23277110</v>
      </c>
      <c r="G2238" s="541" t="str">
        <f>IFERROR(IF(ventas_b_mes684[[#This Row],[CUIT]]="","-",VLOOKUP(ventas_b_mes684[[#This Row],[CUIT]],Lista_CUIT[#All],2,0)),"CUIT NO CARGADO")</f>
        <v>CUIT NO CARGADO</v>
      </c>
      <c r="H2238" s="64">
        <v>69355.460000000006</v>
      </c>
      <c r="I2238" s="485">
        <f>ventas_b_mes684[[#This Row],[IMPORTE NETO]]*0.21</f>
        <v>14564.6466</v>
      </c>
      <c r="J2238" s="486"/>
      <c r="K2238" s="486"/>
      <c r="L2238" s="486">
        <f>SUM(ventas_b_mes684[[#This Row],[IMPORTE NETO]:[EXENTO]])</f>
        <v>83920.106599999999</v>
      </c>
      <c r="M2238" s="487"/>
    </row>
    <row r="2239" spans="2:13">
      <c r="B2239" s="40" t="s">
        <v>2323</v>
      </c>
      <c r="C2239" s="41">
        <v>6</v>
      </c>
      <c r="D2239" s="538">
        <v>12</v>
      </c>
      <c r="E2239" s="539">
        <v>29900</v>
      </c>
      <c r="F2239" s="540">
        <v>36875125</v>
      </c>
      <c r="G2239" s="541" t="str">
        <f>IFERROR(IF(ventas_b_mes684[[#This Row],[CUIT]]="","-",VLOOKUP(ventas_b_mes684[[#This Row],[CUIT]],Lista_CUIT[#All],2,0)),"CUIT NO CARGADO")</f>
        <v>CUIT NO CARGADO</v>
      </c>
      <c r="H2239" s="64">
        <v>17586.78</v>
      </c>
      <c r="I2239" s="485">
        <f>ventas_b_mes684[[#This Row],[IMPORTE NETO]]*0.21</f>
        <v>3693.2237999999998</v>
      </c>
      <c r="J2239" s="486"/>
      <c r="K2239" s="486"/>
      <c r="L2239" s="486">
        <f>SUM(ventas_b_mes684[[#This Row],[IMPORTE NETO]:[EXENTO]])</f>
        <v>21280.003799999999</v>
      </c>
      <c r="M2239" s="487"/>
    </row>
    <row r="2240" spans="2:13">
      <c r="B2240" s="40" t="s">
        <v>2323</v>
      </c>
      <c r="C2240" s="41">
        <v>6</v>
      </c>
      <c r="D2240" s="538">
        <v>10</v>
      </c>
      <c r="E2240" s="539">
        <v>54733</v>
      </c>
      <c r="F2240" s="540">
        <v>17436888</v>
      </c>
      <c r="G2240" s="541" t="str">
        <f>IFERROR(IF(ventas_b_mes684[[#This Row],[CUIT]]="","-",VLOOKUP(ventas_b_mes684[[#This Row],[CUIT]],Lista_CUIT[#All],2,0)),"CUIT NO CARGADO")</f>
        <v>CUIT NO CARGADO</v>
      </c>
      <c r="H2240" s="64">
        <v>44694.26</v>
      </c>
      <c r="I2240" s="485">
        <f>ventas_b_mes684[[#This Row],[IMPORTE NETO]]*0.21</f>
        <v>9385.7945999999993</v>
      </c>
      <c r="J2240" s="486"/>
      <c r="K2240" s="486"/>
      <c r="L2240" s="486">
        <f>SUM(ventas_b_mes684[[#This Row],[IMPORTE NETO]:[EXENTO]])</f>
        <v>54080.054600000003</v>
      </c>
      <c r="M2240" s="487"/>
    </row>
    <row r="2241" spans="2:13">
      <c r="B2241" s="40" t="s">
        <v>2323</v>
      </c>
      <c r="C2241" s="41">
        <v>6</v>
      </c>
      <c r="D2241" s="538">
        <v>12</v>
      </c>
      <c r="E2241" s="539">
        <v>29895</v>
      </c>
      <c r="F2241" s="540">
        <v>46087511</v>
      </c>
      <c r="G2241" s="541" t="str">
        <f>IFERROR(IF(ventas_b_mes684[[#This Row],[CUIT]]="","-",VLOOKUP(ventas_b_mes684[[#This Row],[CUIT]],Lista_CUIT[#All],2,0)),"CUIT NO CARGADO")</f>
        <v>CUIT NO CARGADO</v>
      </c>
      <c r="H2241" s="64">
        <v>20661.16</v>
      </c>
      <c r="I2241" s="485">
        <f>ventas_b_mes684[[#This Row],[IMPORTE NETO]]*0.21</f>
        <v>4338.8436000000002</v>
      </c>
      <c r="J2241" s="486"/>
      <c r="K2241" s="486"/>
      <c r="L2241" s="486">
        <f>SUM(ventas_b_mes684[[#This Row],[IMPORTE NETO]:[EXENTO]])</f>
        <v>25000.0036</v>
      </c>
      <c r="M2241" s="487"/>
    </row>
    <row r="2242" spans="2:13">
      <c r="B2242" s="40" t="s">
        <v>2323</v>
      </c>
      <c r="C2242" s="41">
        <v>6</v>
      </c>
      <c r="D2242" s="538">
        <v>13</v>
      </c>
      <c r="E2242" s="539">
        <v>32634</v>
      </c>
      <c r="F2242" s="540">
        <v>18401383</v>
      </c>
      <c r="G2242" s="541" t="str">
        <f>IFERROR(IF(ventas_b_mes684[[#This Row],[CUIT]]="","-",VLOOKUP(ventas_b_mes684[[#This Row],[CUIT]],Lista_CUIT[#All],2,0)),"CUIT NO CARGADO")</f>
        <v>CUIT NO CARGADO</v>
      </c>
      <c r="H2242" s="64">
        <v>24198.35</v>
      </c>
      <c r="I2242" s="485">
        <f>ventas_b_mes684[[#This Row],[IMPORTE NETO]]*0.21</f>
        <v>5081.6534999999994</v>
      </c>
      <c r="J2242" s="486"/>
      <c r="K2242" s="486"/>
      <c r="L2242" s="486">
        <f>SUM(ventas_b_mes684[[#This Row],[IMPORTE NETO]:[EXENTO]])</f>
        <v>29280.003499999999</v>
      </c>
      <c r="M2242" s="487"/>
    </row>
    <row r="2243" spans="2:13">
      <c r="B2243" s="40" t="s">
        <v>2323</v>
      </c>
      <c r="C2243" s="41">
        <v>6</v>
      </c>
      <c r="D2243" s="538">
        <v>15</v>
      </c>
      <c r="E2243" s="539">
        <v>13498</v>
      </c>
      <c r="F2243" s="540">
        <v>39765404</v>
      </c>
      <c r="G2243" s="541" t="str">
        <f>IFERROR(IF(ventas_b_mes684[[#This Row],[CUIT]]="","-",VLOOKUP(ventas_b_mes684[[#This Row],[CUIT]],Lista_CUIT[#All],2,0)),"CUIT NO CARGADO")</f>
        <v>CUIT NO CARGADO</v>
      </c>
      <c r="H2243" s="64">
        <v>5553.72</v>
      </c>
      <c r="I2243" s="485">
        <f>ventas_b_mes684[[#This Row],[IMPORTE NETO]]*0.21</f>
        <v>1166.2811999999999</v>
      </c>
      <c r="J2243" s="486"/>
      <c r="K2243" s="486"/>
      <c r="L2243" s="486">
        <f>SUM(ventas_b_mes684[[#This Row],[IMPORTE NETO]:[EXENTO]])</f>
        <v>6720.0012000000006</v>
      </c>
      <c r="M2243" s="487"/>
    </row>
    <row r="2244" spans="2:13">
      <c r="B2244" s="40" t="s">
        <v>2323</v>
      </c>
      <c r="C2244" s="41">
        <v>6</v>
      </c>
      <c r="D2244" s="538">
        <v>15</v>
      </c>
      <c r="E2244" s="539">
        <v>13493</v>
      </c>
      <c r="F2244" s="540">
        <v>43671084</v>
      </c>
      <c r="G2244" s="541" t="str">
        <f>IFERROR(IF(ventas_b_mes684[[#This Row],[CUIT]]="","-",VLOOKUP(ventas_b_mes684[[#This Row],[CUIT]],Lista_CUIT[#All],2,0)),"CUIT NO CARGADO")</f>
        <v>CUIT NO CARGADO</v>
      </c>
      <c r="H2244" s="64">
        <v>10512.4</v>
      </c>
      <c r="I2244" s="485">
        <f>ventas_b_mes684[[#This Row],[IMPORTE NETO]]*0.21</f>
        <v>2207.6039999999998</v>
      </c>
      <c r="J2244" s="486"/>
      <c r="K2244" s="486"/>
      <c r="L2244" s="486">
        <f>SUM(ventas_b_mes684[[#This Row],[IMPORTE NETO]:[EXENTO]])</f>
        <v>12720.003999999999</v>
      </c>
      <c r="M2244" s="487"/>
    </row>
    <row r="2245" spans="2:13">
      <c r="B2245" s="40" t="s">
        <v>2323</v>
      </c>
      <c r="C2245" s="41">
        <v>6</v>
      </c>
      <c r="D2245" s="538">
        <v>13</v>
      </c>
      <c r="E2245" s="539">
        <v>32641</v>
      </c>
      <c r="F2245" s="540">
        <v>16390316</v>
      </c>
      <c r="G2245" s="541" t="str">
        <f>IFERROR(IF(ventas_b_mes684[[#This Row],[CUIT]]="","-",VLOOKUP(ventas_b_mes684[[#This Row],[CUIT]],Lista_CUIT[#All],2,0)),"CUIT NO CARGADO")</f>
        <v>CUIT NO CARGADO</v>
      </c>
      <c r="H2245" s="64">
        <v>50512.39</v>
      </c>
      <c r="I2245" s="485">
        <f>ventas_b_mes684[[#This Row],[IMPORTE NETO]]*0.21</f>
        <v>10607.6019</v>
      </c>
      <c r="J2245" s="486"/>
      <c r="K2245" s="486"/>
      <c r="L2245" s="486">
        <f>SUM(ventas_b_mes684[[#This Row],[IMPORTE NETO]:[EXENTO]])</f>
        <v>61119.991900000001</v>
      </c>
      <c r="M2245" s="487"/>
    </row>
    <row r="2246" spans="2:13">
      <c r="B2246" s="40" t="s">
        <v>2323</v>
      </c>
      <c r="C2246" s="41">
        <v>6</v>
      </c>
      <c r="D2246" s="538">
        <v>12</v>
      </c>
      <c r="E2246" s="539">
        <v>29904</v>
      </c>
      <c r="F2246" s="540">
        <v>26367715</v>
      </c>
      <c r="G2246" s="541" t="str">
        <f>IFERROR(IF(ventas_b_mes684[[#This Row],[CUIT]]="","-",VLOOKUP(ventas_b_mes684[[#This Row],[CUIT]],Lista_CUIT[#All],2,0)),"CUIT NO CARGADO")</f>
        <v>CUIT NO CARGADO</v>
      </c>
      <c r="H2246" s="64">
        <v>80520.66</v>
      </c>
      <c r="I2246" s="485">
        <f>ventas_b_mes684[[#This Row],[IMPORTE NETO]]*0.21</f>
        <v>16909.338599999999</v>
      </c>
      <c r="J2246" s="486"/>
      <c r="K2246" s="486"/>
      <c r="L2246" s="486">
        <f>SUM(ventas_b_mes684[[#This Row],[IMPORTE NETO]:[EXENTO]])</f>
        <v>97429.998600000006</v>
      </c>
      <c r="M2246" s="487"/>
    </row>
    <row r="2247" spans="2:13">
      <c r="B2247" s="40" t="s">
        <v>2323</v>
      </c>
      <c r="C2247" s="41">
        <v>6</v>
      </c>
      <c r="D2247" s="538">
        <v>10</v>
      </c>
      <c r="E2247" s="539">
        <v>54738</v>
      </c>
      <c r="F2247" s="540">
        <v>5898214</v>
      </c>
      <c r="G2247" s="541" t="str">
        <f>IFERROR(IF(ventas_b_mes684[[#This Row],[CUIT]]="","-",VLOOKUP(ventas_b_mes684[[#This Row],[CUIT]],Lista_CUIT[#All],2,0)),"CUIT NO CARGADO")</f>
        <v>CUIT NO CARGADO</v>
      </c>
      <c r="H2247" s="64">
        <v>37347.11</v>
      </c>
      <c r="I2247" s="485">
        <f>ventas_b_mes684[[#This Row],[IMPORTE NETO]]*0.21</f>
        <v>7842.8931000000002</v>
      </c>
      <c r="J2247" s="486"/>
      <c r="K2247" s="486"/>
      <c r="L2247" s="486">
        <f>SUM(ventas_b_mes684[[#This Row],[IMPORTE NETO]:[EXENTO]])</f>
        <v>45190.003100000002</v>
      </c>
      <c r="M2247" s="487"/>
    </row>
    <row r="2248" spans="2:13">
      <c r="B2248" s="40" t="s">
        <v>2323</v>
      </c>
      <c r="C2248" s="41">
        <v>6</v>
      </c>
      <c r="D2248" s="538">
        <v>13</v>
      </c>
      <c r="E2248" s="539">
        <v>32642</v>
      </c>
      <c r="F2248" s="540">
        <v>20560897</v>
      </c>
      <c r="G2248" s="541" t="str">
        <f>IFERROR(IF(ventas_b_mes684[[#This Row],[CUIT]]="","-",VLOOKUP(ventas_b_mes684[[#This Row],[CUIT]],Lista_CUIT[#All],2,0)),"CUIT NO CARGADO")</f>
        <v>CUIT NO CARGADO</v>
      </c>
      <c r="H2248" s="64">
        <v>55008.26</v>
      </c>
      <c r="I2248" s="485">
        <f>ventas_b_mes684[[#This Row],[IMPORTE NETO]]*0.21</f>
        <v>11551.7346</v>
      </c>
      <c r="J2248" s="486"/>
      <c r="K2248" s="486"/>
      <c r="L2248" s="486">
        <f>SUM(ventas_b_mes684[[#This Row],[IMPORTE NETO]:[EXENTO]])</f>
        <v>66559.994600000005</v>
      </c>
      <c r="M2248" s="487"/>
    </row>
    <row r="2249" spans="2:13">
      <c r="B2249" s="40" t="s">
        <v>2323</v>
      </c>
      <c r="C2249" s="41">
        <v>6</v>
      </c>
      <c r="D2249" s="538">
        <v>13</v>
      </c>
      <c r="E2249" s="539">
        <v>32644</v>
      </c>
      <c r="F2249" s="540">
        <v>20560897</v>
      </c>
      <c r="G2249" s="541" t="str">
        <f>IFERROR(IF(ventas_b_mes684[[#This Row],[CUIT]]="","-",VLOOKUP(ventas_b_mes684[[#This Row],[CUIT]],Lista_CUIT[#All],2,0)),"CUIT NO CARGADO")</f>
        <v>CUIT NO CARGADO</v>
      </c>
      <c r="H2249" s="64">
        <v>17603.310000000001</v>
      </c>
      <c r="I2249" s="485">
        <f>ventas_b_mes684[[#This Row],[IMPORTE NETO]]*0.21</f>
        <v>3696.6950999999999</v>
      </c>
      <c r="J2249" s="486"/>
      <c r="K2249" s="486"/>
      <c r="L2249" s="486">
        <f>SUM(ventas_b_mes684[[#This Row],[IMPORTE NETO]:[EXENTO]])</f>
        <v>21300.005100000002</v>
      </c>
      <c r="M2249" s="487"/>
    </row>
    <row r="2250" spans="2:13">
      <c r="B2250" s="40" t="s">
        <v>2323</v>
      </c>
      <c r="C2250" s="41">
        <v>6</v>
      </c>
      <c r="D2250" s="538">
        <v>15</v>
      </c>
      <c r="E2250" s="539">
        <v>13511</v>
      </c>
      <c r="F2250" s="540">
        <v>27354400</v>
      </c>
      <c r="G2250" s="541" t="str">
        <f>IFERROR(IF(ventas_b_mes684[[#This Row],[CUIT]]="","-",VLOOKUP(ventas_b_mes684[[#This Row],[CUIT]],Lista_CUIT[#All],2,0)),"CUIT NO CARGADO")</f>
        <v>CUIT NO CARGADO</v>
      </c>
      <c r="H2250" s="64">
        <v>16322.31</v>
      </c>
      <c r="I2250" s="485">
        <f>ventas_b_mes684[[#This Row],[IMPORTE NETO]]*0.21</f>
        <v>3427.6850999999997</v>
      </c>
      <c r="J2250" s="486"/>
      <c r="K2250" s="486"/>
      <c r="L2250" s="486">
        <f>SUM(ventas_b_mes684[[#This Row],[IMPORTE NETO]:[EXENTO]])</f>
        <v>19749.9951</v>
      </c>
      <c r="M2250" s="487"/>
    </row>
    <row r="2251" spans="2:13">
      <c r="B2251" s="40" t="s">
        <v>2323</v>
      </c>
      <c r="C2251" s="41">
        <v>6</v>
      </c>
      <c r="D2251" s="538">
        <v>13</v>
      </c>
      <c r="E2251" s="539">
        <v>32632</v>
      </c>
      <c r="F2251" s="540">
        <v>23564879</v>
      </c>
      <c r="G2251" s="541" t="str">
        <f>IFERROR(IF(ventas_b_mes684[[#This Row],[CUIT]]="","-",VLOOKUP(ventas_b_mes684[[#This Row],[CUIT]],Lista_CUIT[#All],2,0)),"CUIT NO CARGADO")</f>
        <v>CUIT NO CARGADO</v>
      </c>
      <c r="H2251" s="64">
        <v>27173.59</v>
      </c>
      <c r="I2251" s="485">
        <f>ventas_b_mes684[[#This Row],[IMPORTE NETO]]*0.21</f>
        <v>5706.4538999999995</v>
      </c>
      <c r="J2251" s="486"/>
      <c r="K2251" s="486"/>
      <c r="L2251" s="486">
        <f>SUM(ventas_b_mes684[[#This Row],[IMPORTE NETO]:[EXENTO]])</f>
        <v>32880.043899999997</v>
      </c>
      <c r="M2251" s="487"/>
    </row>
    <row r="2252" spans="2:13">
      <c r="B2252" s="40" t="s">
        <v>2323</v>
      </c>
      <c r="C2252" s="41">
        <v>6</v>
      </c>
      <c r="D2252" s="538">
        <v>10</v>
      </c>
      <c r="E2252" s="539">
        <v>54722</v>
      </c>
      <c r="F2252" s="540">
        <v>214156496</v>
      </c>
      <c r="G2252" s="541" t="str">
        <f>IFERROR(IF(ventas_b_mes684[[#This Row],[CUIT]]="","-",VLOOKUP(ventas_b_mes684[[#This Row],[CUIT]],Lista_CUIT[#All],2,0)),"CUIT NO CARGADO")</f>
        <v>CUIT NO CARGADO</v>
      </c>
      <c r="H2252" s="64">
        <v>23471.07</v>
      </c>
      <c r="I2252" s="485">
        <f>ventas_b_mes684[[#This Row],[IMPORTE NETO]]*0.21</f>
        <v>4928.9246999999996</v>
      </c>
      <c r="J2252" s="486"/>
      <c r="K2252" s="486"/>
      <c r="L2252" s="486">
        <f>SUM(ventas_b_mes684[[#This Row],[IMPORTE NETO]:[EXENTO]])</f>
        <v>28399.994699999999</v>
      </c>
      <c r="M2252" s="487"/>
    </row>
    <row r="2253" spans="2:13">
      <c r="B2253" s="40" t="s">
        <v>2323</v>
      </c>
      <c r="C2253" s="41">
        <v>6</v>
      </c>
      <c r="D2253" s="538">
        <v>15</v>
      </c>
      <c r="E2253" s="539">
        <v>13484</v>
      </c>
      <c r="F2253" s="540">
        <v>5150827</v>
      </c>
      <c r="G2253" s="541" t="str">
        <f>IFERROR(IF(ventas_b_mes684[[#This Row],[CUIT]]="","-",VLOOKUP(ventas_b_mes684[[#This Row],[CUIT]],Lista_CUIT[#All],2,0)),"CUIT NO CARGADO")</f>
        <v>DEAMBROGIO,Norma Helga</v>
      </c>
      <c r="H2253" s="64">
        <v>26644.63</v>
      </c>
      <c r="I2253" s="485">
        <f>ventas_b_mes684[[#This Row],[IMPORTE NETO]]*0.21</f>
        <v>5595.3723</v>
      </c>
      <c r="J2253" s="486"/>
      <c r="K2253" s="486"/>
      <c r="L2253" s="486">
        <f>SUM(ventas_b_mes684[[#This Row],[IMPORTE NETO]:[EXENTO]])</f>
        <v>32240.0023</v>
      </c>
      <c r="M2253" s="487"/>
    </row>
    <row r="2254" spans="2:13">
      <c r="B2254" s="40" t="s">
        <v>2323</v>
      </c>
      <c r="C2254" s="41">
        <v>6</v>
      </c>
      <c r="D2254" s="538">
        <v>11</v>
      </c>
      <c r="E2254" s="539">
        <v>38432</v>
      </c>
      <c r="F2254" s="540">
        <v>16198219</v>
      </c>
      <c r="G2254" s="541" t="str">
        <f>IFERROR(IF(ventas_b_mes684[[#This Row],[CUIT]]="","-",VLOOKUP(ventas_b_mes684[[#This Row],[CUIT]],Lista_CUIT[#All],2,0)),"CUIT NO CARGADO")</f>
        <v>CUIT NO CARGADO</v>
      </c>
      <c r="H2254" s="64">
        <v>15297.52</v>
      </c>
      <c r="I2254" s="485">
        <f>ventas_b_mes684[[#This Row],[IMPORTE NETO]]*0.21</f>
        <v>3212.4791999999998</v>
      </c>
      <c r="J2254" s="486"/>
      <c r="K2254" s="486"/>
      <c r="L2254" s="486">
        <f>SUM(ventas_b_mes684[[#This Row],[IMPORTE NETO]:[EXENTO]])</f>
        <v>18509.999199999998</v>
      </c>
      <c r="M2254" s="487"/>
    </row>
    <row r="2255" spans="2:13">
      <c r="B2255" s="40" t="s">
        <v>2323</v>
      </c>
      <c r="C2255" s="41">
        <v>6</v>
      </c>
      <c r="D2255" s="538">
        <v>11</v>
      </c>
      <c r="E2255" s="539">
        <v>38431</v>
      </c>
      <c r="F2255" s="540">
        <v>16198219</v>
      </c>
      <c r="G2255" s="541" t="str">
        <f>IFERROR(IF(ventas_b_mes684[[#This Row],[CUIT]]="","-",VLOOKUP(ventas_b_mes684[[#This Row],[CUIT]],Lista_CUIT[#All],2,0)),"CUIT NO CARGADO")</f>
        <v>CUIT NO CARGADO</v>
      </c>
      <c r="H2255" s="64">
        <v>24528.93</v>
      </c>
      <c r="I2255" s="485">
        <f>ventas_b_mes684[[#This Row],[IMPORTE NETO]]*0.21</f>
        <v>5151.0752999999995</v>
      </c>
      <c r="J2255" s="486"/>
      <c r="K2255" s="486"/>
      <c r="L2255" s="486">
        <f>SUM(ventas_b_mes684[[#This Row],[IMPORTE NETO]:[EXENTO]])</f>
        <v>29680.005300000001</v>
      </c>
      <c r="M2255" s="487"/>
    </row>
    <row r="2256" spans="2:13">
      <c r="B2256" s="40" t="s">
        <v>2323</v>
      </c>
      <c r="C2256" s="41">
        <v>6</v>
      </c>
      <c r="D2256" s="538">
        <v>12</v>
      </c>
      <c r="E2256" s="539">
        <v>29901</v>
      </c>
      <c r="F2256" s="540">
        <v>13933347</v>
      </c>
      <c r="G2256" s="541" t="str">
        <f>IFERROR(IF(ventas_b_mes684[[#This Row],[CUIT]]="","-",VLOOKUP(ventas_b_mes684[[#This Row],[CUIT]],Lista_CUIT[#All],2,0)),"CUIT NO CARGADO")</f>
        <v>CUIT NO CARGADO</v>
      </c>
      <c r="H2256" s="64">
        <v>15867.77</v>
      </c>
      <c r="I2256" s="485">
        <f>ventas_b_mes684[[#This Row],[IMPORTE NETO]]*0.21</f>
        <v>3332.2316999999998</v>
      </c>
      <c r="J2256" s="486"/>
      <c r="K2256" s="486"/>
      <c r="L2256" s="486">
        <f>SUM(ventas_b_mes684[[#This Row],[IMPORTE NETO]:[EXENTO]])</f>
        <v>19200.001700000001</v>
      </c>
      <c r="M2256" s="487"/>
    </row>
    <row r="2257" spans="2:13">
      <c r="B2257" s="40" t="s">
        <v>2323</v>
      </c>
      <c r="C2257" s="41">
        <v>6</v>
      </c>
      <c r="D2257" s="538">
        <v>15</v>
      </c>
      <c r="E2257" s="539">
        <v>13476</v>
      </c>
      <c r="F2257" s="540">
        <v>34890129</v>
      </c>
      <c r="G2257" s="541" t="str">
        <f>IFERROR(IF(ventas_b_mes684[[#This Row],[CUIT]]="","-",VLOOKUP(ventas_b_mes684[[#This Row],[CUIT]],Lista_CUIT[#All],2,0)),"CUIT NO CARGADO")</f>
        <v>CUIT NO CARGADO</v>
      </c>
      <c r="H2257" s="64">
        <v>677.69</v>
      </c>
      <c r="I2257" s="485">
        <f>ventas_b_mes684[[#This Row],[IMPORTE NETO]]*0.21</f>
        <v>142.31489999999999</v>
      </c>
      <c r="J2257" s="486"/>
      <c r="K2257" s="486"/>
      <c r="L2257" s="486">
        <f>SUM(ventas_b_mes684[[#This Row],[IMPORTE NETO]:[EXENTO]])</f>
        <v>820.00490000000002</v>
      </c>
      <c r="M2257" s="487"/>
    </row>
    <row r="2258" spans="2:13">
      <c r="B2258" s="40" t="s">
        <v>2323</v>
      </c>
      <c r="C2258" s="41">
        <v>6</v>
      </c>
      <c r="D2258" s="538">
        <v>15</v>
      </c>
      <c r="E2258" s="539">
        <v>13478</v>
      </c>
      <c r="F2258" s="540">
        <v>45881541</v>
      </c>
      <c r="G2258" s="541" t="str">
        <f>IFERROR(IF(ventas_b_mes684[[#This Row],[CUIT]]="","-",VLOOKUP(ventas_b_mes684[[#This Row],[CUIT]],Lista_CUIT[#All],2,0)),"CUIT NO CARGADO")</f>
        <v>CUIT NO CARGADO</v>
      </c>
      <c r="H2258" s="64">
        <v>338.84</v>
      </c>
      <c r="I2258" s="485">
        <f>ventas_b_mes684[[#This Row],[IMPORTE NETO]]*0.21</f>
        <v>71.156399999999991</v>
      </c>
      <c r="J2258" s="486"/>
      <c r="K2258" s="486"/>
      <c r="L2258" s="486">
        <f>SUM(ventas_b_mes684[[#This Row],[IMPORTE NETO]:[EXENTO]])</f>
        <v>409.99639999999999</v>
      </c>
      <c r="M2258" s="487"/>
    </row>
    <row r="2259" spans="2:13">
      <c r="B2259" s="40" t="s">
        <v>2323</v>
      </c>
      <c r="C2259" s="41">
        <v>6</v>
      </c>
      <c r="D2259" s="538">
        <v>13</v>
      </c>
      <c r="E2259" s="539">
        <v>32628</v>
      </c>
      <c r="F2259" s="540">
        <v>20560897</v>
      </c>
      <c r="G2259" s="541" t="str">
        <f>IFERROR(IF(ventas_b_mes684[[#This Row],[CUIT]]="","-",VLOOKUP(ventas_b_mes684[[#This Row],[CUIT]],Lista_CUIT[#All],2,0)),"CUIT NO CARGADO")</f>
        <v>CUIT NO CARGADO</v>
      </c>
      <c r="H2259" s="64">
        <v>3099.17</v>
      </c>
      <c r="I2259" s="485">
        <f>ventas_b_mes684[[#This Row],[IMPORTE NETO]]*0.21</f>
        <v>650.82569999999998</v>
      </c>
      <c r="J2259" s="486"/>
      <c r="K2259" s="486"/>
      <c r="L2259" s="486">
        <f>SUM(ventas_b_mes684[[#This Row],[IMPORTE NETO]:[EXENTO]])</f>
        <v>3749.9956999999999</v>
      </c>
      <c r="M2259" s="487"/>
    </row>
    <row r="2260" spans="2:13">
      <c r="B2260" s="40" t="s">
        <v>2323</v>
      </c>
      <c r="C2260" s="41">
        <v>6</v>
      </c>
      <c r="D2260" s="538">
        <v>11</v>
      </c>
      <c r="E2260" s="539">
        <v>38430</v>
      </c>
      <c r="F2260" s="540">
        <v>43744587</v>
      </c>
      <c r="G2260" s="541" t="str">
        <f>IFERROR(IF(ventas_b_mes684[[#This Row],[CUIT]]="","-",VLOOKUP(ventas_b_mes684[[#This Row],[CUIT]],Lista_CUIT[#All],2,0)),"CUIT NO CARGADO")</f>
        <v>CUIT NO CARGADO</v>
      </c>
      <c r="H2260" s="64">
        <v>9429.75</v>
      </c>
      <c r="I2260" s="485">
        <f>ventas_b_mes684[[#This Row],[IMPORTE NETO]]*0.21</f>
        <v>1980.2474999999999</v>
      </c>
      <c r="J2260" s="486"/>
      <c r="K2260" s="486"/>
      <c r="L2260" s="486">
        <f>SUM(ventas_b_mes684[[#This Row],[IMPORTE NETO]:[EXENTO]])</f>
        <v>11409.997499999999</v>
      </c>
      <c r="M2260" s="487"/>
    </row>
    <row r="2261" spans="2:13">
      <c r="B2261" s="40" t="s">
        <v>2323</v>
      </c>
      <c r="C2261" s="41">
        <v>6</v>
      </c>
      <c r="D2261" s="538">
        <v>10</v>
      </c>
      <c r="E2261" s="539">
        <v>54735</v>
      </c>
      <c r="F2261" s="540">
        <v>21871018</v>
      </c>
      <c r="G2261" s="541" t="str">
        <f>IFERROR(IF(ventas_b_mes684[[#This Row],[CUIT]]="","-",VLOOKUP(ventas_b_mes684[[#This Row],[CUIT]],Lista_CUIT[#All],2,0)),"CUIT NO CARGADO")</f>
        <v>CUIT NO CARGADO</v>
      </c>
      <c r="H2261" s="64">
        <v>4462.8100000000004</v>
      </c>
      <c r="I2261" s="485">
        <f>ventas_b_mes684[[#This Row],[IMPORTE NETO]]*0.21</f>
        <v>937.19010000000003</v>
      </c>
      <c r="J2261" s="486"/>
      <c r="K2261" s="486"/>
      <c r="L2261" s="486">
        <f>SUM(ventas_b_mes684[[#This Row],[IMPORTE NETO]:[EXENTO]])</f>
        <v>5400.0001000000002</v>
      </c>
      <c r="M2261" s="487"/>
    </row>
    <row r="2262" spans="2:13">
      <c r="B2262" s="40" t="s">
        <v>2323</v>
      </c>
      <c r="C2262" s="41">
        <v>6</v>
      </c>
      <c r="D2262" s="538">
        <v>11</v>
      </c>
      <c r="E2262" s="539">
        <v>38436</v>
      </c>
      <c r="F2262" s="540">
        <v>16134932</v>
      </c>
      <c r="G2262" s="541" t="str">
        <f>IFERROR(IF(ventas_b_mes684[[#This Row],[CUIT]]="","-",VLOOKUP(ventas_b_mes684[[#This Row],[CUIT]],Lista_CUIT[#All],2,0)),"CUIT NO CARGADO")</f>
        <v>CUIT NO CARGADO</v>
      </c>
      <c r="H2262" s="64">
        <v>9429.75</v>
      </c>
      <c r="I2262" s="485">
        <f>ventas_b_mes684[[#This Row],[IMPORTE NETO]]*0.21</f>
        <v>1980.2474999999999</v>
      </c>
      <c r="J2262" s="486"/>
      <c r="K2262" s="486"/>
      <c r="L2262" s="486">
        <f>SUM(ventas_b_mes684[[#This Row],[IMPORTE NETO]:[EXENTO]])</f>
        <v>11409.997499999999</v>
      </c>
      <c r="M2262" s="487"/>
    </row>
    <row r="2263" spans="2:13">
      <c r="B2263" s="40" t="s">
        <v>2323</v>
      </c>
      <c r="C2263" s="41">
        <v>6</v>
      </c>
      <c r="D2263" s="538">
        <v>11</v>
      </c>
      <c r="E2263" s="539">
        <v>38442</v>
      </c>
      <c r="F2263" s="540">
        <v>18211637</v>
      </c>
      <c r="G2263" s="541" t="str">
        <f>IFERROR(IF(ventas_b_mes684[[#This Row],[CUIT]]="","-",VLOOKUP(ventas_b_mes684[[#This Row],[CUIT]],Lista_CUIT[#All],2,0)),"CUIT NO CARGADO")</f>
        <v>CUIT NO CARGADO</v>
      </c>
      <c r="H2263" s="64">
        <v>4223.1400000000003</v>
      </c>
      <c r="I2263" s="485">
        <f>ventas_b_mes684[[#This Row],[IMPORTE NETO]]*0.21</f>
        <v>886.85940000000005</v>
      </c>
      <c r="J2263" s="486"/>
      <c r="K2263" s="486"/>
      <c r="L2263" s="486">
        <f>SUM(ventas_b_mes684[[#This Row],[IMPORTE NETO]:[EXENTO]])</f>
        <v>5109.9994000000006</v>
      </c>
      <c r="M2263" s="487"/>
    </row>
    <row r="2264" spans="2:13">
      <c r="B2264" s="40" t="s">
        <v>2323</v>
      </c>
      <c r="C2264" s="41">
        <v>6</v>
      </c>
      <c r="D2264" s="538">
        <v>11</v>
      </c>
      <c r="E2264" s="539">
        <v>38441</v>
      </c>
      <c r="F2264" s="540">
        <v>31603353</v>
      </c>
      <c r="G2264" s="541" t="str">
        <f>IFERROR(IF(ventas_b_mes684[[#This Row],[CUIT]]="","-",VLOOKUP(ventas_b_mes684[[#This Row],[CUIT]],Lista_CUIT[#All],2,0)),"CUIT NO CARGADO")</f>
        <v>CUIT NO CARGADO</v>
      </c>
      <c r="H2264" s="64">
        <v>12413.22</v>
      </c>
      <c r="I2264" s="485">
        <f>ventas_b_mes684[[#This Row],[IMPORTE NETO]]*0.21</f>
        <v>2606.7761999999998</v>
      </c>
      <c r="J2264" s="486"/>
      <c r="K2264" s="486"/>
      <c r="L2264" s="486">
        <f>SUM(ventas_b_mes684[[#This Row],[IMPORTE NETO]:[EXENTO]])</f>
        <v>15019.9962</v>
      </c>
      <c r="M2264" s="487"/>
    </row>
    <row r="2265" spans="2:13">
      <c r="B2265" s="40" t="s">
        <v>2323</v>
      </c>
      <c r="C2265" s="41">
        <v>6</v>
      </c>
      <c r="D2265" s="538">
        <v>15</v>
      </c>
      <c r="E2265" s="539">
        <v>13483</v>
      </c>
      <c r="F2265" s="540">
        <v>17681773</v>
      </c>
      <c r="G2265" s="541" t="str">
        <f>IFERROR(IF(ventas_b_mes684[[#This Row],[CUIT]]="","-",VLOOKUP(ventas_b_mes684[[#This Row],[CUIT]],Lista_CUIT[#All],2,0)),"CUIT NO CARGADO")</f>
        <v>NUÑOZ,Maria Julieta</v>
      </c>
      <c r="H2265" s="64">
        <v>32132.23</v>
      </c>
      <c r="I2265" s="485">
        <f>ventas_b_mes684[[#This Row],[IMPORTE NETO]]*0.21</f>
        <v>6747.7682999999997</v>
      </c>
      <c r="J2265" s="486"/>
      <c r="K2265" s="486"/>
      <c r="L2265" s="486">
        <f>SUM(ventas_b_mes684[[#This Row],[IMPORTE NETO]:[EXENTO]])</f>
        <v>38879.998299999999</v>
      </c>
      <c r="M2265" s="487"/>
    </row>
    <row r="2266" spans="2:13">
      <c r="B2266" s="40" t="s">
        <v>2323</v>
      </c>
      <c r="C2266" s="41">
        <v>6</v>
      </c>
      <c r="D2266" s="538">
        <v>10</v>
      </c>
      <c r="E2266" s="539">
        <v>54728</v>
      </c>
      <c r="F2266" s="540">
        <v>32958390</v>
      </c>
      <c r="G2266" s="541" t="str">
        <f>IFERROR(IF(ventas_b_mes684[[#This Row],[CUIT]]="","-",VLOOKUP(ventas_b_mes684[[#This Row],[CUIT]],Lista_CUIT[#All],2,0)),"CUIT NO CARGADO")</f>
        <v>CUIT NO CARGADO</v>
      </c>
      <c r="H2266" s="64">
        <v>103586.88</v>
      </c>
      <c r="I2266" s="485">
        <f>ventas_b_mes684[[#This Row],[IMPORTE NETO]]*0.21</f>
        <v>21753.2448</v>
      </c>
      <c r="J2266" s="486"/>
      <c r="K2266" s="486"/>
      <c r="L2266" s="486">
        <f>SUM(ventas_b_mes684[[#This Row],[IMPORTE NETO]:[EXENTO]])</f>
        <v>125340.12480000001</v>
      </c>
      <c r="M2266" s="487"/>
    </row>
    <row r="2267" spans="2:13">
      <c r="B2267" s="40" t="s">
        <v>2323</v>
      </c>
      <c r="C2267" s="41">
        <v>6</v>
      </c>
      <c r="D2267" s="538">
        <v>11</v>
      </c>
      <c r="E2267" s="539">
        <v>38427</v>
      </c>
      <c r="F2267" s="540">
        <v>38618076</v>
      </c>
      <c r="G2267" s="541" t="str">
        <f>IFERROR(IF(ventas_b_mes684[[#This Row],[CUIT]]="","-",VLOOKUP(ventas_b_mes684[[#This Row],[CUIT]],Lista_CUIT[#All],2,0)),"CUIT NO CARGADO")</f>
        <v>CUIT NO CARGADO</v>
      </c>
      <c r="H2267" s="64">
        <v>45024.79</v>
      </c>
      <c r="I2267" s="485">
        <f>ventas_b_mes684[[#This Row],[IMPORTE NETO]]*0.21</f>
        <v>9455.205899999999</v>
      </c>
      <c r="J2267" s="486"/>
      <c r="K2267" s="486"/>
      <c r="L2267" s="486">
        <f>SUM(ventas_b_mes684[[#This Row],[IMPORTE NETO]:[EXENTO]])</f>
        <v>54479.995900000002</v>
      </c>
      <c r="M2267" s="487"/>
    </row>
    <row r="2268" spans="2:13">
      <c r="B2268" s="40" t="s">
        <v>2323</v>
      </c>
      <c r="C2268" s="41">
        <v>6</v>
      </c>
      <c r="D2268" s="538">
        <v>15</v>
      </c>
      <c r="E2268" s="539">
        <v>13496</v>
      </c>
      <c r="F2268" s="540">
        <v>5150827</v>
      </c>
      <c r="G2268" s="541" t="str">
        <f>IFERROR(IF(ventas_b_mes684[[#This Row],[CUIT]]="","-",VLOOKUP(ventas_b_mes684[[#This Row],[CUIT]],Lista_CUIT[#All],2,0)),"CUIT NO CARGADO")</f>
        <v>DEAMBROGIO,Norma Helga</v>
      </c>
      <c r="H2268" s="64">
        <v>12495.87</v>
      </c>
      <c r="I2268" s="485">
        <f>ventas_b_mes684[[#This Row],[IMPORTE NETO]]*0.21</f>
        <v>2624.1327000000001</v>
      </c>
      <c r="J2268" s="486"/>
      <c r="K2268" s="486"/>
      <c r="L2268" s="486">
        <f>SUM(ventas_b_mes684[[#This Row],[IMPORTE NETO]:[EXENTO]])</f>
        <v>15120.002700000001</v>
      </c>
      <c r="M2268" s="487"/>
    </row>
    <row r="2269" spans="2:13">
      <c r="B2269" s="40" t="s">
        <v>2323</v>
      </c>
      <c r="C2269" s="41">
        <v>6</v>
      </c>
      <c r="D2269" s="538">
        <v>12</v>
      </c>
      <c r="E2269" s="539">
        <v>29899</v>
      </c>
      <c r="F2269" s="540">
        <v>14678334</v>
      </c>
      <c r="G2269" s="541" t="str">
        <f>IFERROR(IF(ventas_b_mes684[[#This Row],[CUIT]]="","-",VLOOKUP(ventas_b_mes684[[#This Row],[CUIT]],Lista_CUIT[#All],2,0)),"CUIT NO CARGADO")</f>
        <v>CUIT NO CARGADO</v>
      </c>
      <c r="H2269" s="64">
        <v>22148.76</v>
      </c>
      <c r="I2269" s="485">
        <f>ventas_b_mes684[[#This Row],[IMPORTE NETO]]*0.21</f>
        <v>4651.2395999999999</v>
      </c>
      <c r="J2269" s="486"/>
      <c r="K2269" s="486"/>
      <c r="L2269" s="486">
        <f>SUM(ventas_b_mes684[[#This Row],[IMPORTE NETO]:[EXENTO]])</f>
        <v>26799.999599999999</v>
      </c>
      <c r="M2269" s="487"/>
    </row>
    <row r="2270" spans="2:13">
      <c r="B2270" s="40" t="s">
        <v>2323</v>
      </c>
      <c r="C2270" s="41">
        <v>6</v>
      </c>
      <c r="D2270" s="538">
        <v>13</v>
      </c>
      <c r="E2270" s="539">
        <v>32643</v>
      </c>
      <c r="F2270" s="540">
        <v>22489102</v>
      </c>
      <c r="G2270" s="541" t="str">
        <f>IFERROR(IF(ventas_b_mes684[[#This Row],[CUIT]]="","-",VLOOKUP(ventas_b_mes684[[#This Row],[CUIT]],Lista_CUIT[#All],2,0)),"CUIT NO CARGADO")</f>
        <v>CUIT NO CARGADO</v>
      </c>
      <c r="H2270" s="64">
        <v>29421.51</v>
      </c>
      <c r="I2270" s="485">
        <f>ventas_b_mes684[[#This Row],[IMPORTE NETO]]*0.21</f>
        <v>6178.5170999999991</v>
      </c>
      <c r="J2270" s="486"/>
      <c r="K2270" s="486"/>
      <c r="L2270" s="486">
        <f>SUM(ventas_b_mes684[[#This Row],[IMPORTE NETO]:[EXENTO]])</f>
        <v>35600.027099999999</v>
      </c>
      <c r="M2270" s="487"/>
    </row>
    <row r="2271" spans="2:13">
      <c r="B2271" s="40" t="s">
        <v>2323</v>
      </c>
      <c r="C2271" s="41">
        <v>6</v>
      </c>
      <c r="D2271" s="538">
        <v>11</v>
      </c>
      <c r="E2271" s="539">
        <v>38443</v>
      </c>
      <c r="F2271" s="540">
        <v>17110942</v>
      </c>
      <c r="G2271" s="541" t="str">
        <f>IFERROR(IF(ventas_b_mes684[[#This Row],[CUIT]]="","-",VLOOKUP(ventas_b_mes684[[#This Row],[CUIT]],Lista_CUIT[#All],2,0)),"CUIT NO CARGADO")</f>
        <v>CUIT NO CARGADO</v>
      </c>
      <c r="H2271" s="64">
        <v>43502.48</v>
      </c>
      <c r="I2271" s="485">
        <f>ventas_b_mes684[[#This Row],[IMPORTE NETO]]*0.21</f>
        <v>9135.5208000000002</v>
      </c>
      <c r="J2271" s="486"/>
      <c r="K2271" s="486"/>
      <c r="L2271" s="486">
        <f>SUM(ventas_b_mes684[[#This Row],[IMPORTE NETO]:[EXENTO]])</f>
        <v>52638.000800000002</v>
      </c>
      <c r="M2271" s="487"/>
    </row>
    <row r="2272" spans="2:13">
      <c r="B2272" s="40" t="s">
        <v>2323</v>
      </c>
      <c r="C2272" s="41">
        <v>6</v>
      </c>
      <c r="D2272" s="538">
        <v>10</v>
      </c>
      <c r="E2272" s="539">
        <v>54739</v>
      </c>
      <c r="F2272" s="540">
        <v>12345669</v>
      </c>
      <c r="G2272" s="541" t="str">
        <f>IFERROR(IF(ventas_b_mes684[[#This Row],[CUIT]]="","-",VLOOKUP(ventas_b_mes684[[#This Row],[CUIT]],Lista_CUIT[#All],2,0)),"CUIT NO CARGADO")</f>
        <v>CUIT NO CARGADO</v>
      </c>
      <c r="H2272" s="64">
        <v>25652.89</v>
      </c>
      <c r="I2272" s="485">
        <f>ventas_b_mes684[[#This Row],[IMPORTE NETO]]*0.21</f>
        <v>5387.1068999999998</v>
      </c>
      <c r="J2272" s="486"/>
      <c r="K2272" s="486"/>
      <c r="L2272" s="486">
        <f>SUM(ventas_b_mes684[[#This Row],[IMPORTE NETO]:[EXENTO]])</f>
        <v>31039.996899999998</v>
      </c>
      <c r="M2272" s="487"/>
    </row>
    <row r="2273" spans="2:13">
      <c r="B2273" s="40" t="s">
        <v>2323</v>
      </c>
      <c r="C2273" s="41">
        <v>6</v>
      </c>
      <c r="D2273" s="538">
        <v>15</v>
      </c>
      <c r="E2273" s="539">
        <v>13510</v>
      </c>
      <c r="F2273" s="540">
        <v>30551721</v>
      </c>
      <c r="G2273" s="541" t="str">
        <f>IFERROR(IF(ventas_b_mes684[[#This Row],[CUIT]]="","-",VLOOKUP(ventas_b_mes684[[#This Row],[CUIT]],Lista_CUIT[#All],2,0)),"CUIT NO CARGADO")</f>
        <v>CUIT NO CARGADO</v>
      </c>
      <c r="H2273" s="64">
        <v>8859.5</v>
      </c>
      <c r="I2273" s="485">
        <f>ventas_b_mes684[[#This Row],[IMPORTE NETO]]*0.21</f>
        <v>1860.4949999999999</v>
      </c>
      <c r="J2273" s="486"/>
      <c r="K2273" s="486"/>
      <c r="L2273" s="486">
        <f>SUM(ventas_b_mes684[[#This Row],[IMPORTE NETO]:[EXENTO]])</f>
        <v>10719.994999999999</v>
      </c>
      <c r="M2273" s="487"/>
    </row>
    <row r="2274" spans="2:13">
      <c r="B2274" s="40" t="s">
        <v>2323</v>
      </c>
      <c r="C2274" s="41">
        <v>6</v>
      </c>
      <c r="D2274" s="538">
        <v>11</v>
      </c>
      <c r="E2274" s="539">
        <v>38428</v>
      </c>
      <c r="F2274" s="540">
        <v>28773354</v>
      </c>
      <c r="G2274" s="541" t="str">
        <f>IFERROR(IF(ventas_b_mes684[[#This Row],[CUIT]]="","-",VLOOKUP(ventas_b_mes684[[#This Row],[CUIT]],Lista_CUIT[#All],2,0)),"CUIT NO CARGADO")</f>
        <v>CUIT NO CARGADO</v>
      </c>
      <c r="H2274" s="64">
        <v>21355.38</v>
      </c>
      <c r="I2274" s="485">
        <f>ventas_b_mes684[[#This Row],[IMPORTE NETO]]*0.21</f>
        <v>4484.6297999999997</v>
      </c>
      <c r="J2274" s="486"/>
      <c r="K2274" s="486"/>
      <c r="L2274" s="486">
        <f>SUM(ventas_b_mes684[[#This Row],[IMPORTE NETO]:[EXENTO]])</f>
        <v>25840.0098</v>
      </c>
      <c r="M2274" s="487"/>
    </row>
    <row r="2275" spans="2:13">
      <c r="B2275" s="40" t="s">
        <v>2323</v>
      </c>
      <c r="C2275" s="41">
        <v>6</v>
      </c>
      <c r="D2275" s="538">
        <v>11</v>
      </c>
      <c r="E2275" s="539">
        <v>38439</v>
      </c>
      <c r="F2275" s="540">
        <v>25236108</v>
      </c>
      <c r="G2275" s="541" t="str">
        <f>IFERROR(IF(ventas_b_mes684[[#This Row],[CUIT]]="","-",VLOOKUP(ventas_b_mes684[[#This Row],[CUIT]],Lista_CUIT[#All],2,0)),"CUIT NO CARGADO")</f>
        <v>CUIT NO CARGADO</v>
      </c>
      <c r="H2275" s="64">
        <v>8991.74</v>
      </c>
      <c r="I2275" s="485">
        <f>ventas_b_mes684[[#This Row],[IMPORTE NETO]]*0.21</f>
        <v>1888.2653999999998</v>
      </c>
      <c r="J2275" s="486"/>
      <c r="K2275" s="486"/>
      <c r="L2275" s="486">
        <f>SUM(ventas_b_mes684[[#This Row],[IMPORTE NETO]:[EXENTO]])</f>
        <v>10880.0054</v>
      </c>
      <c r="M2275" s="487"/>
    </row>
    <row r="2276" spans="2:13">
      <c r="B2276" s="40" t="s">
        <v>2323</v>
      </c>
      <c r="C2276" s="41">
        <v>6</v>
      </c>
      <c r="D2276" s="538">
        <v>15</v>
      </c>
      <c r="E2276" s="539">
        <v>13506</v>
      </c>
      <c r="F2276" s="540">
        <v>17594061</v>
      </c>
      <c r="G2276" s="541" t="str">
        <f>IFERROR(IF(ventas_b_mes684[[#This Row],[CUIT]]="","-",VLOOKUP(ventas_b_mes684[[#This Row],[CUIT]],Lista_CUIT[#All],2,0)),"CUIT NO CARGADO")</f>
        <v>CUIT NO CARGADO</v>
      </c>
      <c r="H2276" s="64">
        <v>15206.61</v>
      </c>
      <c r="I2276" s="485">
        <f>ventas_b_mes684[[#This Row],[IMPORTE NETO]]*0.21</f>
        <v>3193.3881000000001</v>
      </c>
      <c r="J2276" s="486"/>
      <c r="K2276" s="486"/>
      <c r="L2276" s="486">
        <f>SUM(ventas_b_mes684[[#This Row],[IMPORTE NETO]:[EXENTO]])</f>
        <v>18399.998100000001</v>
      </c>
      <c r="M2276" s="487"/>
    </row>
    <row r="2277" spans="2:13">
      <c r="B2277" s="40" t="s">
        <v>2323</v>
      </c>
      <c r="C2277" s="41">
        <v>6</v>
      </c>
      <c r="D2277" s="538">
        <v>15</v>
      </c>
      <c r="E2277" s="539">
        <v>13512</v>
      </c>
      <c r="F2277" s="540">
        <v>93973048</v>
      </c>
      <c r="G2277" s="541" t="str">
        <f>IFERROR(IF(ventas_b_mes684[[#This Row],[CUIT]]="","-",VLOOKUP(ventas_b_mes684[[#This Row],[CUIT]],Lista_CUIT[#All],2,0)),"CUIT NO CARGADO")</f>
        <v>CUIT NO CARGADO</v>
      </c>
      <c r="H2277" s="64">
        <v>13363.64</v>
      </c>
      <c r="I2277" s="485">
        <f>ventas_b_mes684[[#This Row],[IMPORTE NETO]]*0.21</f>
        <v>2806.3643999999999</v>
      </c>
      <c r="J2277" s="486"/>
      <c r="K2277" s="486"/>
      <c r="L2277" s="486">
        <f>SUM(ventas_b_mes684[[#This Row],[IMPORTE NETO]:[EXENTO]])</f>
        <v>16170.0044</v>
      </c>
      <c r="M2277" s="487"/>
    </row>
    <row r="2278" spans="2:13">
      <c r="B2278" s="40" t="s">
        <v>2323</v>
      </c>
      <c r="C2278" s="41">
        <v>6</v>
      </c>
      <c r="D2278" s="538">
        <v>13</v>
      </c>
      <c r="E2278" s="539">
        <v>32647</v>
      </c>
      <c r="F2278" s="540">
        <v>38268389</v>
      </c>
      <c r="G2278" s="541" t="str">
        <f>IFERROR(IF(ventas_b_mes684[[#This Row],[CUIT]]="","-",VLOOKUP(ventas_b_mes684[[#This Row],[CUIT]],Lista_CUIT[#All],2,0)),"CUIT NO CARGADO")</f>
        <v>CUIT NO CARGADO</v>
      </c>
      <c r="H2278" s="64">
        <v>62876.03</v>
      </c>
      <c r="I2278" s="485">
        <f>ventas_b_mes684[[#This Row],[IMPORTE NETO]]*0.21</f>
        <v>13203.9663</v>
      </c>
      <c r="J2278" s="486"/>
      <c r="K2278" s="486"/>
      <c r="L2278" s="486">
        <f>SUM(ventas_b_mes684[[#This Row],[IMPORTE NETO]:[EXENTO]])</f>
        <v>76079.996299999999</v>
      </c>
      <c r="M2278" s="487"/>
    </row>
    <row r="2279" spans="2:13">
      <c r="B2279" s="40" t="s">
        <v>2323</v>
      </c>
      <c r="C2279" s="41">
        <v>6</v>
      </c>
      <c r="D2279" s="538">
        <v>15</v>
      </c>
      <c r="E2279" s="539">
        <v>13505</v>
      </c>
      <c r="F2279" s="540">
        <v>30551721</v>
      </c>
      <c r="G2279" s="541" t="str">
        <f>IFERROR(IF(ventas_b_mes684[[#This Row],[CUIT]]="","-",VLOOKUP(ventas_b_mes684[[#This Row],[CUIT]],Lista_CUIT[#All],2,0)),"CUIT NO CARGADO")</f>
        <v>CUIT NO CARGADO</v>
      </c>
      <c r="H2279" s="64">
        <v>23669.42</v>
      </c>
      <c r="I2279" s="485">
        <f>ventas_b_mes684[[#This Row],[IMPORTE NETO]]*0.21</f>
        <v>4970.578199999999</v>
      </c>
      <c r="J2279" s="486"/>
      <c r="K2279" s="486"/>
      <c r="L2279" s="486">
        <f>SUM(ventas_b_mes684[[#This Row],[IMPORTE NETO]:[EXENTO]])</f>
        <v>28639.998199999998</v>
      </c>
      <c r="M2279" s="487"/>
    </row>
    <row r="2280" spans="2:13">
      <c r="B2280" s="40" t="s">
        <v>2323</v>
      </c>
      <c r="C2280" s="41">
        <v>6</v>
      </c>
      <c r="D2280" s="538">
        <v>10</v>
      </c>
      <c r="E2280" s="539">
        <v>54717</v>
      </c>
      <c r="F2280" s="540">
        <v>28969768</v>
      </c>
      <c r="G2280" s="541" t="str">
        <f>IFERROR(IF(ventas_b_mes684[[#This Row],[CUIT]]="","-",VLOOKUP(ventas_b_mes684[[#This Row],[CUIT]],Lista_CUIT[#All],2,0)),"CUIT NO CARGADO")</f>
        <v>CUIT NO CARGADO</v>
      </c>
      <c r="H2280" s="64">
        <v>20661.16</v>
      </c>
      <c r="I2280" s="485">
        <f>ventas_b_mes684[[#This Row],[IMPORTE NETO]]*0.21</f>
        <v>4338.8436000000002</v>
      </c>
      <c r="J2280" s="486"/>
      <c r="K2280" s="486"/>
      <c r="L2280" s="486">
        <f>SUM(ventas_b_mes684[[#This Row],[IMPORTE NETO]:[EXENTO]])</f>
        <v>25000.0036</v>
      </c>
      <c r="M2280" s="487"/>
    </row>
    <row r="2281" spans="2:13">
      <c r="B2281" s="40" t="s">
        <v>2323</v>
      </c>
      <c r="C2281" s="41">
        <v>6</v>
      </c>
      <c r="D2281" s="538">
        <v>11</v>
      </c>
      <c r="E2281" s="539">
        <v>38429</v>
      </c>
      <c r="F2281" s="540">
        <v>41584897</v>
      </c>
      <c r="G2281" s="541" t="str">
        <f>IFERROR(IF(ventas_b_mes684[[#This Row],[CUIT]]="","-",VLOOKUP(ventas_b_mes684[[#This Row],[CUIT]],Lista_CUIT[#All],2,0)),"CUIT NO CARGADO")</f>
        <v>CUIT NO CARGADO</v>
      </c>
      <c r="H2281" s="64">
        <v>9429.75</v>
      </c>
      <c r="I2281" s="485">
        <f>ventas_b_mes684[[#This Row],[IMPORTE NETO]]*0.21</f>
        <v>1980.2474999999999</v>
      </c>
      <c r="J2281" s="486"/>
      <c r="K2281" s="486"/>
      <c r="L2281" s="486">
        <f>SUM(ventas_b_mes684[[#This Row],[IMPORTE NETO]:[EXENTO]])</f>
        <v>11409.997499999999</v>
      </c>
      <c r="M2281" s="487"/>
    </row>
    <row r="2282" spans="2:13">
      <c r="B2282" s="40" t="s">
        <v>2323</v>
      </c>
      <c r="C2282" s="41">
        <v>6</v>
      </c>
      <c r="D2282" s="538">
        <v>15</v>
      </c>
      <c r="E2282" s="539">
        <v>13492</v>
      </c>
      <c r="F2282" s="540">
        <v>94298485</v>
      </c>
      <c r="G2282" s="541" t="str">
        <f>IFERROR(IF(ventas_b_mes684[[#This Row],[CUIT]]="","-",VLOOKUP(ventas_b_mes684[[#This Row],[CUIT]],Lista_CUIT[#All],2,0)),"CUIT NO CARGADO")</f>
        <v>CUIT NO CARGADO</v>
      </c>
      <c r="H2282" s="64">
        <v>6421.49</v>
      </c>
      <c r="I2282" s="485">
        <f>ventas_b_mes684[[#This Row],[IMPORTE NETO]]*0.21</f>
        <v>1348.5128999999999</v>
      </c>
      <c r="J2282" s="486"/>
      <c r="K2282" s="486"/>
      <c r="L2282" s="486">
        <f>SUM(ventas_b_mes684[[#This Row],[IMPORTE NETO]:[EXENTO]])</f>
        <v>7770.0028999999995</v>
      </c>
      <c r="M2282" s="487"/>
    </row>
    <row r="2283" spans="2:13">
      <c r="B2283" s="40" t="s">
        <v>2323</v>
      </c>
      <c r="C2283" s="41">
        <v>6</v>
      </c>
      <c r="D2283" s="538">
        <v>15</v>
      </c>
      <c r="E2283" s="539">
        <v>13508</v>
      </c>
      <c r="F2283" s="540">
        <v>31431954</v>
      </c>
      <c r="G2283" s="541" t="str">
        <f>IFERROR(IF(ventas_b_mes684[[#This Row],[CUIT]]="","-",VLOOKUP(ventas_b_mes684[[#This Row],[CUIT]],Lista_CUIT[#All],2,0)),"CUIT NO CARGADO")</f>
        <v>CUIT NO CARGADO</v>
      </c>
      <c r="H2283" s="64">
        <v>23008.27</v>
      </c>
      <c r="I2283" s="485">
        <f>ventas_b_mes684[[#This Row],[IMPORTE NETO]]*0.21</f>
        <v>4831.7366999999995</v>
      </c>
      <c r="J2283" s="486"/>
      <c r="K2283" s="486"/>
      <c r="L2283" s="486">
        <f>SUM(ventas_b_mes684[[#This Row],[IMPORTE NETO]:[EXENTO]])</f>
        <v>27840.006699999998</v>
      </c>
      <c r="M2283" s="487"/>
    </row>
    <row r="2284" spans="2:13">
      <c r="B2284" s="40" t="s">
        <v>2323</v>
      </c>
      <c r="C2284" s="41">
        <v>6</v>
      </c>
      <c r="D2284" s="538">
        <v>15</v>
      </c>
      <c r="E2284" s="539">
        <v>13513</v>
      </c>
      <c r="F2284" s="540">
        <v>37755955</v>
      </c>
      <c r="G2284" s="541" t="str">
        <f>IFERROR(IF(ventas_b_mes684[[#This Row],[CUIT]]="","-",VLOOKUP(ventas_b_mes684[[#This Row],[CUIT]],Lista_CUIT[#All],2,0)),"CUIT NO CARGADO")</f>
        <v>CUIT NO CARGADO</v>
      </c>
      <c r="H2284" s="64">
        <v>47206.61</v>
      </c>
      <c r="I2284" s="485">
        <f>ventas_b_mes684[[#This Row],[IMPORTE NETO]]*0.21</f>
        <v>9913.3881000000001</v>
      </c>
      <c r="J2284" s="486"/>
      <c r="K2284" s="486"/>
      <c r="L2284" s="486">
        <f>SUM(ventas_b_mes684[[#This Row],[IMPORTE NETO]:[EXENTO]])</f>
        <v>57119.998099999997</v>
      </c>
      <c r="M2284" s="487"/>
    </row>
    <row r="2285" spans="2:13">
      <c r="B2285" s="40" t="s">
        <v>2323</v>
      </c>
      <c r="C2285" s="41">
        <v>6</v>
      </c>
      <c r="D2285" s="538">
        <v>15</v>
      </c>
      <c r="E2285" s="539">
        <v>13504</v>
      </c>
      <c r="F2285" s="540">
        <v>47260537</v>
      </c>
      <c r="G2285" s="541" t="str">
        <f>IFERROR(IF(ventas_b_mes684[[#This Row],[CUIT]]="","-",VLOOKUP(ventas_b_mes684[[#This Row],[CUIT]],Lista_CUIT[#All],2,0)),"CUIT NO CARGADO")</f>
        <v>CUIT NO CARGADO</v>
      </c>
      <c r="H2285" s="64">
        <v>6198.35</v>
      </c>
      <c r="I2285" s="485">
        <f>ventas_b_mes684[[#This Row],[IMPORTE NETO]]*0.21</f>
        <v>1301.6535000000001</v>
      </c>
      <c r="J2285" s="486"/>
      <c r="K2285" s="486"/>
      <c r="L2285" s="486">
        <f>SUM(ventas_b_mes684[[#This Row],[IMPORTE NETO]:[EXENTO]])</f>
        <v>7500.0035000000007</v>
      </c>
      <c r="M2285" s="487"/>
    </row>
    <row r="2286" spans="2:13">
      <c r="B2286" s="40" t="s">
        <v>2323</v>
      </c>
      <c r="C2286" s="41">
        <v>6</v>
      </c>
      <c r="D2286" s="538">
        <v>10</v>
      </c>
      <c r="E2286" s="539">
        <v>54732</v>
      </c>
      <c r="F2286" s="540">
        <v>18590873</v>
      </c>
      <c r="G2286" s="541" t="str">
        <f>IFERROR(IF(ventas_b_mes684[[#This Row],[CUIT]]="","-",VLOOKUP(ventas_b_mes684[[#This Row],[CUIT]],Lista_CUIT[#All],2,0)),"CUIT NO CARGADO")</f>
        <v>CUIT NO CARGADO</v>
      </c>
      <c r="H2286" s="64">
        <v>60363.66</v>
      </c>
      <c r="I2286" s="485">
        <f>ventas_b_mes684[[#This Row],[IMPORTE NETO]]*0.21</f>
        <v>12676.3686</v>
      </c>
      <c r="J2286" s="486"/>
      <c r="K2286" s="486"/>
      <c r="L2286" s="486">
        <f>SUM(ventas_b_mes684[[#This Row],[IMPORTE NETO]:[EXENTO]])</f>
        <v>73040.028600000005</v>
      </c>
      <c r="M2286" s="487"/>
    </row>
    <row r="2287" spans="2:13">
      <c r="B2287" s="40" t="s">
        <v>2323</v>
      </c>
      <c r="C2287" s="41">
        <v>6</v>
      </c>
      <c r="D2287" s="538">
        <v>13</v>
      </c>
      <c r="E2287" s="539">
        <v>32645</v>
      </c>
      <c r="F2287" s="540">
        <v>17618048</v>
      </c>
      <c r="G2287" s="541" t="str">
        <f>IFERROR(IF(ventas_b_mes684[[#This Row],[CUIT]]="","-",VLOOKUP(ventas_b_mes684[[#This Row],[CUIT]],Lista_CUIT[#All],2,0)),"CUIT NO CARGADO")</f>
        <v>CUIT NO CARGADO</v>
      </c>
      <c r="H2287" s="64">
        <v>3066.12</v>
      </c>
      <c r="I2287" s="485">
        <f>ventas_b_mes684[[#This Row],[IMPORTE NETO]]*0.21</f>
        <v>643.88519999999994</v>
      </c>
      <c r="J2287" s="486"/>
      <c r="K2287" s="486"/>
      <c r="L2287" s="486">
        <f>SUM(ventas_b_mes684[[#This Row],[IMPORTE NETO]:[EXENTO]])</f>
        <v>3710.0051999999996</v>
      </c>
      <c r="M2287" s="487"/>
    </row>
    <row r="2288" spans="2:13">
      <c r="B2288" s="40" t="s">
        <v>2323</v>
      </c>
      <c r="C2288" s="41">
        <v>6</v>
      </c>
      <c r="D2288" s="538">
        <v>11</v>
      </c>
      <c r="E2288" s="539">
        <v>38426</v>
      </c>
      <c r="F2288" s="540">
        <v>22297571</v>
      </c>
      <c r="G2288" s="541" t="str">
        <f>IFERROR(IF(ventas_b_mes684[[#This Row],[CUIT]]="","-",VLOOKUP(ventas_b_mes684[[#This Row],[CUIT]],Lista_CUIT[#All],2,0)),"CUIT NO CARGADO")</f>
        <v>CUIT NO CARGADO</v>
      </c>
      <c r="H2288" s="64">
        <v>9388.43</v>
      </c>
      <c r="I2288" s="485">
        <f>ventas_b_mes684[[#This Row],[IMPORTE NETO]]*0.21</f>
        <v>1971.5703000000001</v>
      </c>
      <c r="J2288" s="486"/>
      <c r="K2288" s="486"/>
      <c r="L2288" s="486">
        <f>SUM(ventas_b_mes684[[#This Row],[IMPORTE NETO]:[EXENTO]])</f>
        <v>11360.0003</v>
      </c>
      <c r="M2288" s="487"/>
    </row>
    <row r="2289" spans="2:13">
      <c r="B2289" s="40" t="s">
        <v>2323</v>
      </c>
      <c r="C2289" s="41">
        <v>6</v>
      </c>
      <c r="D2289" s="538">
        <v>13</v>
      </c>
      <c r="E2289" s="539">
        <v>32630</v>
      </c>
      <c r="F2289" s="540">
        <v>16243515</v>
      </c>
      <c r="G2289" s="541" t="str">
        <f>IFERROR(IF(ventas_b_mes684[[#This Row],[CUIT]]="","-",VLOOKUP(ventas_b_mes684[[#This Row],[CUIT]],Lista_CUIT[#All],2,0)),"CUIT NO CARGADO")</f>
        <v>CUIT NO CARGADO</v>
      </c>
      <c r="H2289" s="64">
        <v>58446.28</v>
      </c>
      <c r="I2289" s="485">
        <f>ventas_b_mes684[[#This Row],[IMPORTE NETO]]*0.21</f>
        <v>12273.718799999999</v>
      </c>
      <c r="J2289" s="486"/>
      <c r="K2289" s="486"/>
      <c r="L2289" s="486">
        <f>SUM(ventas_b_mes684[[#This Row],[IMPORTE NETO]:[EXENTO]])</f>
        <v>70719.998800000001</v>
      </c>
      <c r="M2289" s="487"/>
    </row>
    <row r="2290" spans="2:13">
      <c r="B2290" s="40" t="s">
        <v>2323</v>
      </c>
      <c r="C2290" s="41">
        <v>6</v>
      </c>
      <c r="D2290" s="538">
        <v>13</v>
      </c>
      <c r="E2290" s="539">
        <v>32629</v>
      </c>
      <c r="F2290" s="540">
        <v>20560897</v>
      </c>
      <c r="G2290" s="541" t="str">
        <f>IFERROR(IF(ventas_b_mes684[[#This Row],[CUIT]]="","-",VLOOKUP(ventas_b_mes684[[#This Row],[CUIT]],Lista_CUIT[#All],2,0)),"CUIT NO CARGADO")</f>
        <v>CUIT NO CARGADO</v>
      </c>
      <c r="H2290" s="64">
        <v>101000</v>
      </c>
      <c r="I2290" s="485">
        <f>ventas_b_mes684[[#This Row],[IMPORTE NETO]]*0.21</f>
        <v>21210</v>
      </c>
      <c r="J2290" s="486"/>
      <c r="K2290" s="486"/>
      <c r="L2290" s="486">
        <f>SUM(ventas_b_mes684[[#This Row],[IMPORTE NETO]:[EXENTO]])</f>
        <v>122210</v>
      </c>
      <c r="M2290" s="487"/>
    </row>
    <row r="2291" spans="2:13">
      <c r="B2291" s="40" t="s">
        <v>2323</v>
      </c>
      <c r="C2291" s="41">
        <v>6</v>
      </c>
      <c r="D2291" s="538">
        <v>11</v>
      </c>
      <c r="E2291" s="539">
        <v>38438</v>
      </c>
      <c r="F2291" s="540">
        <v>25236108</v>
      </c>
      <c r="G2291" s="541" t="str">
        <f>IFERROR(IF(ventas_b_mes684[[#This Row],[CUIT]]="","-",VLOOKUP(ventas_b_mes684[[#This Row],[CUIT]],Lista_CUIT[#All],2,0)),"CUIT NO CARGADO")</f>
        <v>CUIT NO CARGADO</v>
      </c>
      <c r="H2291" s="64">
        <v>16528.93</v>
      </c>
      <c r="I2291" s="485">
        <f>ventas_b_mes684[[#This Row],[IMPORTE NETO]]*0.21</f>
        <v>3471.0753</v>
      </c>
      <c r="J2291" s="486"/>
      <c r="K2291" s="486"/>
      <c r="L2291" s="486">
        <f>SUM(ventas_b_mes684[[#This Row],[IMPORTE NETO]:[EXENTO]])</f>
        <v>20000.005300000001</v>
      </c>
      <c r="M2291" s="487"/>
    </row>
    <row r="2292" spans="2:13">
      <c r="B2292" s="40" t="s">
        <v>2323</v>
      </c>
      <c r="C2292" s="41">
        <v>6</v>
      </c>
      <c r="D2292" s="538">
        <v>15</v>
      </c>
      <c r="E2292" s="539">
        <v>13499</v>
      </c>
      <c r="F2292" s="540">
        <v>38700947</v>
      </c>
      <c r="G2292" s="541" t="str">
        <f>IFERROR(IF(ventas_b_mes684[[#This Row],[CUIT]]="","-",VLOOKUP(ventas_b_mes684[[#This Row],[CUIT]],Lista_CUIT[#All],2,0)),"CUIT NO CARGADO")</f>
        <v>CUIT NO CARGADO</v>
      </c>
      <c r="H2292" s="64">
        <v>10380.17</v>
      </c>
      <c r="I2292" s="485">
        <f>ventas_b_mes684[[#This Row],[IMPORTE NETO]]*0.21</f>
        <v>2179.8357000000001</v>
      </c>
      <c r="J2292" s="486"/>
      <c r="K2292" s="486"/>
      <c r="L2292" s="486">
        <f>SUM(ventas_b_mes684[[#This Row],[IMPORTE NETO]:[EXENTO]])</f>
        <v>12560.0057</v>
      </c>
      <c r="M2292" s="487"/>
    </row>
    <row r="2293" spans="2:13">
      <c r="B2293" s="40" t="s">
        <v>2323</v>
      </c>
      <c r="C2293" s="41">
        <v>6</v>
      </c>
      <c r="D2293" s="538">
        <v>12</v>
      </c>
      <c r="E2293" s="539">
        <v>29902</v>
      </c>
      <c r="F2293" s="540">
        <v>36987452</v>
      </c>
      <c r="G2293" s="541" t="str">
        <f>IFERROR(IF(ventas_b_mes684[[#This Row],[CUIT]]="","-",VLOOKUP(ventas_b_mes684[[#This Row],[CUIT]],Lista_CUIT[#All],2,0)),"CUIT NO CARGADO")</f>
        <v>CUIT NO CARGADO</v>
      </c>
      <c r="H2293" s="64">
        <v>32661.16</v>
      </c>
      <c r="I2293" s="485">
        <f>ventas_b_mes684[[#This Row],[IMPORTE NETO]]*0.21</f>
        <v>6858.8436000000002</v>
      </c>
      <c r="J2293" s="486"/>
      <c r="K2293" s="486"/>
      <c r="L2293" s="486">
        <f>SUM(ventas_b_mes684[[#This Row],[IMPORTE NETO]:[EXENTO]])</f>
        <v>39520.003599999996</v>
      </c>
      <c r="M2293" s="487"/>
    </row>
    <row r="2294" spans="2:13">
      <c r="B2294" s="40" t="s">
        <v>2323</v>
      </c>
      <c r="C2294" s="41">
        <v>6</v>
      </c>
      <c r="D2294" s="538">
        <v>12</v>
      </c>
      <c r="E2294" s="539">
        <v>29903</v>
      </c>
      <c r="F2294" s="540">
        <v>27242275158</v>
      </c>
      <c r="G2294" s="541" t="str">
        <f>IFERROR(IF(ventas_b_mes684[[#This Row],[CUIT]]="","-",VLOOKUP(ventas_b_mes684[[#This Row],[CUIT]],Lista_CUIT[#All],2,0)),"CUIT NO CARGADO")</f>
        <v>GONZALEZ BIANCHI MARIA GABRIELA</v>
      </c>
      <c r="H2294" s="64">
        <v>48000</v>
      </c>
      <c r="I2294" s="485">
        <f>ventas_b_mes684[[#This Row],[IMPORTE NETO]]*0.21</f>
        <v>10080</v>
      </c>
      <c r="J2294" s="486"/>
      <c r="K2294" s="486"/>
      <c r="L2294" s="486">
        <f>SUM(ventas_b_mes684[[#This Row],[IMPORTE NETO]:[EXENTO]])</f>
        <v>58080</v>
      </c>
      <c r="M2294" s="487"/>
    </row>
    <row r="2295" spans="2:13">
      <c r="B2295" s="40" t="s">
        <v>2323</v>
      </c>
      <c r="C2295" s="41">
        <v>6</v>
      </c>
      <c r="D2295" s="538">
        <v>13</v>
      </c>
      <c r="E2295" s="539">
        <v>32646</v>
      </c>
      <c r="F2295" s="540">
        <v>23564987</v>
      </c>
      <c r="G2295" s="541" t="str">
        <f>IFERROR(IF(ventas_b_mes684[[#This Row],[CUIT]]="","-",VLOOKUP(ventas_b_mes684[[#This Row],[CUIT]],Lista_CUIT[#All],2,0)),"CUIT NO CARGADO")</f>
        <v>CUIT NO CARGADO</v>
      </c>
      <c r="H2295" s="64">
        <v>39074.379999999997</v>
      </c>
      <c r="I2295" s="485">
        <f>ventas_b_mes684[[#This Row],[IMPORTE NETO]]*0.21</f>
        <v>8205.6197999999986</v>
      </c>
      <c r="J2295" s="486"/>
      <c r="K2295" s="486"/>
      <c r="L2295" s="486">
        <f>SUM(ventas_b_mes684[[#This Row],[IMPORTE NETO]:[EXENTO]])</f>
        <v>47279.999799999998</v>
      </c>
      <c r="M2295" s="487"/>
    </row>
    <row r="2296" spans="2:13">
      <c r="B2296" s="40" t="s">
        <v>2323</v>
      </c>
      <c r="C2296" s="41">
        <v>6</v>
      </c>
      <c r="D2296" s="538">
        <v>15</v>
      </c>
      <c r="E2296" s="539">
        <v>13486</v>
      </c>
      <c r="F2296" s="540">
        <v>23992370</v>
      </c>
      <c r="G2296" s="541" t="str">
        <f>IFERROR(IF(ventas_b_mes684[[#This Row],[CUIT]]="","-",VLOOKUP(ventas_b_mes684[[#This Row],[CUIT]],Lista_CUIT[#All],2,0)),"CUIT NO CARGADO")</f>
        <v>CUIT NO CARGADO</v>
      </c>
      <c r="H2296" s="64">
        <v>11442.15</v>
      </c>
      <c r="I2296" s="485">
        <f>ventas_b_mes684[[#This Row],[IMPORTE NETO]]*0.21</f>
        <v>2402.8514999999998</v>
      </c>
      <c r="J2296" s="486"/>
      <c r="K2296" s="486"/>
      <c r="L2296" s="486">
        <f>SUM(ventas_b_mes684[[#This Row],[IMPORTE NETO]:[EXENTO]])</f>
        <v>13845.001499999998</v>
      </c>
      <c r="M2296" s="487"/>
    </row>
    <row r="2297" spans="2:13">
      <c r="B2297" s="40" t="s">
        <v>2323</v>
      </c>
      <c r="C2297" s="41">
        <v>6</v>
      </c>
      <c r="D2297" s="538">
        <v>15</v>
      </c>
      <c r="E2297" s="539">
        <v>13507</v>
      </c>
      <c r="F2297" s="540">
        <v>47155273</v>
      </c>
      <c r="G2297" s="541" t="str">
        <f>IFERROR(IF(ventas_b_mes684[[#This Row],[CUIT]]="","-",VLOOKUP(ventas_b_mes684[[#This Row],[CUIT]],Lista_CUIT[#All],2,0)),"CUIT NO CARGADO")</f>
        <v>CUIT NO CARGADO</v>
      </c>
      <c r="H2297" s="64">
        <v>14413.22</v>
      </c>
      <c r="I2297" s="485">
        <f>ventas_b_mes684[[#This Row],[IMPORTE NETO]]*0.21</f>
        <v>3026.7761999999998</v>
      </c>
      <c r="J2297" s="486"/>
      <c r="K2297" s="486"/>
      <c r="L2297" s="486">
        <f>SUM(ventas_b_mes684[[#This Row],[IMPORTE NETO]:[EXENTO]])</f>
        <v>17439.996199999998</v>
      </c>
      <c r="M2297" s="487"/>
    </row>
    <row r="2298" spans="2:13">
      <c r="B2298" s="40" t="s">
        <v>2323</v>
      </c>
      <c r="C2298" s="41">
        <v>6</v>
      </c>
      <c r="D2298" s="538">
        <v>11</v>
      </c>
      <c r="E2298" s="539">
        <v>38437</v>
      </c>
      <c r="F2298" s="540">
        <v>18078618</v>
      </c>
      <c r="G2298" s="541" t="str">
        <f>IFERROR(IF(ventas_b_mes684[[#This Row],[CUIT]]="","-",VLOOKUP(ventas_b_mes684[[#This Row],[CUIT]],Lista_CUIT[#All],2,0)),"CUIT NO CARGADO")</f>
        <v>CUIT NO CARGADO</v>
      </c>
      <c r="H2298" s="64">
        <v>81388.429999999993</v>
      </c>
      <c r="I2298" s="485">
        <f>ventas_b_mes684[[#This Row],[IMPORTE NETO]]*0.21</f>
        <v>17091.570299999999</v>
      </c>
      <c r="J2298" s="486"/>
      <c r="K2298" s="486"/>
      <c r="L2298" s="486">
        <f>SUM(ventas_b_mes684[[#This Row],[IMPORTE NETO]:[EXENTO]])</f>
        <v>98480.000299999985</v>
      </c>
      <c r="M2298" s="487"/>
    </row>
    <row r="2299" spans="2:13">
      <c r="B2299" s="40" t="s">
        <v>2323</v>
      </c>
      <c r="C2299" s="41">
        <v>6</v>
      </c>
      <c r="D2299" s="538">
        <v>13</v>
      </c>
      <c r="E2299" s="539">
        <v>32640</v>
      </c>
      <c r="F2299" s="540">
        <v>43087820</v>
      </c>
      <c r="G2299" s="541" t="str">
        <f>IFERROR(IF(ventas_b_mes684[[#This Row],[CUIT]]="","-",VLOOKUP(ventas_b_mes684[[#This Row],[CUIT]],Lista_CUIT[#All],2,0)),"CUIT NO CARGADO")</f>
        <v>CUIT NO CARGADO</v>
      </c>
      <c r="H2299" s="64">
        <v>35371.910000000003</v>
      </c>
      <c r="I2299" s="485">
        <f>ventas_b_mes684[[#This Row],[IMPORTE NETO]]*0.21</f>
        <v>7428.1011000000008</v>
      </c>
      <c r="J2299" s="486"/>
      <c r="K2299" s="486"/>
      <c r="L2299" s="486">
        <f>SUM(ventas_b_mes684[[#This Row],[IMPORTE NETO]:[EXENTO]])</f>
        <v>42800.011100000003</v>
      </c>
      <c r="M2299" s="487"/>
    </row>
    <row r="2300" spans="2:13">
      <c r="B2300" s="40" t="s">
        <v>2323</v>
      </c>
      <c r="C2300" s="41">
        <v>6</v>
      </c>
      <c r="D2300" s="538">
        <v>15</v>
      </c>
      <c r="E2300" s="539">
        <v>13480</v>
      </c>
      <c r="F2300" s="540">
        <v>25491482</v>
      </c>
      <c r="G2300" s="541" t="str">
        <f>IFERROR(IF(ventas_b_mes684[[#This Row],[CUIT]]="","-",VLOOKUP(ventas_b_mes684[[#This Row],[CUIT]],Lista_CUIT[#All],2,0)),"CUIT NO CARGADO")</f>
        <v>CUIT NO CARGADO</v>
      </c>
      <c r="H2300" s="64">
        <v>11442.15</v>
      </c>
      <c r="I2300" s="485">
        <f>ventas_b_mes684[[#This Row],[IMPORTE NETO]]*0.21</f>
        <v>2402.8514999999998</v>
      </c>
      <c r="J2300" s="486"/>
      <c r="K2300" s="486"/>
      <c r="L2300" s="486">
        <f>SUM(ventas_b_mes684[[#This Row],[IMPORTE NETO]:[EXENTO]])</f>
        <v>13845.001499999998</v>
      </c>
      <c r="M2300" s="487"/>
    </row>
    <row r="2301" spans="2:13">
      <c r="B2301" s="40" t="s">
        <v>2323</v>
      </c>
      <c r="C2301" s="41">
        <v>6</v>
      </c>
      <c r="D2301" s="538">
        <v>15</v>
      </c>
      <c r="E2301" s="539">
        <v>13481</v>
      </c>
      <c r="F2301" s="540">
        <v>25491482</v>
      </c>
      <c r="G2301" s="541" t="str">
        <f>IFERROR(IF(ventas_b_mes684[[#This Row],[CUIT]]="","-",VLOOKUP(ventas_b_mes684[[#This Row],[CUIT]],Lista_CUIT[#All],2,0)),"CUIT NO CARGADO")</f>
        <v>CUIT NO CARGADO</v>
      </c>
      <c r="H2301" s="64">
        <v>22727.27</v>
      </c>
      <c r="I2301" s="485">
        <f>ventas_b_mes684[[#This Row],[IMPORTE NETO]]*0.21</f>
        <v>4772.7267000000002</v>
      </c>
      <c r="J2301" s="486"/>
      <c r="K2301" s="486"/>
      <c r="L2301" s="486">
        <f>SUM(ventas_b_mes684[[#This Row],[IMPORTE NETO]:[EXENTO]])</f>
        <v>27499.9967</v>
      </c>
      <c r="M2301" s="487"/>
    </row>
    <row r="2302" spans="2:13">
      <c r="B2302" s="40" t="s">
        <v>2323</v>
      </c>
      <c r="C2302" s="41">
        <v>6</v>
      </c>
      <c r="D2302" s="538">
        <v>13</v>
      </c>
      <c r="E2302" s="539">
        <v>32635</v>
      </c>
      <c r="F2302" s="540">
        <v>20560897</v>
      </c>
      <c r="G2302" s="541" t="str">
        <f>IFERROR(IF(ventas_b_mes684[[#This Row],[CUIT]]="","-",VLOOKUP(ventas_b_mes684[[#This Row],[CUIT]],Lista_CUIT[#All],2,0)),"CUIT NO CARGADO")</f>
        <v>CUIT NO CARGADO</v>
      </c>
      <c r="H2302" s="64">
        <v>6115.7</v>
      </c>
      <c r="I2302" s="485">
        <f>ventas_b_mes684[[#This Row],[IMPORTE NETO]]*0.21</f>
        <v>1284.297</v>
      </c>
      <c r="J2302" s="486"/>
      <c r="K2302" s="486"/>
      <c r="L2302" s="486">
        <f>SUM(ventas_b_mes684[[#This Row],[IMPORTE NETO]:[EXENTO]])</f>
        <v>7399.9969999999994</v>
      </c>
      <c r="M2302" s="487"/>
    </row>
    <row r="2303" spans="2:13">
      <c r="B2303" s="40" t="s">
        <v>2323</v>
      </c>
      <c r="C2303" s="41">
        <v>6</v>
      </c>
      <c r="D2303" s="538">
        <v>10</v>
      </c>
      <c r="E2303" s="539">
        <v>54721</v>
      </c>
      <c r="F2303" s="540">
        <v>27120474036</v>
      </c>
      <c r="G2303" s="541" t="str">
        <f>IFERROR(IF(ventas_b_mes684[[#This Row],[CUIT]]="","-",VLOOKUP(ventas_b_mes684[[#This Row],[CUIT]],Lista_CUIT[#All],2,0)),"CUIT NO CARGADO")</f>
        <v>CUIT NO CARGADO</v>
      </c>
      <c r="H2303" s="64">
        <v>329938.02</v>
      </c>
      <c r="I2303" s="485">
        <f>ventas_b_mes684[[#This Row],[IMPORTE NETO]]*0.21</f>
        <v>69286.984200000006</v>
      </c>
      <c r="J2303" s="486"/>
      <c r="K2303" s="486"/>
      <c r="L2303" s="486">
        <f>SUM(ventas_b_mes684[[#This Row],[IMPORTE NETO]:[EXENTO]])</f>
        <v>399225.00420000002</v>
      </c>
      <c r="M2303" s="487"/>
    </row>
    <row r="2304" spans="2:13">
      <c r="B2304" s="40" t="s">
        <v>2323</v>
      </c>
      <c r="C2304" s="41">
        <v>6</v>
      </c>
      <c r="D2304" s="538">
        <v>10</v>
      </c>
      <c r="E2304" s="539">
        <v>54724</v>
      </c>
      <c r="F2304" s="540">
        <v>27281035970</v>
      </c>
      <c r="G2304" s="541" t="str">
        <f>IFERROR(IF(ventas_b_mes684[[#This Row],[CUIT]]="","-",VLOOKUP(ventas_b_mes684[[#This Row],[CUIT]],Lista_CUIT[#All],2,0)),"CUIT NO CARGADO")</f>
        <v>CUIT NO CARGADO</v>
      </c>
      <c r="H2304" s="64">
        <v>338380.58</v>
      </c>
      <c r="I2304" s="485">
        <f>ventas_b_mes684[[#This Row],[IMPORTE NETO]]*0.21</f>
        <v>71059.921799999996</v>
      </c>
      <c r="J2304" s="486"/>
      <c r="K2304" s="486"/>
      <c r="L2304" s="486">
        <f>SUM(ventas_b_mes684[[#This Row],[IMPORTE NETO]:[EXENTO]])</f>
        <v>409440.50180000003</v>
      </c>
      <c r="M2304" s="487"/>
    </row>
    <row r="2305" spans="2:13">
      <c r="B2305" s="40" t="s">
        <v>2323</v>
      </c>
      <c r="C2305" s="41">
        <v>6</v>
      </c>
      <c r="D2305" s="538">
        <v>15</v>
      </c>
      <c r="E2305" s="539">
        <v>13489</v>
      </c>
      <c r="F2305" s="540">
        <v>38326371</v>
      </c>
      <c r="G2305" s="541" t="str">
        <f>IFERROR(IF(ventas_b_mes684[[#This Row],[CUIT]]="","-",VLOOKUP(ventas_b_mes684[[#This Row],[CUIT]],Lista_CUIT[#All],2,0)),"CUIT NO CARGADO")</f>
        <v>CUIT NO CARGADO</v>
      </c>
      <c r="H2305" s="64">
        <v>6479.34</v>
      </c>
      <c r="I2305" s="485">
        <f>ventas_b_mes684[[#This Row],[IMPORTE NETO]]*0.21</f>
        <v>1360.6614</v>
      </c>
      <c r="J2305" s="486"/>
      <c r="K2305" s="486"/>
      <c r="L2305" s="486">
        <f>SUM(ventas_b_mes684[[#This Row],[IMPORTE NETO]:[EXENTO]])</f>
        <v>7840.0014000000001</v>
      </c>
      <c r="M2305" s="487"/>
    </row>
    <row r="2306" spans="2:13">
      <c r="B2306" s="40" t="s">
        <v>2323</v>
      </c>
      <c r="C2306" s="41">
        <v>6</v>
      </c>
      <c r="D2306" s="538">
        <v>10</v>
      </c>
      <c r="E2306" s="539">
        <v>54727</v>
      </c>
      <c r="F2306" s="540">
        <v>27281035970</v>
      </c>
      <c r="G2306" s="541" t="str">
        <f>IFERROR(IF(ventas_b_mes684[[#This Row],[CUIT]]="","-",VLOOKUP(ventas_b_mes684[[#This Row],[CUIT]],Lista_CUIT[#All],2,0)),"CUIT NO CARGADO")</f>
        <v>CUIT NO CARGADO</v>
      </c>
      <c r="H2306" s="64">
        <v>13190.1</v>
      </c>
      <c r="I2306" s="485">
        <f>ventas_b_mes684[[#This Row],[IMPORTE NETO]]*0.21</f>
        <v>2769.9209999999998</v>
      </c>
      <c r="J2306" s="486"/>
      <c r="K2306" s="486"/>
      <c r="L2306" s="486">
        <f>SUM(ventas_b_mes684[[#This Row],[IMPORTE NETO]:[EXENTO]])</f>
        <v>15960.021000000001</v>
      </c>
      <c r="M2306" s="487"/>
    </row>
    <row r="2307" spans="2:13">
      <c r="B2307" s="40" t="s">
        <v>2323</v>
      </c>
      <c r="C2307" s="41">
        <v>6</v>
      </c>
      <c r="D2307" s="538">
        <v>10</v>
      </c>
      <c r="E2307" s="539">
        <v>54725</v>
      </c>
      <c r="F2307" s="540">
        <v>27281035970</v>
      </c>
      <c r="G2307" s="541" t="str">
        <f>IFERROR(IF(ventas_b_mes684[[#This Row],[CUIT]]="","-",VLOOKUP(ventas_b_mes684[[#This Row],[CUIT]],Lista_CUIT[#All],2,0)),"CUIT NO CARGADO")</f>
        <v>CUIT NO CARGADO</v>
      </c>
      <c r="H2307" s="64">
        <v>247140.73</v>
      </c>
      <c r="I2307" s="485">
        <f>ventas_b_mes684[[#This Row],[IMPORTE NETO]]*0.21</f>
        <v>51899.5533</v>
      </c>
      <c r="J2307" s="486"/>
      <c r="K2307" s="486"/>
      <c r="L2307" s="486">
        <f>SUM(ventas_b_mes684[[#This Row],[IMPORTE NETO]:[EXENTO]])</f>
        <v>299040.28330000001</v>
      </c>
      <c r="M2307" s="487"/>
    </row>
    <row r="2308" spans="2:13">
      <c r="B2308" s="40" t="s">
        <v>2323</v>
      </c>
      <c r="C2308" s="41">
        <v>6</v>
      </c>
      <c r="D2308" s="538">
        <v>10</v>
      </c>
      <c r="E2308" s="539">
        <v>54726</v>
      </c>
      <c r="F2308" s="540">
        <v>27281035970</v>
      </c>
      <c r="G2308" s="541" t="str">
        <f>IFERROR(IF(ventas_b_mes684[[#This Row],[CUIT]]="","-",VLOOKUP(ventas_b_mes684[[#This Row],[CUIT]],Lista_CUIT[#All],2,0)),"CUIT NO CARGADO")</f>
        <v>CUIT NO CARGADO</v>
      </c>
      <c r="H2308" s="64">
        <v>52528.1</v>
      </c>
      <c r="I2308" s="485">
        <f>ventas_b_mes684[[#This Row],[IMPORTE NETO]]*0.21</f>
        <v>11030.901</v>
      </c>
      <c r="J2308" s="486"/>
      <c r="K2308" s="486"/>
      <c r="L2308" s="486">
        <f>SUM(ventas_b_mes684[[#This Row],[IMPORTE NETO]:[EXENTO]])</f>
        <v>63559.000999999997</v>
      </c>
      <c r="M2308" s="487"/>
    </row>
    <row r="2309" spans="2:13">
      <c r="B2309" s="40" t="s">
        <v>2323</v>
      </c>
      <c r="C2309" s="41">
        <v>6</v>
      </c>
      <c r="D2309" s="538">
        <v>12</v>
      </c>
      <c r="E2309" s="539">
        <v>29907</v>
      </c>
      <c r="F2309" s="540">
        <v>26942467</v>
      </c>
      <c r="G2309" s="541" t="str">
        <f>IFERROR(IF(ventas_b_mes684[[#This Row],[CUIT]]="","-",VLOOKUP(ventas_b_mes684[[#This Row],[CUIT]],Lista_CUIT[#All],2,0)),"CUIT NO CARGADO")</f>
        <v>CUIT NO CARGADO</v>
      </c>
      <c r="H2309" s="64">
        <v>5289.26</v>
      </c>
      <c r="I2309" s="485">
        <f>ventas_b_mes684[[#This Row],[IMPORTE NETO]]*0.21</f>
        <v>1110.7446</v>
      </c>
      <c r="J2309" s="486"/>
      <c r="K2309" s="486"/>
      <c r="L2309" s="486">
        <f>SUM(ventas_b_mes684[[#This Row],[IMPORTE NETO]:[EXENTO]])</f>
        <v>6400.0046000000002</v>
      </c>
      <c r="M2309" s="487"/>
    </row>
    <row r="2310" spans="2:13">
      <c r="B2310" s="40" t="s">
        <v>2323</v>
      </c>
      <c r="C2310" s="41">
        <v>6</v>
      </c>
      <c r="D2310" s="538">
        <v>11</v>
      </c>
      <c r="E2310" s="539">
        <v>38425</v>
      </c>
      <c r="F2310" s="540">
        <v>22297571</v>
      </c>
      <c r="G2310" s="541" t="str">
        <f>IFERROR(IF(ventas_b_mes684[[#This Row],[CUIT]]="","-",VLOOKUP(ventas_b_mes684[[#This Row],[CUIT]],Lista_CUIT[#All],2,0)),"CUIT NO CARGADO")</f>
        <v>CUIT NO CARGADO</v>
      </c>
      <c r="H2310" s="64">
        <v>21752.07</v>
      </c>
      <c r="I2310" s="485">
        <f>ventas_b_mes684[[#This Row],[IMPORTE NETO]]*0.21</f>
        <v>4567.9346999999998</v>
      </c>
      <c r="J2310" s="486"/>
      <c r="K2310" s="486"/>
      <c r="L2310" s="486">
        <f>SUM(ventas_b_mes684[[#This Row],[IMPORTE NETO]:[EXENTO]])</f>
        <v>26320.004699999998</v>
      </c>
      <c r="M2310" s="487"/>
    </row>
    <row r="2311" spans="2:13">
      <c r="B2311" s="40" t="s">
        <v>2323</v>
      </c>
      <c r="C2311" s="41">
        <v>6</v>
      </c>
      <c r="D2311" s="538">
        <v>13</v>
      </c>
      <c r="E2311" s="539">
        <v>32627</v>
      </c>
      <c r="F2311" s="540">
        <v>20560897</v>
      </c>
      <c r="G2311" s="541" t="str">
        <f>IFERROR(IF(ventas_b_mes684[[#This Row],[CUIT]]="","-",VLOOKUP(ventas_b_mes684[[#This Row],[CUIT]],Lista_CUIT[#All],2,0)),"CUIT NO CARGADO")</f>
        <v>CUIT NO CARGADO</v>
      </c>
      <c r="H2311" s="64">
        <v>39338.839999999997</v>
      </c>
      <c r="I2311" s="485">
        <f>ventas_b_mes684[[#This Row],[IMPORTE NETO]]*0.21</f>
        <v>8261.1563999999998</v>
      </c>
      <c r="J2311" s="486"/>
      <c r="K2311" s="486"/>
      <c r="L2311" s="486">
        <f>SUM(ventas_b_mes684[[#This Row],[IMPORTE NETO]:[EXENTO]])</f>
        <v>47599.996399999996</v>
      </c>
      <c r="M2311" s="487"/>
    </row>
    <row r="2312" spans="2:13">
      <c r="B2312" s="40" t="s">
        <v>2323</v>
      </c>
      <c r="C2312" s="41">
        <v>6</v>
      </c>
      <c r="D2312" s="538">
        <v>10</v>
      </c>
      <c r="E2312" s="539">
        <v>54718</v>
      </c>
      <c r="F2312" s="540">
        <v>21614437</v>
      </c>
      <c r="G2312" s="541" t="str">
        <f>IFERROR(IF(ventas_b_mes684[[#This Row],[CUIT]]="","-",VLOOKUP(ventas_b_mes684[[#This Row],[CUIT]],Lista_CUIT[#All],2,0)),"CUIT NO CARGADO")</f>
        <v>CUIT NO CARGADO</v>
      </c>
      <c r="H2312" s="64">
        <v>25719.01</v>
      </c>
      <c r="I2312" s="485">
        <f>ventas_b_mes684[[#This Row],[IMPORTE NETO]]*0.21</f>
        <v>5400.9920999999995</v>
      </c>
      <c r="J2312" s="486"/>
      <c r="K2312" s="486"/>
      <c r="L2312" s="486">
        <f>SUM(ventas_b_mes684[[#This Row],[IMPORTE NETO]:[EXENTO]])</f>
        <v>31120.002099999998</v>
      </c>
      <c r="M2312" s="487"/>
    </row>
    <row r="2313" spans="2:13">
      <c r="B2313" s="40" t="s">
        <v>2323</v>
      </c>
      <c r="C2313" s="41">
        <v>6</v>
      </c>
      <c r="D2313" s="538">
        <v>13</v>
      </c>
      <c r="E2313" s="539">
        <v>32638</v>
      </c>
      <c r="F2313" s="540">
        <v>94023174</v>
      </c>
      <c r="G2313" s="541" t="str">
        <f>IFERROR(IF(ventas_b_mes684[[#This Row],[CUIT]]="","-",VLOOKUP(ventas_b_mes684[[#This Row],[CUIT]],Lista_CUIT[#All],2,0)),"CUIT NO CARGADO")</f>
        <v>CUIT NO CARGADO</v>
      </c>
      <c r="H2313" s="64">
        <v>13487.6</v>
      </c>
      <c r="I2313" s="485">
        <f>ventas_b_mes684[[#This Row],[IMPORTE NETO]]*0.21</f>
        <v>2832.3960000000002</v>
      </c>
      <c r="J2313" s="486"/>
      <c r="K2313" s="486"/>
      <c r="L2313" s="486">
        <f>SUM(ventas_b_mes684[[#This Row],[IMPORTE NETO]:[EXENTO]])</f>
        <v>16319.996000000001</v>
      </c>
      <c r="M2313" s="487"/>
    </row>
    <row r="2314" spans="2:13">
      <c r="B2314" s="40" t="s">
        <v>2323</v>
      </c>
      <c r="C2314" s="41">
        <v>6</v>
      </c>
      <c r="D2314" s="538">
        <v>15</v>
      </c>
      <c r="E2314" s="539">
        <v>13491</v>
      </c>
      <c r="F2314" s="540">
        <v>24819166</v>
      </c>
      <c r="G2314" s="541" t="str">
        <f>IFERROR(IF(ventas_b_mes684[[#This Row],[CUIT]]="","-",VLOOKUP(ventas_b_mes684[[#This Row],[CUIT]],Lista_CUIT[#All],2,0)),"CUIT NO CARGADO")</f>
        <v>CUIT NO CARGADO</v>
      </c>
      <c r="H2314" s="64">
        <v>17520.66</v>
      </c>
      <c r="I2314" s="485">
        <f>ventas_b_mes684[[#This Row],[IMPORTE NETO]]*0.21</f>
        <v>3679.3386</v>
      </c>
      <c r="J2314" s="486"/>
      <c r="K2314" s="486"/>
      <c r="L2314" s="486">
        <f>SUM(ventas_b_mes684[[#This Row],[IMPORTE NETO]:[EXENTO]])</f>
        <v>21199.998599999999</v>
      </c>
      <c r="M2314" s="487"/>
    </row>
    <row r="2315" spans="2:13">
      <c r="B2315" s="40" t="s">
        <v>2323</v>
      </c>
      <c r="C2315" s="41">
        <v>6</v>
      </c>
      <c r="D2315" s="538">
        <v>11</v>
      </c>
      <c r="E2315" s="539">
        <v>38435</v>
      </c>
      <c r="F2315" s="540">
        <v>95108435</v>
      </c>
      <c r="G2315" s="541" t="str">
        <f>IFERROR(IF(ventas_b_mes684[[#This Row],[CUIT]]="","-",VLOOKUP(ventas_b_mes684[[#This Row],[CUIT]],Lista_CUIT[#All],2,0)),"CUIT NO CARGADO")</f>
        <v>CUIT NO CARGADO</v>
      </c>
      <c r="H2315" s="64">
        <v>9768.6</v>
      </c>
      <c r="I2315" s="485">
        <f>ventas_b_mes684[[#This Row],[IMPORTE NETO]]*0.21</f>
        <v>2051.4059999999999</v>
      </c>
      <c r="J2315" s="486"/>
      <c r="K2315" s="486"/>
      <c r="L2315" s="486">
        <f>SUM(ventas_b_mes684[[#This Row],[IMPORTE NETO]:[EXENTO]])</f>
        <v>11820.006000000001</v>
      </c>
      <c r="M2315" s="487"/>
    </row>
    <row r="2316" spans="2:13">
      <c r="B2316" s="40" t="s">
        <v>2323</v>
      </c>
      <c r="C2316" s="41">
        <v>6</v>
      </c>
      <c r="D2316" s="538">
        <v>13</v>
      </c>
      <c r="E2316" s="539">
        <v>32637</v>
      </c>
      <c r="F2316" s="540">
        <v>17618048</v>
      </c>
      <c r="G2316" s="541" t="str">
        <f>IFERROR(IF(ventas_b_mes684[[#This Row],[CUIT]]="","-",VLOOKUP(ventas_b_mes684[[#This Row],[CUIT]],Lista_CUIT[#All],2,0)),"CUIT NO CARGADO")</f>
        <v>CUIT NO CARGADO</v>
      </c>
      <c r="H2316" s="64">
        <v>7462.81</v>
      </c>
      <c r="I2316" s="485">
        <f>ventas_b_mes684[[#This Row],[IMPORTE NETO]]*0.21</f>
        <v>1567.1901</v>
      </c>
      <c r="J2316" s="486"/>
      <c r="K2316" s="486"/>
      <c r="L2316" s="486">
        <f>SUM(ventas_b_mes684[[#This Row],[IMPORTE NETO]:[EXENTO]])</f>
        <v>9030.0001000000011</v>
      </c>
      <c r="M2316" s="487"/>
    </row>
    <row r="2317" spans="2:13">
      <c r="B2317" s="40" t="s">
        <v>2323</v>
      </c>
      <c r="C2317" s="41">
        <v>6</v>
      </c>
      <c r="D2317" s="538">
        <v>15</v>
      </c>
      <c r="E2317" s="539">
        <v>13494</v>
      </c>
      <c r="F2317" s="540">
        <v>43671084</v>
      </c>
      <c r="G2317" s="541" t="str">
        <f>IFERROR(IF(ventas_b_mes684[[#This Row],[CUIT]]="","-",VLOOKUP(ventas_b_mes684[[#This Row],[CUIT]],Lista_CUIT[#All],2,0)),"CUIT NO CARGADO")</f>
        <v>CUIT NO CARGADO</v>
      </c>
      <c r="H2317" s="64">
        <v>22727.27</v>
      </c>
      <c r="I2317" s="485">
        <f>ventas_b_mes684[[#This Row],[IMPORTE NETO]]*0.21</f>
        <v>4772.7267000000002</v>
      </c>
      <c r="J2317" s="486"/>
      <c r="K2317" s="486"/>
      <c r="L2317" s="486">
        <f>SUM(ventas_b_mes684[[#This Row],[IMPORTE NETO]:[EXENTO]])</f>
        <v>27499.9967</v>
      </c>
      <c r="M2317" s="487"/>
    </row>
    <row r="2318" spans="2:13">
      <c r="B2318" s="40" t="s">
        <v>2323</v>
      </c>
      <c r="C2318" s="41">
        <v>6</v>
      </c>
      <c r="D2318" s="538">
        <v>15</v>
      </c>
      <c r="E2318" s="539">
        <v>13500</v>
      </c>
      <c r="F2318" s="540">
        <v>34485611</v>
      </c>
      <c r="G2318" s="541" t="str">
        <f>IFERROR(IF(ventas_b_mes684[[#This Row],[CUIT]]="","-",VLOOKUP(ventas_b_mes684[[#This Row],[CUIT]],Lista_CUIT[#All],2,0)),"CUIT NO CARGADO")</f>
        <v>CUIT NO CARGADO</v>
      </c>
      <c r="H2318" s="64">
        <v>25388.43</v>
      </c>
      <c r="I2318" s="485">
        <f>ventas_b_mes684[[#This Row],[IMPORTE NETO]]*0.21</f>
        <v>5331.5703000000003</v>
      </c>
      <c r="J2318" s="486"/>
      <c r="K2318" s="486"/>
      <c r="L2318" s="486">
        <f>SUM(ventas_b_mes684[[#This Row],[IMPORTE NETO]:[EXENTO]])</f>
        <v>30720.0003</v>
      </c>
      <c r="M2318" s="487"/>
    </row>
    <row r="2319" spans="2:13">
      <c r="B2319" s="40" t="s">
        <v>2323</v>
      </c>
      <c r="C2319" s="41">
        <v>6</v>
      </c>
      <c r="D2319" s="538">
        <v>15</v>
      </c>
      <c r="E2319" s="539">
        <v>13485</v>
      </c>
      <c r="F2319" s="540">
        <v>25491482</v>
      </c>
      <c r="G2319" s="541" t="str">
        <f>IFERROR(IF(ventas_b_mes684[[#This Row],[CUIT]]="","-",VLOOKUP(ventas_b_mes684[[#This Row],[CUIT]],Lista_CUIT[#All],2,0)),"CUIT NO CARGADO")</f>
        <v>CUIT NO CARGADO</v>
      </c>
      <c r="H2319" s="64">
        <v>5950.41</v>
      </c>
      <c r="I2319" s="485">
        <f>ventas_b_mes684[[#This Row],[IMPORTE NETO]]*0.21</f>
        <v>1249.5861</v>
      </c>
      <c r="J2319" s="486"/>
      <c r="K2319" s="486"/>
      <c r="L2319" s="486">
        <f>SUM(ventas_b_mes684[[#This Row],[IMPORTE NETO]:[EXENTO]])</f>
        <v>7199.9961000000003</v>
      </c>
      <c r="M2319" s="487"/>
    </row>
    <row r="2320" spans="2:13">
      <c r="B2320" s="40" t="s">
        <v>2323</v>
      </c>
      <c r="C2320" s="41">
        <v>6</v>
      </c>
      <c r="D2320" s="538">
        <v>10</v>
      </c>
      <c r="E2320" s="539">
        <v>54729</v>
      </c>
      <c r="F2320" s="540">
        <v>17881248</v>
      </c>
      <c r="G2320" s="541" t="str">
        <f>IFERROR(IF(ventas_b_mes684[[#This Row],[CUIT]]="","-",VLOOKUP(ventas_b_mes684[[#This Row],[CUIT]],Lista_CUIT[#All],2,0)),"CUIT NO CARGADO")</f>
        <v>CUIT NO CARGADO</v>
      </c>
      <c r="H2320" s="64">
        <v>84231.43</v>
      </c>
      <c r="I2320" s="485">
        <f>ventas_b_mes684[[#This Row],[IMPORTE NETO]]*0.21</f>
        <v>17688.600299999998</v>
      </c>
      <c r="J2320" s="486"/>
      <c r="K2320" s="486"/>
      <c r="L2320" s="486">
        <f>SUM(ventas_b_mes684[[#This Row],[IMPORTE NETO]:[EXENTO]])</f>
        <v>101920.03029999998</v>
      </c>
      <c r="M2320" s="487"/>
    </row>
    <row r="2321" spans="2:13">
      <c r="B2321" s="40" t="s">
        <v>2323</v>
      </c>
      <c r="C2321" s="41">
        <v>6</v>
      </c>
      <c r="D2321" s="538">
        <v>10</v>
      </c>
      <c r="E2321" s="539">
        <v>54731</v>
      </c>
      <c r="F2321" s="540">
        <v>23962248</v>
      </c>
      <c r="G2321" s="541" t="str">
        <f>IFERROR(IF(ventas_b_mes684[[#This Row],[CUIT]]="","-",VLOOKUP(ventas_b_mes684[[#This Row],[CUIT]],Lista_CUIT[#All],2,0)),"CUIT NO CARGADO")</f>
        <v>CUIT NO CARGADO</v>
      </c>
      <c r="H2321" s="64">
        <v>61338.84</v>
      </c>
      <c r="I2321" s="485">
        <f>ventas_b_mes684[[#This Row],[IMPORTE NETO]]*0.21</f>
        <v>12881.156399999998</v>
      </c>
      <c r="J2321" s="486"/>
      <c r="K2321" s="486"/>
      <c r="L2321" s="486">
        <f>SUM(ventas_b_mes684[[#This Row],[IMPORTE NETO]:[EXENTO]])</f>
        <v>74219.996399999989</v>
      </c>
      <c r="M2321" s="487"/>
    </row>
    <row r="2322" spans="2:13">
      <c r="B2322" s="40" t="s">
        <v>2323</v>
      </c>
      <c r="C2322" s="41">
        <v>6</v>
      </c>
      <c r="D2322" s="538">
        <v>15</v>
      </c>
      <c r="E2322" s="539">
        <v>13502</v>
      </c>
      <c r="F2322" s="540">
        <v>33040292</v>
      </c>
      <c r="G2322" s="541" t="str">
        <f>IFERROR(IF(ventas_b_mes684[[#This Row],[CUIT]]="","-",VLOOKUP(ventas_b_mes684[[#This Row],[CUIT]],Lista_CUIT[#All],2,0)),"CUIT NO CARGADO")</f>
        <v>CUIT NO CARGADO</v>
      </c>
      <c r="H2322" s="64">
        <v>4495.87</v>
      </c>
      <c r="I2322" s="485">
        <f>ventas_b_mes684[[#This Row],[IMPORTE NETO]]*0.21</f>
        <v>944.13269999999989</v>
      </c>
      <c r="J2322" s="486"/>
      <c r="K2322" s="486"/>
      <c r="L2322" s="486">
        <f>SUM(ventas_b_mes684[[#This Row],[IMPORTE NETO]:[EXENTO]])</f>
        <v>5440.0027</v>
      </c>
      <c r="M2322" s="487"/>
    </row>
    <row r="2323" spans="2:13">
      <c r="B2323" s="40" t="s">
        <v>2323</v>
      </c>
      <c r="C2323" s="41">
        <v>6</v>
      </c>
      <c r="D2323" s="538">
        <v>15</v>
      </c>
      <c r="E2323" s="539">
        <v>13482</v>
      </c>
      <c r="F2323" s="540">
        <v>41988944</v>
      </c>
      <c r="G2323" s="541" t="str">
        <f>IFERROR(IF(ventas_b_mes684[[#This Row],[CUIT]]="","-",VLOOKUP(ventas_b_mes684[[#This Row],[CUIT]],Lista_CUIT[#All],2,0)),"CUIT NO CARGADO")</f>
        <v>CUIT NO CARGADO</v>
      </c>
      <c r="H2323" s="64">
        <v>20661.16</v>
      </c>
      <c r="I2323" s="485">
        <f>ventas_b_mes684[[#This Row],[IMPORTE NETO]]*0.21</f>
        <v>4338.8436000000002</v>
      </c>
      <c r="J2323" s="486"/>
      <c r="K2323" s="486"/>
      <c r="L2323" s="486">
        <f>SUM(ventas_b_mes684[[#This Row],[IMPORTE NETO]:[EXENTO]])</f>
        <v>25000.0036</v>
      </c>
      <c r="M2323" s="487"/>
    </row>
    <row r="2324" spans="2:13">
      <c r="B2324" s="40" t="s">
        <v>2323</v>
      </c>
      <c r="C2324" s="41">
        <v>6</v>
      </c>
      <c r="D2324" s="538">
        <v>10</v>
      </c>
      <c r="E2324" s="539">
        <v>54720</v>
      </c>
      <c r="F2324" s="540">
        <v>30821333</v>
      </c>
      <c r="G2324" s="541" t="str">
        <f>IFERROR(IF(ventas_b_mes684[[#This Row],[CUIT]]="","-",VLOOKUP(ventas_b_mes684[[#This Row],[CUIT]],Lista_CUIT[#All],2,0)),"CUIT NO CARGADO")</f>
        <v>CUIT NO CARGADO</v>
      </c>
      <c r="H2324" s="64">
        <v>97586.79</v>
      </c>
      <c r="I2324" s="485">
        <f>ventas_b_mes684[[#This Row],[IMPORTE NETO]]*0.21</f>
        <v>20493.225899999998</v>
      </c>
      <c r="J2324" s="486"/>
      <c r="K2324" s="486"/>
      <c r="L2324" s="486">
        <f>SUM(ventas_b_mes684[[#This Row],[IMPORTE NETO]:[EXENTO]])</f>
        <v>118080.0159</v>
      </c>
      <c r="M2324" s="487"/>
    </row>
    <row r="2325" spans="2:13">
      <c r="B2325" s="40" t="s">
        <v>2323</v>
      </c>
      <c r="C2325" s="41">
        <v>6</v>
      </c>
      <c r="D2325" s="538">
        <v>15</v>
      </c>
      <c r="E2325" s="539">
        <v>13477</v>
      </c>
      <c r="F2325" s="540">
        <v>36373768</v>
      </c>
      <c r="G2325" s="541" t="str">
        <f>IFERROR(IF(ventas_b_mes684[[#This Row],[CUIT]]="","-",VLOOKUP(ventas_b_mes684[[#This Row],[CUIT]],Lista_CUIT[#All],2,0)),"CUIT NO CARGADO")</f>
        <v>CUIT NO CARGADO</v>
      </c>
      <c r="H2325" s="64">
        <v>2404.96</v>
      </c>
      <c r="I2325" s="485">
        <f>ventas_b_mes684[[#This Row],[IMPORTE NETO]]*0.21</f>
        <v>505.04160000000002</v>
      </c>
      <c r="J2325" s="486"/>
      <c r="K2325" s="486"/>
      <c r="L2325" s="486">
        <f>SUM(ventas_b_mes684[[#This Row],[IMPORTE NETO]:[EXENTO]])</f>
        <v>2910.0016000000001</v>
      </c>
      <c r="M2325" s="487"/>
    </row>
    <row r="2326" spans="2:13">
      <c r="B2326" s="40" t="s">
        <v>2323</v>
      </c>
      <c r="C2326" s="41">
        <v>6</v>
      </c>
      <c r="D2326" s="538">
        <v>15</v>
      </c>
      <c r="E2326" s="539">
        <v>13488</v>
      </c>
      <c r="F2326" s="540">
        <v>38326371</v>
      </c>
      <c r="G2326" s="541" t="str">
        <f>IFERROR(IF(ventas_b_mes684[[#This Row],[CUIT]]="","-",VLOOKUP(ventas_b_mes684[[#This Row],[CUIT]],Lista_CUIT[#All],2,0)),"CUIT NO CARGADO")</f>
        <v>CUIT NO CARGADO</v>
      </c>
      <c r="H2326" s="64">
        <v>20661.16</v>
      </c>
      <c r="I2326" s="485">
        <f>ventas_b_mes684[[#This Row],[IMPORTE NETO]]*0.21</f>
        <v>4338.8436000000002</v>
      </c>
      <c r="J2326" s="486"/>
      <c r="K2326" s="486"/>
      <c r="L2326" s="486">
        <f>SUM(ventas_b_mes684[[#This Row],[IMPORTE NETO]:[EXENTO]])</f>
        <v>25000.0036</v>
      </c>
      <c r="M2326" s="487"/>
    </row>
    <row r="2327" spans="2:13">
      <c r="B2327" s="40" t="s">
        <v>2323</v>
      </c>
      <c r="C2327" s="41">
        <v>6</v>
      </c>
      <c r="D2327" s="538">
        <v>15</v>
      </c>
      <c r="E2327" s="539">
        <v>13490</v>
      </c>
      <c r="F2327" s="540">
        <v>33040292</v>
      </c>
      <c r="G2327" s="541" t="str">
        <f>IFERROR(IF(ventas_b_mes684[[#This Row],[CUIT]]="","-",VLOOKUP(ventas_b_mes684[[#This Row],[CUIT]],Lista_CUIT[#All],2,0)),"CUIT NO CARGADO")</f>
        <v>CUIT NO CARGADO</v>
      </c>
      <c r="H2327" s="64">
        <v>16066.12</v>
      </c>
      <c r="I2327" s="485">
        <f>ventas_b_mes684[[#This Row],[IMPORTE NETO]]*0.21</f>
        <v>3373.8852000000002</v>
      </c>
      <c r="J2327" s="486"/>
      <c r="K2327" s="486"/>
      <c r="L2327" s="486">
        <f>SUM(ventas_b_mes684[[#This Row],[IMPORTE NETO]:[EXENTO]])</f>
        <v>19440.0052</v>
      </c>
      <c r="M2327" s="487"/>
    </row>
    <row r="2328" spans="2:13">
      <c r="B2328" s="40" t="s">
        <v>2323</v>
      </c>
      <c r="C2328" s="41">
        <v>6</v>
      </c>
      <c r="D2328" s="538">
        <v>15</v>
      </c>
      <c r="E2328" s="539">
        <v>13487</v>
      </c>
      <c r="F2328" s="540">
        <v>32496400</v>
      </c>
      <c r="G2328" s="541" t="str">
        <f>IFERROR(IF(ventas_b_mes684[[#This Row],[CUIT]]="","-",VLOOKUP(ventas_b_mes684[[#This Row],[CUIT]],Lista_CUIT[#All],2,0)),"CUIT NO CARGADO")</f>
        <v>CUIT NO CARGADO</v>
      </c>
      <c r="H2328" s="64">
        <v>6198.35</v>
      </c>
      <c r="I2328" s="485">
        <f>ventas_b_mes684[[#This Row],[IMPORTE NETO]]*0.21</f>
        <v>1301.6535000000001</v>
      </c>
      <c r="J2328" s="486"/>
      <c r="K2328" s="486"/>
      <c r="L2328" s="486">
        <f>SUM(ventas_b_mes684[[#This Row],[IMPORTE NETO]:[EXENTO]])</f>
        <v>7500.0035000000007</v>
      </c>
      <c r="M2328" s="487"/>
    </row>
    <row r="2329" spans="2:13">
      <c r="B2329" s="40" t="s">
        <v>2323</v>
      </c>
      <c r="C2329" s="41">
        <v>6</v>
      </c>
      <c r="D2329" s="538">
        <v>12</v>
      </c>
      <c r="E2329" s="539">
        <v>29897</v>
      </c>
      <c r="F2329" s="540">
        <v>23326855</v>
      </c>
      <c r="G2329" s="541" t="str">
        <f>IFERROR(IF(ventas_b_mes684[[#This Row],[CUIT]]="","-",VLOOKUP(ventas_b_mes684[[#This Row],[CUIT]],Lista_CUIT[#All],2,0)),"CUIT NO CARGADO")</f>
        <v>CUIT NO CARGADO</v>
      </c>
      <c r="H2329" s="64">
        <v>20661.16</v>
      </c>
      <c r="I2329" s="485">
        <f>ventas_b_mes684[[#This Row],[IMPORTE NETO]]*0.21</f>
        <v>4338.8436000000002</v>
      </c>
      <c r="J2329" s="486"/>
      <c r="K2329" s="486"/>
      <c r="L2329" s="486">
        <f>SUM(ventas_b_mes684[[#This Row],[IMPORTE NETO]:[EXENTO]])</f>
        <v>25000.0036</v>
      </c>
      <c r="M2329" s="487"/>
    </row>
    <row r="2330" spans="2:13">
      <c r="B2330" s="40" t="s">
        <v>2323</v>
      </c>
      <c r="C2330" s="41">
        <v>6</v>
      </c>
      <c r="D2330" s="538">
        <v>13</v>
      </c>
      <c r="E2330" s="539">
        <v>32636</v>
      </c>
      <c r="F2330" s="540">
        <v>17618048</v>
      </c>
      <c r="G2330" s="541" t="str">
        <f>IFERROR(IF(ventas_b_mes684[[#This Row],[CUIT]]="","-",VLOOKUP(ventas_b_mes684[[#This Row],[CUIT]],Lista_CUIT[#All],2,0)),"CUIT NO CARGADO")</f>
        <v>CUIT NO CARGADO</v>
      </c>
      <c r="H2330" s="64">
        <v>71107.44</v>
      </c>
      <c r="I2330" s="485">
        <f>ventas_b_mes684[[#This Row],[IMPORTE NETO]]*0.21</f>
        <v>14932.562400000001</v>
      </c>
      <c r="J2330" s="486"/>
      <c r="K2330" s="486"/>
      <c r="L2330" s="486">
        <f>SUM(ventas_b_mes684[[#This Row],[IMPORTE NETO]:[EXENTO]])</f>
        <v>86040.002399999998</v>
      </c>
      <c r="M2330" s="487"/>
    </row>
    <row r="2331" spans="2:13">
      <c r="B2331" s="40" t="s">
        <v>2323</v>
      </c>
      <c r="C2331" s="41">
        <v>6</v>
      </c>
      <c r="D2331" s="538">
        <v>15</v>
      </c>
      <c r="E2331" s="539">
        <v>13501</v>
      </c>
      <c r="F2331" s="540">
        <v>111</v>
      </c>
      <c r="G2331" s="541" t="str">
        <f>IFERROR(IF(ventas_b_mes684[[#This Row],[CUIT]]="","-",VLOOKUP(ventas_b_mes684[[#This Row],[CUIT]],Lista_CUIT[#All],2,0)),"CUIT NO CARGADO")</f>
        <v>LOPEZ,Sandra</v>
      </c>
      <c r="H2331" s="64">
        <v>23067.77</v>
      </c>
      <c r="I2331" s="485">
        <f>ventas_b_mes684[[#This Row],[IMPORTE NETO]]*0.21</f>
        <v>4844.2317000000003</v>
      </c>
      <c r="J2331" s="486"/>
      <c r="K2331" s="486"/>
      <c r="L2331" s="486">
        <f>SUM(ventas_b_mes684[[#This Row],[IMPORTE NETO]:[EXENTO]])</f>
        <v>27912.001700000001</v>
      </c>
      <c r="M2331" s="487"/>
    </row>
    <row r="2332" spans="2:13">
      <c r="B2332" s="40" t="s">
        <v>2323</v>
      </c>
      <c r="C2332" s="41">
        <v>6</v>
      </c>
      <c r="D2332" s="538">
        <v>12</v>
      </c>
      <c r="E2332" s="539">
        <v>29905</v>
      </c>
      <c r="F2332" s="540">
        <v>25538119</v>
      </c>
      <c r="G2332" s="541" t="str">
        <f>IFERROR(IF(ventas_b_mes684[[#This Row],[CUIT]]="","-",VLOOKUP(ventas_b_mes684[[#This Row],[CUIT]],Lista_CUIT[#All],2,0)),"CUIT NO CARGADO")</f>
        <v>CUIT NO CARGADO</v>
      </c>
      <c r="H2332" s="64">
        <v>57123.97</v>
      </c>
      <c r="I2332" s="485">
        <f>ventas_b_mes684[[#This Row],[IMPORTE NETO]]*0.21</f>
        <v>11996.0337</v>
      </c>
      <c r="J2332" s="486"/>
      <c r="K2332" s="486"/>
      <c r="L2332" s="486">
        <f>SUM(ventas_b_mes684[[#This Row],[IMPORTE NETO]:[EXENTO]])</f>
        <v>69120.003700000001</v>
      </c>
      <c r="M2332" s="487"/>
    </row>
    <row r="2333" spans="2:13">
      <c r="B2333" s="40" t="s">
        <v>2323</v>
      </c>
      <c r="C2333" s="41">
        <v>6</v>
      </c>
      <c r="D2333" s="538">
        <v>15</v>
      </c>
      <c r="E2333" s="539">
        <v>13497</v>
      </c>
      <c r="F2333" s="540">
        <v>34692504</v>
      </c>
      <c r="G2333" s="541" t="str">
        <f>IFERROR(IF(ventas_b_mes684[[#This Row],[CUIT]]="","-",VLOOKUP(ventas_b_mes684[[#This Row],[CUIT]],Lista_CUIT[#All],2,0)),"CUIT NO CARGADO")</f>
        <v>CUIT NO CARGADO</v>
      </c>
      <c r="H2333" s="64">
        <v>8512.4</v>
      </c>
      <c r="I2333" s="485">
        <f>ventas_b_mes684[[#This Row],[IMPORTE NETO]]*0.21</f>
        <v>1787.6039999999998</v>
      </c>
      <c r="J2333" s="486"/>
      <c r="K2333" s="486"/>
      <c r="L2333" s="486">
        <f>SUM(ventas_b_mes684[[#This Row],[IMPORTE NETO]:[EXENTO]])</f>
        <v>10300.003999999999</v>
      </c>
      <c r="M2333" s="487"/>
    </row>
    <row r="2334" spans="2:13">
      <c r="B2334" s="40" t="s">
        <v>2323</v>
      </c>
      <c r="C2334" s="41">
        <v>6</v>
      </c>
      <c r="D2334" s="538">
        <v>11</v>
      </c>
      <c r="E2334" s="539">
        <v>38440</v>
      </c>
      <c r="F2334" s="540">
        <v>12333666</v>
      </c>
      <c r="G2334" s="541" t="str">
        <f>IFERROR(IF(ventas_b_mes684[[#This Row],[CUIT]]="","-",VLOOKUP(ventas_b_mes684[[#This Row],[CUIT]],Lista_CUIT[#All],2,0)),"CUIT NO CARGADO")</f>
        <v>CUIT NO CARGADO</v>
      </c>
      <c r="H2334" s="64">
        <v>25123.97</v>
      </c>
      <c r="I2334" s="485">
        <f>ventas_b_mes684[[#This Row],[IMPORTE NETO]]*0.21</f>
        <v>5276.0337</v>
      </c>
      <c r="J2334" s="486"/>
      <c r="K2334" s="486"/>
      <c r="L2334" s="486">
        <f>SUM(ventas_b_mes684[[#This Row],[IMPORTE NETO]:[EXENTO]])</f>
        <v>30400.003700000001</v>
      </c>
      <c r="M2334" s="487"/>
    </row>
    <row r="2335" spans="2:13">
      <c r="B2335" s="40" t="s">
        <v>2323</v>
      </c>
      <c r="C2335" s="41">
        <v>6</v>
      </c>
      <c r="D2335" s="538">
        <v>10</v>
      </c>
      <c r="E2335" s="539">
        <v>54719</v>
      </c>
      <c r="F2335" s="540">
        <v>27119918389</v>
      </c>
      <c r="G2335" s="541" t="str">
        <f>IFERROR(IF(ventas_b_mes684[[#This Row],[CUIT]]="","-",VLOOKUP(ventas_b_mes684[[#This Row],[CUIT]],Lista_CUIT[#All],2,0)),"CUIT NO CARGADO")</f>
        <v>CUIT NO CARGADO</v>
      </c>
      <c r="H2335" s="64">
        <v>46146.69</v>
      </c>
      <c r="I2335" s="485">
        <f>ventas_b_mes684[[#This Row],[IMPORTE NETO]]*0.21</f>
        <v>9690.804900000001</v>
      </c>
      <c r="J2335" s="486"/>
      <c r="K2335" s="486"/>
      <c r="L2335" s="486">
        <f>SUM(ventas_b_mes684[[#This Row],[IMPORTE NETO]:[EXENTO]])</f>
        <v>55837.494900000005</v>
      </c>
      <c r="M2335" s="487"/>
    </row>
    <row r="2336" spans="2:13">
      <c r="B2336" s="40" t="s">
        <v>2323</v>
      </c>
      <c r="C2336" s="41">
        <v>6</v>
      </c>
      <c r="D2336" s="538">
        <v>10</v>
      </c>
      <c r="E2336" s="539">
        <v>54737</v>
      </c>
      <c r="F2336" s="540">
        <v>32736876</v>
      </c>
      <c r="G2336" s="541" t="str">
        <f>IFERROR(IF(ventas_b_mes684[[#This Row],[CUIT]]="","-",VLOOKUP(ventas_b_mes684[[#This Row],[CUIT]],Lista_CUIT[#All],2,0)),"CUIT NO CARGADO")</f>
        <v>CUIT NO CARGADO</v>
      </c>
      <c r="H2336" s="64">
        <v>24330.58</v>
      </c>
      <c r="I2336" s="485">
        <f>ventas_b_mes684[[#This Row],[IMPORTE NETO]]*0.21</f>
        <v>5109.4218000000001</v>
      </c>
      <c r="J2336" s="486"/>
      <c r="K2336" s="486"/>
      <c r="L2336" s="486">
        <f>SUM(ventas_b_mes684[[#This Row],[IMPORTE NETO]:[EXENTO]])</f>
        <v>29440.001800000002</v>
      </c>
      <c r="M2336" s="487"/>
    </row>
    <row r="2337" spans="2:13">
      <c r="B2337" s="40" t="s">
        <v>2323</v>
      </c>
      <c r="C2337" s="41">
        <v>6</v>
      </c>
      <c r="D2337" s="538">
        <v>15</v>
      </c>
      <c r="E2337" s="539">
        <v>13495</v>
      </c>
      <c r="F2337" s="540">
        <v>27354400</v>
      </c>
      <c r="G2337" s="541" t="str">
        <f>IFERROR(IF(ventas_b_mes684[[#This Row],[CUIT]]="","-",VLOOKUP(ventas_b_mes684[[#This Row],[CUIT]],Lista_CUIT[#All],2,0)),"CUIT NO CARGADO")</f>
        <v>CUIT NO CARGADO</v>
      </c>
      <c r="H2337" s="64">
        <v>43438.02</v>
      </c>
      <c r="I2337" s="485">
        <f>ventas_b_mes684[[#This Row],[IMPORTE NETO]]*0.21</f>
        <v>9121.984199999999</v>
      </c>
      <c r="J2337" s="486"/>
      <c r="K2337" s="486"/>
      <c r="L2337" s="486">
        <f>SUM(ventas_b_mes684[[#This Row],[IMPORTE NETO]:[EXENTO]])</f>
        <v>52560.004199999996</v>
      </c>
      <c r="M2337" s="487"/>
    </row>
    <row r="2338" spans="2:13">
      <c r="B2338" s="40" t="s">
        <v>2323</v>
      </c>
      <c r="C2338" s="41">
        <v>8</v>
      </c>
      <c r="D2338" s="538">
        <v>12</v>
      </c>
      <c r="E2338" s="539">
        <v>916</v>
      </c>
      <c r="F2338" s="540">
        <v>44194181</v>
      </c>
      <c r="G2338" s="541" t="str">
        <f>IFERROR(IF(ventas_b_mes684[[#This Row],[CUIT]]="","-",VLOOKUP(ventas_b_mes684[[#This Row],[CUIT]],Lista_CUIT[#All],2,0)),"CUIT NO CARGADO")</f>
        <v>CUIT NO CARGADO</v>
      </c>
      <c r="H2338" s="64">
        <v>-214347.11</v>
      </c>
      <c r="I2338" s="485">
        <f>ventas_b_mes684[[#This Row],[IMPORTE NETO]]*0.21</f>
        <v>-45012.893099999994</v>
      </c>
      <c r="J2338" s="486"/>
      <c r="K2338" s="486"/>
      <c r="L2338" s="486">
        <f>SUM(ventas_b_mes684[[#This Row],[IMPORTE NETO]:[EXENTO]])</f>
        <v>-259360.00309999997</v>
      </c>
      <c r="M2338" s="487"/>
    </row>
    <row r="2339" spans="2:13">
      <c r="B2339" s="40" t="s">
        <v>2323</v>
      </c>
      <c r="C2339" s="41">
        <v>8</v>
      </c>
      <c r="D2339" s="538">
        <v>10</v>
      </c>
      <c r="E2339" s="539">
        <v>1632</v>
      </c>
      <c r="F2339" s="540">
        <v>17881248</v>
      </c>
      <c r="G2339" s="541" t="str">
        <f>IFERROR(IF(ventas_b_mes684[[#This Row],[CUIT]]="","-",VLOOKUP(ventas_b_mes684[[#This Row],[CUIT]],Lista_CUIT[#All],2,0)),"CUIT NO CARGADO")</f>
        <v>CUIT NO CARGADO</v>
      </c>
      <c r="H2339" s="64">
        <v>-84231.43</v>
      </c>
      <c r="I2339" s="485">
        <f>ventas_b_mes684[[#This Row],[IMPORTE NETO]]*0.21</f>
        <v>-17688.600299999998</v>
      </c>
      <c r="J2339" s="486"/>
      <c r="K2339" s="486"/>
      <c r="L2339" s="486">
        <f>SUM(ventas_b_mes684[[#This Row],[IMPORTE NETO]:[EXENTO]])</f>
        <v>-101920.03029999998</v>
      </c>
      <c r="M2339" s="487"/>
    </row>
    <row r="2340" spans="2:13">
      <c r="B2340" s="40" t="s">
        <v>2323</v>
      </c>
      <c r="C2340" s="41">
        <v>8</v>
      </c>
      <c r="D2340" s="538">
        <v>11</v>
      </c>
      <c r="E2340" s="539">
        <v>1045</v>
      </c>
      <c r="F2340" s="540">
        <v>38618076</v>
      </c>
      <c r="G2340" s="541" t="str">
        <f>IFERROR(IF(ventas_b_mes684[[#This Row],[CUIT]]="","-",VLOOKUP(ventas_b_mes684[[#This Row],[CUIT]],Lista_CUIT[#All],2,0)),"CUIT NO CARGADO")</f>
        <v>CUIT NO CARGADO</v>
      </c>
      <c r="H2340" s="64">
        <v>-45024.79</v>
      </c>
      <c r="I2340" s="485">
        <f>ventas_b_mes684[[#This Row],[IMPORTE NETO]]*0.21</f>
        <v>-9455.205899999999</v>
      </c>
      <c r="J2340" s="486"/>
      <c r="K2340" s="486"/>
      <c r="L2340" s="486">
        <f>SUM(ventas_b_mes684[[#This Row],[IMPORTE NETO]:[EXENTO]])</f>
        <v>-54479.995900000002</v>
      </c>
      <c r="M2340" s="487"/>
    </row>
    <row r="2341" spans="2:13">
      <c r="B2341" s="40" t="s">
        <v>2323</v>
      </c>
      <c r="C2341" s="41">
        <v>8</v>
      </c>
      <c r="D2341" s="538">
        <v>10</v>
      </c>
      <c r="E2341" s="539">
        <v>1633</v>
      </c>
      <c r="F2341" s="540">
        <v>27281035970</v>
      </c>
      <c r="G2341" s="541" t="str">
        <f>IFERROR(IF(ventas_b_mes684[[#This Row],[CUIT]]="","-",VLOOKUP(ventas_b_mes684[[#This Row],[CUIT]],Lista_CUIT[#All],2,0)),"CUIT NO CARGADO")</f>
        <v>CUIT NO CARGADO</v>
      </c>
      <c r="H2341" s="64">
        <v>-13190.1</v>
      </c>
      <c r="I2341" s="485">
        <f>ventas_b_mes684[[#This Row],[IMPORTE NETO]]*0.21</f>
        <v>-2769.9209999999998</v>
      </c>
      <c r="J2341" s="486"/>
      <c r="K2341" s="486"/>
      <c r="L2341" s="486">
        <f>SUM(ventas_b_mes684[[#This Row],[IMPORTE NETO]:[EXENTO]])</f>
        <v>-15960.021000000001</v>
      </c>
      <c r="M2341" s="487"/>
    </row>
    <row r="2342" spans="2:13">
      <c r="B2342" s="40" t="s">
        <v>2323</v>
      </c>
      <c r="C2342" s="41">
        <v>8</v>
      </c>
      <c r="D2342" s="538">
        <v>10</v>
      </c>
      <c r="E2342" s="539">
        <v>1634</v>
      </c>
      <c r="F2342" s="540">
        <v>27281035970</v>
      </c>
      <c r="G2342" s="541" t="str">
        <f>IFERROR(IF(ventas_b_mes684[[#This Row],[CUIT]]="","-",VLOOKUP(ventas_b_mes684[[#This Row],[CUIT]],Lista_CUIT[#All],2,0)),"CUIT NO CARGADO")</f>
        <v>CUIT NO CARGADO</v>
      </c>
      <c r="H2342" s="64">
        <v>-52528.1</v>
      </c>
      <c r="I2342" s="485">
        <f>ventas_b_mes684[[#This Row],[IMPORTE NETO]]*0.21</f>
        <v>-11030.901</v>
      </c>
      <c r="J2342" s="486"/>
      <c r="K2342" s="486"/>
      <c r="L2342" s="486">
        <f>SUM(ventas_b_mes684[[#This Row],[IMPORTE NETO]:[EXENTO]])</f>
        <v>-63559.000999999997</v>
      </c>
      <c r="M2342" s="487"/>
    </row>
    <row r="2343" spans="2:13">
      <c r="B2343" s="40" t="s">
        <v>2324</v>
      </c>
      <c r="C2343" s="41">
        <v>6</v>
      </c>
      <c r="D2343" s="538">
        <v>12</v>
      </c>
      <c r="E2343" s="539">
        <v>29922</v>
      </c>
      <c r="F2343" s="540">
        <v>93482547</v>
      </c>
      <c r="G2343" s="541" t="str">
        <f>IFERROR(IF(ventas_b_mes684[[#This Row],[CUIT]]="","-",VLOOKUP(ventas_b_mes684[[#This Row],[CUIT]],Lista_CUIT[#All],2,0)),"CUIT NO CARGADO")</f>
        <v>CUIT NO CARGADO</v>
      </c>
      <c r="H2343" s="64">
        <v>19041.32</v>
      </c>
      <c r="I2343" s="485">
        <f>ventas_b_mes684[[#This Row],[IMPORTE NETO]]*0.21</f>
        <v>3998.6771999999996</v>
      </c>
      <c r="J2343" s="486"/>
      <c r="K2343" s="486"/>
      <c r="L2343" s="486">
        <f>SUM(ventas_b_mes684[[#This Row],[IMPORTE NETO]:[EXENTO]])</f>
        <v>23039.997199999998</v>
      </c>
      <c r="M2343" s="487"/>
    </row>
    <row r="2344" spans="2:13">
      <c r="B2344" s="40" t="s">
        <v>2324</v>
      </c>
      <c r="C2344" s="41">
        <v>6</v>
      </c>
      <c r="D2344" s="538">
        <v>15</v>
      </c>
      <c r="E2344" s="539">
        <v>13518</v>
      </c>
      <c r="F2344" s="540">
        <v>18134041</v>
      </c>
      <c r="G2344" s="541" t="str">
        <f>IFERROR(IF(ventas_b_mes684[[#This Row],[CUIT]]="","-",VLOOKUP(ventas_b_mes684[[#This Row],[CUIT]],Lista_CUIT[#All],2,0)),"CUIT NO CARGADO")</f>
        <v>MALAGUEÑO NORMA PATRICIA</v>
      </c>
      <c r="H2344" s="64">
        <v>16528.93</v>
      </c>
      <c r="I2344" s="485">
        <f>ventas_b_mes684[[#This Row],[IMPORTE NETO]]*0.21</f>
        <v>3471.0753</v>
      </c>
      <c r="J2344" s="486"/>
      <c r="K2344" s="486"/>
      <c r="L2344" s="486">
        <f>SUM(ventas_b_mes684[[#This Row],[IMPORTE NETO]:[EXENTO]])</f>
        <v>20000.005300000001</v>
      </c>
      <c r="M2344" s="487"/>
    </row>
    <row r="2345" spans="2:13">
      <c r="B2345" s="40" t="s">
        <v>2324</v>
      </c>
      <c r="C2345" s="41">
        <v>6</v>
      </c>
      <c r="D2345" s="538">
        <v>10</v>
      </c>
      <c r="E2345" s="539">
        <v>54748</v>
      </c>
      <c r="F2345" s="540">
        <v>27602253</v>
      </c>
      <c r="G2345" s="541" t="str">
        <f>IFERROR(IF(ventas_b_mes684[[#This Row],[CUIT]]="","-",VLOOKUP(ventas_b_mes684[[#This Row],[CUIT]],Lista_CUIT[#All],2,0)),"CUIT NO CARGADO")</f>
        <v>CUIT NO CARGADO</v>
      </c>
      <c r="H2345" s="64">
        <v>38809.96</v>
      </c>
      <c r="I2345" s="485">
        <f>ventas_b_mes684[[#This Row],[IMPORTE NETO]]*0.21</f>
        <v>8150.0915999999997</v>
      </c>
      <c r="J2345" s="486"/>
      <c r="K2345" s="486"/>
      <c r="L2345" s="486">
        <f>SUM(ventas_b_mes684[[#This Row],[IMPORTE NETO]:[EXENTO]])</f>
        <v>46960.051599999999</v>
      </c>
      <c r="M2345" s="487"/>
    </row>
    <row r="2346" spans="2:13">
      <c r="B2346" s="40" t="s">
        <v>2324</v>
      </c>
      <c r="C2346" s="41">
        <v>6</v>
      </c>
      <c r="D2346" s="538">
        <v>12</v>
      </c>
      <c r="E2346" s="539">
        <v>29909</v>
      </c>
      <c r="F2346" s="540">
        <v>22083012</v>
      </c>
      <c r="G2346" s="541" t="str">
        <f>IFERROR(IF(ventas_b_mes684[[#This Row],[CUIT]]="","-",VLOOKUP(ventas_b_mes684[[#This Row],[CUIT]],Lista_CUIT[#All],2,0)),"CUIT NO CARGADO")</f>
        <v>CUIT NO CARGADO</v>
      </c>
      <c r="H2346" s="64">
        <v>29553.72</v>
      </c>
      <c r="I2346" s="485">
        <f>ventas_b_mes684[[#This Row],[IMPORTE NETO]]*0.21</f>
        <v>6206.2812000000004</v>
      </c>
      <c r="J2346" s="486"/>
      <c r="K2346" s="486"/>
      <c r="L2346" s="486">
        <f>SUM(ventas_b_mes684[[#This Row],[IMPORTE NETO]:[EXENTO]])</f>
        <v>35760.001199999999</v>
      </c>
      <c r="M2346" s="487"/>
    </row>
    <row r="2347" spans="2:13">
      <c r="B2347" s="40" t="s">
        <v>2324</v>
      </c>
      <c r="C2347" s="41">
        <v>6</v>
      </c>
      <c r="D2347" s="538">
        <v>11</v>
      </c>
      <c r="E2347" s="539">
        <v>38450</v>
      </c>
      <c r="F2347" s="540">
        <v>5338458</v>
      </c>
      <c r="G2347" s="541" t="str">
        <f>IFERROR(IF(ventas_b_mes684[[#This Row],[CUIT]]="","-",VLOOKUP(ventas_b_mes684[[#This Row],[CUIT]],Lista_CUIT[#All],2,0)),"CUIT NO CARGADO")</f>
        <v>CUIT NO CARGADO</v>
      </c>
      <c r="H2347" s="64">
        <v>9388.44</v>
      </c>
      <c r="I2347" s="485">
        <f>ventas_b_mes684[[#This Row],[IMPORTE NETO]]*0.21</f>
        <v>1971.5724</v>
      </c>
      <c r="J2347" s="486"/>
      <c r="K2347" s="486"/>
      <c r="L2347" s="486">
        <f>SUM(ventas_b_mes684[[#This Row],[IMPORTE NETO]:[EXENTO]])</f>
        <v>11360.0124</v>
      </c>
      <c r="M2347" s="487"/>
    </row>
    <row r="2348" spans="2:13">
      <c r="B2348" s="40" t="s">
        <v>2324</v>
      </c>
      <c r="C2348" s="41">
        <v>6</v>
      </c>
      <c r="D2348" s="538">
        <v>13</v>
      </c>
      <c r="E2348" s="539">
        <v>32652</v>
      </c>
      <c r="F2348" s="540">
        <v>16243515</v>
      </c>
      <c r="G2348" s="541" t="str">
        <f>IFERROR(IF(ventas_b_mes684[[#This Row],[CUIT]]="","-",VLOOKUP(ventas_b_mes684[[#This Row],[CUIT]],Lista_CUIT[#All],2,0)),"CUIT NO CARGADO")</f>
        <v>CUIT NO CARGADO</v>
      </c>
      <c r="H2348" s="64">
        <v>20561.98</v>
      </c>
      <c r="I2348" s="485">
        <f>ventas_b_mes684[[#This Row],[IMPORTE NETO]]*0.21</f>
        <v>4318.0158000000001</v>
      </c>
      <c r="J2348" s="486"/>
      <c r="K2348" s="486"/>
      <c r="L2348" s="486">
        <f>SUM(ventas_b_mes684[[#This Row],[IMPORTE NETO]:[EXENTO]])</f>
        <v>24879.995800000001</v>
      </c>
      <c r="M2348" s="487"/>
    </row>
    <row r="2349" spans="2:13">
      <c r="B2349" s="40" t="s">
        <v>2324</v>
      </c>
      <c r="C2349" s="41">
        <v>6</v>
      </c>
      <c r="D2349" s="538">
        <v>15</v>
      </c>
      <c r="E2349" s="539">
        <v>13524</v>
      </c>
      <c r="F2349" s="540">
        <v>38453129</v>
      </c>
      <c r="G2349" s="541" t="str">
        <f>IFERROR(IF(ventas_b_mes684[[#This Row],[CUIT]]="","-",VLOOKUP(ventas_b_mes684[[#This Row],[CUIT]],Lista_CUIT[#All],2,0)),"CUIT NO CARGADO")</f>
        <v>CUIT NO CARGADO</v>
      </c>
      <c r="H2349" s="64">
        <v>17123.97</v>
      </c>
      <c r="I2349" s="485">
        <f>ventas_b_mes684[[#This Row],[IMPORTE NETO]]*0.21</f>
        <v>3596.0337</v>
      </c>
      <c r="J2349" s="486"/>
      <c r="K2349" s="486"/>
      <c r="L2349" s="486">
        <f>SUM(ventas_b_mes684[[#This Row],[IMPORTE NETO]:[EXENTO]])</f>
        <v>20720.003700000001</v>
      </c>
      <c r="M2349" s="487"/>
    </row>
    <row r="2350" spans="2:13">
      <c r="B2350" s="40" t="s">
        <v>2324</v>
      </c>
      <c r="C2350" s="41">
        <v>6</v>
      </c>
      <c r="D2350" s="538">
        <v>15</v>
      </c>
      <c r="E2350" s="539">
        <v>13534</v>
      </c>
      <c r="F2350" s="540">
        <v>32498102</v>
      </c>
      <c r="G2350" s="541" t="str">
        <f>IFERROR(IF(ventas_b_mes684[[#This Row],[CUIT]]="","-",VLOOKUP(ventas_b_mes684[[#This Row],[CUIT]],Lista_CUIT[#All],2,0)),"CUIT NO CARGADO")</f>
        <v>CUIT NO CARGADO</v>
      </c>
      <c r="H2350" s="64">
        <v>9388.43</v>
      </c>
      <c r="I2350" s="485">
        <f>ventas_b_mes684[[#This Row],[IMPORTE NETO]]*0.21</f>
        <v>1971.5703000000001</v>
      </c>
      <c r="J2350" s="486"/>
      <c r="K2350" s="486"/>
      <c r="L2350" s="486">
        <f>SUM(ventas_b_mes684[[#This Row],[IMPORTE NETO]:[EXENTO]])</f>
        <v>11360.0003</v>
      </c>
      <c r="M2350" s="487"/>
    </row>
    <row r="2351" spans="2:13">
      <c r="B2351" s="40" t="s">
        <v>2324</v>
      </c>
      <c r="C2351" s="41">
        <v>6</v>
      </c>
      <c r="D2351" s="538">
        <v>11</v>
      </c>
      <c r="E2351" s="539">
        <v>38451</v>
      </c>
      <c r="F2351" s="540">
        <v>5338458</v>
      </c>
      <c r="G2351" s="541" t="str">
        <f>IFERROR(IF(ventas_b_mes684[[#This Row],[CUIT]]="","-",VLOOKUP(ventas_b_mes684[[#This Row],[CUIT]],Lista_CUIT[#All],2,0)),"CUIT NO CARGADO")</f>
        <v>CUIT NO CARGADO</v>
      </c>
      <c r="H2351" s="64">
        <v>15206.61</v>
      </c>
      <c r="I2351" s="485">
        <f>ventas_b_mes684[[#This Row],[IMPORTE NETO]]*0.21</f>
        <v>3193.3881000000001</v>
      </c>
      <c r="J2351" s="486"/>
      <c r="K2351" s="486"/>
      <c r="L2351" s="486">
        <f>SUM(ventas_b_mes684[[#This Row],[IMPORTE NETO]:[EXENTO]])</f>
        <v>18399.998100000001</v>
      </c>
      <c r="M2351" s="487"/>
    </row>
    <row r="2352" spans="2:13">
      <c r="B2352" s="40" t="s">
        <v>2324</v>
      </c>
      <c r="C2352" s="41">
        <v>6</v>
      </c>
      <c r="D2352" s="538">
        <v>15</v>
      </c>
      <c r="E2352" s="539">
        <v>13539</v>
      </c>
      <c r="F2352" s="540">
        <v>28573689</v>
      </c>
      <c r="G2352" s="541" t="str">
        <f>IFERROR(IF(ventas_b_mes684[[#This Row],[CUIT]]="","-",VLOOKUP(ventas_b_mes684[[#This Row],[CUIT]],Lista_CUIT[#All],2,0)),"CUIT NO CARGADO")</f>
        <v>DI LUCA, MARIA YOLANDA</v>
      </c>
      <c r="H2352" s="64">
        <v>21619.84</v>
      </c>
      <c r="I2352" s="485">
        <f>ventas_b_mes684[[#This Row],[IMPORTE NETO]]*0.21</f>
        <v>4540.1664000000001</v>
      </c>
      <c r="J2352" s="486"/>
      <c r="K2352" s="486"/>
      <c r="L2352" s="486">
        <f>SUM(ventas_b_mes684[[#This Row],[IMPORTE NETO]:[EXENTO]])</f>
        <v>26160.006399999998</v>
      </c>
      <c r="M2352" s="487"/>
    </row>
    <row r="2353" spans="2:13">
      <c r="B2353" s="40" t="s">
        <v>2324</v>
      </c>
      <c r="C2353" s="41">
        <v>6</v>
      </c>
      <c r="D2353" s="538">
        <v>15</v>
      </c>
      <c r="E2353" s="539">
        <v>13529</v>
      </c>
      <c r="F2353" s="540">
        <v>28126519</v>
      </c>
      <c r="G2353" s="541" t="str">
        <f>IFERROR(IF(ventas_b_mes684[[#This Row],[CUIT]]="","-",VLOOKUP(ventas_b_mes684[[#This Row],[CUIT]],Lista_CUIT[#All],2,0)),"CUIT NO CARGADO")</f>
        <v>CUIT NO CARGADO</v>
      </c>
      <c r="H2353" s="64">
        <v>16991.740000000002</v>
      </c>
      <c r="I2353" s="485">
        <f>ventas_b_mes684[[#This Row],[IMPORTE NETO]]*0.21</f>
        <v>3568.2654000000002</v>
      </c>
      <c r="J2353" s="486"/>
      <c r="K2353" s="486"/>
      <c r="L2353" s="486">
        <f>SUM(ventas_b_mes684[[#This Row],[IMPORTE NETO]:[EXENTO]])</f>
        <v>20560.005400000002</v>
      </c>
      <c r="M2353" s="487"/>
    </row>
    <row r="2354" spans="2:13">
      <c r="B2354" s="40" t="s">
        <v>2324</v>
      </c>
      <c r="C2354" s="41">
        <v>6</v>
      </c>
      <c r="D2354" s="538">
        <v>12</v>
      </c>
      <c r="E2354" s="539">
        <v>29917</v>
      </c>
      <c r="F2354" s="540">
        <v>47157704</v>
      </c>
      <c r="G2354" s="541" t="str">
        <f>IFERROR(IF(ventas_b_mes684[[#This Row],[CUIT]]="","-",VLOOKUP(ventas_b_mes684[[#This Row],[CUIT]],Lista_CUIT[#All],2,0)),"CUIT NO CARGADO")</f>
        <v>CUIT NO CARGADO</v>
      </c>
      <c r="H2354" s="64">
        <v>6537.19</v>
      </c>
      <c r="I2354" s="485">
        <f>ventas_b_mes684[[#This Row],[IMPORTE NETO]]*0.21</f>
        <v>1372.8099</v>
      </c>
      <c r="J2354" s="486"/>
      <c r="K2354" s="486"/>
      <c r="L2354" s="486">
        <f>SUM(ventas_b_mes684[[#This Row],[IMPORTE NETO]:[EXENTO]])</f>
        <v>7909.9998999999998</v>
      </c>
      <c r="M2354" s="487"/>
    </row>
    <row r="2355" spans="2:13">
      <c r="B2355" s="40" t="s">
        <v>2324</v>
      </c>
      <c r="C2355" s="41">
        <v>6</v>
      </c>
      <c r="D2355" s="538">
        <v>13</v>
      </c>
      <c r="E2355" s="539">
        <v>32657</v>
      </c>
      <c r="F2355" s="540">
        <v>25990312</v>
      </c>
      <c r="G2355" s="541" t="str">
        <f>IFERROR(IF(ventas_b_mes684[[#This Row],[CUIT]]="","-",VLOOKUP(ventas_b_mes684[[#This Row],[CUIT]],Lista_CUIT[#All],2,0)),"CUIT NO CARGADO")</f>
        <v>CUIT NO CARGADO</v>
      </c>
      <c r="H2355" s="64">
        <v>19900.849999999999</v>
      </c>
      <c r="I2355" s="485">
        <f>ventas_b_mes684[[#This Row],[IMPORTE NETO]]*0.21</f>
        <v>4179.1785</v>
      </c>
      <c r="J2355" s="486"/>
      <c r="K2355" s="486"/>
      <c r="L2355" s="486">
        <f>SUM(ventas_b_mes684[[#This Row],[IMPORTE NETO]:[EXENTO]])</f>
        <v>24080.0285</v>
      </c>
      <c r="M2355" s="487"/>
    </row>
    <row r="2356" spans="2:13">
      <c r="B2356" s="40" t="s">
        <v>2324</v>
      </c>
      <c r="C2356" s="41">
        <v>6</v>
      </c>
      <c r="D2356" s="538">
        <v>15</v>
      </c>
      <c r="E2356" s="539">
        <v>13547</v>
      </c>
      <c r="F2356" s="540">
        <v>24951742</v>
      </c>
      <c r="G2356" s="541" t="str">
        <f>IFERROR(IF(ventas_b_mes684[[#This Row],[CUIT]]="","-",VLOOKUP(ventas_b_mes684[[#This Row],[CUIT]],Lista_CUIT[#All],2,0)),"CUIT NO CARGADO")</f>
        <v>CUIT NO CARGADO</v>
      </c>
      <c r="H2356" s="64">
        <v>18446.28</v>
      </c>
      <c r="I2356" s="485">
        <f>ventas_b_mes684[[#This Row],[IMPORTE NETO]]*0.21</f>
        <v>3873.7187999999996</v>
      </c>
      <c r="J2356" s="486"/>
      <c r="K2356" s="486"/>
      <c r="L2356" s="486">
        <f>SUM(ventas_b_mes684[[#This Row],[IMPORTE NETO]:[EXENTO]])</f>
        <v>22319.998799999998</v>
      </c>
      <c r="M2356" s="487"/>
    </row>
    <row r="2357" spans="2:13">
      <c r="B2357" s="40" t="s">
        <v>2324</v>
      </c>
      <c r="C2357" s="41">
        <v>6</v>
      </c>
      <c r="D2357" s="538">
        <v>12</v>
      </c>
      <c r="E2357" s="539">
        <v>29938</v>
      </c>
      <c r="F2357" s="540">
        <v>22364665</v>
      </c>
      <c r="G2357" s="541" t="str">
        <f>IFERROR(IF(ventas_b_mes684[[#This Row],[CUIT]]="","-",VLOOKUP(ventas_b_mes684[[#This Row],[CUIT]],Lista_CUIT[#All],2,0)),"CUIT NO CARGADO")</f>
        <v>CUIT NO CARGADO</v>
      </c>
      <c r="H2357" s="64">
        <v>51900.83</v>
      </c>
      <c r="I2357" s="485">
        <f>ventas_b_mes684[[#This Row],[IMPORTE NETO]]*0.21</f>
        <v>10899.174300000001</v>
      </c>
      <c r="J2357" s="486"/>
      <c r="K2357" s="486"/>
      <c r="L2357" s="486">
        <f>SUM(ventas_b_mes684[[#This Row],[IMPORTE NETO]:[EXENTO]])</f>
        <v>62800.004300000001</v>
      </c>
      <c r="M2357" s="487"/>
    </row>
    <row r="2358" spans="2:13">
      <c r="B2358" s="40" t="s">
        <v>2324</v>
      </c>
      <c r="C2358" s="41">
        <v>6</v>
      </c>
      <c r="D2358" s="538">
        <v>13</v>
      </c>
      <c r="E2358" s="539">
        <v>32663</v>
      </c>
      <c r="F2358" s="540">
        <v>23560410</v>
      </c>
      <c r="G2358" s="541" t="str">
        <f>IFERROR(IF(ventas_b_mes684[[#This Row],[CUIT]]="","-",VLOOKUP(ventas_b_mes684[[#This Row],[CUIT]],Lista_CUIT[#All],2,0)),"CUIT NO CARGADO")</f>
        <v>CUIT NO CARGADO</v>
      </c>
      <c r="H2358" s="64">
        <v>15801.65</v>
      </c>
      <c r="I2358" s="485">
        <f>ventas_b_mes684[[#This Row],[IMPORTE NETO]]*0.21</f>
        <v>3318.3464999999997</v>
      </c>
      <c r="J2358" s="486"/>
      <c r="K2358" s="486"/>
      <c r="L2358" s="486">
        <f>SUM(ventas_b_mes684[[#This Row],[IMPORTE NETO]:[EXENTO]])</f>
        <v>19119.996500000001</v>
      </c>
      <c r="M2358" s="487"/>
    </row>
    <row r="2359" spans="2:13">
      <c r="B2359" s="40" t="s">
        <v>2324</v>
      </c>
      <c r="C2359" s="41">
        <v>6</v>
      </c>
      <c r="D2359" s="538">
        <v>11</v>
      </c>
      <c r="E2359" s="539">
        <v>38476</v>
      </c>
      <c r="F2359" s="540">
        <v>13277278</v>
      </c>
      <c r="G2359" s="541" t="str">
        <f>IFERROR(IF(ventas_b_mes684[[#This Row],[CUIT]]="","-",VLOOKUP(ventas_b_mes684[[#This Row],[CUIT]],Lista_CUIT[#All],2,0)),"CUIT NO CARGADO")</f>
        <v>CUIT NO CARGADO</v>
      </c>
      <c r="H2359" s="64">
        <v>7933.88</v>
      </c>
      <c r="I2359" s="485">
        <f>ventas_b_mes684[[#This Row],[IMPORTE NETO]]*0.21</f>
        <v>1666.1148000000001</v>
      </c>
      <c r="J2359" s="486"/>
      <c r="K2359" s="486"/>
      <c r="L2359" s="486">
        <f>SUM(ventas_b_mes684[[#This Row],[IMPORTE NETO]:[EXENTO]])</f>
        <v>9599.9948000000004</v>
      </c>
      <c r="M2359" s="487"/>
    </row>
    <row r="2360" spans="2:13">
      <c r="B2360" s="40" t="s">
        <v>2324</v>
      </c>
      <c r="C2360" s="41">
        <v>6</v>
      </c>
      <c r="D2360" s="538">
        <v>10</v>
      </c>
      <c r="E2360" s="539">
        <v>54745</v>
      </c>
      <c r="F2360" s="540">
        <v>14596595</v>
      </c>
      <c r="G2360" s="541" t="str">
        <f>IFERROR(IF(ventas_b_mes684[[#This Row],[CUIT]]="","-",VLOOKUP(ventas_b_mes684[[#This Row],[CUIT]],Lista_CUIT[#All],2,0)),"CUIT NO CARGADO")</f>
        <v>CUIT NO CARGADO</v>
      </c>
      <c r="H2360" s="64">
        <v>27504.17</v>
      </c>
      <c r="I2360" s="485">
        <f>ventas_b_mes684[[#This Row],[IMPORTE NETO]]*0.21</f>
        <v>5775.8756999999996</v>
      </c>
      <c r="J2360" s="486"/>
      <c r="K2360" s="486"/>
      <c r="L2360" s="486">
        <f>SUM(ventas_b_mes684[[#This Row],[IMPORTE NETO]:[EXENTO]])</f>
        <v>33280.045699999995</v>
      </c>
      <c r="M2360" s="487"/>
    </row>
    <row r="2361" spans="2:13">
      <c r="B2361" s="40" t="s">
        <v>2324</v>
      </c>
      <c r="C2361" s="41">
        <v>6</v>
      </c>
      <c r="D2361" s="538">
        <v>15</v>
      </c>
      <c r="E2361" s="539">
        <v>13528</v>
      </c>
      <c r="F2361" s="540">
        <v>28951546</v>
      </c>
      <c r="G2361" s="541" t="str">
        <f>IFERROR(IF(ventas_b_mes684[[#This Row],[CUIT]]="","-",VLOOKUP(ventas_b_mes684[[#This Row],[CUIT]],Lista_CUIT[#All],2,0)),"CUIT NO CARGADO")</f>
        <v>SUAREZ, LAURA VERONICA</v>
      </c>
      <c r="H2361" s="64">
        <v>6280.99</v>
      </c>
      <c r="I2361" s="485">
        <f>ventas_b_mes684[[#This Row],[IMPORTE NETO]]*0.21</f>
        <v>1319.0078999999998</v>
      </c>
      <c r="J2361" s="486"/>
      <c r="K2361" s="486"/>
      <c r="L2361" s="486">
        <f>SUM(ventas_b_mes684[[#This Row],[IMPORTE NETO]:[EXENTO]])</f>
        <v>7599.9978999999994</v>
      </c>
      <c r="M2361" s="487"/>
    </row>
    <row r="2362" spans="2:13">
      <c r="B2362" s="40" t="s">
        <v>2324</v>
      </c>
      <c r="C2362" s="41">
        <v>6</v>
      </c>
      <c r="D2362" s="538">
        <v>15</v>
      </c>
      <c r="E2362" s="539">
        <v>13538</v>
      </c>
      <c r="F2362" s="540">
        <v>26610736</v>
      </c>
      <c r="G2362" s="541" t="str">
        <f>IFERROR(IF(ventas_b_mes684[[#This Row],[CUIT]]="","-",VLOOKUP(ventas_b_mes684[[#This Row],[CUIT]],Lista_CUIT[#All],2,0)),"CUIT NO CARGADO")</f>
        <v>CUIT NO CARGADO</v>
      </c>
      <c r="H2362" s="64">
        <v>12231.4</v>
      </c>
      <c r="I2362" s="485">
        <f>ventas_b_mes684[[#This Row],[IMPORTE NETO]]*0.21</f>
        <v>2568.5940000000001</v>
      </c>
      <c r="J2362" s="486"/>
      <c r="K2362" s="486"/>
      <c r="L2362" s="486">
        <f>SUM(ventas_b_mes684[[#This Row],[IMPORTE NETO]:[EXENTO]])</f>
        <v>14799.993999999999</v>
      </c>
      <c r="M2362" s="487"/>
    </row>
    <row r="2363" spans="2:13">
      <c r="B2363" s="40" t="s">
        <v>2324</v>
      </c>
      <c r="C2363" s="41">
        <v>6</v>
      </c>
      <c r="D2363" s="538">
        <v>13</v>
      </c>
      <c r="E2363" s="539">
        <v>32658</v>
      </c>
      <c r="F2363" s="540">
        <v>23834100</v>
      </c>
      <c r="G2363" s="541" t="str">
        <f>IFERROR(IF(ventas_b_mes684[[#This Row],[CUIT]]="","-",VLOOKUP(ventas_b_mes684[[#This Row],[CUIT]],Lista_CUIT[#All],2,0)),"CUIT NO CARGADO")</f>
        <v>CUIT NO CARGADO</v>
      </c>
      <c r="H2363" s="64">
        <v>36363.64</v>
      </c>
      <c r="I2363" s="485">
        <f>ventas_b_mes684[[#This Row],[IMPORTE NETO]]*0.21</f>
        <v>7636.3643999999995</v>
      </c>
      <c r="J2363" s="486"/>
      <c r="K2363" s="486"/>
      <c r="L2363" s="486">
        <f>SUM(ventas_b_mes684[[#This Row],[IMPORTE NETO]:[EXENTO]])</f>
        <v>44000.004399999998</v>
      </c>
      <c r="M2363" s="487"/>
    </row>
    <row r="2364" spans="2:13">
      <c r="B2364" s="40" t="s">
        <v>2324</v>
      </c>
      <c r="C2364" s="41">
        <v>6</v>
      </c>
      <c r="D2364" s="538">
        <v>12</v>
      </c>
      <c r="E2364" s="539">
        <v>29913</v>
      </c>
      <c r="F2364" s="540">
        <v>41782389</v>
      </c>
      <c r="G2364" s="541" t="str">
        <f>IFERROR(IF(ventas_b_mes684[[#This Row],[CUIT]]="","-",VLOOKUP(ventas_b_mes684[[#This Row],[CUIT]],Lista_CUIT[#All],2,0)),"CUIT NO CARGADO")</f>
        <v>CUIT NO CARGADO</v>
      </c>
      <c r="H2364" s="64">
        <v>5752.07</v>
      </c>
      <c r="I2364" s="485">
        <f>ventas_b_mes684[[#This Row],[IMPORTE NETO]]*0.21</f>
        <v>1207.9346999999998</v>
      </c>
      <c r="J2364" s="486"/>
      <c r="K2364" s="486"/>
      <c r="L2364" s="486">
        <f>SUM(ventas_b_mes684[[#This Row],[IMPORTE NETO]:[EXENTO]])</f>
        <v>6960.0046999999995</v>
      </c>
      <c r="M2364" s="487"/>
    </row>
    <row r="2365" spans="2:13">
      <c r="B2365" s="40" t="s">
        <v>2324</v>
      </c>
      <c r="C2365" s="41">
        <v>6</v>
      </c>
      <c r="D2365" s="538">
        <v>15</v>
      </c>
      <c r="E2365" s="539">
        <v>13532</v>
      </c>
      <c r="F2365" s="540">
        <v>26843489</v>
      </c>
      <c r="G2365" s="541" t="str">
        <f>IFERROR(IF(ventas_b_mes684[[#This Row],[CUIT]]="","-",VLOOKUP(ventas_b_mes684[[#This Row],[CUIT]],Lista_CUIT[#All],2,0)),"CUIT NO CARGADO")</f>
        <v>CAMPO, CECILIA (ALUMNA)</v>
      </c>
      <c r="H2365" s="64">
        <v>13752.07</v>
      </c>
      <c r="I2365" s="485">
        <f>ventas_b_mes684[[#This Row],[IMPORTE NETO]]*0.21</f>
        <v>2887.9346999999998</v>
      </c>
      <c r="J2365" s="486"/>
      <c r="K2365" s="486"/>
      <c r="L2365" s="486">
        <f>SUM(ventas_b_mes684[[#This Row],[IMPORTE NETO]:[EXENTO]])</f>
        <v>16640.004699999998</v>
      </c>
      <c r="M2365" s="487"/>
    </row>
    <row r="2366" spans="2:13">
      <c r="B2366" s="40" t="s">
        <v>2324</v>
      </c>
      <c r="C2366" s="41">
        <v>6</v>
      </c>
      <c r="D2366" s="538">
        <v>12</v>
      </c>
      <c r="E2366" s="539">
        <v>29921</v>
      </c>
      <c r="F2366" s="540">
        <v>12546893</v>
      </c>
      <c r="G2366" s="541" t="str">
        <f>IFERROR(IF(ventas_b_mes684[[#This Row],[CUIT]]="","-",VLOOKUP(ventas_b_mes684[[#This Row],[CUIT]],Lista_CUIT[#All],2,0)),"CUIT NO CARGADO")</f>
        <v>CUIT NO CARGADO</v>
      </c>
      <c r="H2366" s="64">
        <v>103933.88</v>
      </c>
      <c r="I2366" s="485">
        <f>ventas_b_mes684[[#This Row],[IMPORTE NETO]]*0.21</f>
        <v>21826.114799999999</v>
      </c>
      <c r="J2366" s="486"/>
      <c r="K2366" s="486"/>
      <c r="L2366" s="486">
        <f>SUM(ventas_b_mes684[[#This Row],[IMPORTE NETO]:[EXENTO]])</f>
        <v>125759.9948</v>
      </c>
      <c r="M2366" s="487"/>
    </row>
    <row r="2367" spans="2:13">
      <c r="B2367" s="40" t="s">
        <v>2324</v>
      </c>
      <c r="C2367" s="41">
        <v>6</v>
      </c>
      <c r="D2367" s="538">
        <v>12</v>
      </c>
      <c r="E2367" s="539">
        <v>29935</v>
      </c>
      <c r="F2367" s="540">
        <v>24829314</v>
      </c>
      <c r="G2367" s="541" t="str">
        <f>IFERROR(IF(ventas_b_mes684[[#This Row],[CUIT]]="","-",VLOOKUP(ventas_b_mes684[[#This Row],[CUIT]],Lista_CUIT[#All],2,0)),"CUIT NO CARGADO")</f>
        <v>CUIT NO CARGADO</v>
      </c>
      <c r="H2367" s="64">
        <v>6413.23</v>
      </c>
      <c r="I2367" s="485">
        <f>ventas_b_mes684[[#This Row],[IMPORTE NETO]]*0.21</f>
        <v>1346.7782999999999</v>
      </c>
      <c r="J2367" s="486"/>
      <c r="K2367" s="486"/>
      <c r="L2367" s="486">
        <f>SUM(ventas_b_mes684[[#This Row],[IMPORTE NETO]:[EXENTO]])</f>
        <v>7760.0082999999995</v>
      </c>
      <c r="M2367" s="487"/>
    </row>
    <row r="2368" spans="2:13">
      <c r="B2368" s="40" t="s">
        <v>2324</v>
      </c>
      <c r="C2368" s="41">
        <v>6</v>
      </c>
      <c r="D2368" s="538">
        <v>12</v>
      </c>
      <c r="E2368" s="539">
        <v>29919</v>
      </c>
      <c r="F2368" s="540">
        <v>17883470</v>
      </c>
      <c r="G2368" s="541" t="str">
        <f>IFERROR(IF(ventas_b_mes684[[#This Row],[CUIT]]="","-",VLOOKUP(ventas_b_mes684[[#This Row],[CUIT]],Lista_CUIT[#All],2,0)),"CUIT NO CARGADO")</f>
        <v>CUIT NO CARGADO</v>
      </c>
      <c r="H2368" s="64">
        <v>4826.45</v>
      </c>
      <c r="I2368" s="485">
        <f>ventas_b_mes684[[#This Row],[IMPORTE NETO]]*0.21</f>
        <v>1013.5545</v>
      </c>
      <c r="J2368" s="486"/>
      <c r="K2368" s="486"/>
      <c r="L2368" s="486">
        <f>SUM(ventas_b_mes684[[#This Row],[IMPORTE NETO]:[EXENTO]])</f>
        <v>5840.0045</v>
      </c>
      <c r="M2368" s="487"/>
    </row>
    <row r="2369" spans="2:13">
      <c r="B2369" s="40" t="s">
        <v>2324</v>
      </c>
      <c r="C2369" s="41">
        <v>6</v>
      </c>
      <c r="D2369" s="538">
        <v>11</v>
      </c>
      <c r="E2369" s="539">
        <v>38459</v>
      </c>
      <c r="F2369" s="540">
        <v>13754610</v>
      </c>
      <c r="G2369" s="541" t="str">
        <f>IFERROR(IF(ventas_b_mes684[[#This Row],[CUIT]]="","-",VLOOKUP(ventas_b_mes684[[#This Row],[CUIT]],Lista_CUIT[#All],2,0)),"CUIT NO CARGADO")</f>
        <v>CUIT NO CARGADO</v>
      </c>
      <c r="H2369" s="64">
        <v>35570.25</v>
      </c>
      <c r="I2369" s="485">
        <f>ventas_b_mes684[[#This Row],[IMPORTE NETO]]*0.21</f>
        <v>7469.7524999999996</v>
      </c>
      <c r="J2369" s="486"/>
      <c r="K2369" s="486"/>
      <c r="L2369" s="486">
        <f>SUM(ventas_b_mes684[[#This Row],[IMPORTE NETO]:[EXENTO]])</f>
        <v>43040.002500000002</v>
      </c>
      <c r="M2369" s="487"/>
    </row>
    <row r="2370" spans="2:13">
      <c r="B2370" s="40" t="s">
        <v>2324</v>
      </c>
      <c r="C2370" s="41">
        <v>6</v>
      </c>
      <c r="D2370" s="538">
        <v>12</v>
      </c>
      <c r="E2370" s="539">
        <v>29934</v>
      </c>
      <c r="F2370" s="540">
        <v>24829314</v>
      </c>
      <c r="G2370" s="541" t="str">
        <f>IFERROR(IF(ventas_b_mes684[[#This Row],[CUIT]]="","-",VLOOKUP(ventas_b_mes684[[#This Row],[CUIT]],Lista_CUIT[#All],2,0)),"CUIT NO CARGADO")</f>
        <v>CUIT NO CARGADO</v>
      </c>
      <c r="H2370" s="64">
        <v>10297.52</v>
      </c>
      <c r="I2370" s="485">
        <f>ventas_b_mes684[[#This Row],[IMPORTE NETO]]*0.21</f>
        <v>2162.4792000000002</v>
      </c>
      <c r="J2370" s="486"/>
      <c r="K2370" s="486"/>
      <c r="L2370" s="486">
        <f>SUM(ventas_b_mes684[[#This Row],[IMPORTE NETO]:[EXENTO]])</f>
        <v>12459.9992</v>
      </c>
      <c r="M2370" s="487"/>
    </row>
    <row r="2371" spans="2:13">
      <c r="B2371" s="40" t="s">
        <v>2324</v>
      </c>
      <c r="C2371" s="41">
        <v>6</v>
      </c>
      <c r="D2371" s="538">
        <v>11</v>
      </c>
      <c r="E2371" s="539">
        <v>38460</v>
      </c>
      <c r="F2371" s="540">
        <v>41395368</v>
      </c>
      <c r="G2371" s="541" t="str">
        <f>IFERROR(IF(ventas_b_mes684[[#This Row],[CUIT]]="","-",VLOOKUP(ventas_b_mes684[[#This Row],[CUIT]],Lista_CUIT[#All],2,0)),"CUIT NO CARGADO")</f>
        <v>CUIT NO CARGADO</v>
      </c>
      <c r="H2371" s="64">
        <v>20661.16</v>
      </c>
      <c r="I2371" s="485">
        <f>ventas_b_mes684[[#This Row],[IMPORTE NETO]]*0.21</f>
        <v>4338.8436000000002</v>
      </c>
      <c r="J2371" s="486"/>
      <c r="K2371" s="486"/>
      <c r="L2371" s="486">
        <f>SUM(ventas_b_mes684[[#This Row],[IMPORTE NETO]:[EXENTO]])</f>
        <v>25000.0036</v>
      </c>
      <c r="M2371" s="487"/>
    </row>
    <row r="2372" spans="2:13">
      <c r="B2372" s="40" t="s">
        <v>2324</v>
      </c>
      <c r="C2372" s="41">
        <v>6</v>
      </c>
      <c r="D2372" s="538">
        <v>15</v>
      </c>
      <c r="E2372" s="539">
        <v>13551</v>
      </c>
      <c r="F2372" s="540">
        <v>11368071</v>
      </c>
      <c r="G2372" s="541" t="str">
        <f>IFERROR(IF(ventas_b_mes684[[#This Row],[CUIT]]="","-",VLOOKUP(ventas_b_mes684[[#This Row],[CUIT]],Lista_CUIT[#All],2,0)),"CUIT NO CARGADO")</f>
        <v>BURSIK,Norma</v>
      </c>
      <c r="H2372" s="64">
        <v>66909.09</v>
      </c>
      <c r="I2372" s="485">
        <f>ventas_b_mes684[[#This Row],[IMPORTE NETO]]*0.21</f>
        <v>14050.908899999999</v>
      </c>
      <c r="J2372" s="486"/>
      <c r="K2372" s="486"/>
      <c r="L2372" s="486">
        <f>SUM(ventas_b_mes684[[#This Row],[IMPORTE NETO]:[EXENTO]])</f>
        <v>80959.998899999991</v>
      </c>
      <c r="M2372" s="487"/>
    </row>
    <row r="2373" spans="2:13">
      <c r="B2373" s="40" t="s">
        <v>2324</v>
      </c>
      <c r="C2373" s="41">
        <v>6</v>
      </c>
      <c r="D2373" s="538">
        <v>10</v>
      </c>
      <c r="E2373" s="539">
        <v>54761</v>
      </c>
      <c r="F2373" s="540">
        <v>14882215</v>
      </c>
      <c r="G2373" s="541" t="str">
        <f>IFERROR(IF(ventas_b_mes684[[#This Row],[CUIT]]="","-",VLOOKUP(ventas_b_mes684[[#This Row],[CUIT]],Lista_CUIT[#All],2,0)),"CUIT NO CARGADO")</f>
        <v>CUIT NO CARGADO</v>
      </c>
      <c r="H2373" s="64">
        <v>36694.22</v>
      </c>
      <c r="I2373" s="485">
        <f>ventas_b_mes684[[#This Row],[IMPORTE NETO]]*0.21</f>
        <v>7705.7861999999996</v>
      </c>
      <c r="J2373" s="486"/>
      <c r="K2373" s="486"/>
      <c r="L2373" s="486">
        <f>SUM(ventas_b_mes684[[#This Row],[IMPORTE NETO]:[EXENTO]])</f>
        <v>44400.006200000003</v>
      </c>
      <c r="M2373" s="487"/>
    </row>
    <row r="2374" spans="2:13">
      <c r="B2374" s="40" t="s">
        <v>2324</v>
      </c>
      <c r="C2374" s="41">
        <v>6</v>
      </c>
      <c r="D2374" s="538">
        <v>11</v>
      </c>
      <c r="E2374" s="539">
        <v>38474</v>
      </c>
      <c r="F2374" s="540">
        <v>24821073</v>
      </c>
      <c r="G2374" s="541" t="str">
        <f>IFERROR(IF(ventas_b_mes684[[#This Row],[CUIT]]="","-",VLOOKUP(ventas_b_mes684[[#This Row],[CUIT]],Lista_CUIT[#All],2,0)),"CUIT NO CARGADO")</f>
        <v>CUIT NO CARGADO</v>
      </c>
      <c r="H2374" s="64">
        <v>125421.49</v>
      </c>
      <c r="I2374" s="485">
        <f>ventas_b_mes684[[#This Row],[IMPORTE NETO]]*0.21</f>
        <v>26338.512900000002</v>
      </c>
      <c r="J2374" s="486"/>
      <c r="K2374" s="486"/>
      <c r="L2374" s="486">
        <f>SUM(ventas_b_mes684[[#This Row],[IMPORTE NETO]:[EXENTO]])</f>
        <v>151760.00290000002</v>
      </c>
      <c r="M2374" s="487"/>
    </row>
    <row r="2375" spans="2:13">
      <c r="B2375" s="40" t="s">
        <v>2324</v>
      </c>
      <c r="C2375" s="41">
        <v>6</v>
      </c>
      <c r="D2375" s="538">
        <v>15</v>
      </c>
      <c r="E2375" s="539">
        <v>13556</v>
      </c>
      <c r="F2375" s="540">
        <v>40144881</v>
      </c>
      <c r="G2375" s="541" t="str">
        <f>IFERROR(IF(ventas_b_mes684[[#This Row],[CUIT]]="","-",VLOOKUP(ventas_b_mes684[[#This Row],[CUIT]],Lista_CUIT[#All],2,0)),"CUIT NO CARGADO")</f>
        <v>CUIT NO CARGADO</v>
      </c>
      <c r="H2375" s="64">
        <v>17388.43</v>
      </c>
      <c r="I2375" s="485">
        <f>ventas_b_mes684[[#This Row],[IMPORTE NETO]]*0.21</f>
        <v>3651.5702999999999</v>
      </c>
      <c r="J2375" s="486"/>
      <c r="K2375" s="486"/>
      <c r="L2375" s="486">
        <f>SUM(ventas_b_mes684[[#This Row],[IMPORTE NETO]:[EXENTO]])</f>
        <v>21040.0003</v>
      </c>
      <c r="M2375" s="487"/>
    </row>
    <row r="2376" spans="2:13">
      <c r="B2376" s="40" t="s">
        <v>2324</v>
      </c>
      <c r="C2376" s="41">
        <v>6</v>
      </c>
      <c r="D2376" s="538">
        <v>15</v>
      </c>
      <c r="E2376" s="539">
        <v>13517</v>
      </c>
      <c r="F2376" s="540">
        <v>45226021</v>
      </c>
      <c r="G2376" s="541" t="str">
        <f>IFERROR(IF(ventas_b_mes684[[#This Row],[CUIT]]="","-",VLOOKUP(ventas_b_mes684[[#This Row],[CUIT]],Lista_CUIT[#All],2,0)),"CUIT NO CARGADO")</f>
        <v>CUIT NO CARGADO</v>
      </c>
      <c r="H2376" s="64">
        <v>859.5</v>
      </c>
      <c r="I2376" s="485">
        <f>ventas_b_mes684[[#This Row],[IMPORTE NETO]]*0.21</f>
        <v>180.495</v>
      </c>
      <c r="J2376" s="486"/>
      <c r="K2376" s="486"/>
      <c r="L2376" s="486">
        <f>SUM(ventas_b_mes684[[#This Row],[IMPORTE NETO]:[EXENTO]])</f>
        <v>1039.9949999999999</v>
      </c>
      <c r="M2376" s="487"/>
    </row>
    <row r="2377" spans="2:13">
      <c r="B2377" s="40" t="s">
        <v>2324</v>
      </c>
      <c r="C2377" s="41">
        <v>6</v>
      </c>
      <c r="D2377" s="538">
        <v>11</v>
      </c>
      <c r="E2377" s="539">
        <v>38456</v>
      </c>
      <c r="F2377" s="540">
        <v>20202588</v>
      </c>
      <c r="G2377" s="541" t="str">
        <f>IFERROR(IF(ventas_b_mes684[[#This Row],[CUIT]]="","-",VLOOKUP(ventas_b_mes684[[#This Row],[CUIT]],Lista_CUIT[#All],2,0)),"CUIT NO CARGADO")</f>
        <v>CUIT NO CARGADO</v>
      </c>
      <c r="H2377" s="64">
        <v>31537.19</v>
      </c>
      <c r="I2377" s="485">
        <f>ventas_b_mes684[[#This Row],[IMPORTE NETO]]*0.21</f>
        <v>6622.8098999999993</v>
      </c>
      <c r="J2377" s="486"/>
      <c r="K2377" s="486"/>
      <c r="L2377" s="486">
        <f>SUM(ventas_b_mes684[[#This Row],[IMPORTE NETO]:[EXENTO]])</f>
        <v>38159.999899999995</v>
      </c>
      <c r="M2377" s="487"/>
    </row>
    <row r="2378" spans="2:13">
      <c r="B2378" s="40" t="s">
        <v>2324</v>
      </c>
      <c r="C2378" s="41">
        <v>6</v>
      </c>
      <c r="D2378" s="538">
        <v>15</v>
      </c>
      <c r="E2378" s="539">
        <v>13530</v>
      </c>
      <c r="F2378" s="540">
        <v>32323705</v>
      </c>
      <c r="G2378" s="541" t="str">
        <f>IFERROR(IF(ventas_b_mes684[[#This Row],[CUIT]]="","-",VLOOKUP(ventas_b_mes684[[#This Row],[CUIT]],Lista_CUIT[#All],2,0)),"CUIT NO CARGADO")</f>
        <v>CUIT NO CARGADO</v>
      </c>
      <c r="H2378" s="64">
        <v>15404.96</v>
      </c>
      <c r="I2378" s="485">
        <f>ventas_b_mes684[[#This Row],[IMPORTE NETO]]*0.21</f>
        <v>3235.0415999999996</v>
      </c>
      <c r="J2378" s="486"/>
      <c r="K2378" s="486"/>
      <c r="L2378" s="486">
        <f>SUM(ventas_b_mes684[[#This Row],[IMPORTE NETO]:[EXENTO]])</f>
        <v>18640.0016</v>
      </c>
      <c r="M2378" s="487"/>
    </row>
    <row r="2379" spans="2:13">
      <c r="B2379" s="40" t="s">
        <v>2324</v>
      </c>
      <c r="C2379" s="41">
        <v>6</v>
      </c>
      <c r="D2379" s="538">
        <v>10</v>
      </c>
      <c r="E2379" s="539">
        <v>54758</v>
      </c>
      <c r="F2379" s="540">
        <v>53049257</v>
      </c>
      <c r="G2379" s="541" t="str">
        <f>IFERROR(IF(ventas_b_mes684[[#This Row],[CUIT]]="","-",VLOOKUP(ventas_b_mes684[[#This Row],[CUIT]],Lista_CUIT[#All],2,0)),"CUIT NO CARGADO")</f>
        <v>CUIT NO CARGADO</v>
      </c>
      <c r="H2379" s="64">
        <v>171570.44</v>
      </c>
      <c r="I2379" s="485">
        <f>ventas_b_mes684[[#This Row],[IMPORTE NETO]]*0.21</f>
        <v>36029.792399999998</v>
      </c>
      <c r="J2379" s="486"/>
      <c r="K2379" s="486"/>
      <c r="L2379" s="486">
        <f>SUM(ventas_b_mes684[[#This Row],[IMPORTE NETO]:[EXENTO]])</f>
        <v>207600.23240000001</v>
      </c>
      <c r="M2379" s="487"/>
    </row>
    <row r="2380" spans="2:13">
      <c r="B2380" s="40" t="s">
        <v>2324</v>
      </c>
      <c r="C2380" s="41">
        <v>6</v>
      </c>
      <c r="D2380" s="538">
        <v>10</v>
      </c>
      <c r="E2380" s="539">
        <v>54757</v>
      </c>
      <c r="F2380" s="540">
        <v>22848787</v>
      </c>
      <c r="G2380" s="541" t="str">
        <f>IFERROR(IF(ventas_b_mes684[[#This Row],[CUIT]]="","-",VLOOKUP(ventas_b_mes684[[#This Row],[CUIT]],Lista_CUIT[#All],2,0)),"CUIT NO CARGADO")</f>
        <v>CUIT NO CARGADO</v>
      </c>
      <c r="H2380" s="64">
        <v>4462.8100000000004</v>
      </c>
      <c r="I2380" s="485">
        <f>ventas_b_mes684[[#This Row],[IMPORTE NETO]]*0.21</f>
        <v>937.19010000000003</v>
      </c>
      <c r="J2380" s="486"/>
      <c r="K2380" s="486"/>
      <c r="L2380" s="486">
        <f>SUM(ventas_b_mes684[[#This Row],[IMPORTE NETO]:[EXENTO]])</f>
        <v>5400.0001000000002</v>
      </c>
      <c r="M2380" s="487"/>
    </row>
    <row r="2381" spans="2:13">
      <c r="B2381" s="40" t="s">
        <v>2324</v>
      </c>
      <c r="C2381" s="41">
        <v>6</v>
      </c>
      <c r="D2381" s="538">
        <v>12</v>
      </c>
      <c r="E2381" s="539">
        <v>29931</v>
      </c>
      <c r="F2381" s="540">
        <v>20534859</v>
      </c>
      <c r="G2381" s="541" t="str">
        <f>IFERROR(IF(ventas_b_mes684[[#This Row],[CUIT]]="","-",VLOOKUP(ventas_b_mes684[[#This Row],[CUIT]],Lista_CUIT[#All],2,0)),"CUIT NO CARGADO")</f>
        <v>CUIT NO CARGADO</v>
      </c>
      <c r="H2381" s="64">
        <v>9057.85</v>
      </c>
      <c r="I2381" s="485">
        <f>ventas_b_mes684[[#This Row],[IMPORTE NETO]]*0.21</f>
        <v>1902.1485</v>
      </c>
      <c r="J2381" s="486"/>
      <c r="K2381" s="486"/>
      <c r="L2381" s="486">
        <f>SUM(ventas_b_mes684[[#This Row],[IMPORTE NETO]:[EXENTO]])</f>
        <v>10959.9985</v>
      </c>
      <c r="M2381" s="487"/>
    </row>
    <row r="2382" spans="2:13">
      <c r="B2382" s="40" t="s">
        <v>2324</v>
      </c>
      <c r="C2382" s="41">
        <v>6</v>
      </c>
      <c r="D2382" s="538">
        <v>11</v>
      </c>
      <c r="E2382" s="539">
        <v>38469</v>
      </c>
      <c r="F2382" s="540">
        <v>11697529</v>
      </c>
      <c r="G2382" s="541" t="str">
        <f>IFERROR(IF(ventas_b_mes684[[#This Row],[CUIT]]="","-",VLOOKUP(ventas_b_mes684[[#This Row],[CUIT]],Lista_CUIT[#All],2,0)),"CUIT NO CARGADO")</f>
        <v>CUIT NO CARGADO</v>
      </c>
      <c r="H2382" s="64">
        <v>21157.03</v>
      </c>
      <c r="I2382" s="485">
        <f>ventas_b_mes684[[#This Row],[IMPORTE NETO]]*0.21</f>
        <v>4442.9762999999994</v>
      </c>
      <c r="J2382" s="486"/>
      <c r="K2382" s="486"/>
      <c r="L2382" s="486">
        <f>SUM(ventas_b_mes684[[#This Row],[IMPORTE NETO]:[EXENTO]])</f>
        <v>25600.006299999997</v>
      </c>
      <c r="M2382" s="487"/>
    </row>
    <row r="2383" spans="2:13">
      <c r="B2383" s="40" t="s">
        <v>2324</v>
      </c>
      <c r="C2383" s="41">
        <v>6</v>
      </c>
      <c r="D2383" s="538">
        <v>11</v>
      </c>
      <c r="E2383" s="539">
        <v>38468</v>
      </c>
      <c r="F2383" s="540">
        <v>10924430</v>
      </c>
      <c r="G2383" s="541" t="str">
        <f>IFERROR(IF(ventas_b_mes684[[#This Row],[CUIT]]="","-",VLOOKUP(ventas_b_mes684[[#This Row],[CUIT]],Lista_CUIT[#All],2,0)),"CUIT NO CARGADO")</f>
        <v>CUIT NO CARGADO</v>
      </c>
      <c r="H2383" s="64">
        <v>18049.59</v>
      </c>
      <c r="I2383" s="485">
        <f>ventas_b_mes684[[#This Row],[IMPORTE NETO]]*0.21</f>
        <v>3790.4139</v>
      </c>
      <c r="J2383" s="486"/>
      <c r="K2383" s="486"/>
      <c r="L2383" s="486">
        <f>SUM(ventas_b_mes684[[#This Row],[IMPORTE NETO]:[EXENTO]])</f>
        <v>21840.0039</v>
      </c>
      <c r="M2383" s="487"/>
    </row>
    <row r="2384" spans="2:13">
      <c r="B2384" s="40" t="s">
        <v>2324</v>
      </c>
      <c r="C2384" s="41">
        <v>6</v>
      </c>
      <c r="D2384" s="538">
        <v>12</v>
      </c>
      <c r="E2384" s="539">
        <v>29933</v>
      </c>
      <c r="F2384" s="540">
        <v>40950199</v>
      </c>
      <c r="G2384" s="541" t="str">
        <f>IFERROR(IF(ventas_b_mes684[[#This Row],[CUIT]]="","-",VLOOKUP(ventas_b_mes684[[#This Row],[CUIT]],Lista_CUIT[#All],2,0)),"CUIT NO CARGADO")</f>
        <v>CUIT NO CARGADO</v>
      </c>
      <c r="H2384" s="64">
        <v>18710.759999999998</v>
      </c>
      <c r="I2384" s="485">
        <f>ventas_b_mes684[[#This Row],[IMPORTE NETO]]*0.21</f>
        <v>3929.2595999999994</v>
      </c>
      <c r="J2384" s="486"/>
      <c r="K2384" s="486"/>
      <c r="L2384" s="486">
        <f>SUM(ventas_b_mes684[[#This Row],[IMPORTE NETO]:[EXENTO]])</f>
        <v>22640.0196</v>
      </c>
      <c r="M2384" s="487"/>
    </row>
    <row r="2385" spans="2:13">
      <c r="B2385" s="40" t="s">
        <v>2324</v>
      </c>
      <c r="C2385" s="41">
        <v>6</v>
      </c>
      <c r="D2385" s="538">
        <v>10</v>
      </c>
      <c r="E2385" s="539">
        <v>54759</v>
      </c>
      <c r="F2385" s="540">
        <v>23669178</v>
      </c>
      <c r="G2385" s="541" t="str">
        <f>IFERROR(IF(ventas_b_mes684[[#This Row],[CUIT]]="","-",VLOOKUP(ventas_b_mes684[[#This Row],[CUIT]],Lista_CUIT[#All],2,0)),"CUIT NO CARGADO")</f>
        <v>CUIT NO CARGADO</v>
      </c>
      <c r="H2385" s="64">
        <v>20661.16</v>
      </c>
      <c r="I2385" s="485">
        <f>ventas_b_mes684[[#This Row],[IMPORTE NETO]]*0.21</f>
        <v>4338.8436000000002</v>
      </c>
      <c r="J2385" s="486"/>
      <c r="K2385" s="486"/>
      <c r="L2385" s="486">
        <f>SUM(ventas_b_mes684[[#This Row],[IMPORTE NETO]:[EXENTO]])</f>
        <v>25000.0036</v>
      </c>
      <c r="M2385" s="487"/>
    </row>
    <row r="2386" spans="2:13">
      <c r="B2386" s="40" t="s">
        <v>2324</v>
      </c>
      <c r="C2386" s="41">
        <v>6</v>
      </c>
      <c r="D2386" s="538">
        <v>12</v>
      </c>
      <c r="E2386" s="539">
        <v>29937</v>
      </c>
      <c r="F2386" s="540">
        <v>40496647</v>
      </c>
      <c r="G2386" s="541" t="str">
        <f>IFERROR(IF(ventas_b_mes684[[#This Row],[CUIT]]="","-",VLOOKUP(ventas_b_mes684[[#This Row],[CUIT]],Lista_CUIT[#All],2,0)),"CUIT NO CARGADO")</f>
        <v>CUIT NO CARGADO</v>
      </c>
      <c r="H2386" s="64">
        <v>37958.68</v>
      </c>
      <c r="I2386" s="485">
        <f>ventas_b_mes684[[#This Row],[IMPORTE NETO]]*0.21</f>
        <v>7971.3227999999999</v>
      </c>
      <c r="J2386" s="486"/>
      <c r="K2386" s="486"/>
      <c r="L2386" s="486">
        <f>SUM(ventas_b_mes684[[#This Row],[IMPORTE NETO]:[EXENTO]])</f>
        <v>45930.002800000002</v>
      </c>
      <c r="M2386" s="487"/>
    </row>
    <row r="2387" spans="2:13">
      <c r="B2387" s="40" t="s">
        <v>2324</v>
      </c>
      <c r="C2387" s="41">
        <v>6</v>
      </c>
      <c r="D2387" s="538">
        <v>13</v>
      </c>
      <c r="E2387" s="539">
        <v>32659</v>
      </c>
      <c r="F2387" s="540">
        <v>16996675</v>
      </c>
      <c r="G2387" s="541" t="str">
        <f>IFERROR(IF(ventas_b_mes684[[#This Row],[CUIT]]="","-",VLOOKUP(ventas_b_mes684[[#This Row],[CUIT]],Lista_CUIT[#All],2,0)),"CUIT NO CARGADO")</f>
        <v>CUIT NO CARGADO</v>
      </c>
      <c r="H2387" s="64">
        <v>24165.29</v>
      </c>
      <c r="I2387" s="485">
        <f>ventas_b_mes684[[#This Row],[IMPORTE NETO]]*0.21</f>
        <v>5074.7109</v>
      </c>
      <c r="J2387" s="486"/>
      <c r="K2387" s="486"/>
      <c r="L2387" s="486">
        <f>SUM(ventas_b_mes684[[#This Row],[IMPORTE NETO]:[EXENTO]])</f>
        <v>29240.000899999999</v>
      </c>
      <c r="M2387" s="487"/>
    </row>
    <row r="2388" spans="2:13">
      <c r="B2388" s="40" t="s">
        <v>2324</v>
      </c>
      <c r="C2388" s="41">
        <v>6</v>
      </c>
      <c r="D2388" s="538">
        <v>10</v>
      </c>
      <c r="E2388" s="539">
        <v>54742</v>
      </c>
      <c r="F2388" s="540">
        <v>45041334</v>
      </c>
      <c r="G2388" s="541" t="str">
        <f>IFERROR(IF(ventas_b_mes684[[#This Row],[CUIT]]="","-",VLOOKUP(ventas_b_mes684[[#This Row],[CUIT]],Lista_CUIT[#All],2,0)),"CUIT NO CARGADO")</f>
        <v>CUIT NO CARGADO</v>
      </c>
      <c r="H2388" s="64">
        <v>34644.629999999997</v>
      </c>
      <c r="I2388" s="485">
        <f>ventas_b_mes684[[#This Row],[IMPORTE NETO]]*0.21</f>
        <v>7275.3722999999991</v>
      </c>
      <c r="J2388" s="486"/>
      <c r="K2388" s="486"/>
      <c r="L2388" s="486">
        <f>SUM(ventas_b_mes684[[#This Row],[IMPORTE NETO]:[EXENTO]])</f>
        <v>41920.002299999993</v>
      </c>
      <c r="M2388" s="487"/>
    </row>
    <row r="2389" spans="2:13">
      <c r="B2389" s="40" t="s">
        <v>2324</v>
      </c>
      <c r="C2389" s="41">
        <v>6</v>
      </c>
      <c r="D2389" s="538">
        <v>15</v>
      </c>
      <c r="E2389" s="539">
        <v>13544</v>
      </c>
      <c r="F2389" s="540">
        <v>30308030</v>
      </c>
      <c r="G2389" s="541" t="str">
        <f>IFERROR(IF(ventas_b_mes684[[#This Row],[CUIT]]="","-",VLOOKUP(ventas_b_mes684[[#This Row],[CUIT]],Lista_CUIT[#All],2,0)),"CUIT NO CARGADO")</f>
        <v>ARENAS, VERONICA (alumna)</v>
      </c>
      <c r="H2389" s="64">
        <v>16528.93</v>
      </c>
      <c r="I2389" s="485">
        <f>ventas_b_mes684[[#This Row],[IMPORTE NETO]]*0.21</f>
        <v>3471.0753</v>
      </c>
      <c r="J2389" s="486"/>
      <c r="K2389" s="486"/>
      <c r="L2389" s="486">
        <f>SUM(ventas_b_mes684[[#This Row],[IMPORTE NETO]:[EXENTO]])</f>
        <v>20000.005300000001</v>
      </c>
      <c r="M2389" s="487"/>
    </row>
    <row r="2390" spans="2:13">
      <c r="B2390" s="40" t="s">
        <v>2324</v>
      </c>
      <c r="C2390" s="41">
        <v>6</v>
      </c>
      <c r="D2390" s="538">
        <v>10</v>
      </c>
      <c r="E2390" s="539">
        <v>54744</v>
      </c>
      <c r="F2390" s="540">
        <v>95425625</v>
      </c>
      <c r="G2390" s="541" t="str">
        <f>IFERROR(IF(ventas_b_mes684[[#This Row],[CUIT]]="","-",VLOOKUP(ventas_b_mes684[[#This Row],[CUIT]],Lista_CUIT[#All],2,0)),"CUIT NO CARGADO")</f>
        <v>CUIT NO CARGADO</v>
      </c>
      <c r="H2390" s="64">
        <v>7190.08</v>
      </c>
      <c r="I2390" s="485">
        <f>ventas_b_mes684[[#This Row],[IMPORTE NETO]]*0.21</f>
        <v>1509.9168</v>
      </c>
      <c r="J2390" s="486"/>
      <c r="K2390" s="486"/>
      <c r="L2390" s="486">
        <f>SUM(ventas_b_mes684[[#This Row],[IMPORTE NETO]:[EXENTO]])</f>
        <v>8699.9968000000008</v>
      </c>
      <c r="M2390" s="487"/>
    </row>
    <row r="2391" spans="2:13">
      <c r="B2391" s="40" t="s">
        <v>2324</v>
      </c>
      <c r="C2391" s="41">
        <v>6</v>
      </c>
      <c r="D2391" s="538">
        <v>13</v>
      </c>
      <c r="E2391" s="539">
        <v>32655</v>
      </c>
      <c r="F2391" s="540">
        <v>14133671</v>
      </c>
      <c r="G2391" s="541" t="str">
        <f>IFERROR(IF(ventas_b_mes684[[#This Row],[CUIT]]="","-",VLOOKUP(ventas_b_mes684[[#This Row],[CUIT]],Lista_CUIT[#All],2,0)),"CUIT NO CARGADO")</f>
        <v>CUIT NO CARGADO</v>
      </c>
      <c r="H2391" s="64">
        <v>20661.16</v>
      </c>
      <c r="I2391" s="485">
        <f>ventas_b_mes684[[#This Row],[IMPORTE NETO]]*0.21</f>
        <v>4338.8436000000002</v>
      </c>
      <c r="J2391" s="486"/>
      <c r="K2391" s="486"/>
      <c r="L2391" s="486">
        <f>SUM(ventas_b_mes684[[#This Row],[IMPORTE NETO]:[EXENTO]])</f>
        <v>25000.0036</v>
      </c>
      <c r="M2391" s="487"/>
    </row>
    <row r="2392" spans="2:13">
      <c r="B2392" s="40" t="s">
        <v>2324</v>
      </c>
      <c r="C2392" s="41">
        <v>6</v>
      </c>
      <c r="D2392" s="538">
        <v>15</v>
      </c>
      <c r="E2392" s="539">
        <v>13552</v>
      </c>
      <c r="F2392" s="540">
        <v>17236231</v>
      </c>
      <c r="G2392" s="541" t="str">
        <f>IFERROR(IF(ventas_b_mes684[[#This Row],[CUIT]]="","-",VLOOKUP(ventas_b_mes684[[#This Row],[CUIT]],Lista_CUIT[#All],2,0)),"CUIT NO CARGADO")</f>
        <v>CUIT NO CARGADO</v>
      </c>
      <c r="H2392" s="64">
        <v>19966.939999999999</v>
      </c>
      <c r="I2392" s="485">
        <f>ventas_b_mes684[[#This Row],[IMPORTE NETO]]*0.21</f>
        <v>4193.0573999999997</v>
      </c>
      <c r="J2392" s="486"/>
      <c r="K2392" s="486"/>
      <c r="L2392" s="486">
        <f>SUM(ventas_b_mes684[[#This Row],[IMPORTE NETO]:[EXENTO]])</f>
        <v>24159.9974</v>
      </c>
      <c r="M2392" s="487"/>
    </row>
    <row r="2393" spans="2:13">
      <c r="B2393" s="40" t="s">
        <v>2324</v>
      </c>
      <c r="C2393" s="41">
        <v>6</v>
      </c>
      <c r="D2393" s="538">
        <v>11</v>
      </c>
      <c r="E2393" s="539">
        <v>38470</v>
      </c>
      <c r="F2393" s="540">
        <v>28773354</v>
      </c>
      <c r="G2393" s="541" t="str">
        <f>IFERROR(IF(ventas_b_mes684[[#This Row],[CUIT]]="","-",VLOOKUP(ventas_b_mes684[[#This Row],[CUIT]],Lista_CUIT[#All],2,0)),"CUIT NO CARGADO")</f>
        <v>CUIT NO CARGADO</v>
      </c>
      <c r="H2393" s="64">
        <v>28140.5</v>
      </c>
      <c r="I2393" s="485">
        <f>ventas_b_mes684[[#This Row],[IMPORTE NETO]]*0.21</f>
        <v>5909.5050000000001</v>
      </c>
      <c r="J2393" s="486"/>
      <c r="K2393" s="486"/>
      <c r="L2393" s="486">
        <f>SUM(ventas_b_mes684[[#This Row],[IMPORTE NETO]:[EXENTO]])</f>
        <v>34050.004999999997</v>
      </c>
      <c r="M2393" s="487"/>
    </row>
    <row r="2394" spans="2:13">
      <c r="B2394" s="40" t="s">
        <v>2324</v>
      </c>
      <c r="C2394" s="41">
        <v>6</v>
      </c>
      <c r="D2394" s="538">
        <v>13</v>
      </c>
      <c r="E2394" s="539">
        <v>32648</v>
      </c>
      <c r="F2394" s="540">
        <v>13053566</v>
      </c>
      <c r="G2394" s="541" t="str">
        <f>IFERROR(IF(ventas_b_mes684[[#This Row],[CUIT]]="","-",VLOOKUP(ventas_b_mes684[[#This Row],[CUIT]],Lista_CUIT[#All],2,0)),"CUIT NO CARGADO")</f>
        <v>CUIT NO CARGADO</v>
      </c>
      <c r="H2394" s="64">
        <v>50446.33</v>
      </c>
      <c r="I2394" s="485">
        <f>ventas_b_mes684[[#This Row],[IMPORTE NETO]]*0.21</f>
        <v>10593.729300000001</v>
      </c>
      <c r="J2394" s="486"/>
      <c r="K2394" s="486"/>
      <c r="L2394" s="486">
        <f>SUM(ventas_b_mes684[[#This Row],[IMPORTE NETO]:[EXENTO]])</f>
        <v>61040.059300000001</v>
      </c>
      <c r="M2394" s="487"/>
    </row>
    <row r="2395" spans="2:13">
      <c r="B2395" s="40" t="s">
        <v>2324</v>
      </c>
      <c r="C2395" s="41">
        <v>6</v>
      </c>
      <c r="D2395" s="538">
        <v>13</v>
      </c>
      <c r="E2395" s="539">
        <v>32649</v>
      </c>
      <c r="F2395" s="540">
        <v>12419794</v>
      </c>
      <c r="G2395" s="541" t="str">
        <f>IFERROR(IF(ventas_b_mes684[[#This Row],[CUIT]]="","-",VLOOKUP(ventas_b_mes684[[#This Row],[CUIT]],Lista_CUIT[#All],2,0)),"CUIT NO CARGADO")</f>
        <v>CUIT NO CARGADO</v>
      </c>
      <c r="H2395" s="64">
        <v>72396.72</v>
      </c>
      <c r="I2395" s="485">
        <f>ventas_b_mes684[[#This Row],[IMPORTE NETO]]*0.21</f>
        <v>15203.3112</v>
      </c>
      <c r="J2395" s="486"/>
      <c r="K2395" s="486"/>
      <c r="L2395" s="486">
        <f>SUM(ventas_b_mes684[[#This Row],[IMPORTE NETO]:[EXENTO]])</f>
        <v>87600.031199999998</v>
      </c>
      <c r="M2395" s="487"/>
    </row>
    <row r="2396" spans="2:13">
      <c r="B2396" s="40" t="s">
        <v>2324</v>
      </c>
      <c r="C2396" s="41">
        <v>6</v>
      </c>
      <c r="D2396" s="538">
        <v>15</v>
      </c>
      <c r="E2396" s="539">
        <v>13516</v>
      </c>
      <c r="F2396" s="540">
        <v>45226021</v>
      </c>
      <c r="G2396" s="541" t="str">
        <f>IFERROR(IF(ventas_b_mes684[[#This Row],[CUIT]]="","-",VLOOKUP(ventas_b_mes684[[#This Row],[CUIT]],Lista_CUIT[#All],2,0)),"CUIT NO CARGADO")</f>
        <v>CUIT NO CARGADO</v>
      </c>
      <c r="H2396" s="64">
        <v>2702.48</v>
      </c>
      <c r="I2396" s="485">
        <f>ventas_b_mes684[[#This Row],[IMPORTE NETO]]*0.21</f>
        <v>567.52080000000001</v>
      </c>
      <c r="J2396" s="486"/>
      <c r="K2396" s="486"/>
      <c r="L2396" s="486">
        <f>SUM(ventas_b_mes684[[#This Row],[IMPORTE NETO]:[EXENTO]])</f>
        <v>3270.0007999999998</v>
      </c>
      <c r="M2396" s="487"/>
    </row>
    <row r="2397" spans="2:13">
      <c r="B2397" s="40" t="s">
        <v>2324</v>
      </c>
      <c r="C2397" s="41">
        <v>6</v>
      </c>
      <c r="D2397" s="538">
        <v>15</v>
      </c>
      <c r="E2397" s="539">
        <v>13515</v>
      </c>
      <c r="F2397" s="540">
        <v>20204180</v>
      </c>
      <c r="G2397" s="541" t="str">
        <f>IFERROR(IF(ventas_b_mes684[[#This Row],[CUIT]]="","-",VLOOKUP(ventas_b_mes684[[#This Row],[CUIT]],Lista_CUIT[#All],2,0)),"CUIT NO CARGADO")</f>
        <v>CUIT NO CARGADO</v>
      </c>
      <c r="H2397" s="64">
        <v>6876.03</v>
      </c>
      <c r="I2397" s="485">
        <f>ventas_b_mes684[[#This Row],[IMPORTE NETO]]*0.21</f>
        <v>1443.9662999999998</v>
      </c>
      <c r="J2397" s="486"/>
      <c r="K2397" s="486"/>
      <c r="L2397" s="486">
        <f>SUM(ventas_b_mes684[[#This Row],[IMPORTE NETO]:[EXENTO]])</f>
        <v>8319.9962999999989</v>
      </c>
      <c r="M2397" s="487"/>
    </row>
    <row r="2398" spans="2:13">
      <c r="B2398" s="40" t="s">
        <v>2324</v>
      </c>
      <c r="C2398" s="41">
        <v>6</v>
      </c>
      <c r="D2398" s="538">
        <v>12</v>
      </c>
      <c r="E2398" s="539">
        <v>29911</v>
      </c>
      <c r="F2398" s="540">
        <v>16951986</v>
      </c>
      <c r="G2398" s="541" t="str">
        <f>IFERROR(IF(ventas_b_mes684[[#This Row],[CUIT]]="","-",VLOOKUP(ventas_b_mes684[[#This Row],[CUIT]],Lista_CUIT[#All],2,0)),"CUIT NO CARGADO")</f>
        <v>CUIT NO CARGADO</v>
      </c>
      <c r="H2398" s="64">
        <v>20661.16</v>
      </c>
      <c r="I2398" s="485">
        <f>ventas_b_mes684[[#This Row],[IMPORTE NETO]]*0.21</f>
        <v>4338.8436000000002</v>
      </c>
      <c r="J2398" s="486"/>
      <c r="K2398" s="486"/>
      <c r="L2398" s="486">
        <f>SUM(ventas_b_mes684[[#This Row],[IMPORTE NETO]:[EXENTO]])</f>
        <v>25000.0036</v>
      </c>
      <c r="M2398" s="487"/>
    </row>
    <row r="2399" spans="2:13">
      <c r="B2399" s="40" t="s">
        <v>2324</v>
      </c>
      <c r="C2399" s="41">
        <v>6</v>
      </c>
      <c r="D2399" s="538">
        <v>11</v>
      </c>
      <c r="E2399" s="539">
        <v>38445</v>
      </c>
      <c r="F2399" s="540">
        <v>18573238</v>
      </c>
      <c r="G2399" s="541" t="str">
        <f>IFERROR(IF(ventas_b_mes684[[#This Row],[CUIT]]="","-",VLOOKUP(ventas_b_mes684[[#This Row],[CUIT]],Lista_CUIT[#All],2,0)),"CUIT NO CARGADO")</f>
        <v>CUIT NO CARGADO</v>
      </c>
      <c r="H2399" s="64">
        <v>11338.84</v>
      </c>
      <c r="I2399" s="485">
        <f>ventas_b_mes684[[#This Row],[IMPORTE NETO]]*0.21</f>
        <v>2381.1563999999998</v>
      </c>
      <c r="J2399" s="486"/>
      <c r="K2399" s="486"/>
      <c r="L2399" s="486">
        <f>SUM(ventas_b_mes684[[#This Row],[IMPORTE NETO]:[EXENTO]])</f>
        <v>13719.9964</v>
      </c>
      <c r="M2399" s="487"/>
    </row>
    <row r="2400" spans="2:13">
      <c r="B2400" s="40" t="s">
        <v>2324</v>
      </c>
      <c r="C2400" s="41">
        <v>6</v>
      </c>
      <c r="D2400" s="538">
        <v>15</v>
      </c>
      <c r="E2400" s="539">
        <v>13542</v>
      </c>
      <c r="F2400" s="540">
        <v>13862555</v>
      </c>
      <c r="G2400" s="541" t="str">
        <f>IFERROR(IF(ventas_b_mes684[[#This Row],[CUIT]]="","-",VLOOKUP(ventas_b_mes684[[#This Row],[CUIT]],Lista_CUIT[#All],2,0)),"CUIT NO CARGADO")</f>
        <v>SAPIA PATRICIA GLADYS</v>
      </c>
      <c r="H2400" s="64">
        <v>44677.69</v>
      </c>
      <c r="I2400" s="485">
        <f>ventas_b_mes684[[#This Row],[IMPORTE NETO]]*0.21</f>
        <v>9382.3148999999994</v>
      </c>
      <c r="J2400" s="486"/>
      <c r="K2400" s="486"/>
      <c r="L2400" s="486">
        <f>SUM(ventas_b_mes684[[#This Row],[IMPORTE NETO]:[EXENTO]])</f>
        <v>54060.0049</v>
      </c>
      <c r="M2400" s="487"/>
    </row>
    <row r="2401" spans="2:13">
      <c r="B2401" s="40" t="s">
        <v>2324</v>
      </c>
      <c r="C2401" s="41">
        <v>6</v>
      </c>
      <c r="D2401" s="538">
        <v>11</v>
      </c>
      <c r="E2401" s="539">
        <v>38446</v>
      </c>
      <c r="F2401" s="540">
        <v>18245489</v>
      </c>
      <c r="G2401" s="541" t="str">
        <f>IFERROR(IF(ventas_b_mes684[[#This Row],[CUIT]]="","-",VLOOKUP(ventas_b_mes684[[#This Row],[CUIT]],Lista_CUIT[#All],2,0)),"CUIT NO CARGADO")</f>
        <v>CUIT NO CARGADO</v>
      </c>
      <c r="H2401" s="64">
        <v>42578.51</v>
      </c>
      <c r="I2401" s="485">
        <f>ventas_b_mes684[[#This Row],[IMPORTE NETO]]*0.21</f>
        <v>8941.4871000000003</v>
      </c>
      <c r="J2401" s="486"/>
      <c r="K2401" s="486"/>
      <c r="L2401" s="486">
        <f>SUM(ventas_b_mes684[[#This Row],[IMPORTE NETO]:[EXENTO]])</f>
        <v>51519.997100000001</v>
      </c>
      <c r="M2401" s="487"/>
    </row>
    <row r="2402" spans="2:13">
      <c r="B2402" s="40" t="s">
        <v>2324</v>
      </c>
      <c r="C2402" s="41">
        <v>6</v>
      </c>
      <c r="D2402" s="538">
        <v>10</v>
      </c>
      <c r="E2402" s="539">
        <v>54751</v>
      </c>
      <c r="F2402" s="540">
        <v>26996097</v>
      </c>
      <c r="G2402" s="541" t="str">
        <f>IFERROR(IF(ventas_b_mes684[[#This Row],[CUIT]]="","-",VLOOKUP(ventas_b_mes684[[#This Row],[CUIT]],Lista_CUIT[#All],2,0)),"CUIT NO CARGADO")</f>
        <v>DOBROSOLSKY PATRICIA ALEJANDRA</v>
      </c>
      <c r="H2402" s="64">
        <v>23140.5</v>
      </c>
      <c r="I2402" s="485">
        <f>ventas_b_mes684[[#This Row],[IMPORTE NETO]]*0.21</f>
        <v>4859.5050000000001</v>
      </c>
      <c r="J2402" s="486"/>
      <c r="K2402" s="486"/>
      <c r="L2402" s="486">
        <f>SUM(ventas_b_mes684[[#This Row],[IMPORTE NETO]:[EXENTO]])</f>
        <v>28000.005000000001</v>
      </c>
      <c r="M2402" s="487"/>
    </row>
    <row r="2403" spans="2:13">
      <c r="B2403" s="40" t="s">
        <v>2324</v>
      </c>
      <c r="C2403" s="41">
        <v>6</v>
      </c>
      <c r="D2403" s="538">
        <v>13</v>
      </c>
      <c r="E2403" s="539">
        <v>32660</v>
      </c>
      <c r="F2403" s="540">
        <v>94911176</v>
      </c>
      <c r="G2403" s="541" t="str">
        <f>IFERROR(IF(ventas_b_mes684[[#This Row],[CUIT]]="","-",VLOOKUP(ventas_b_mes684[[#This Row],[CUIT]],Lista_CUIT[#All],2,0)),"CUIT NO CARGADO")</f>
        <v>CUIT NO CARGADO</v>
      </c>
      <c r="H2403" s="64">
        <v>12033.06</v>
      </c>
      <c r="I2403" s="485">
        <f>ventas_b_mes684[[#This Row],[IMPORTE NETO]]*0.21</f>
        <v>2526.9425999999999</v>
      </c>
      <c r="J2403" s="486"/>
      <c r="K2403" s="486"/>
      <c r="L2403" s="486">
        <f>SUM(ventas_b_mes684[[#This Row],[IMPORTE NETO]:[EXENTO]])</f>
        <v>14560.0026</v>
      </c>
      <c r="M2403" s="487"/>
    </row>
    <row r="2404" spans="2:13">
      <c r="B2404" s="40" t="s">
        <v>2324</v>
      </c>
      <c r="C2404" s="41">
        <v>6</v>
      </c>
      <c r="D2404" s="538">
        <v>12</v>
      </c>
      <c r="E2404" s="539">
        <v>29929</v>
      </c>
      <c r="F2404" s="540">
        <v>20534859</v>
      </c>
      <c r="G2404" s="541" t="str">
        <f>IFERROR(IF(ventas_b_mes684[[#This Row],[CUIT]]="","-",VLOOKUP(ventas_b_mes684[[#This Row],[CUIT]],Lista_CUIT[#All],2,0)),"CUIT NO CARGADO")</f>
        <v>CUIT NO CARGADO</v>
      </c>
      <c r="H2404" s="64">
        <v>32958.68</v>
      </c>
      <c r="I2404" s="485">
        <f>ventas_b_mes684[[#This Row],[IMPORTE NETO]]*0.21</f>
        <v>6921.3227999999999</v>
      </c>
      <c r="J2404" s="486"/>
      <c r="K2404" s="486"/>
      <c r="L2404" s="486">
        <f>SUM(ventas_b_mes684[[#This Row],[IMPORTE NETO]:[EXENTO]])</f>
        <v>39880.002800000002</v>
      </c>
      <c r="M2404" s="487"/>
    </row>
    <row r="2405" spans="2:13">
      <c r="B2405" s="40" t="s">
        <v>2324</v>
      </c>
      <c r="C2405" s="41">
        <v>6</v>
      </c>
      <c r="D2405" s="538">
        <v>12</v>
      </c>
      <c r="E2405" s="539">
        <v>29930</v>
      </c>
      <c r="F2405" s="540">
        <v>16977894</v>
      </c>
      <c r="G2405" s="541" t="str">
        <f>IFERROR(IF(ventas_b_mes684[[#This Row],[CUIT]]="","-",VLOOKUP(ventas_b_mes684[[#This Row],[CUIT]],Lista_CUIT[#All],2,0)),"CUIT NO CARGADO")</f>
        <v>CUIT NO CARGADO</v>
      </c>
      <c r="H2405" s="64">
        <v>26776.86</v>
      </c>
      <c r="I2405" s="485">
        <f>ventas_b_mes684[[#This Row],[IMPORTE NETO]]*0.21</f>
        <v>5623.1405999999997</v>
      </c>
      <c r="J2405" s="486"/>
      <c r="K2405" s="486"/>
      <c r="L2405" s="486">
        <f>SUM(ventas_b_mes684[[#This Row],[IMPORTE NETO]:[EXENTO]])</f>
        <v>32400.000599999999</v>
      </c>
      <c r="M2405" s="487"/>
    </row>
    <row r="2406" spans="2:13">
      <c r="B2406" s="40" t="s">
        <v>2324</v>
      </c>
      <c r="C2406" s="41">
        <v>6</v>
      </c>
      <c r="D2406" s="538">
        <v>11</v>
      </c>
      <c r="E2406" s="539">
        <v>38464</v>
      </c>
      <c r="F2406" s="540">
        <v>16134932</v>
      </c>
      <c r="G2406" s="541" t="str">
        <f>IFERROR(IF(ventas_b_mes684[[#This Row],[CUIT]]="","-",VLOOKUP(ventas_b_mes684[[#This Row],[CUIT]],Lista_CUIT[#All],2,0)),"CUIT NO CARGADO")</f>
        <v>CUIT NO CARGADO</v>
      </c>
      <c r="H2406" s="64">
        <v>20661.16</v>
      </c>
      <c r="I2406" s="485">
        <f>ventas_b_mes684[[#This Row],[IMPORTE NETO]]*0.21</f>
        <v>4338.8436000000002</v>
      </c>
      <c r="J2406" s="486"/>
      <c r="K2406" s="486"/>
      <c r="L2406" s="486">
        <f>SUM(ventas_b_mes684[[#This Row],[IMPORTE NETO]:[EXENTO]])</f>
        <v>25000.0036</v>
      </c>
      <c r="M2406" s="487"/>
    </row>
    <row r="2407" spans="2:13">
      <c r="B2407" s="40" t="s">
        <v>2324</v>
      </c>
      <c r="C2407" s="41">
        <v>6</v>
      </c>
      <c r="D2407" s="538">
        <v>11</v>
      </c>
      <c r="E2407" s="539">
        <v>38475</v>
      </c>
      <c r="F2407" s="540">
        <v>34741470</v>
      </c>
      <c r="G2407" s="541" t="str">
        <f>IFERROR(IF(ventas_b_mes684[[#This Row],[CUIT]]="","-",VLOOKUP(ventas_b_mes684[[#This Row],[CUIT]],Lista_CUIT[#All],2,0)),"CUIT NO CARGADO")</f>
        <v>CUIT NO CARGADO</v>
      </c>
      <c r="H2407" s="64">
        <v>36619.83</v>
      </c>
      <c r="I2407" s="485">
        <f>ventas_b_mes684[[#This Row],[IMPORTE NETO]]*0.21</f>
        <v>7690.1643000000004</v>
      </c>
      <c r="J2407" s="486"/>
      <c r="K2407" s="486"/>
      <c r="L2407" s="486">
        <f>SUM(ventas_b_mes684[[#This Row],[IMPORTE NETO]:[EXENTO]])</f>
        <v>44309.994300000006</v>
      </c>
      <c r="M2407" s="487"/>
    </row>
    <row r="2408" spans="2:13">
      <c r="B2408" s="40" t="s">
        <v>2324</v>
      </c>
      <c r="C2408" s="41">
        <v>6</v>
      </c>
      <c r="D2408" s="538">
        <v>11</v>
      </c>
      <c r="E2408" s="539">
        <v>38472</v>
      </c>
      <c r="F2408" s="540">
        <v>28773354</v>
      </c>
      <c r="G2408" s="541" t="str">
        <f>IFERROR(IF(ventas_b_mes684[[#This Row],[CUIT]]="","-",VLOOKUP(ventas_b_mes684[[#This Row],[CUIT]],Lista_CUIT[#All],2,0)),"CUIT NO CARGADO")</f>
        <v>CUIT NO CARGADO</v>
      </c>
      <c r="H2408" s="64">
        <v>4524.79</v>
      </c>
      <c r="I2408" s="485">
        <f>ventas_b_mes684[[#This Row],[IMPORTE NETO]]*0.21</f>
        <v>950.20589999999993</v>
      </c>
      <c r="J2408" s="486"/>
      <c r="K2408" s="486"/>
      <c r="L2408" s="486">
        <f>SUM(ventas_b_mes684[[#This Row],[IMPORTE NETO]:[EXENTO]])</f>
        <v>5474.9958999999999</v>
      </c>
      <c r="M2408" s="487"/>
    </row>
    <row r="2409" spans="2:13">
      <c r="B2409" s="40" t="s">
        <v>2324</v>
      </c>
      <c r="C2409" s="41">
        <v>6</v>
      </c>
      <c r="D2409" s="538">
        <v>10</v>
      </c>
      <c r="E2409" s="539">
        <v>54752</v>
      </c>
      <c r="F2409" s="540">
        <v>1234</v>
      </c>
      <c r="G2409" s="541" t="str">
        <f>IFERROR(IF(ventas_b_mes684[[#This Row],[CUIT]]="","-",VLOOKUP(ventas_b_mes684[[#This Row],[CUIT]],Lista_CUIT[#All],2,0)),"CUIT NO CARGADO")</f>
        <v>CUIT NO CARGADO</v>
      </c>
      <c r="H2409" s="64">
        <v>5157.0200000000004</v>
      </c>
      <c r="I2409" s="485">
        <f>ventas_b_mes684[[#This Row],[IMPORTE NETO]]*0.21</f>
        <v>1082.9742000000001</v>
      </c>
      <c r="J2409" s="486"/>
      <c r="K2409" s="486"/>
      <c r="L2409" s="486">
        <f>SUM(ventas_b_mes684[[#This Row],[IMPORTE NETO]:[EXENTO]])</f>
        <v>6239.994200000001</v>
      </c>
      <c r="M2409" s="487"/>
    </row>
    <row r="2410" spans="2:13">
      <c r="B2410" s="40" t="s">
        <v>2324</v>
      </c>
      <c r="C2410" s="41">
        <v>6</v>
      </c>
      <c r="D2410" s="538">
        <v>11</v>
      </c>
      <c r="E2410" s="539">
        <v>38444</v>
      </c>
      <c r="F2410" s="540">
        <v>92560877</v>
      </c>
      <c r="G2410" s="541" t="str">
        <f>IFERROR(IF(ventas_b_mes684[[#This Row],[CUIT]]="","-",VLOOKUP(ventas_b_mes684[[#This Row],[CUIT]],Lista_CUIT[#All],2,0)),"CUIT NO CARGADO")</f>
        <v>CUIT NO CARGADO</v>
      </c>
      <c r="H2410" s="64">
        <v>15272.73</v>
      </c>
      <c r="I2410" s="485">
        <f>ventas_b_mes684[[#This Row],[IMPORTE NETO]]*0.21</f>
        <v>3207.2732999999998</v>
      </c>
      <c r="J2410" s="486"/>
      <c r="K2410" s="486"/>
      <c r="L2410" s="486">
        <f>SUM(ventas_b_mes684[[#This Row],[IMPORTE NETO]:[EXENTO]])</f>
        <v>18480.0033</v>
      </c>
      <c r="M2410" s="487"/>
    </row>
    <row r="2411" spans="2:13">
      <c r="B2411" s="40" t="s">
        <v>2324</v>
      </c>
      <c r="C2411" s="41">
        <v>6</v>
      </c>
      <c r="D2411" s="538">
        <v>11</v>
      </c>
      <c r="E2411" s="539">
        <v>38447</v>
      </c>
      <c r="F2411" s="540">
        <v>18245489</v>
      </c>
      <c r="G2411" s="541" t="str">
        <f>IFERROR(IF(ventas_b_mes684[[#This Row],[CUIT]]="","-",VLOOKUP(ventas_b_mes684[[#This Row],[CUIT]],Lista_CUIT[#All],2,0)),"CUIT NO CARGADO")</f>
        <v>CUIT NO CARGADO</v>
      </c>
      <c r="H2411" s="64">
        <v>6876.03</v>
      </c>
      <c r="I2411" s="485">
        <f>ventas_b_mes684[[#This Row],[IMPORTE NETO]]*0.21</f>
        <v>1443.9662999999998</v>
      </c>
      <c r="J2411" s="486"/>
      <c r="K2411" s="486"/>
      <c r="L2411" s="486">
        <f>SUM(ventas_b_mes684[[#This Row],[IMPORTE NETO]:[EXENTO]])</f>
        <v>8319.9962999999989</v>
      </c>
      <c r="M2411" s="487"/>
    </row>
    <row r="2412" spans="2:13">
      <c r="B2412" s="40" t="s">
        <v>2324</v>
      </c>
      <c r="C2412" s="41">
        <v>6</v>
      </c>
      <c r="D2412" s="538">
        <v>11</v>
      </c>
      <c r="E2412" s="539">
        <v>38448</v>
      </c>
      <c r="F2412" s="540">
        <v>16495249</v>
      </c>
      <c r="G2412" s="541" t="str">
        <f>IFERROR(IF(ventas_b_mes684[[#This Row],[CUIT]]="","-",VLOOKUP(ventas_b_mes684[[#This Row],[CUIT]],Lista_CUIT[#All],2,0)),"CUIT NO CARGADO")</f>
        <v>CUIT NO CARGADO</v>
      </c>
      <c r="H2412" s="64">
        <v>16000</v>
      </c>
      <c r="I2412" s="485">
        <f>ventas_b_mes684[[#This Row],[IMPORTE NETO]]*0.21</f>
        <v>3360</v>
      </c>
      <c r="J2412" s="486"/>
      <c r="K2412" s="486"/>
      <c r="L2412" s="486">
        <f>SUM(ventas_b_mes684[[#This Row],[IMPORTE NETO]:[EXENTO]])</f>
        <v>19360</v>
      </c>
      <c r="M2412" s="487"/>
    </row>
    <row r="2413" spans="2:13">
      <c r="B2413" s="40" t="s">
        <v>2324</v>
      </c>
      <c r="C2413" s="41">
        <v>6</v>
      </c>
      <c r="D2413" s="538">
        <v>15</v>
      </c>
      <c r="E2413" s="539">
        <v>13527</v>
      </c>
      <c r="F2413" s="540">
        <v>45742146</v>
      </c>
      <c r="G2413" s="541" t="str">
        <f>IFERROR(IF(ventas_b_mes684[[#This Row],[CUIT]]="","-",VLOOKUP(ventas_b_mes684[[#This Row],[CUIT]],Lista_CUIT[#All],2,0)),"CUIT NO CARGADO")</f>
        <v>CUIT NO CARGADO</v>
      </c>
      <c r="H2413" s="64">
        <v>6198.35</v>
      </c>
      <c r="I2413" s="485">
        <f>ventas_b_mes684[[#This Row],[IMPORTE NETO]]*0.21</f>
        <v>1301.6535000000001</v>
      </c>
      <c r="J2413" s="486"/>
      <c r="K2413" s="486"/>
      <c r="L2413" s="486">
        <f>SUM(ventas_b_mes684[[#This Row],[IMPORTE NETO]:[EXENTO]])</f>
        <v>7500.0035000000007</v>
      </c>
      <c r="M2413" s="487"/>
    </row>
    <row r="2414" spans="2:13">
      <c r="B2414" s="40" t="s">
        <v>2324</v>
      </c>
      <c r="C2414" s="41">
        <v>6</v>
      </c>
      <c r="D2414" s="538">
        <v>12</v>
      </c>
      <c r="E2414" s="539">
        <v>29912</v>
      </c>
      <c r="F2414" s="540">
        <v>16951986</v>
      </c>
      <c r="G2414" s="541" t="str">
        <f>IFERROR(IF(ventas_b_mes684[[#This Row],[CUIT]]="","-",VLOOKUP(ventas_b_mes684[[#This Row],[CUIT]],Lista_CUIT[#All],2,0)),"CUIT NO CARGADO")</f>
        <v>CUIT NO CARGADO</v>
      </c>
      <c r="H2414" s="64">
        <v>5289.26</v>
      </c>
      <c r="I2414" s="485">
        <f>ventas_b_mes684[[#This Row],[IMPORTE NETO]]*0.21</f>
        <v>1110.7446</v>
      </c>
      <c r="J2414" s="486"/>
      <c r="K2414" s="486"/>
      <c r="L2414" s="486">
        <f>SUM(ventas_b_mes684[[#This Row],[IMPORTE NETO]:[EXENTO]])</f>
        <v>6400.0046000000002</v>
      </c>
      <c r="M2414" s="487"/>
    </row>
    <row r="2415" spans="2:13">
      <c r="B2415" s="40" t="s">
        <v>2324</v>
      </c>
      <c r="C2415" s="41">
        <v>6</v>
      </c>
      <c r="D2415" s="538">
        <v>12</v>
      </c>
      <c r="E2415" s="539">
        <v>29915</v>
      </c>
      <c r="F2415" s="540">
        <v>41466962</v>
      </c>
      <c r="G2415" s="541" t="str">
        <f>IFERROR(IF(ventas_b_mes684[[#This Row],[CUIT]]="","-",VLOOKUP(ventas_b_mes684[[#This Row],[CUIT]],Lista_CUIT[#All],2,0)),"CUIT NO CARGADO")</f>
        <v>CUIT NO CARGADO</v>
      </c>
      <c r="H2415" s="64">
        <v>20661.16</v>
      </c>
      <c r="I2415" s="485">
        <f>ventas_b_mes684[[#This Row],[IMPORTE NETO]]*0.21</f>
        <v>4338.8436000000002</v>
      </c>
      <c r="J2415" s="486"/>
      <c r="K2415" s="486"/>
      <c r="L2415" s="486">
        <f>SUM(ventas_b_mes684[[#This Row],[IMPORTE NETO]:[EXENTO]])</f>
        <v>25000.0036</v>
      </c>
      <c r="M2415" s="487"/>
    </row>
    <row r="2416" spans="2:13">
      <c r="B2416" s="40" t="s">
        <v>2324</v>
      </c>
      <c r="C2416" s="41">
        <v>6</v>
      </c>
      <c r="D2416" s="538">
        <v>11</v>
      </c>
      <c r="E2416" s="539">
        <v>38461</v>
      </c>
      <c r="F2416" s="540">
        <v>18905338</v>
      </c>
      <c r="G2416" s="541" t="str">
        <f>IFERROR(IF(ventas_b_mes684[[#This Row],[CUIT]]="","-",VLOOKUP(ventas_b_mes684[[#This Row],[CUIT]],Lista_CUIT[#All],2,0)),"CUIT NO CARGADO")</f>
        <v>CUIT NO CARGADO</v>
      </c>
      <c r="H2416" s="64">
        <v>40165.29</v>
      </c>
      <c r="I2416" s="485">
        <f>ventas_b_mes684[[#This Row],[IMPORTE NETO]]*0.21</f>
        <v>8434.7109</v>
      </c>
      <c r="J2416" s="486"/>
      <c r="K2416" s="486"/>
      <c r="L2416" s="486">
        <f>SUM(ventas_b_mes684[[#This Row],[IMPORTE NETO]:[EXENTO]])</f>
        <v>48600.000899999999</v>
      </c>
      <c r="M2416" s="487"/>
    </row>
    <row r="2417" spans="2:13">
      <c r="B2417" s="40" t="s">
        <v>2324</v>
      </c>
      <c r="C2417" s="41">
        <v>6</v>
      </c>
      <c r="D2417" s="538">
        <v>15</v>
      </c>
      <c r="E2417" s="539">
        <v>13537</v>
      </c>
      <c r="F2417" s="540">
        <v>26272486</v>
      </c>
      <c r="G2417" s="541" t="str">
        <f>IFERROR(IF(ventas_b_mes684[[#This Row],[CUIT]]="","-",VLOOKUP(ventas_b_mes684[[#This Row],[CUIT]],Lista_CUIT[#All],2,0)),"CUIT NO CARGADO")</f>
        <v>BALMACEDA,NATALIA LORENA</v>
      </c>
      <c r="H2417" s="64">
        <v>5157.0200000000004</v>
      </c>
      <c r="I2417" s="485">
        <f>ventas_b_mes684[[#This Row],[IMPORTE NETO]]*0.21</f>
        <v>1082.9742000000001</v>
      </c>
      <c r="J2417" s="486"/>
      <c r="K2417" s="486"/>
      <c r="L2417" s="486">
        <f>SUM(ventas_b_mes684[[#This Row],[IMPORTE NETO]:[EXENTO]])</f>
        <v>6239.994200000001</v>
      </c>
      <c r="M2417" s="487"/>
    </row>
    <row r="2418" spans="2:13">
      <c r="B2418" s="40" t="s">
        <v>2324</v>
      </c>
      <c r="C2418" s="41">
        <v>6</v>
      </c>
      <c r="D2418" s="538">
        <v>13</v>
      </c>
      <c r="E2418" s="539">
        <v>32656</v>
      </c>
      <c r="F2418" s="540">
        <v>102569854</v>
      </c>
      <c r="G2418" s="541" t="str">
        <f>IFERROR(IF(ventas_b_mes684[[#This Row],[CUIT]]="","-",VLOOKUP(ventas_b_mes684[[#This Row],[CUIT]],Lista_CUIT[#All],2,0)),"CUIT NO CARGADO")</f>
        <v>CUIT NO CARGADO</v>
      </c>
      <c r="H2418" s="64">
        <v>40925.620000000003</v>
      </c>
      <c r="I2418" s="485">
        <f>ventas_b_mes684[[#This Row],[IMPORTE NETO]]*0.21</f>
        <v>8594.3801999999996</v>
      </c>
      <c r="J2418" s="486"/>
      <c r="K2418" s="486"/>
      <c r="L2418" s="486">
        <f>SUM(ventas_b_mes684[[#This Row],[IMPORTE NETO]:[EXENTO]])</f>
        <v>49520.000200000002</v>
      </c>
      <c r="M2418" s="487"/>
    </row>
    <row r="2419" spans="2:13">
      <c r="B2419" s="40" t="s">
        <v>2324</v>
      </c>
      <c r="C2419" s="41">
        <v>6</v>
      </c>
      <c r="D2419" s="538">
        <v>15</v>
      </c>
      <c r="E2419" s="539">
        <v>13525</v>
      </c>
      <c r="F2419" s="540">
        <v>92650983</v>
      </c>
      <c r="G2419" s="541" t="str">
        <f>IFERROR(IF(ventas_b_mes684[[#This Row],[CUIT]]="","-",VLOOKUP(ventas_b_mes684[[#This Row],[CUIT]],Lista_CUIT[#All],2,0)),"CUIT NO CARGADO")</f>
        <v>CUIT NO CARGADO</v>
      </c>
      <c r="H2419" s="64">
        <v>11504.13</v>
      </c>
      <c r="I2419" s="485">
        <f>ventas_b_mes684[[#This Row],[IMPORTE NETO]]*0.21</f>
        <v>2415.8672999999999</v>
      </c>
      <c r="J2419" s="486"/>
      <c r="K2419" s="486"/>
      <c r="L2419" s="486">
        <f>SUM(ventas_b_mes684[[#This Row],[IMPORTE NETO]:[EXENTO]])</f>
        <v>13919.997299999999</v>
      </c>
      <c r="M2419" s="487"/>
    </row>
    <row r="2420" spans="2:13">
      <c r="B2420" s="40" t="s">
        <v>2324</v>
      </c>
      <c r="C2420" s="41">
        <v>6</v>
      </c>
      <c r="D2420" s="538">
        <v>10</v>
      </c>
      <c r="E2420" s="539">
        <v>54750</v>
      </c>
      <c r="F2420" s="540">
        <v>25371629</v>
      </c>
      <c r="G2420" s="541" t="str">
        <f>IFERROR(IF(ventas_b_mes684[[#This Row],[CUIT]]="","-",VLOOKUP(ventas_b_mes684[[#This Row],[CUIT]],Lista_CUIT[#All],2,0)),"CUIT NO CARGADO")</f>
        <v>CUIT NO CARGADO</v>
      </c>
      <c r="H2420" s="64">
        <v>84495.87</v>
      </c>
      <c r="I2420" s="485">
        <f>ventas_b_mes684[[#This Row],[IMPORTE NETO]]*0.21</f>
        <v>17744.132699999998</v>
      </c>
      <c r="J2420" s="486"/>
      <c r="K2420" s="486"/>
      <c r="L2420" s="486">
        <f>SUM(ventas_b_mes684[[#This Row],[IMPORTE NETO]:[EXENTO]])</f>
        <v>102240.0027</v>
      </c>
      <c r="M2420" s="487"/>
    </row>
    <row r="2421" spans="2:13">
      <c r="B2421" s="40" t="s">
        <v>2324</v>
      </c>
      <c r="C2421" s="41">
        <v>6</v>
      </c>
      <c r="D2421" s="538">
        <v>15</v>
      </c>
      <c r="E2421" s="539">
        <v>13541</v>
      </c>
      <c r="F2421" s="540">
        <v>17852369</v>
      </c>
      <c r="G2421" s="541" t="str">
        <f>IFERROR(IF(ventas_b_mes684[[#This Row],[CUIT]]="","-",VLOOKUP(ventas_b_mes684[[#This Row],[CUIT]],Lista_CUIT[#All],2,0)),"CUIT NO CARGADO")</f>
        <v>CUIT NO CARGADO</v>
      </c>
      <c r="H2421" s="64">
        <v>9256.2000000000007</v>
      </c>
      <c r="I2421" s="485">
        <f>ventas_b_mes684[[#This Row],[IMPORTE NETO]]*0.21</f>
        <v>1943.8020000000001</v>
      </c>
      <c r="J2421" s="486"/>
      <c r="K2421" s="486"/>
      <c r="L2421" s="486">
        <f>SUM(ventas_b_mes684[[#This Row],[IMPORTE NETO]:[EXENTO]])</f>
        <v>11200.002</v>
      </c>
      <c r="M2421" s="487"/>
    </row>
    <row r="2422" spans="2:13">
      <c r="B2422" s="40" t="s">
        <v>2324</v>
      </c>
      <c r="C2422" s="41">
        <v>6</v>
      </c>
      <c r="D2422" s="538">
        <v>11</v>
      </c>
      <c r="E2422" s="539">
        <v>38449</v>
      </c>
      <c r="F2422" s="540">
        <v>26431063</v>
      </c>
      <c r="G2422" s="541" t="str">
        <f>IFERROR(IF(ventas_b_mes684[[#This Row],[CUIT]]="","-",VLOOKUP(ventas_b_mes684[[#This Row],[CUIT]],Lista_CUIT[#All],2,0)),"CUIT NO CARGADO")</f>
        <v>CUIT NO CARGADO</v>
      </c>
      <c r="H2422" s="64">
        <v>66049.59</v>
      </c>
      <c r="I2422" s="485">
        <f>ventas_b_mes684[[#This Row],[IMPORTE NETO]]*0.21</f>
        <v>13870.4139</v>
      </c>
      <c r="J2422" s="486"/>
      <c r="K2422" s="486"/>
      <c r="L2422" s="486">
        <f>SUM(ventas_b_mes684[[#This Row],[IMPORTE NETO]:[EXENTO]])</f>
        <v>79920.003899999996</v>
      </c>
      <c r="M2422" s="487"/>
    </row>
    <row r="2423" spans="2:13">
      <c r="B2423" s="40" t="s">
        <v>2324</v>
      </c>
      <c r="C2423" s="41">
        <v>6</v>
      </c>
      <c r="D2423" s="538">
        <v>12</v>
      </c>
      <c r="E2423" s="539">
        <v>29924</v>
      </c>
      <c r="F2423" s="540">
        <v>36875231</v>
      </c>
      <c r="G2423" s="541" t="str">
        <f>IFERROR(IF(ventas_b_mes684[[#This Row],[CUIT]]="","-",VLOOKUP(ventas_b_mes684[[#This Row],[CUIT]],Lista_CUIT[#All],2,0)),"CUIT NO CARGADO")</f>
        <v>CUIT NO CARGADO</v>
      </c>
      <c r="H2423" s="64">
        <v>6677.69</v>
      </c>
      <c r="I2423" s="485">
        <f>ventas_b_mes684[[#This Row],[IMPORTE NETO]]*0.21</f>
        <v>1402.3148999999999</v>
      </c>
      <c r="J2423" s="486"/>
      <c r="K2423" s="486"/>
      <c r="L2423" s="486">
        <f>SUM(ventas_b_mes684[[#This Row],[IMPORTE NETO]:[EXENTO]])</f>
        <v>8080.0048999999999</v>
      </c>
      <c r="M2423" s="487"/>
    </row>
    <row r="2424" spans="2:13">
      <c r="B2424" s="40" t="s">
        <v>2324</v>
      </c>
      <c r="C2424" s="41">
        <v>6</v>
      </c>
      <c r="D2424" s="538">
        <v>11</v>
      </c>
      <c r="E2424" s="539">
        <v>38462</v>
      </c>
      <c r="F2424" s="540">
        <v>16134932</v>
      </c>
      <c r="G2424" s="541" t="str">
        <f>IFERROR(IF(ventas_b_mes684[[#This Row],[CUIT]]="","-",VLOOKUP(ventas_b_mes684[[#This Row],[CUIT]],Lista_CUIT[#All],2,0)),"CUIT NO CARGADO")</f>
        <v>CUIT NO CARGADO</v>
      </c>
      <c r="H2424" s="64">
        <v>57210.74</v>
      </c>
      <c r="I2424" s="485">
        <f>ventas_b_mes684[[#This Row],[IMPORTE NETO]]*0.21</f>
        <v>12014.2554</v>
      </c>
      <c r="J2424" s="486"/>
      <c r="K2424" s="486"/>
      <c r="L2424" s="486">
        <f>SUM(ventas_b_mes684[[#This Row],[IMPORTE NETO]:[EXENTO]])</f>
        <v>69224.9954</v>
      </c>
      <c r="M2424" s="487"/>
    </row>
    <row r="2425" spans="2:13">
      <c r="B2425" s="40" t="s">
        <v>2324</v>
      </c>
      <c r="C2425" s="41">
        <v>6</v>
      </c>
      <c r="D2425" s="538">
        <v>11</v>
      </c>
      <c r="E2425" s="539">
        <v>38471</v>
      </c>
      <c r="F2425" s="540">
        <v>11498397</v>
      </c>
      <c r="G2425" s="541" t="str">
        <f>IFERROR(IF(ventas_b_mes684[[#This Row],[CUIT]]="","-",VLOOKUP(ventas_b_mes684[[#This Row],[CUIT]],Lista_CUIT[#All],2,0)),"CUIT NO CARGADO")</f>
        <v>CUIT NO CARGADO</v>
      </c>
      <c r="H2425" s="64">
        <v>8264.4599999999991</v>
      </c>
      <c r="I2425" s="485">
        <f>ventas_b_mes684[[#This Row],[IMPORTE NETO]]*0.21</f>
        <v>1735.5365999999997</v>
      </c>
      <c r="J2425" s="486"/>
      <c r="K2425" s="486"/>
      <c r="L2425" s="486">
        <f>SUM(ventas_b_mes684[[#This Row],[IMPORTE NETO]:[EXENTO]])</f>
        <v>9999.9965999999986</v>
      </c>
      <c r="M2425" s="487"/>
    </row>
    <row r="2426" spans="2:13">
      <c r="B2426" s="40" t="s">
        <v>2324</v>
      </c>
      <c r="C2426" s="41">
        <v>6</v>
      </c>
      <c r="D2426" s="538">
        <v>15</v>
      </c>
      <c r="E2426" s="539">
        <v>13554</v>
      </c>
      <c r="F2426" s="540">
        <v>34432726</v>
      </c>
      <c r="G2426" s="541" t="str">
        <f>IFERROR(IF(ventas_b_mes684[[#This Row],[CUIT]]="","-",VLOOKUP(ventas_b_mes684[[#This Row],[CUIT]],Lista_CUIT[#All],2,0)),"CUIT NO CARGADO")</f>
        <v>SOSA,FLORENCIA</v>
      </c>
      <c r="H2426" s="64">
        <v>20661.16</v>
      </c>
      <c r="I2426" s="485">
        <f>ventas_b_mes684[[#This Row],[IMPORTE NETO]]*0.21</f>
        <v>4338.8436000000002</v>
      </c>
      <c r="J2426" s="486"/>
      <c r="K2426" s="486"/>
      <c r="L2426" s="486">
        <f>SUM(ventas_b_mes684[[#This Row],[IMPORTE NETO]:[EXENTO]])</f>
        <v>25000.0036</v>
      </c>
      <c r="M2426" s="487"/>
    </row>
    <row r="2427" spans="2:13">
      <c r="B2427" s="40" t="s">
        <v>2324</v>
      </c>
      <c r="C2427" s="41">
        <v>6</v>
      </c>
      <c r="D2427" s="538">
        <v>15</v>
      </c>
      <c r="E2427" s="539">
        <v>13514</v>
      </c>
      <c r="F2427" s="540">
        <v>92650983</v>
      </c>
      <c r="G2427" s="541" t="str">
        <f>IFERROR(IF(ventas_b_mes684[[#This Row],[CUIT]]="","-",VLOOKUP(ventas_b_mes684[[#This Row],[CUIT]],Lista_CUIT[#All],2,0)),"CUIT NO CARGADO")</f>
        <v>CUIT NO CARGADO</v>
      </c>
      <c r="H2427" s="64">
        <v>17652.89</v>
      </c>
      <c r="I2427" s="485">
        <f>ventas_b_mes684[[#This Row],[IMPORTE NETO]]*0.21</f>
        <v>3707.1068999999998</v>
      </c>
      <c r="J2427" s="486"/>
      <c r="K2427" s="486"/>
      <c r="L2427" s="486">
        <f>SUM(ventas_b_mes684[[#This Row],[IMPORTE NETO]:[EXENTO]])</f>
        <v>21359.996899999998</v>
      </c>
      <c r="M2427" s="487"/>
    </row>
    <row r="2428" spans="2:13">
      <c r="B2428" s="40" t="s">
        <v>2324</v>
      </c>
      <c r="C2428" s="41">
        <v>6</v>
      </c>
      <c r="D2428" s="538">
        <v>13</v>
      </c>
      <c r="E2428" s="539">
        <v>32651</v>
      </c>
      <c r="F2428" s="540">
        <v>1111</v>
      </c>
      <c r="G2428" s="541" t="str">
        <f>IFERROR(IF(ventas_b_mes684[[#This Row],[CUIT]]="","-",VLOOKUP(ventas_b_mes684[[#This Row],[CUIT]],Lista_CUIT[#All],2,0)),"CUIT NO CARGADO")</f>
        <v>CUIT NO CARGADO</v>
      </c>
      <c r="H2428" s="64">
        <v>58115.7</v>
      </c>
      <c r="I2428" s="485">
        <f>ventas_b_mes684[[#This Row],[IMPORTE NETO]]*0.21</f>
        <v>12204.296999999999</v>
      </c>
      <c r="J2428" s="486"/>
      <c r="K2428" s="486"/>
      <c r="L2428" s="486">
        <f>SUM(ventas_b_mes684[[#This Row],[IMPORTE NETO]:[EXENTO]])</f>
        <v>70319.997000000003</v>
      </c>
      <c r="M2428" s="487"/>
    </row>
    <row r="2429" spans="2:13">
      <c r="B2429" s="40" t="s">
        <v>2324</v>
      </c>
      <c r="C2429" s="41">
        <v>6</v>
      </c>
      <c r="D2429" s="538">
        <v>15</v>
      </c>
      <c r="E2429" s="539">
        <v>13533</v>
      </c>
      <c r="F2429" s="540">
        <v>22993607</v>
      </c>
      <c r="G2429" s="541" t="str">
        <f>IFERROR(IF(ventas_b_mes684[[#This Row],[CUIT]]="","-",VLOOKUP(ventas_b_mes684[[#This Row],[CUIT]],Lista_CUIT[#All],2,0)),"CUIT NO CARGADO")</f>
        <v>MONTENEGRO,LEONOR</v>
      </c>
      <c r="H2429" s="64">
        <v>90578.51</v>
      </c>
      <c r="I2429" s="485">
        <f>ventas_b_mes684[[#This Row],[IMPORTE NETO]]*0.21</f>
        <v>19021.487099999998</v>
      </c>
      <c r="J2429" s="486"/>
      <c r="K2429" s="486"/>
      <c r="L2429" s="486">
        <f>SUM(ventas_b_mes684[[#This Row],[IMPORTE NETO]:[EXENTO]])</f>
        <v>109599.99709999999</v>
      </c>
      <c r="M2429" s="487"/>
    </row>
    <row r="2430" spans="2:13">
      <c r="B2430" s="40" t="s">
        <v>2324</v>
      </c>
      <c r="C2430" s="41">
        <v>6</v>
      </c>
      <c r="D2430" s="538">
        <v>13</v>
      </c>
      <c r="E2430" s="539">
        <v>32653</v>
      </c>
      <c r="F2430" s="540">
        <v>93571358</v>
      </c>
      <c r="G2430" s="541" t="str">
        <f>IFERROR(IF(ventas_b_mes684[[#This Row],[CUIT]]="","-",VLOOKUP(ventas_b_mes684[[#This Row],[CUIT]],Lista_CUIT[#All],2,0)),"CUIT NO CARGADO")</f>
        <v>CUIT NO CARGADO</v>
      </c>
      <c r="H2430" s="64">
        <v>17628.099999999999</v>
      </c>
      <c r="I2430" s="485">
        <f>ventas_b_mes684[[#This Row],[IMPORTE NETO]]*0.21</f>
        <v>3701.9009999999994</v>
      </c>
      <c r="J2430" s="486"/>
      <c r="K2430" s="486"/>
      <c r="L2430" s="486">
        <f>SUM(ventas_b_mes684[[#This Row],[IMPORTE NETO]:[EXENTO]])</f>
        <v>21330.000999999997</v>
      </c>
      <c r="M2430" s="487"/>
    </row>
    <row r="2431" spans="2:13">
      <c r="B2431" s="40" t="s">
        <v>2324</v>
      </c>
      <c r="C2431" s="41">
        <v>6</v>
      </c>
      <c r="D2431" s="538">
        <v>15</v>
      </c>
      <c r="E2431" s="539">
        <v>13535</v>
      </c>
      <c r="F2431" s="540">
        <v>35147638</v>
      </c>
      <c r="G2431" s="541" t="str">
        <f>IFERROR(IF(ventas_b_mes684[[#This Row],[CUIT]]="","-",VLOOKUP(ventas_b_mes684[[#This Row],[CUIT]],Lista_CUIT[#All],2,0)),"CUIT NO CARGADO")</f>
        <v>CUIT NO CARGADO</v>
      </c>
      <c r="H2431" s="64">
        <v>20661.16</v>
      </c>
      <c r="I2431" s="485">
        <f>ventas_b_mes684[[#This Row],[IMPORTE NETO]]*0.21</f>
        <v>4338.8436000000002</v>
      </c>
      <c r="J2431" s="486"/>
      <c r="K2431" s="486"/>
      <c r="L2431" s="486">
        <f>SUM(ventas_b_mes684[[#This Row],[IMPORTE NETO]:[EXENTO]])</f>
        <v>25000.0036</v>
      </c>
      <c r="M2431" s="487"/>
    </row>
    <row r="2432" spans="2:13">
      <c r="B2432" s="40" t="s">
        <v>2324</v>
      </c>
      <c r="C2432" s="41">
        <v>6</v>
      </c>
      <c r="D2432" s="538">
        <v>11</v>
      </c>
      <c r="E2432" s="539">
        <v>38454</v>
      </c>
      <c r="F2432" s="540">
        <v>4524165</v>
      </c>
      <c r="G2432" s="541" t="str">
        <f>IFERROR(IF(ventas_b_mes684[[#This Row],[CUIT]]="","-",VLOOKUP(ventas_b_mes684[[#This Row],[CUIT]],Lista_CUIT[#All],2,0)),"CUIT NO CARGADO")</f>
        <v>CUIT NO CARGADO</v>
      </c>
      <c r="H2432" s="64">
        <v>12826.45</v>
      </c>
      <c r="I2432" s="485">
        <f>ventas_b_mes684[[#This Row],[IMPORTE NETO]]*0.21</f>
        <v>2693.5545000000002</v>
      </c>
      <c r="J2432" s="486"/>
      <c r="K2432" s="486"/>
      <c r="L2432" s="486">
        <f>SUM(ventas_b_mes684[[#This Row],[IMPORTE NETO]:[EXENTO]])</f>
        <v>15520.004500000001</v>
      </c>
      <c r="M2432" s="487"/>
    </row>
    <row r="2433" spans="2:13">
      <c r="B2433" s="40" t="s">
        <v>2324</v>
      </c>
      <c r="C2433" s="41">
        <v>6</v>
      </c>
      <c r="D2433" s="538">
        <v>11</v>
      </c>
      <c r="E2433" s="539">
        <v>38455</v>
      </c>
      <c r="F2433" s="540">
        <v>32830335</v>
      </c>
      <c r="G2433" s="541" t="str">
        <f>IFERROR(IF(ventas_b_mes684[[#This Row],[CUIT]]="","-",VLOOKUP(ventas_b_mes684[[#This Row],[CUIT]],Lista_CUIT[#All],2,0)),"CUIT NO CARGADO")</f>
        <v>CUIT NO CARGADO</v>
      </c>
      <c r="H2433" s="64">
        <v>78809.919999999998</v>
      </c>
      <c r="I2433" s="485">
        <f>ventas_b_mes684[[#This Row],[IMPORTE NETO]]*0.21</f>
        <v>16550.083199999997</v>
      </c>
      <c r="J2433" s="486"/>
      <c r="K2433" s="486"/>
      <c r="L2433" s="486">
        <f>SUM(ventas_b_mes684[[#This Row],[IMPORTE NETO]:[EXENTO]])</f>
        <v>95360.003199999992</v>
      </c>
      <c r="M2433" s="487"/>
    </row>
    <row r="2434" spans="2:13">
      <c r="B2434" s="40" t="s">
        <v>2324</v>
      </c>
      <c r="C2434" s="41">
        <v>6</v>
      </c>
      <c r="D2434" s="538">
        <v>11</v>
      </c>
      <c r="E2434" s="539">
        <v>38463</v>
      </c>
      <c r="F2434" s="540">
        <v>42930197</v>
      </c>
      <c r="G2434" s="541" t="str">
        <f>IFERROR(IF(ventas_b_mes684[[#This Row],[CUIT]]="","-",VLOOKUP(ventas_b_mes684[[#This Row],[CUIT]],Lista_CUIT[#All],2,0)),"CUIT NO CARGADO")</f>
        <v>CUIT NO CARGADO</v>
      </c>
      <c r="H2434" s="64">
        <v>26710.74</v>
      </c>
      <c r="I2434" s="485">
        <f>ventas_b_mes684[[#This Row],[IMPORTE NETO]]*0.21</f>
        <v>5609.2554</v>
      </c>
      <c r="J2434" s="486"/>
      <c r="K2434" s="486"/>
      <c r="L2434" s="486">
        <f>SUM(ventas_b_mes684[[#This Row],[IMPORTE NETO]:[EXENTO]])</f>
        <v>32319.9954</v>
      </c>
      <c r="M2434" s="487"/>
    </row>
    <row r="2435" spans="2:13">
      <c r="B2435" s="40" t="s">
        <v>2324</v>
      </c>
      <c r="C2435" s="41">
        <v>6</v>
      </c>
      <c r="D2435" s="538">
        <v>12</v>
      </c>
      <c r="E2435" s="539">
        <v>29926</v>
      </c>
      <c r="F2435" s="540">
        <v>11543320</v>
      </c>
      <c r="G2435" s="541" t="str">
        <f>IFERROR(IF(ventas_b_mes684[[#This Row],[CUIT]]="","-",VLOOKUP(ventas_b_mes684[[#This Row],[CUIT]],Lista_CUIT[#All],2,0)),"CUIT NO CARGADO")</f>
        <v>TARICCO MONICA GUADALUPE</v>
      </c>
      <c r="H2435" s="64">
        <v>23603.31</v>
      </c>
      <c r="I2435" s="485">
        <f>ventas_b_mes684[[#This Row],[IMPORTE NETO]]*0.21</f>
        <v>4956.6950999999999</v>
      </c>
      <c r="J2435" s="486"/>
      <c r="K2435" s="486"/>
      <c r="L2435" s="486">
        <f>SUM(ventas_b_mes684[[#This Row],[IMPORTE NETO]:[EXENTO]])</f>
        <v>28560.005100000002</v>
      </c>
      <c r="M2435" s="487"/>
    </row>
    <row r="2436" spans="2:13">
      <c r="B2436" s="40" t="s">
        <v>2324</v>
      </c>
      <c r="C2436" s="41">
        <v>6</v>
      </c>
      <c r="D2436" s="538">
        <v>12</v>
      </c>
      <c r="E2436" s="539">
        <v>29925</v>
      </c>
      <c r="F2436" s="540">
        <v>16951986</v>
      </c>
      <c r="G2436" s="541" t="str">
        <f>IFERROR(IF(ventas_b_mes684[[#This Row],[CUIT]]="","-",VLOOKUP(ventas_b_mes684[[#This Row],[CUIT]],Lista_CUIT[#All],2,0)),"CUIT NO CARGADO")</f>
        <v>CUIT NO CARGADO</v>
      </c>
      <c r="H2436" s="64">
        <v>34710.74</v>
      </c>
      <c r="I2436" s="485">
        <f>ventas_b_mes684[[#This Row],[IMPORTE NETO]]*0.21</f>
        <v>7289.2553999999991</v>
      </c>
      <c r="J2436" s="486"/>
      <c r="K2436" s="486"/>
      <c r="L2436" s="486">
        <f>SUM(ventas_b_mes684[[#This Row],[IMPORTE NETO]:[EXENTO]])</f>
        <v>41999.9954</v>
      </c>
      <c r="M2436" s="487"/>
    </row>
    <row r="2437" spans="2:13">
      <c r="B2437" s="40" t="s">
        <v>2324</v>
      </c>
      <c r="C2437" s="41">
        <v>6</v>
      </c>
      <c r="D2437" s="538">
        <v>12</v>
      </c>
      <c r="E2437" s="539">
        <v>29928</v>
      </c>
      <c r="F2437" s="540">
        <v>94062123</v>
      </c>
      <c r="G2437" s="541" t="str">
        <f>IFERROR(IF(ventas_b_mes684[[#This Row],[CUIT]]="","-",VLOOKUP(ventas_b_mes684[[#This Row],[CUIT]],Lista_CUIT[#All],2,0)),"CUIT NO CARGADO")</f>
        <v>CUIT NO CARGADO</v>
      </c>
      <c r="H2437" s="64">
        <v>12297.53</v>
      </c>
      <c r="I2437" s="485">
        <f>ventas_b_mes684[[#This Row],[IMPORTE NETO]]*0.21</f>
        <v>2582.4812999999999</v>
      </c>
      <c r="J2437" s="486"/>
      <c r="K2437" s="486"/>
      <c r="L2437" s="486">
        <f>SUM(ventas_b_mes684[[#This Row],[IMPORTE NETO]:[EXENTO]])</f>
        <v>14880.0113</v>
      </c>
      <c r="M2437" s="487"/>
    </row>
    <row r="2438" spans="2:13">
      <c r="B2438" s="40" t="s">
        <v>2324</v>
      </c>
      <c r="C2438" s="41">
        <v>6</v>
      </c>
      <c r="D2438" s="538">
        <v>12</v>
      </c>
      <c r="E2438" s="539">
        <v>29927</v>
      </c>
      <c r="F2438" s="540">
        <v>11543320</v>
      </c>
      <c r="G2438" s="541" t="str">
        <f>IFERROR(IF(ventas_b_mes684[[#This Row],[CUIT]]="","-",VLOOKUP(ventas_b_mes684[[#This Row],[CUIT]],Lista_CUIT[#All],2,0)),"CUIT NO CARGADO")</f>
        <v>TARICCO MONICA GUADALUPE</v>
      </c>
      <c r="H2438" s="64">
        <v>38148.76</v>
      </c>
      <c r="I2438" s="485">
        <f>ventas_b_mes684[[#This Row],[IMPORTE NETO]]*0.21</f>
        <v>8011.2395999999999</v>
      </c>
      <c r="J2438" s="486"/>
      <c r="K2438" s="486"/>
      <c r="L2438" s="486">
        <f>SUM(ventas_b_mes684[[#This Row],[IMPORTE NETO]:[EXENTO]])</f>
        <v>46159.999600000003</v>
      </c>
      <c r="M2438" s="487"/>
    </row>
    <row r="2439" spans="2:13">
      <c r="B2439" s="40" t="s">
        <v>2324</v>
      </c>
      <c r="C2439" s="41">
        <v>6</v>
      </c>
      <c r="D2439" s="538">
        <v>15</v>
      </c>
      <c r="E2439" s="539">
        <v>13548</v>
      </c>
      <c r="F2439" s="540">
        <v>24589230</v>
      </c>
      <c r="G2439" s="541" t="str">
        <f>IFERROR(IF(ventas_b_mes684[[#This Row],[CUIT]]="","-",VLOOKUP(ventas_b_mes684[[#This Row],[CUIT]],Lista_CUIT[#All],2,0)),"CUIT NO CARGADO")</f>
        <v>CUIT NO CARGADO</v>
      </c>
      <c r="H2439" s="64">
        <v>31404.959999999999</v>
      </c>
      <c r="I2439" s="485">
        <f>ventas_b_mes684[[#This Row],[IMPORTE NETO]]*0.21</f>
        <v>6595.0415999999996</v>
      </c>
      <c r="J2439" s="486"/>
      <c r="K2439" s="486"/>
      <c r="L2439" s="486">
        <f>SUM(ventas_b_mes684[[#This Row],[IMPORTE NETO]:[EXENTO]])</f>
        <v>38000.001599999996</v>
      </c>
      <c r="M2439" s="487"/>
    </row>
    <row r="2440" spans="2:13">
      <c r="B2440" s="40" t="s">
        <v>2324</v>
      </c>
      <c r="C2440" s="41">
        <v>6</v>
      </c>
      <c r="D2440" s="538">
        <v>11</v>
      </c>
      <c r="E2440" s="539">
        <v>38467</v>
      </c>
      <c r="F2440" s="540">
        <v>26174498</v>
      </c>
      <c r="G2440" s="541" t="str">
        <f>IFERROR(IF(ventas_b_mes684[[#This Row],[CUIT]]="","-",VLOOKUP(ventas_b_mes684[[#This Row],[CUIT]],Lista_CUIT[#All],2,0)),"CUIT NO CARGADO")</f>
        <v>CUIT NO CARGADO</v>
      </c>
      <c r="H2440" s="64">
        <v>22611.57</v>
      </c>
      <c r="I2440" s="485">
        <f>ventas_b_mes684[[#This Row],[IMPORTE NETO]]*0.21</f>
        <v>4748.4296999999997</v>
      </c>
      <c r="J2440" s="486"/>
      <c r="K2440" s="486"/>
      <c r="L2440" s="486">
        <f>SUM(ventas_b_mes684[[#This Row],[IMPORTE NETO]:[EXENTO]])</f>
        <v>27359.9997</v>
      </c>
      <c r="M2440" s="487"/>
    </row>
    <row r="2441" spans="2:13">
      <c r="B2441" s="40" t="s">
        <v>2324</v>
      </c>
      <c r="C2441" s="41">
        <v>6</v>
      </c>
      <c r="D2441" s="538">
        <v>15</v>
      </c>
      <c r="E2441" s="539">
        <v>13540</v>
      </c>
      <c r="F2441" s="540">
        <v>26610736</v>
      </c>
      <c r="G2441" s="541" t="str">
        <f>IFERROR(IF(ventas_b_mes684[[#This Row],[CUIT]]="","-",VLOOKUP(ventas_b_mes684[[#This Row],[CUIT]],Lista_CUIT[#All],2,0)),"CUIT NO CARGADO")</f>
        <v>CUIT NO CARGADO</v>
      </c>
      <c r="H2441" s="64">
        <v>5289.26</v>
      </c>
      <c r="I2441" s="485">
        <f>ventas_b_mes684[[#This Row],[IMPORTE NETO]]*0.21</f>
        <v>1110.7446</v>
      </c>
      <c r="J2441" s="486"/>
      <c r="K2441" s="486"/>
      <c r="L2441" s="486">
        <f>SUM(ventas_b_mes684[[#This Row],[IMPORTE NETO]:[EXENTO]])</f>
        <v>6400.0046000000002</v>
      </c>
      <c r="M2441" s="487"/>
    </row>
    <row r="2442" spans="2:13">
      <c r="B2442" s="40" t="s">
        <v>2324</v>
      </c>
      <c r="C2442" s="41">
        <v>6</v>
      </c>
      <c r="D2442" s="538">
        <v>10</v>
      </c>
      <c r="E2442" s="539">
        <v>54754</v>
      </c>
      <c r="F2442" s="540">
        <v>95458774</v>
      </c>
      <c r="G2442" s="541" t="str">
        <f>IFERROR(IF(ventas_b_mes684[[#This Row],[CUIT]]="","-",VLOOKUP(ventas_b_mes684[[#This Row],[CUIT]],Lista_CUIT[#All],2,0)),"CUIT NO CARGADO")</f>
        <v>CUIT NO CARGADO</v>
      </c>
      <c r="H2442" s="64">
        <v>20826.45</v>
      </c>
      <c r="I2442" s="485">
        <f>ventas_b_mes684[[#This Row],[IMPORTE NETO]]*0.21</f>
        <v>4373.5545000000002</v>
      </c>
      <c r="J2442" s="486"/>
      <c r="K2442" s="486"/>
      <c r="L2442" s="486">
        <f>SUM(ventas_b_mes684[[#This Row],[IMPORTE NETO]:[EXENTO]])</f>
        <v>25200.004500000003</v>
      </c>
      <c r="M2442" s="487"/>
    </row>
    <row r="2443" spans="2:13">
      <c r="B2443" s="40" t="s">
        <v>2324</v>
      </c>
      <c r="C2443" s="41">
        <v>6</v>
      </c>
      <c r="D2443" s="538">
        <v>11</v>
      </c>
      <c r="E2443" s="539">
        <v>38457</v>
      </c>
      <c r="F2443" s="540">
        <v>11389103</v>
      </c>
      <c r="G2443" s="541" t="str">
        <f>IFERROR(IF(ventas_b_mes684[[#This Row],[CUIT]]="","-",VLOOKUP(ventas_b_mes684[[#This Row],[CUIT]],Lista_CUIT[#All],2,0)),"CUIT NO CARGADO")</f>
        <v>CUIT NO CARGADO</v>
      </c>
      <c r="H2443" s="64">
        <v>26983.47</v>
      </c>
      <c r="I2443" s="485">
        <f>ventas_b_mes684[[#This Row],[IMPORTE NETO]]*0.21</f>
        <v>5666.5286999999998</v>
      </c>
      <c r="J2443" s="486"/>
      <c r="K2443" s="486"/>
      <c r="L2443" s="486">
        <f>SUM(ventas_b_mes684[[#This Row],[IMPORTE NETO]:[EXENTO]])</f>
        <v>32649.9987</v>
      </c>
      <c r="M2443" s="487"/>
    </row>
    <row r="2444" spans="2:13">
      <c r="B2444" s="40" t="s">
        <v>2324</v>
      </c>
      <c r="C2444" s="41">
        <v>6</v>
      </c>
      <c r="D2444" s="538">
        <v>11</v>
      </c>
      <c r="E2444" s="539">
        <v>38458</v>
      </c>
      <c r="F2444" s="540">
        <v>27127289684</v>
      </c>
      <c r="G2444" s="541" t="str">
        <f>IFERROR(IF(ventas_b_mes684[[#This Row],[CUIT]]="","-",VLOOKUP(ventas_b_mes684[[#This Row],[CUIT]],Lista_CUIT[#All],2,0)),"CUIT NO CARGADO")</f>
        <v>CUIT NO CARGADO</v>
      </c>
      <c r="H2444" s="64">
        <v>36495.870000000003</v>
      </c>
      <c r="I2444" s="485">
        <f>ventas_b_mes684[[#This Row],[IMPORTE NETO]]*0.21</f>
        <v>7664.1327000000001</v>
      </c>
      <c r="J2444" s="486"/>
      <c r="K2444" s="486"/>
      <c r="L2444" s="486">
        <f>SUM(ventas_b_mes684[[#This Row],[IMPORTE NETO]:[EXENTO]])</f>
        <v>44160.002700000005</v>
      </c>
      <c r="M2444" s="487"/>
    </row>
    <row r="2445" spans="2:13">
      <c r="B2445" s="40" t="s">
        <v>2324</v>
      </c>
      <c r="C2445" s="41">
        <v>6</v>
      </c>
      <c r="D2445" s="538">
        <v>15</v>
      </c>
      <c r="E2445" s="539">
        <v>13549</v>
      </c>
      <c r="F2445" s="540">
        <v>28043720</v>
      </c>
      <c r="G2445" s="541" t="str">
        <f>IFERROR(IF(ventas_b_mes684[[#This Row],[CUIT]]="","-",VLOOKUP(ventas_b_mes684[[#This Row],[CUIT]],Lista_CUIT[#All],2,0)),"CUIT NO CARGADO")</f>
        <v>CUIT NO CARGADO</v>
      </c>
      <c r="H2445" s="64">
        <v>29884.3</v>
      </c>
      <c r="I2445" s="485">
        <f>ventas_b_mes684[[#This Row],[IMPORTE NETO]]*0.21</f>
        <v>6275.7029999999995</v>
      </c>
      <c r="J2445" s="486"/>
      <c r="K2445" s="486"/>
      <c r="L2445" s="486">
        <f>SUM(ventas_b_mes684[[#This Row],[IMPORTE NETO]:[EXENTO]])</f>
        <v>36160.002999999997</v>
      </c>
      <c r="M2445" s="487"/>
    </row>
    <row r="2446" spans="2:13">
      <c r="B2446" s="40" t="s">
        <v>2324</v>
      </c>
      <c r="C2446" s="41">
        <v>6</v>
      </c>
      <c r="D2446" s="538">
        <v>13</v>
      </c>
      <c r="E2446" s="539">
        <v>32654</v>
      </c>
      <c r="F2446" s="540">
        <v>94432134</v>
      </c>
      <c r="G2446" s="541" t="str">
        <f>IFERROR(IF(ventas_b_mes684[[#This Row],[CUIT]]="","-",VLOOKUP(ventas_b_mes684[[#This Row],[CUIT]],Lista_CUIT[#All],2,0)),"CUIT NO CARGADO")</f>
        <v>CUIT NO CARGADO</v>
      </c>
      <c r="H2446" s="64">
        <v>194703.97</v>
      </c>
      <c r="I2446" s="485">
        <f>ventas_b_mes684[[#This Row],[IMPORTE NETO]]*0.21</f>
        <v>40887.833699999996</v>
      </c>
      <c r="J2446" s="486"/>
      <c r="K2446" s="486"/>
      <c r="L2446" s="486">
        <f>SUM(ventas_b_mes684[[#This Row],[IMPORTE NETO]:[EXENTO]])</f>
        <v>235591.80369999999</v>
      </c>
      <c r="M2446" s="487"/>
    </row>
    <row r="2447" spans="2:13">
      <c r="B2447" s="40" t="s">
        <v>2324</v>
      </c>
      <c r="C2447" s="41">
        <v>6</v>
      </c>
      <c r="D2447" s="538">
        <v>15</v>
      </c>
      <c r="E2447" s="539">
        <v>13557</v>
      </c>
      <c r="F2447" s="540">
        <v>26272468</v>
      </c>
      <c r="G2447" s="541" t="str">
        <f>IFERROR(IF(ventas_b_mes684[[#This Row],[CUIT]]="","-",VLOOKUP(ventas_b_mes684[[#This Row],[CUIT]],Lista_CUIT[#All],2,0)),"CUIT NO CARGADO")</f>
        <v>CUIT NO CARGADO</v>
      </c>
      <c r="H2447" s="64">
        <v>28123.97</v>
      </c>
      <c r="I2447" s="485">
        <f>ventas_b_mes684[[#This Row],[IMPORTE NETO]]*0.21</f>
        <v>5906.0337</v>
      </c>
      <c r="J2447" s="486"/>
      <c r="K2447" s="486"/>
      <c r="L2447" s="486">
        <f>SUM(ventas_b_mes684[[#This Row],[IMPORTE NETO]:[EXENTO]])</f>
        <v>34030.003700000001</v>
      </c>
      <c r="M2447" s="487"/>
    </row>
    <row r="2448" spans="2:13">
      <c r="B2448" s="40" t="s">
        <v>2324</v>
      </c>
      <c r="C2448" s="41">
        <v>6</v>
      </c>
      <c r="D2448" s="538">
        <v>10</v>
      </c>
      <c r="E2448" s="539">
        <v>54741</v>
      </c>
      <c r="F2448" s="540">
        <v>43517729</v>
      </c>
      <c r="G2448" s="541" t="str">
        <f>IFERROR(IF(ventas_b_mes684[[#This Row],[CUIT]]="","-",VLOOKUP(ventas_b_mes684[[#This Row],[CUIT]],Lista_CUIT[#All],2,0)),"CUIT NO CARGADO")</f>
        <v>CUIT NO CARGADO</v>
      </c>
      <c r="H2448" s="64">
        <v>37734.71</v>
      </c>
      <c r="I2448" s="485">
        <f>ventas_b_mes684[[#This Row],[IMPORTE NETO]]*0.21</f>
        <v>7924.2891</v>
      </c>
      <c r="J2448" s="486"/>
      <c r="K2448" s="486"/>
      <c r="L2448" s="486">
        <f>SUM(ventas_b_mes684[[#This Row],[IMPORTE NETO]:[EXENTO]])</f>
        <v>45658.999100000001</v>
      </c>
      <c r="M2448" s="487"/>
    </row>
    <row r="2449" spans="2:13">
      <c r="B2449" s="40" t="s">
        <v>2324</v>
      </c>
      <c r="C2449" s="41">
        <v>6</v>
      </c>
      <c r="D2449" s="538">
        <v>15</v>
      </c>
      <c r="E2449" s="539">
        <v>13526</v>
      </c>
      <c r="F2449" s="540">
        <v>14825817</v>
      </c>
      <c r="G2449" s="541" t="str">
        <f>IFERROR(IF(ventas_b_mes684[[#This Row],[CUIT]]="","-",VLOOKUP(ventas_b_mes684[[#This Row],[CUIT]],Lista_CUIT[#All],2,0)),"CUIT NO CARGADO")</f>
        <v>CUIT NO CARGADO</v>
      </c>
      <c r="H2449" s="64">
        <v>40462.81</v>
      </c>
      <c r="I2449" s="485">
        <f>ventas_b_mes684[[#This Row],[IMPORTE NETO]]*0.21</f>
        <v>8497.1900999999998</v>
      </c>
      <c r="J2449" s="486"/>
      <c r="K2449" s="486"/>
      <c r="L2449" s="486">
        <f>SUM(ventas_b_mes684[[#This Row],[IMPORTE NETO]:[EXENTO]])</f>
        <v>48960.000099999997</v>
      </c>
      <c r="M2449" s="487"/>
    </row>
    <row r="2450" spans="2:13">
      <c r="B2450" s="40" t="s">
        <v>2324</v>
      </c>
      <c r="C2450" s="41">
        <v>6</v>
      </c>
      <c r="D2450" s="538">
        <v>15</v>
      </c>
      <c r="E2450" s="539">
        <v>13545</v>
      </c>
      <c r="F2450" s="540">
        <v>30551721</v>
      </c>
      <c r="G2450" s="541" t="str">
        <f>IFERROR(IF(ventas_b_mes684[[#This Row],[CUIT]]="","-",VLOOKUP(ventas_b_mes684[[#This Row],[CUIT]],Lista_CUIT[#All],2,0)),"CUIT NO CARGADO")</f>
        <v>CUIT NO CARGADO</v>
      </c>
      <c r="H2450" s="64">
        <v>66842.98</v>
      </c>
      <c r="I2450" s="485">
        <f>ventas_b_mes684[[#This Row],[IMPORTE NETO]]*0.21</f>
        <v>14037.025799999999</v>
      </c>
      <c r="J2450" s="486"/>
      <c r="K2450" s="486"/>
      <c r="L2450" s="486">
        <f>SUM(ventas_b_mes684[[#This Row],[IMPORTE NETO]:[EXENTO]])</f>
        <v>80880.005799999999</v>
      </c>
      <c r="M2450" s="487"/>
    </row>
    <row r="2451" spans="2:13">
      <c r="B2451" s="40" t="s">
        <v>2324</v>
      </c>
      <c r="C2451" s="41">
        <v>6</v>
      </c>
      <c r="D2451" s="538">
        <v>11</v>
      </c>
      <c r="E2451" s="539">
        <v>38452</v>
      </c>
      <c r="F2451" s="540">
        <v>27144671800</v>
      </c>
      <c r="G2451" s="541" t="str">
        <f>IFERROR(IF(ventas_b_mes684[[#This Row],[CUIT]]="","-",VLOOKUP(ventas_b_mes684[[#This Row],[CUIT]],Lista_CUIT[#All],2,0)),"CUIT NO CARGADO")</f>
        <v>CUIT NO CARGADO</v>
      </c>
      <c r="H2451" s="64">
        <v>95338.84</v>
      </c>
      <c r="I2451" s="485">
        <f>ventas_b_mes684[[#This Row],[IMPORTE NETO]]*0.21</f>
        <v>20021.1564</v>
      </c>
      <c r="J2451" s="486"/>
      <c r="K2451" s="486"/>
      <c r="L2451" s="486">
        <f>SUM(ventas_b_mes684[[#This Row],[IMPORTE NETO]:[EXENTO]])</f>
        <v>115359.9964</v>
      </c>
      <c r="M2451" s="487"/>
    </row>
    <row r="2452" spans="2:13">
      <c r="B2452" s="40" t="s">
        <v>2324</v>
      </c>
      <c r="C2452" s="41">
        <v>6</v>
      </c>
      <c r="D2452" s="538">
        <v>10</v>
      </c>
      <c r="E2452" s="539">
        <v>54747</v>
      </c>
      <c r="F2452" s="540">
        <v>28325893</v>
      </c>
      <c r="G2452" s="541" t="str">
        <f>IFERROR(IF(ventas_b_mes684[[#This Row],[CUIT]]="","-",VLOOKUP(ventas_b_mes684[[#This Row],[CUIT]],Lista_CUIT[#All],2,0)),"CUIT NO CARGADO")</f>
        <v>CUIT NO CARGADO</v>
      </c>
      <c r="H2452" s="64">
        <v>9123.9699999999993</v>
      </c>
      <c r="I2452" s="485">
        <f>ventas_b_mes684[[#This Row],[IMPORTE NETO]]*0.21</f>
        <v>1916.0336999999997</v>
      </c>
      <c r="J2452" s="486"/>
      <c r="K2452" s="486"/>
      <c r="L2452" s="486">
        <f>SUM(ventas_b_mes684[[#This Row],[IMPORTE NETO]:[EXENTO]])</f>
        <v>11040.003699999999</v>
      </c>
      <c r="M2452" s="487"/>
    </row>
    <row r="2453" spans="2:13">
      <c r="B2453" s="40" t="s">
        <v>2324</v>
      </c>
      <c r="C2453" s="41">
        <v>6</v>
      </c>
      <c r="D2453" s="538">
        <v>11</v>
      </c>
      <c r="E2453" s="539">
        <v>38453</v>
      </c>
      <c r="F2453" s="540">
        <v>33634409</v>
      </c>
      <c r="G2453" s="541" t="str">
        <f>IFERROR(IF(ventas_b_mes684[[#This Row],[CUIT]]="","-",VLOOKUP(ventas_b_mes684[[#This Row],[CUIT]],Lista_CUIT[#All],2,0)),"CUIT NO CARGADO")</f>
        <v>CUIT NO CARGADO</v>
      </c>
      <c r="H2453" s="64">
        <v>13429.75</v>
      </c>
      <c r="I2453" s="485">
        <f>ventas_b_mes684[[#This Row],[IMPORTE NETO]]*0.21</f>
        <v>2820.2474999999999</v>
      </c>
      <c r="J2453" s="486"/>
      <c r="K2453" s="486"/>
      <c r="L2453" s="486">
        <f>SUM(ventas_b_mes684[[#This Row],[IMPORTE NETO]:[EXENTO]])</f>
        <v>16249.997499999999</v>
      </c>
      <c r="M2453" s="487"/>
    </row>
    <row r="2454" spans="2:13">
      <c r="B2454" s="40" t="s">
        <v>2324</v>
      </c>
      <c r="C2454" s="41">
        <v>6</v>
      </c>
      <c r="D2454" s="538">
        <v>15</v>
      </c>
      <c r="E2454" s="539">
        <v>13523</v>
      </c>
      <c r="F2454" s="540">
        <v>26610736</v>
      </c>
      <c r="G2454" s="541" t="str">
        <f>IFERROR(IF(ventas_b_mes684[[#This Row],[CUIT]]="","-",VLOOKUP(ventas_b_mes684[[#This Row],[CUIT]],Lista_CUIT[#All],2,0)),"CUIT NO CARGADO")</f>
        <v>CUIT NO CARGADO</v>
      </c>
      <c r="H2454" s="64">
        <v>14148.76</v>
      </c>
      <c r="I2454" s="485">
        <f>ventas_b_mes684[[#This Row],[IMPORTE NETO]]*0.21</f>
        <v>2971.2395999999999</v>
      </c>
      <c r="J2454" s="486"/>
      <c r="K2454" s="486"/>
      <c r="L2454" s="486">
        <f>SUM(ventas_b_mes684[[#This Row],[IMPORTE NETO]:[EXENTO]])</f>
        <v>17119.999599999999</v>
      </c>
      <c r="M2454" s="487"/>
    </row>
    <row r="2455" spans="2:13">
      <c r="B2455" s="40" t="s">
        <v>2324</v>
      </c>
      <c r="C2455" s="41">
        <v>6</v>
      </c>
      <c r="D2455" s="538">
        <v>15</v>
      </c>
      <c r="E2455" s="539">
        <v>13536</v>
      </c>
      <c r="F2455" s="540">
        <v>34651132</v>
      </c>
      <c r="G2455" s="541" t="str">
        <f>IFERROR(IF(ventas_b_mes684[[#This Row],[CUIT]]="","-",VLOOKUP(ventas_b_mes684[[#This Row],[CUIT]],Lista_CUIT[#All],2,0)),"CUIT NO CARGADO")</f>
        <v>EURO BOLUMBURU, MARIA FERNANDA</v>
      </c>
      <c r="H2455" s="64">
        <v>8181.82</v>
      </c>
      <c r="I2455" s="485">
        <f>ventas_b_mes684[[#This Row],[IMPORTE NETO]]*0.21</f>
        <v>1718.1822</v>
      </c>
      <c r="J2455" s="486"/>
      <c r="K2455" s="486"/>
      <c r="L2455" s="486">
        <f>SUM(ventas_b_mes684[[#This Row],[IMPORTE NETO]:[EXENTO]])</f>
        <v>9900.002199999999</v>
      </c>
      <c r="M2455" s="487"/>
    </row>
    <row r="2456" spans="2:13">
      <c r="B2456" s="40" t="s">
        <v>2324</v>
      </c>
      <c r="C2456" s="41">
        <v>6</v>
      </c>
      <c r="D2456" s="538">
        <v>12</v>
      </c>
      <c r="E2456" s="539">
        <v>29920</v>
      </c>
      <c r="F2456" s="540">
        <v>38992020</v>
      </c>
      <c r="G2456" s="541" t="str">
        <f>IFERROR(IF(ventas_b_mes684[[#This Row],[CUIT]]="","-",VLOOKUP(ventas_b_mes684[[#This Row],[CUIT]],Lista_CUIT[#All],2,0)),"CUIT NO CARGADO")</f>
        <v>CUIT NO CARGADO</v>
      </c>
      <c r="H2456" s="64">
        <v>35545.449999999997</v>
      </c>
      <c r="I2456" s="485">
        <f>ventas_b_mes684[[#This Row],[IMPORTE NETO]]*0.21</f>
        <v>7464.5444999999991</v>
      </c>
      <c r="J2456" s="486"/>
      <c r="K2456" s="486"/>
      <c r="L2456" s="486">
        <f>SUM(ventas_b_mes684[[#This Row],[IMPORTE NETO]:[EXENTO]])</f>
        <v>43009.994499999993</v>
      </c>
      <c r="M2456" s="487"/>
    </row>
    <row r="2457" spans="2:13">
      <c r="B2457" s="40" t="s">
        <v>2324</v>
      </c>
      <c r="C2457" s="41">
        <v>6</v>
      </c>
      <c r="D2457" s="538">
        <v>12</v>
      </c>
      <c r="E2457" s="539">
        <v>29914</v>
      </c>
      <c r="F2457" s="540">
        <v>16951986</v>
      </c>
      <c r="G2457" s="541" t="str">
        <f>IFERROR(IF(ventas_b_mes684[[#This Row],[CUIT]]="","-",VLOOKUP(ventas_b_mes684[[#This Row],[CUIT]],Lista_CUIT[#All],2,0)),"CUIT NO CARGADO")</f>
        <v>CUIT NO CARGADO</v>
      </c>
      <c r="H2457" s="64">
        <v>5289.26</v>
      </c>
      <c r="I2457" s="485">
        <f>ventas_b_mes684[[#This Row],[IMPORTE NETO]]*0.21</f>
        <v>1110.7446</v>
      </c>
      <c r="J2457" s="486"/>
      <c r="K2457" s="486"/>
      <c r="L2457" s="486">
        <f>SUM(ventas_b_mes684[[#This Row],[IMPORTE NETO]:[EXENTO]])</f>
        <v>6400.0046000000002</v>
      </c>
      <c r="M2457" s="487"/>
    </row>
    <row r="2458" spans="2:13">
      <c r="B2458" s="40" t="s">
        <v>2324</v>
      </c>
      <c r="C2458" s="41">
        <v>6</v>
      </c>
      <c r="D2458" s="538">
        <v>13</v>
      </c>
      <c r="E2458" s="539">
        <v>32661</v>
      </c>
      <c r="F2458" s="540">
        <v>5970853</v>
      </c>
      <c r="G2458" s="541" t="str">
        <f>IFERROR(IF(ventas_b_mes684[[#This Row],[CUIT]]="","-",VLOOKUP(ventas_b_mes684[[#This Row],[CUIT]],Lista_CUIT[#All],2,0)),"CUIT NO CARGADO")</f>
        <v>CUIT NO CARGADO</v>
      </c>
      <c r="H2458" s="64">
        <v>92942.15</v>
      </c>
      <c r="I2458" s="485">
        <f>ventas_b_mes684[[#This Row],[IMPORTE NETO]]*0.21</f>
        <v>19517.851499999997</v>
      </c>
      <c r="J2458" s="486"/>
      <c r="K2458" s="486"/>
      <c r="L2458" s="486">
        <f>SUM(ventas_b_mes684[[#This Row],[IMPORTE NETO]:[EXENTO]])</f>
        <v>112460.00149999998</v>
      </c>
      <c r="M2458" s="487"/>
    </row>
    <row r="2459" spans="2:13">
      <c r="B2459" s="40" t="s">
        <v>2324</v>
      </c>
      <c r="C2459" s="41">
        <v>6</v>
      </c>
      <c r="D2459" s="538">
        <v>10</v>
      </c>
      <c r="E2459" s="539">
        <v>54753</v>
      </c>
      <c r="F2459" s="540">
        <v>34286200</v>
      </c>
      <c r="G2459" s="541" t="str">
        <f>IFERROR(IF(ventas_b_mes684[[#This Row],[CUIT]]="","-",VLOOKUP(ventas_b_mes684[[#This Row],[CUIT]],Lista_CUIT[#All],2,0)),"CUIT NO CARGADO")</f>
        <v>CUIT NO CARGADO</v>
      </c>
      <c r="H2459" s="64">
        <v>78677.77</v>
      </c>
      <c r="I2459" s="485">
        <f>ventas_b_mes684[[#This Row],[IMPORTE NETO]]*0.21</f>
        <v>16522.331699999999</v>
      </c>
      <c r="J2459" s="486"/>
      <c r="K2459" s="486"/>
      <c r="L2459" s="486">
        <f>SUM(ventas_b_mes684[[#This Row],[IMPORTE NETO]:[EXENTO]])</f>
        <v>95200.101699999999</v>
      </c>
      <c r="M2459" s="487"/>
    </row>
    <row r="2460" spans="2:13">
      <c r="B2460" s="40" t="s">
        <v>2324</v>
      </c>
      <c r="C2460" s="41">
        <v>6</v>
      </c>
      <c r="D2460" s="538">
        <v>15</v>
      </c>
      <c r="E2460" s="539">
        <v>13553</v>
      </c>
      <c r="F2460" s="540">
        <v>34432726</v>
      </c>
      <c r="G2460" s="541" t="str">
        <f>IFERROR(IF(ventas_b_mes684[[#This Row],[CUIT]]="","-",VLOOKUP(ventas_b_mes684[[#This Row],[CUIT]],Lista_CUIT[#All],2,0)),"CUIT NO CARGADO")</f>
        <v>SOSA,FLORENCIA</v>
      </c>
      <c r="H2460" s="64">
        <v>6198.35</v>
      </c>
      <c r="I2460" s="485">
        <f>ventas_b_mes684[[#This Row],[IMPORTE NETO]]*0.21</f>
        <v>1301.6535000000001</v>
      </c>
      <c r="J2460" s="486"/>
      <c r="K2460" s="486"/>
      <c r="L2460" s="486">
        <f>SUM(ventas_b_mes684[[#This Row],[IMPORTE NETO]:[EXENTO]])</f>
        <v>7500.0035000000007</v>
      </c>
      <c r="M2460" s="487"/>
    </row>
    <row r="2461" spans="2:13">
      <c r="B2461" s="40" t="s">
        <v>2324</v>
      </c>
      <c r="C2461" s="41">
        <v>6</v>
      </c>
      <c r="D2461" s="538">
        <v>10</v>
      </c>
      <c r="E2461" s="539">
        <v>54749</v>
      </c>
      <c r="F2461" s="540">
        <v>27602253</v>
      </c>
      <c r="G2461" s="541" t="str">
        <f>IFERROR(IF(ventas_b_mes684[[#This Row],[CUIT]]="","-",VLOOKUP(ventas_b_mes684[[#This Row],[CUIT]],Lista_CUIT[#All],2,0)),"CUIT NO CARGADO")</f>
        <v>CUIT NO CARGADO</v>
      </c>
      <c r="H2461" s="64">
        <v>17479.34</v>
      </c>
      <c r="I2461" s="485">
        <f>ventas_b_mes684[[#This Row],[IMPORTE NETO]]*0.21</f>
        <v>3670.6614</v>
      </c>
      <c r="J2461" s="486"/>
      <c r="K2461" s="486"/>
      <c r="L2461" s="486">
        <f>SUM(ventas_b_mes684[[#This Row],[IMPORTE NETO]:[EXENTO]])</f>
        <v>21150.001400000001</v>
      </c>
      <c r="M2461" s="487"/>
    </row>
    <row r="2462" spans="2:13">
      <c r="B2462" s="40" t="s">
        <v>2324</v>
      </c>
      <c r="C2462" s="41">
        <v>6</v>
      </c>
      <c r="D2462" s="538">
        <v>15</v>
      </c>
      <c r="E2462" s="539">
        <v>13519</v>
      </c>
      <c r="F2462" s="540">
        <v>23682871</v>
      </c>
      <c r="G2462" s="541" t="str">
        <f>IFERROR(IF(ventas_b_mes684[[#This Row],[CUIT]]="","-",VLOOKUP(ventas_b_mes684[[#This Row],[CUIT]],Lista_CUIT[#All],2,0)),"CUIT NO CARGADO")</f>
        <v>CUIT NO CARGADO</v>
      </c>
      <c r="H2462" s="64">
        <v>12495.87</v>
      </c>
      <c r="I2462" s="485">
        <f>ventas_b_mes684[[#This Row],[IMPORTE NETO]]*0.21</f>
        <v>2624.1327000000001</v>
      </c>
      <c r="J2462" s="486"/>
      <c r="K2462" s="486"/>
      <c r="L2462" s="486">
        <f>SUM(ventas_b_mes684[[#This Row],[IMPORTE NETO]:[EXENTO]])</f>
        <v>15120.002700000001</v>
      </c>
      <c r="M2462" s="487"/>
    </row>
    <row r="2463" spans="2:13">
      <c r="B2463" s="40" t="s">
        <v>2324</v>
      </c>
      <c r="C2463" s="41">
        <v>6</v>
      </c>
      <c r="D2463" s="538">
        <v>15</v>
      </c>
      <c r="E2463" s="539">
        <v>13546</v>
      </c>
      <c r="F2463" s="540">
        <v>24698709</v>
      </c>
      <c r="G2463" s="541" t="str">
        <f>IFERROR(IF(ventas_b_mes684[[#This Row],[CUIT]]="","-",VLOOKUP(ventas_b_mes684[[#This Row],[CUIT]],Lista_CUIT[#All],2,0)),"CUIT NO CARGADO")</f>
        <v>CUIT NO CARGADO</v>
      </c>
      <c r="H2463" s="64">
        <v>32198.35</v>
      </c>
      <c r="I2463" s="485">
        <f>ventas_b_mes684[[#This Row],[IMPORTE NETO]]*0.21</f>
        <v>6761.6534999999994</v>
      </c>
      <c r="J2463" s="486"/>
      <c r="K2463" s="486"/>
      <c r="L2463" s="486">
        <f>SUM(ventas_b_mes684[[#This Row],[IMPORTE NETO]:[EXENTO]])</f>
        <v>38960.003499999999</v>
      </c>
      <c r="M2463" s="487"/>
    </row>
    <row r="2464" spans="2:13">
      <c r="B2464" s="40" t="s">
        <v>2324</v>
      </c>
      <c r="C2464" s="41">
        <v>6</v>
      </c>
      <c r="D2464" s="538">
        <v>12</v>
      </c>
      <c r="E2464" s="539">
        <v>29932</v>
      </c>
      <c r="F2464" s="540">
        <v>40852149</v>
      </c>
      <c r="G2464" s="541" t="str">
        <f>IFERROR(IF(ventas_b_mes684[[#This Row],[CUIT]]="","-",VLOOKUP(ventas_b_mes684[[#This Row],[CUIT]],Lista_CUIT[#All],2,0)),"CUIT NO CARGADO")</f>
        <v>CUIT NO CARGADO</v>
      </c>
      <c r="H2464" s="64">
        <v>28429.759999999998</v>
      </c>
      <c r="I2464" s="485">
        <f>ventas_b_mes684[[#This Row],[IMPORTE NETO]]*0.21</f>
        <v>5970.2495999999992</v>
      </c>
      <c r="J2464" s="486"/>
      <c r="K2464" s="486"/>
      <c r="L2464" s="486">
        <f>SUM(ventas_b_mes684[[#This Row],[IMPORTE NETO]:[EXENTO]])</f>
        <v>34400.009599999998</v>
      </c>
      <c r="M2464" s="487"/>
    </row>
    <row r="2465" spans="2:13">
      <c r="B2465" s="40" t="s">
        <v>2324</v>
      </c>
      <c r="C2465" s="41">
        <v>6</v>
      </c>
      <c r="D2465" s="538">
        <v>11</v>
      </c>
      <c r="E2465" s="539">
        <v>38466</v>
      </c>
      <c r="F2465" s="540">
        <v>93952216</v>
      </c>
      <c r="G2465" s="541" t="str">
        <f>IFERROR(IF(ventas_b_mes684[[#This Row],[CUIT]]="","-",VLOOKUP(ventas_b_mes684[[#This Row],[CUIT]],Lista_CUIT[#All],2,0)),"CUIT NO CARGADO")</f>
        <v>CUIT NO CARGADO</v>
      </c>
      <c r="H2465" s="64">
        <v>39074.379999999997</v>
      </c>
      <c r="I2465" s="485">
        <f>ventas_b_mes684[[#This Row],[IMPORTE NETO]]*0.21</f>
        <v>8205.6197999999986</v>
      </c>
      <c r="J2465" s="486"/>
      <c r="K2465" s="486"/>
      <c r="L2465" s="486">
        <f>SUM(ventas_b_mes684[[#This Row],[IMPORTE NETO]:[EXENTO]])</f>
        <v>47279.999799999998</v>
      </c>
      <c r="M2465" s="487"/>
    </row>
    <row r="2466" spans="2:13">
      <c r="B2466" s="40" t="s">
        <v>2324</v>
      </c>
      <c r="C2466" s="41">
        <v>6</v>
      </c>
      <c r="D2466" s="538">
        <v>12</v>
      </c>
      <c r="E2466" s="539">
        <v>29923</v>
      </c>
      <c r="F2466" s="540">
        <v>44194181</v>
      </c>
      <c r="G2466" s="541" t="str">
        <f>IFERROR(IF(ventas_b_mes684[[#This Row],[CUIT]]="","-",VLOOKUP(ventas_b_mes684[[#This Row],[CUIT]],Lista_CUIT[#All],2,0)),"CUIT NO CARGADO")</f>
        <v>CUIT NO CARGADO</v>
      </c>
      <c r="H2466" s="64">
        <v>214743.8</v>
      </c>
      <c r="I2466" s="485">
        <f>ventas_b_mes684[[#This Row],[IMPORTE NETO]]*0.21</f>
        <v>45096.197999999997</v>
      </c>
      <c r="J2466" s="486"/>
      <c r="K2466" s="486"/>
      <c r="L2466" s="486">
        <f>SUM(ventas_b_mes684[[#This Row],[IMPORTE NETO]:[EXENTO]])</f>
        <v>259839.99799999999</v>
      </c>
      <c r="M2466" s="487"/>
    </row>
    <row r="2467" spans="2:13">
      <c r="B2467" s="40" t="s">
        <v>2324</v>
      </c>
      <c r="C2467" s="41">
        <v>6</v>
      </c>
      <c r="D2467" s="538">
        <v>12</v>
      </c>
      <c r="E2467" s="539">
        <v>29936</v>
      </c>
      <c r="F2467" s="540">
        <v>28910452</v>
      </c>
      <c r="G2467" s="541" t="str">
        <f>IFERROR(IF(ventas_b_mes684[[#This Row],[CUIT]]="","-",VLOOKUP(ventas_b_mes684[[#This Row],[CUIT]],Lista_CUIT[#All],2,0)),"CUIT NO CARGADO")</f>
        <v>CUIT NO CARGADO</v>
      </c>
      <c r="H2467" s="64">
        <v>34042.980000000003</v>
      </c>
      <c r="I2467" s="485">
        <f>ventas_b_mes684[[#This Row],[IMPORTE NETO]]*0.21</f>
        <v>7149.0258000000003</v>
      </c>
      <c r="J2467" s="486"/>
      <c r="K2467" s="486"/>
      <c r="L2467" s="486">
        <f>SUM(ventas_b_mes684[[#This Row],[IMPORTE NETO]:[EXENTO]])</f>
        <v>41192.005800000006</v>
      </c>
      <c r="M2467" s="487"/>
    </row>
    <row r="2468" spans="2:13">
      <c r="B2468" s="40" t="s">
        <v>2324</v>
      </c>
      <c r="C2468" s="41">
        <v>6</v>
      </c>
      <c r="D2468" s="538">
        <v>13</v>
      </c>
      <c r="E2468" s="539">
        <v>32662</v>
      </c>
      <c r="F2468" s="540">
        <v>17538873</v>
      </c>
      <c r="G2468" s="541" t="str">
        <f>IFERROR(IF(ventas_b_mes684[[#This Row],[CUIT]]="","-",VLOOKUP(ventas_b_mes684[[#This Row],[CUIT]],Lista_CUIT[#All],2,0)),"CUIT NO CARGADO")</f>
        <v>CUIT NO CARGADO</v>
      </c>
      <c r="H2468" s="64">
        <v>8396.69</v>
      </c>
      <c r="I2468" s="485">
        <f>ventas_b_mes684[[#This Row],[IMPORTE NETO]]*0.21</f>
        <v>1763.3049000000001</v>
      </c>
      <c r="J2468" s="486"/>
      <c r="K2468" s="486"/>
      <c r="L2468" s="486">
        <f>SUM(ventas_b_mes684[[#This Row],[IMPORTE NETO]:[EXENTO]])</f>
        <v>10159.994900000002</v>
      </c>
      <c r="M2468" s="487"/>
    </row>
    <row r="2469" spans="2:13">
      <c r="B2469" s="40" t="s">
        <v>2324</v>
      </c>
      <c r="C2469" s="41">
        <v>6</v>
      </c>
      <c r="D2469" s="538">
        <v>10</v>
      </c>
      <c r="E2469" s="539">
        <v>54740</v>
      </c>
      <c r="F2469" s="540">
        <v>22531266</v>
      </c>
      <c r="G2469" s="541" t="str">
        <f>IFERROR(IF(ventas_b_mes684[[#This Row],[CUIT]]="","-",VLOOKUP(ventas_b_mes684[[#This Row],[CUIT]],Lista_CUIT[#All],2,0)),"CUIT NO CARGADO")</f>
        <v>CUIT NO CARGADO</v>
      </c>
      <c r="H2469" s="64">
        <v>73983.56</v>
      </c>
      <c r="I2469" s="485">
        <f>ventas_b_mes684[[#This Row],[IMPORTE NETO]]*0.21</f>
        <v>15536.547599999998</v>
      </c>
      <c r="J2469" s="486"/>
      <c r="K2469" s="486"/>
      <c r="L2469" s="486">
        <f>SUM(ventas_b_mes684[[#This Row],[IMPORTE NETO]:[EXENTO]])</f>
        <v>89520.107599999988</v>
      </c>
      <c r="M2469" s="487"/>
    </row>
    <row r="2470" spans="2:13">
      <c r="B2470" s="40" t="s">
        <v>2324</v>
      </c>
      <c r="C2470" s="41">
        <v>6</v>
      </c>
      <c r="D2470" s="538">
        <v>15</v>
      </c>
      <c r="E2470" s="539">
        <v>13520</v>
      </c>
      <c r="F2470" s="540">
        <v>17303289</v>
      </c>
      <c r="G2470" s="541" t="str">
        <f>IFERROR(IF(ventas_b_mes684[[#This Row],[CUIT]]="","-",VLOOKUP(ventas_b_mes684[[#This Row],[CUIT]],Lista_CUIT[#All],2,0)),"CUIT NO CARGADO")</f>
        <v>CUIT NO CARGADO</v>
      </c>
      <c r="H2470" s="64">
        <v>20892.560000000001</v>
      </c>
      <c r="I2470" s="485">
        <f>ventas_b_mes684[[#This Row],[IMPORTE NETO]]*0.21</f>
        <v>4387.4376000000002</v>
      </c>
      <c r="J2470" s="486"/>
      <c r="K2470" s="486"/>
      <c r="L2470" s="486">
        <f>SUM(ventas_b_mes684[[#This Row],[IMPORTE NETO]:[EXENTO]])</f>
        <v>25279.997600000002</v>
      </c>
      <c r="M2470" s="487"/>
    </row>
    <row r="2471" spans="2:13">
      <c r="B2471" s="40" t="s">
        <v>2324</v>
      </c>
      <c r="C2471" s="41">
        <v>6</v>
      </c>
      <c r="D2471" s="538">
        <v>13</v>
      </c>
      <c r="E2471" s="539">
        <v>32650</v>
      </c>
      <c r="F2471" s="540">
        <v>20560897</v>
      </c>
      <c r="G2471" s="541" t="str">
        <f>IFERROR(IF(ventas_b_mes684[[#This Row],[CUIT]]="","-",VLOOKUP(ventas_b_mes684[[#This Row],[CUIT]],Lista_CUIT[#All],2,0)),"CUIT NO CARGADO")</f>
        <v>CUIT NO CARGADO</v>
      </c>
      <c r="H2471" s="64">
        <v>6520.66</v>
      </c>
      <c r="I2471" s="485">
        <f>ventas_b_mes684[[#This Row],[IMPORTE NETO]]*0.21</f>
        <v>1369.3385999999998</v>
      </c>
      <c r="J2471" s="486"/>
      <c r="K2471" s="486"/>
      <c r="L2471" s="486">
        <f>SUM(ventas_b_mes684[[#This Row],[IMPORTE NETO]:[EXENTO]])</f>
        <v>7889.9985999999999</v>
      </c>
      <c r="M2471" s="487"/>
    </row>
    <row r="2472" spans="2:13">
      <c r="B2472" s="40" t="s">
        <v>2324</v>
      </c>
      <c r="C2472" s="41">
        <v>6</v>
      </c>
      <c r="D2472" s="538">
        <v>15</v>
      </c>
      <c r="E2472" s="539">
        <v>13543</v>
      </c>
      <c r="F2472" s="540">
        <v>34553216</v>
      </c>
      <c r="G2472" s="541" t="str">
        <f>IFERROR(IF(ventas_b_mes684[[#This Row],[CUIT]]="","-",VLOOKUP(ventas_b_mes684[[#This Row],[CUIT]],Lista_CUIT[#All],2,0)),"CUIT NO CARGADO")</f>
        <v>CUIT NO CARGADO</v>
      </c>
      <c r="H2472" s="64">
        <v>76099.179999999993</v>
      </c>
      <c r="I2472" s="485">
        <f>ventas_b_mes684[[#This Row],[IMPORTE NETO]]*0.21</f>
        <v>15980.827799999997</v>
      </c>
      <c r="J2472" s="486"/>
      <c r="K2472" s="486"/>
      <c r="L2472" s="486">
        <f>SUM(ventas_b_mes684[[#This Row],[IMPORTE NETO]:[EXENTO]])</f>
        <v>92080.007799999992</v>
      </c>
      <c r="M2472" s="487"/>
    </row>
    <row r="2473" spans="2:13">
      <c r="B2473" s="40" t="s">
        <v>2324</v>
      </c>
      <c r="C2473" s="41">
        <v>6</v>
      </c>
      <c r="D2473" s="538">
        <v>15</v>
      </c>
      <c r="E2473" s="539">
        <v>13555</v>
      </c>
      <c r="F2473" s="540">
        <v>17090365</v>
      </c>
      <c r="G2473" s="541" t="str">
        <f>IFERROR(IF(ventas_b_mes684[[#This Row],[CUIT]]="","-",VLOOKUP(ventas_b_mes684[[#This Row],[CUIT]],Lista_CUIT[#All],2,0)),"CUIT NO CARGADO")</f>
        <v>CUIT NO CARGADO</v>
      </c>
      <c r="H2473" s="64">
        <v>17785.12</v>
      </c>
      <c r="I2473" s="485">
        <f>ventas_b_mes684[[#This Row],[IMPORTE NETO]]*0.21</f>
        <v>3734.8751999999995</v>
      </c>
      <c r="J2473" s="486"/>
      <c r="K2473" s="486"/>
      <c r="L2473" s="486">
        <f>SUM(ventas_b_mes684[[#This Row],[IMPORTE NETO]:[EXENTO]])</f>
        <v>21519.995199999998</v>
      </c>
      <c r="M2473" s="487"/>
    </row>
    <row r="2474" spans="2:13">
      <c r="B2474" s="40" t="s">
        <v>2324</v>
      </c>
      <c r="C2474" s="41">
        <v>6</v>
      </c>
      <c r="D2474" s="538">
        <v>10</v>
      </c>
      <c r="E2474" s="539">
        <v>54762</v>
      </c>
      <c r="F2474" s="540">
        <v>41449843</v>
      </c>
      <c r="G2474" s="541" t="str">
        <f>IFERROR(IF(ventas_b_mes684[[#This Row],[CUIT]]="","-",VLOOKUP(ventas_b_mes684[[#This Row],[CUIT]],Lista_CUIT[#All],2,0)),"CUIT NO CARGADO")</f>
        <v>CUIT NO CARGADO</v>
      </c>
      <c r="H2474" s="64">
        <v>20661.16</v>
      </c>
      <c r="I2474" s="485">
        <f>ventas_b_mes684[[#This Row],[IMPORTE NETO]]*0.21</f>
        <v>4338.8436000000002</v>
      </c>
      <c r="J2474" s="486"/>
      <c r="K2474" s="486"/>
      <c r="L2474" s="486">
        <f>SUM(ventas_b_mes684[[#This Row],[IMPORTE NETO]:[EXENTO]])</f>
        <v>25000.0036</v>
      </c>
      <c r="M2474" s="487"/>
    </row>
    <row r="2475" spans="2:13">
      <c r="B2475" s="40" t="s">
        <v>2324</v>
      </c>
      <c r="C2475" s="41">
        <v>6</v>
      </c>
      <c r="D2475" s="538">
        <v>10</v>
      </c>
      <c r="E2475" s="539">
        <v>54755</v>
      </c>
      <c r="F2475" s="540">
        <v>34888600</v>
      </c>
      <c r="G2475" s="541" t="str">
        <f>IFERROR(IF(ventas_b_mes684[[#This Row],[CUIT]]="","-",VLOOKUP(ventas_b_mes684[[#This Row],[CUIT]],Lista_CUIT[#All],2,0)),"CUIT NO CARGADO")</f>
        <v>CUIT NO CARGADO</v>
      </c>
      <c r="H2475" s="64">
        <v>81851.28</v>
      </c>
      <c r="I2475" s="485">
        <f>ventas_b_mes684[[#This Row],[IMPORTE NETO]]*0.21</f>
        <v>17188.768799999998</v>
      </c>
      <c r="J2475" s="486"/>
      <c r="K2475" s="486"/>
      <c r="L2475" s="486">
        <f>SUM(ventas_b_mes684[[#This Row],[IMPORTE NETO]:[EXENTO]])</f>
        <v>99040.04879999999</v>
      </c>
      <c r="M2475" s="487"/>
    </row>
    <row r="2476" spans="2:13">
      <c r="B2476" s="40" t="s">
        <v>2324</v>
      </c>
      <c r="C2476" s="41">
        <v>6</v>
      </c>
      <c r="D2476" s="538">
        <v>12</v>
      </c>
      <c r="E2476" s="539">
        <v>29908</v>
      </c>
      <c r="F2476" s="540">
        <v>41385913</v>
      </c>
      <c r="G2476" s="541" t="str">
        <f>IFERROR(IF(ventas_b_mes684[[#This Row],[CUIT]]="","-",VLOOKUP(ventas_b_mes684[[#This Row],[CUIT]],Lista_CUIT[#All],2,0)),"CUIT NO CARGADO")</f>
        <v>CUIT NO CARGADO</v>
      </c>
      <c r="H2476" s="64">
        <v>11834.71</v>
      </c>
      <c r="I2476" s="485">
        <f>ventas_b_mes684[[#This Row],[IMPORTE NETO]]*0.21</f>
        <v>2485.2890999999995</v>
      </c>
      <c r="J2476" s="486"/>
      <c r="K2476" s="486"/>
      <c r="L2476" s="486">
        <f>SUM(ventas_b_mes684[[#This Row],[IMPORTE NETO]:[EXENTO]])</f>
        <v>14319.999099999999</v>
      </c>
      <c r="M2476" s="487"/>
    </row>
    <row r="2477" spans="2:13">
      <c r="B2477" s="40" t="s">
        <v>2324</v>
      </c>
      <c r="C2477" s="41">
        <v>6</v>
      </c>
      <c r="D2477" s="538">
        <v>10</v>
      </c>
      <c r="E2477" s="539">
        <v>54756</v>
      </c>
      <c r="F2477" s="540">
        <v>12685953</v>
      </c>
      <c r="G2477" s="541" t="str">
        <f>IFERROR(IF(ventas_b_mes684[[#This Row],[CUIT]]="","-",VLOOKUP(ventas_b_mes684[[#This Row],[CUIT]],Lista_CUIT[#All],2,0)),"CUIT NO CARGADO")</f>
        <v>CUIT NO CARGADO</v>
      </c>
      <c r="H2477" s="64">
        <v>50115.76</v>
      </c>
      <c r="I2477" s="485">
        <f>ventas_b_mes684[[#This Row],[IMPORTE NETO]]*0.21</f>
        <v>10524.309600000001</v>
      </c>
      <c r="J2477" s="486"/>
      <c r="K2477" s="486"/>
      <c r="L2477" s="486">
        <f>SUM(ventas_b_mes684[[#This Row],[IMPORTE NETO]:[EXENTO]])</f>
        <v>60640.069600000003</v>
      </c>
      <c r="M2477" s="487"/>
    </row>
    <row r="2478" spans="2:13">
      <c r="B2478" s="40" t="s">
        <v>2324</v>
      </c>
      <c r="C2478" s="41">
        <v>6</v>
      </c>
      <c r="D2478" s="538">
        <v>10</v>
      </c>
      <c r="E2478" s="539">
        <v>54743</v>
      </c>
      <c r="F2478" s="540">
        <v>37897078</v>
      </c>
      <c r="G2478" s="541" t="str">
        <f>IFERROR(IF(ventas_b_mes684[[#This Row],[CUIT]]="","-",VLOOKUP(ventas_b_mes684[[#This Row],[CUIT]],Lista_CUIT[#All],2,0)),"CUIT NO CARGADO")</f>
        <v>CUIT NO CARGADO</v>
      </c>
      <c r="H2478" s="64">
        <v>20661.16</v>
      </c>
      <c r="I2478" s="485">
        <f>ventas_b_mes684[[#This Row],[IMPORTE NETO]]*0.21</f>
        <v>4338.8436000000002</v>
      </c>
      <c r="J2478" s="486"/>
      <c r="K2478" s="486"/>
      <c r="L2478" s="486">
        <f>SUM(ventas_b_mes684[[#This Row],[IMPORTE NETO]:[EXENTO]])</f>
        <v>25000.0036</v>
      </c>
      <c r="M2478" s="487"/>
    </row>
    <row r="2479" spans="2:13">
      <c r="B2479" s="40" t="s">
        <v>2324</v>
      </c>
      <c r="C2479" s="41">
        <v>6</v>
      </c>
      <c r="D2479" s="538">
        <v>15</v>
      </c>
      <c r="E2479" s="539">
        <v>13522</v>
      </c>
      <c r="F2479" s="540">
        <v>34692504</v>
      </c>
      <c r="G2479" s="541" t="str">
        <f>IFERROR(IF(ventas_b_mes684[[#This Row],[CUIT]]="","-",VLOOKUP(ventas_b_mes684[[#This Row],[CUIT]],Lista_CUIT[#All],2,0)),"CUIT NO CARGADO")</f>
        <v>CUIT NO CARGADO</v>
      </c>
      <c r="H2479" s="64">
        <v>3016.53</v>
      </c>
      <c r="I2479" s="485">
        <f>ventas_b_mes684[[#This Row],[IMPORTE NETO]]*0.21</f>
        <v>633.47130000000004</v>
      </c>
      <c r="J2479" s="486"/>
      <c r="K2479" s="486"/>
      <c r="L2479" s="486">
        <f>SUM(ventas_b_mes684[[#This Row],[IMPORTE NETO]:[EXENTO]])</f>
        <v>3650.0013000000004</v>
      </c>
      <c r="M2479" s="487"/>
    </row>
    <row r="2480" spans="2:13">
      <c r="B2480" s="40" t="s">
        <v>2324</v>
      </c>
      <c r="C2480" s="41">
        <v>6</v>
      </c>
      <c r="D2480" s="538">
        <v>15</v>
      </c>
      <c r="E2480" s="539">
        <v>13521</v>
      </c>
      <c r="F2480" s="540">
        <v>27354400</v>
      </c>
      <c r="G2480" s="541" t="str">
        <f>IFERROR(IF(ventas_b_mes684[[#This Row],[CUIT]]="","-",VLOOKUP(ventas_b_mes684[[#This Row],[CUIT]],Lista_CUIT[#All],2,0)),"CUIT NO CARGADO")</f>
        <v>CUIT NO CARGADO</v>
      </c>
      <c r="H2480" s="64">
        <v>19438.02</v>
      </c>
      <c r="I2480" s="485">
        <f>ventas_b_mes684[[#This Row],[IMPORTE NETO]]*0.21</f>
        <v>4081.9841999999999</v>
      </c>
      <c r="J2480" s="486"/>
      <c r="K2480" s="486"/>
      <c r="L2480" s="486">
        <f>SUM(ventas_b_mes684[[#This Row],[IMPORTE NETO]:[EXENTO]])</f>
        <v>23520.004199999999</v>
      </c>
      <c r="M2480" s="487"/>
    </row>
    <row r="2481" spans="2:13">
      <c r="B2481" s="40" t="s">
        <v>2324</v>
      </c>
      <c r="C2481" s="41">
        <v>6</v>
      </c>
      <c r="D2481" s="538">
        <v>12</v>
      </c>
      <c r="E2481" s="539">
        <v>29910</v>
      </c>
      <c r="F2481" s="540">
        <v>95517046</v>
      </c>
      <c r="G2481" s="541" t="str">
        <f>IFERROR(IF(ventas_b_mes684[[#This Row],[CUIT]]="","-",VLOOKUP(ventas_b_mes684[[#This Row],[CUIT]],Lista_CUIT[#All],2,0)),"CUIT NO CARGADO")</f>
        <v>CUIT NO CARGADO</v>
      </c>
      <c r="H2481" s="64">
        <v>23338.84</v>
      </c>
      <c r="I2481" s="485">
        <f>ventas_b_mes684[[#This Row],[IMPORTE NETO]]*0.21</f>
        <v>4901.1563999999998</v>
      </c>
      <c r="J2481" s="486"/>
      <c r="K2481" s="486"/>
      <c r="L2481" s="486">
        <f>SUM(ventas_b_mes684[[#This Row],[IMPORTE NETO]:[EXENTO]])</f>
        <v>28239.9964</v>
      </c>
      <c r="M2481" s="487"/>
    </row>
    <row r="2482" spans="2:13">
      <c r="B2482" s="40" t="s">
        <v>2324</v>
      </c>
      <c r="C2482" s="41">
        <v>6</v>
      </c>
      <c r="D2482" s="538">
        <v>10</v>
      </c>
      <c r="E2482" s="539">
        <v>54746</v>
      </c>
      <c r="F2482" s="540">
        <v>16680908</v>
      </c>
      <c r="G2482" s="541" t="str">
        <f>IFERROR(IF(ventas_b_mes684[[#This Row],[CUIT]]="","-",VLOOKUP(ventas_b_mes684[[#This Row],[CUIT]],Lista_CUIT[#All],2,0)),"CUIT NO CARGADO")</f>
        <v>CUIT NO CARGADO</v>
      </c>
      <c r="H2482" s="64">
        <v>26735.54</v>
      </c>
      <c r="I2482" s="485">
        <f>ventas_b_mes684[[#This Row],[IMPORTE NETO]]*0.21</f>
        <v>5614.4633999999996</v>
      </c>
      <c r="J2482" s="486"/>
      <c r="K2482" s="486"/>
      <c r="L2482" s="486">
        <f>SUM(ventas_b_mes684[[#This Row],[IMPORTE NETO]:[EXENTO]])</f>
        <v>32350.003400000001</v>
      </c>
      <c r="M2482" s="487"/>
    </row>
    <row r="2483" spans="2:13">
      <c r="B2483" s="40" t="s">
        <v>2324</v>
      </c>
      <c r="C2483" s="41">
        <v>6</v>
      </c>
      <c r="D2483" s="538">
        <v>15</v>
      </c>
      <c r="E2483" s="539">
        <v>13531</v>
      </c>
      <c r="F2483" s="540">
        <v>33086577</v>
      </c>
      <c r="G2483" s="541" t="str">
        <f>IFERROR(IF(ventas_b_mes684[[#This Row],[CUIT]]="","-",VLOOKUP(ventas_b_mes684[[#This Row],[CUIT]],Lista_CUIT[#All],2,0)),"CUIT NO CARGADO")</f>
        <v>CUIT NO CARGADO</v>
      </c>
      <c r="H2483" s="64">
        <v>35305.79</v>
      </c>
      <c r="I2483" s="485">
        <f>ventas_b_mes684[[#This Row],[IMPORTE NETO]]*0.21</f>
        <v>7414.2159000000001</v>
      </c>
      <c r="J2483" s="486"/>
      <c r="K2483" s="486"/>
      <c r="L2483" s="486">
        <f>SUM(ventas_b_mes684[[#This Row],[IMPORTE NETO]:[EXENTO]])</f>
        <v>42720.005900000004</v>
      </c>
      <c r="M2483" s="487"/>
    </row>
    <row r="2484" spans="2:13">
      <c r="B2484" s="40" t="s">
        <v>2324</v>
      </c>
      <c r="C2484" s="41">
        <v>6</v>
      </c>
      <c r="D2484" s="538">
        <v>12</v>
      </c>
      <c r="E2484" s="539">
        <v>29918</v>
      </c>
      <c r="F2484" s="540">
        <v>35238331</v>
      </c>
      <c r="G2484" s="541" t="str">
        <f>IFERROR(IF(ventas_b_mes684[[#This Row],[CUIT]]="","-",VLOOKUP(ventas_b_mes684[[#This Row],[CUIT]],Lista_CUIT[#All],2,0)),"CUIT NO CARGADO")</f>
        <v>CUIT NO CARGADO</v>
      </c>
      <c r="H2484" s="64">
        <v>5553.72</v>
      </c>
      <c r="I2484" s="485">
        <f>ventas_b_mes684[[#This Row],[IMPORTE NETO]]*0.21</f>
        <v>1166.2811999999999</v>
      </c>
      <c r="J2484" s="486"/>
      <c r="K2484" s="486"/>
      <c r="L2484" s="486">
        <f>SUM(ventas_b_mes684[[#This Row],[IMPORTE NETO]:[EXENTO]])</f>
        <v>6720.0012000000006</v>
      </c>
      <c r="M2484" s="487"/>
    </row>
    <row r="2485" spans="2:13">
      <c r="B2485" s="40" t="s">
        <v>2324</v>
      </c>
      <c r="C2485" s="41">
        <v>6</v>
      </c>
      <c r="D2485" s="538">
        <v>11</v>
      </c>
      <c r="E2485" s="539">
        <v>38473</v>
      </c>
      <c r="F2485" s="540">
        <v>28773354</v>
      </c>
      <c r="G2485" s="541" t="str">
        <f>IFERROR(IF(ventas_b_mes684[[#This Row],[CUIT]]="","-",VLOOKUP(ventas_b_mes684[[#This Row],[CUIT]],Lista_CUIT[#All],2,0)),"CUIT NO CARGADO")</f>
        <v>CUIT NO CARGADO</v>
      </c>
      <c r="H2485" s="64">
        <v>4834.71</v>
      </c>
      <c r="I2485" s="485">
        <f>ventas_b_mes684[[#This Row],[IMPORTE NETO]]*0.21</f>
        <v>1015.2891</v>
      </c>
      <c r="J2485" s="486"/>
      <c r="K2485" s="486"/>
      <c r="L2485" s="486">
        <f>SUM(ventas_b_mes684[[#This Row],[IMPORTE NETO]:[EXENTO]])</f>
        <v>5849.9991</v>
      </c>
      <c r="M2485" s="487"/>
    </row>
    <row r="2486" spans="2:13">
      <c r="B2486" s="40" t="s">
        <v>2324</v>
      </c>
      <c r="C2486" s="41">
        <v>6</v>
      </c>
      <c r="D2486" s="538">
        <v>11</v>
      </c>
      <c r="E2486" s="539">
        <v>38465</v>
      </c>
      <c r="F2486" s="540">
        <v>17203777</v>
      </c>
      <c r="G2486" s="541" t="str">
        <f>IFERROR(IF(ventas_b_mes684[[#This Row],[CUIT]]="","-",VLOOKUP(ventas_b_mes684[[#This Row],[CUIT]],Lista_CUIT[#All],2,0)),"CUIT NO CARGADO")</f>
        <v>CUIT NO CARGADO</v>
      </c>
      <c r="H2486" s="64">
        <v>41586.78</v>
      </c>
      <c r="I2486" s="485">
        <f>ventas_b_mes684[[#This Row],[IMPORTE NETO]]*0.21</f>
        <v>8733.2237999999998</v>
      </c>
      <c r="J2486" s="486"/>
      <c r="K2486" s="486"/>
      <c r="L2486" s="486">
        <f>SUM(ventas_b_mes684[[#This Row],[IMPORTE NETO]:[EXENTO]])</f>
        <v>50320.003799999999</v>
      </c>
      <c r="M2486" s="487"/>
    </row>
    <row r="2487" spans="2:13">
      <c r="B2487" s="40" t="s">
        <v>2324</v>
      </c>
      <c r="C2487" s="41">
        <v>6</v>
      </c>
      <c r="D2487" s="538">
        <v>15</v>
      </c>
      <c r="E2487" s="539">
        <v>13550</v>
      </c>
      <c r="F2487" s="540">
        <v>36749022</v>
      </c>
      <c r="G2487" s="541" t="str">
        <f>IFERROR(IF(ventas_b_mes684[[#This Row],[CUIT]]="","-",VLOOKUP(ventas_b_mes684[[#This Row],[CUIT]],Lista_CUIT[#All],2,0)),"CUIT NO CARGADO")</f>
        <v>CUIT NO CARGADO</v>
      </c>
      <c r="H2487" s="64">
        <v>29223.14</v>
      </c>
      <c r="I2487" s="485">
        <f>ventas_b_mes684[[#This Row],[IMPORTE NETO]]*0.21</f>
        <v>6136.8593999999994</v>
      </c>
      <c r="J2487" s="486"/>
      <c r="K2487" s="486"/>
      <c r="L2487" s="486">
        <f>SUM(ventas_b_mes684[[#This Row],[IMPORTE NETO]:[EXENTO]])</f>
        <v>35359.999400000001</v>
      </c>
      <c r="M2487" s="487"/>
    </row>
    <row r="2488" spans="2:13">
      <c r="B2488" s="40" t="s">
        <v>2324</v>
      </c>
      <c r="C2488" s="41">
        <v>6</v>
      </c>
      <c r="D2488" s="538">
        <v>12</v>
      </c>
      <c r="E2488" s="539">
        <v>29916</v>
      </c>
      <c r="F2488" s="540">
        <v>16236371</v>
      </c>
      <c r="G2488" s="541" t="str">
        <f>IFERROR(IF(ventas_b_mes684[[#This Row],[CUIT]]="","-",VLOOKUP(ventas_b_mes684[[#This Row],[CUIT]],Lista_CUIT[#All],2,0)),"CUIT NO CARGADO")</f>
        <v>CUIT NO CARGADO</v>
      </c>
      <c r="H2488" s="64">
        <v>11404.96</v>
      </c>
      <c r="I2488" s="485">
        <f>ventas_b_mes684[[#This Row],[IMPORTE NETO]]*0.21</f>
        <v>2395.0415999999996</v>
      </c>
      <c r="J2488" s="486"/>
      <c r="K2488" s="486"/>
      <c r="L2488" s="486">
        <f>SUM(ventas_b_mes684[[#This Row],[IMPORTE NETO]:[EXENTO]])</f>
        <v>13800.0016</v>
      </c>
      <c r="M2488" s="487"/>
    </row>
    <row r="2489" spans="2:13">
      <c r="B2489" s="40" t="s">
        <v>2324</v>
      </c>
      <c r="C2489" s="41">
        <v>6</v>
      </c>
      <c r="D2489" s="538">
        <v>10</v>
      </c>
      <c r="E2489" s="539">
        <v>54760</v>
      </c>
      <c r="F2489" s="540">
        <v>93671317</v>
      </c>
      <c r="G2489" s="541" t="str">
        <f>IFERROR(IF(ventas_b_mes684[[#This Row],[CUIT]]="","-",VLOOKUP(ventas_b_mes684[[#This Row],[CUIT]],Lista_CUIT[#All],2,0)),"CUIT NO CARGADO")</f>
        <v>CUIT NO CARGADO</v>
      </c>
      <c r="H2489" s="64">
        <v>9388.43</v>
      </c>
      <c r="I2489" s="485">
        <f>ventas_b_mes684[[#This Row],[IMPORTE NETO]]*0.21</f>
        <v>1971.5703000000001</v>
      </c>
      <c r="J2489" s="486"/>
      <c r="K2489" s="486"/>
      <c r="L2489" s="486">
        <f>SUM(ventas_b_mes684[[#This Row],[IMPORTE NETO]:[EXENTO]])</f>
        <v>11360.0003</v>
      </c>
      <c r="M2489" s="487"/>
    </row>
    <row r="2490" spans="2:13">
      <c r="B2490" s="40" t="s">
        <v>2324</v>
      </c>
      <c r="C2490" s="41">
        <v>8</v>
      </c>
      <c r="D2490" s="538">
        <v>11</v>
      </c>
      <c r="E2490" s="539">
        <v>1046</v>
      </c>
      <c r="F2490" s="540">
        <v>28773354</v>
      </c>
      <c r="G2490" s="541" t="str">
        <f>IFERROR(IF(ventas_b_mes684[[#This Row],[CUIT]]="","-",VLOOKUP(ventas_b_mes684[[#This Row],[CUIT]],Lista_CUIT[#All],2,0)),"CUIT NO CARGADO")</f>
        <v>CUIT NO CARGADO</v>
      </c>
      <c r="H2490" s="64">
        <v>-6880.17</v>
      </c>
      <c r="I2490" s="485">
        <f>ventas_b_mes684[[#This Row],[IMPORTE NETO]]*0.21</f>
        <v>-1444.8356999999999</v>
      </c>
      <c r="J2490" s="486"/>
      <c r="K2490" s="486"/>
      <c r="L2490" s="486">
        <f>SUM(ventas_b_mes684[[#This Row],[IMPORTE NETO]:[EXENTO]])</f>
        <v>-8325.0056999999997</v>
      </c>
      <c r="M2490" s="487"/>
    </row>
    <row r="2491" spans="2:13">
      <c r="B2491" s="40" t="s">
        <v>2325</v>
      </c>
      <c r="C2491" s="41">
        <v>6</v>
      </c>
      <c r="D2491" s="538">
        <v>11</v>
      </c>
      <c r="E2491" s="539">
        <v>38489</v>
      </c>
      <c r="F2491" s="540">
        <v>95854288</v>
      </c>
      <c r="G2491" s="541" t="str">
        <f>IFERROR(IF(ventas_b_mes684[[#This Row],[CUIT]]="","-",VLOOKUP(ventas_b_mes684[[#This Row],[CUIT]],Lista_CUIT[#All],2,0)),"CUIT NO CARGADO")</f>
        <v>CUIT NO CARGADO</v>
      </c>
      <c r="H2491" s="64">
        <v>38413.22</v>
      </c>
      <c r="I2491" s="485">
        <f>ventas_b_mes684[[#This Row],[IMPORTE NETO]]*0.21</f>
        <v>8066.7762000000002</v>
      </c>
      <c r="J2491" s="486"/>
      <c r="K2491" s="486"/>
      <c r="L2491" s="486">
        <f>SUM(ventas_b_mes684[[#This Row],[IMPORTE NETO]:[EXENTO]])</f>
        <v>46479.996200000001</v>
      </c>
      <c r="M2491" s="487"/>
    </row>
    <row r="2492" spans="2:13">
      <c r="B2492" s="40" t="s">
        <v>2325</v>
      </c>
      <c r="C2492" s="41">
        <v>6</v>
      </c>
      <c r="D2492" s="538">
        <v>15</v>
      </c>
      <c r="E2492" s="539">
        <v>13561</v>
      </c>
      <c r="F2492" s="540">
        <v>46349731</v>
      </c>
      <c r="G2492" s="541" t="str">
        <f>IFERROR(IF(ventas_b_mes684[[#This Row],[CUIT]]="","-",VLOOKUP(ventas_b_mes684[[#This Row],[CUIT]],Lista_CUIT[#All],2,0)),"CUIT NO CARGADO")</f>
        <v>CUIT NO CARGADO</v>
      </c>
      <c r="H2492" s="64">
        <v>6198.35</v>
      </c>
      <c r="I2492" s="485">
        <f>ventas_b_mes684[[#This Row],[IMPORTE NETO]]*0.21</f>
        <v>1301.6535000000001</v>
      </c>
      <c r="J2492" s="486"/>
      <c r="K2492" s="486"/>
      <c r="L2492" s="486">
        <f>SUM(ventas_b_mes684[[#This Row],[IMPORTE NETO]:[EXENTO]])</f>
        <v>7500.0035000000007</v>
      </c>
      <c r="M2492" s="487"/>
    </row>
    <row r="2493" spans="2:13">
      <c r="B2493" s="40" t="s">
        <v>2325</v>
      </c>
      <c r="C2493" s="41">
        <v>6</v>
      </c>
      <c r="D2493" s="538">
        <v>12</v>
      </c>
      <c r="E2493" s="539">
        <v>29943</v>
      </c>
      <c r="F2493" s="540">
        <v>25330027</v>
      </c>
      <c r="G2493" s="541" t="str">
        <f>IFERROR(IF(ventas_b_mes684[[#This Row],[CUIT]]="","-",VLOOKUP(ventas_b_mes684[[#This Row],[CUIT]],Lista_CUIT[#All],2,0)),"CUIT NO CARGADO")</f>
        <v>CUIT NO CARGADO</v>
      </c>
      <c r="H2493" s="64">
        <v>49256.2</v>
      </c>
      <c r="I2493" s="485">
        <f>ventas_b_mes684[[#This Row],[IMPORTE NETO]]*0.21</f>
        <v>10343.802</v>
      </c>
      <c r="J2493" s="486"/>
      <c r="K2493" s="486"/>
      <c r="L2493" s="486">
        <f>SUM(ventas_b_mes684[[#This Row],[IMPORTE NETO]:[EXENTO]])</f>
        <v>59600.001999999993</v>
      </c>
      <c r="M2493" s="487"/>
    </row>
    <row r="2494" spans="2:13">
      <c r="B2494" s="40" t="s">
        <v>2325</v>
      </c>
      <c r="C2494" s="41">
        <v>6</v>
      </c>
      <c r="D2494" s="538">
        <v>11</v>
      </c>
      <c r="E2494" s="539">
        <v>38485</v>
      </c>
      <c r="F2494" s="540">
        <v>28438579</v>
      </c>
      <c r="G2494" s="541" t="str">
        <f>IFERROR(IF(ventas_b_mes684[[#This Row],[CUIT]]="","-",VLOOKUP(ventas_b_mes684[[#This Row],[CUIT]],Lista_CUIT[#All],2,0)),"CUIT NO CARGADO")</f>
        <v>CUIT NO CARGADO</v>
      </c>
      <c r="H2494" s="64">
        <v>20661.16</v>
      </c>
      <c r="I2494" s="485">
        <f>ventas_b_mes684[[#This Row],[IMPORTE NETO]]*0.21</f>
        <v>4338.8436000000002</v>
      </c>
      <c r="J2494" s="486"/>
      <c r="K2494" s="486"/>
      <c r="L2494" s="486">
        <f>SUM(ventas_b_mes684[[#This Row],[IMPORTE NETO]:[EXENTO]])</f>
        <v>25000.0036</v>
      </c>
      <c r="M2494" s="487"/>
    </row>
    <row r="2495" spans="2:13">
      <c r="B2495" s="40" t="s">
        <v>2325</v>
      </c>
      <c r="C2495" s="41">
        <v>6</v>
      </c>
      <c r="D2495" s="538">
        <v>15</v>
      </c>
      <c r="E2495" s="539">
        <v>13575</v>
      </c>
      <c r="F2495" s="540">
        <v>19083111</v>
      </c>
      <c r="G2495" s="541" t="str">
        <f>IFERROR(IF(ventas_b_mes684[[#This Row],[CUIT]]="","-",VLOOKUP(ventas_b_mes684[[#This Row],[CUIT]],Lista_CUIT[#All],2,0)),"CUIT NO CARGADO")</f>
        <v>CUIT NO CARGADO</v>
      </c>
      <c r="H2495" s="64">
        <v>33586.78</v>
      </c>
      <c r="I2495" s="485">
        <f>ventas_b_mes684[[#This Row],[IMPORTE NETO]]*0.21</f>
        <v>7053.2237999999998</v>
      </c>
      <c r="J2495" s="486"/>
      <c r="K2495" s="486"/>
      <c r="L2495" s="486">
        <f>SUM(ventas_b_mes684[[#This Row],[IMPORTE NETO]:[EXENTO]])</f>
        <v>40640.003799999999</v>
      </c>
      <c r="M2495" s="487"/>
    </row>
    <row r="2496" spans="2:13">
      <c r="B2496" s="40" t="s">
        <v>2325</v>
      </c>
      <c r="C2496" s="41">
        <v>6</v>
      </c>
      <c r="D2496" s="538">
        <v>11</v>
      </c>
      <c r="E2496" s="539">
        <v>38498</v>
      </c>
      <c r="F2496" s="540">
        <v>4524165</v>
      </c>
      <c r="G2496" s="541" t="str">
        <f>IFERROR(IF(ventas_b_mes684[[#This Row],[CUIT]]="","-",VLOOKUP(ventas_b_mes684[[#This Row],[CUIT]],Lista_CUIT[#All],2,0)),"CUIT NO CARGADO")</f>
        <v>CUIT NO CARGADO</v>
      </c>
      <c r="H2496" s="64">
        <v>14016.53</v>
      </c>
      <c r="I2496" s="485">
        <f>ventas_b_mes684[[#This Row],[IMPORTE NETO]]*0.21</f>
        <v>2943.4713000000002</v>
      </c>
      <c r="J2496" s="486"/>
      <c r="K2496" s="486"/>
      <c r="L2496" s="486">
        <f>SUM(ventas_b_mes684[[#This Row],[IMPORTE NETO]:[EXENTO]])</f>
        <v>16960.0013</v>
      </c>
      <c r="M2496" s="487"/>
    </row>
    <row r="2497" spans="2:13">
      <c r="B2497" s="40" t="s">
        <v>2325</v>
      </c>
      <c r="C2497" s="41">
        <v>6</v>
      </c>
      <c r="D2497" s="538">
        <v>15</v>
      </c>
      <c r="E2497" s="539">
        <v>13579</v>
      </c>
      <c r="F2497" s="540">
        <v>18396100</v>
      </c>
      <c r="G2497" s="541" t="str">
        <f>IFERROR(IF(ventas_b_mes684[[#This Row],[CUIT]]="","-",VLOOKUP(ventas_b_mes684[[#This Row],[CUIT]],Lista_CUIT[#All],2,0)),"CUIT NO CARGADO")</f>
        <v>AGUIRRE, ARGENTINA BEATRIZ</v>
      </c>
      <c r="H2497" s="64">
        <v>41586.78</v>
      </c>
      <c r="I2497" s="485">
        <f>ventas_b_mes684[[#This Row],[IMPORTE NETO]]*0.21</f>
        <v>8733.2237999999998</v>
      </c>
      <c r="J2497" s="486"/>
      <c r="K2497" s="486"/>
      <c r="L2497" s="486">
        <f>SUM(ventas_b_mes684[[#This Row],[IMPORTE NETO]:[EXENTO]])</f>
        <v>50320.003799999999</v>
      </c>
      <c r="M2497" s="487"/>
    </row>
    <row r="2498" spans="2:13">
      <c r="B2498" s="40" t="s">
        <v>2325</v>
      </c>
      <c r="C2498" s="41">
        <v>6</v>
      </c>
      <c r="D2498" s="538">
        <v>10</v>
      </c>
      <c r="E2498" s="539">
        <v>54777</v>
      </c>
      <c r="F2498" s="540">
        <v>14339719</v>
      </c>
      <c r="G2498" s="541" t="str">
        <f>IFERROR(IF(ventas_b_mes684[[#This Row],[CUIT]]="","-",VLOOKUP(ventas_b_mes684[[#This Row],[CUIT]],Lista_CUIT[#All],2,0)),"CUIT NO CARGADO")</f>
        <v>CUIT NO CARGADO</v>
      </c>
      <c r="H2498" s="64">
        <v>18239.669999999998</v>
      </c>
      <c r="I2498" s="485">
        <f>ventas_b_mes684[[#This Row],[IMPORTE NETO]]*0.21</f>
        <v>3830.3306999999995</v>
      </c>
      <c r="J2498" s="486"/>
      <c r="K2498" s="486"/>
      <c r="L2498" s="486">
        <f>SUM(ventas_b_mes684[[#This Row],[IMPORTE NETO]:[EXENTO]])</f>
        <v>22070.000699999997</v>
      </c>
      <c r="M2498" s="487"/>
    </row>
    <row r="2499" spans="2:13">
      <c r="B2499" s="40" t="s">
        <v>2325</v>
      </c>
      <c r="C2499" s="41">
        <v>6</v>
      </c>
      <c r="D2499" s="538">
        <v>12</v>
      </c>
      <c r="E2499" s="539">
        <v>29953</v>
      </c>
      <c r="F2499" s="540">
        <v>12960718</v>
      </c>
      <c r="G2499" s="541" t="str">
        <f>IFERROR(IF(ventas_b_mes684[[#This Row],[CUIT]]="","-",VLOOKUP(ventas_b_mes684[[#This Row],[CUIT]],Lista_CUIT[#All],2,0)),"CUIT NO CARGADO")</f>
        <v>CUIT NO CARGADO</v>
      </c>
      <c r="H2499" s="64">
        <v>114957.04</v>
      </c>
      <c r="I2499" s="485">
        <f>ventas_b_mes684[[#This Row],[IMPORTE NETO]]*0.21</f>
        <v>24140.978399999996</v>
      </c>
      <c r="J2499" s="486"/>
      <c r="K2499" s="486"/>
      <c r="L2499" s="486">
        <f>SUM(ventas_b_mes684[[#This Row],[IMPORTE NETO]:[EXENTO]])</f>
        <v>139098.0184</v>
      </c>
      <c r="M2499" s="487"/>
    </row>
    <row r="2500" spans="2:13">
      <c r="B2500" s="40" t="s">
        <v>2325</v>
      </c>
      <c r="C2500" s="41">
        <v>6</v>
      </c>
      <c r="D2500" s="538">
        <v>10</v>
      </c>
      <c r="E2500" s="539">
        <v>54767</v>
      </c>
      <c r="F2500" s="540">
        <v>14446171</v>
      </c>
      <c r="G2500" s="541" t="str">
        <f>IFERROR(IF(ventas_b_mes684[[#This Row],[CUIT]]="","-",VLOOKUP(ventas_b_mes684[[#This Row],[CUIT]],Lista_CUIT[#All],2,0)),"CUIT NO CARGADO")</f>
        <v>CUIT NO CARGADO</v>
      </c>
      <c r="H2500" s="64">
        <v>35966.94</v>
      </c>
      <c r="I2500" s="485">
        <f>ventas_b_mes684[[#This Row],[IMPORTE NETO]]*0.21</f>
        <v>7553.0574000000006</v>
      </c>
      <c r="J2500" s="486"/>
      <c r="K2500" s="486"/>
      <c r="L2500" s="486">
        <f>SUM(ventas_b_mes684[[#This Row],[IMPORTE NETO]:[EXENTO]])</f>
        <v>43519.9974</v>
      </c>
      <c r="M2500" s="487"/>
    </row>
    <row r="2501" spans="2:13">
      <c r="B2501" s="40" t="s">
        <v>2325</v>
      </c>
      <c r="C2501" s="41">
        <v>6</v>
      </c>
      <c r="D2501" s="538">
        <v>11</v>
      </c>
      <c r="E2501" s="539">
        <v>38484</v>
      </c>
      <c r="F2501" s="540">
        <v>95894806</v>
      </c>
      <c r="G2501" s="541" t="str">
        <f>IFERROR(IF(ventas_b_mes684[[#This Row],[CUIT]]="","-",VLOOKUP(ventas_b_mes684[[#This Row],[CUIT]],Lista_CUIT[#All],2,0)),"CUIT NO CARGADO")</f>
        <v>CUIT NO CARGADO</v>
      </c>
      <c r="H2501" s="64">
        <v>20363.64</v>
      </c>
      <c r="I2501" s="485">
        <f>ventas_b_mes684[[#This Row],[IMPORTE NETO]]*0.21</f>
        <v>4276.3643999999995</v>
      </c>
      <c r="J2501" s="486"/>
      <c r="K2501" s="486"/>
      <c r="L2501" s="486">
        <f>SUM(ventas_b_mes684[[#This Row],[IMPORTE NETO]:[EXENTO]])</f>
        <v>24640.004399999998</v>
      </c>
      <c r="M2501" s="487"/>
    </row>
    <row r="2502" spans="2:13">
      <c r="B2502" s="40" t="s">
        <v>2325</v>
      </c>
      <c r="C2502" s="41">
        <v>6</v>
      </c>
      <c r="D2502" s="538">
        <v>11</v>
      </c>
      <c r="E2502" s="539">
        <v>38494</v>
      </c>
      <c r="F2502" s="540">
        <v>11389944</v>
      </c>
      <c r="G2502" s="541" t="str">
        <f>IFERROR(IF(ventas_b_mes684[[#This Row],[CUIT]]="","-",VLOOKUP(ventas_b_mes684[[#This Row],[CUIT]],Lista_CUIT[#All],2,0)),"CUIT NO CARGADO")</f>
        <v>CUIT NO CARGADO</v>
      </c>
      <c r="H2502" s="64">
        <v>139636.35999999999</v>
      </c>
      <c r="I2502" s="485">
        <f>ventas_b_mes684[[#This Row],[IMPORTE NETO]]*0.21</f>
        <v>29323.635599999998</v>
      </c>
      <c r="J2502" s="486"/>
      <c r="K2502" s="486"/>
      <c r="L2502" s="486">
        <f>SUM(ventas_b_mes684[[#This Row],[IMPORTE NETO]:[EXENTO]])</f>
        <v>168959.99559999999</v>
      </c>
      <c r="M2502" s="487"/>
    </row>
    <row r="2503" spans="2:13">
      <c r="B2503" s="40" t="s">
        <v>2325</v>
      </c>
      <c r="C2503" s="41">
        <v>6</v>
      </c>
      <c r="D2503" s="538">
        <v>15</v>
      </c>
      <c r="E2503" s="539">
        <v>13580</v>
      </c>
      <c r="F2503" s="540">
        <v>27687487</v>
      </c>
      <c r="G2503" s="541" t="str">
        <f>IFERROR(IF(ventas_b_mes684[[#This Row],[CUIT]]="","-",VLOOKUP(ventas_b_mes684[[#This Row],[CUIT]],Lista_CUIT[#All],2,0)),"CUIT NO CARGADO")</f>
        <v>CUIT NO CARGADO</v>
      </c>
      <c r="H2503" s="64">
        <v>10049.59</v>
      </c>
      <c r="I2503" s="485">
        <f>ventas_b_mes684[[#This Row],[IMPORTE NETO]]*0.21</f>
        <v>2110.4139</v>
      </c>
      <c r="J2503" s="486"/>
      <c r="K2503" s="486"/>
      <c r="L2503" s="486">
        <f>SUM(ventas_b_mes684[[#This Row],[IMPORTE NETO]:[EXENTO]])</f>
        <v>12160.0039</v>
      </c>
      <c r="M2503" s="487"/>
    </row>
    <row r="2504" spans="2:13">
      <c r="B2504" s="40" t="s">
        <v>2325</v>
      </c>
      <c r="C2504" s="41">
        <v>6</v>
      </c>
      <c r="D2504" s="538">
        <v>10</v>
      </c>
      <c r="E2504" s="539">
        <v>54774</v>
      </c>
      <c r="F2504" s="540">
        <v>18577043</v>
      </c>
      <c r="G2504" s="541" t="str">
        <f>IFERROR(IF(ventas_b_mes684[[#This Row],[CUIT]]="","-",VLOOKUP(ventas_b_mes684[[#This Row],[CUIT]],Lista_CUIT[#All],2,0)),"CUIT NO CARGADO")</f>
        <v>CUIT NO CARGADO</v>
      </c>
      <c r="H2504" s="64">
        <v>25322.31</v>
      </c>
      <c r="I2504" s="485">
        <f>ventas_b_mes684[[#This Row],[IMPORTE NETO]]*0.21</f>
        <v>5317.6850999999997</v>
      </c>
      <c r="J2504" s="486"/>
      <c r="K2504" s="486"/>
      <c r="L2504" s="486">
        <f>SUM(ventas_b_mes684[[#This Row],[IMPORTE NETO]:[EXENTO]])</f>
        <v>30639.9951</v>
      </c>
      <c r="M2504" s="487"/>
    </row>
    <row r="2505" spans="2:13">
      <c r="B2505" s="40" t="s">
        <v>2325</v>
      </c>
      <c r="C2505" s="41">
        <v>6</v>
      </c>
      <c r="D2505" s="538">
        <v>11</v>
      </c>
      <c r="E2505" s="539">
        <v>38500</v>
      </c>
      <c r="F2505" s="540">
        <v>17203777</v>
      </c>
      <c r="G2505" s="541" t="str">
        <f>IFERROR(IF(ventas_b_mes684[[#This Row],[CUIT]]="","-",VLOOKUP(ventas_b_mes684[[#This Row],[CUIT]],Lista_CUIT[#All],2,0)),"CUIT NO CARGADO")</f>
        <v>CUIT NO CARGADO</v>
      </c>
      <c r="H2505" s="64">
        <v>32198.36</v>
      </c>
      <c r="I2505" s="485">
        <f>ventas_b_mes684[[#This Row],[IMPORTE NETO]]*0.21</f>
        <v>6761.6556</v>
      </c>
      <c r="J2505" s="486"/>
      <c r="K2505" s="486"/>
      <c r="L2505" s="486">
        <f>SUM(ventas_b_mes684[[#This Row],[IMPORTE NETO]:[EXENTO]])</f>
        <v>38960.015599999999</v>
      </c>
      <c r="M2505" s="487"/>
    </row>
    <row r="2506" spans="2:13">
      <c r="B2506" s="40" t="s">
        <v>2325</v>
      </c>
      <c r="C2506" s="41">
        <v>6</v>
      </c>
      <c r="D2506" s="538">
        <v>15</v>
      </c>
      <c r="E2506" s="539">
        <v>13578</v>
      </c>
      <c r="F2506" s="540">
        <v>18396100</v>
      </c>
      <c r="G2506" s="541" t="str">
        <f>IFERROR(IF(ventas_b_mes684[[#This Row],[CUIT]]="","-",VLOOKUP(ventas_b_mes684[[#This Row],[CUIT]],Lista_CUIT[#All],2,0)),"CUIT NO CARGADO")</f>
        <v>AGUIRRE, ARGENTINA BEATRIZ</v>
      </c>
      <c r="H2506" s="64">
        <v>20661.16</v>
      </c>
      <c r="I2506" s="485">
        <f>ventas_b_mes684[[#This Row],[IMPORTE NETO]]*0.21</f>
        <v>4338.8436000000002</v>
      </c>
      <c r="J2506" s="486"/>
      <c r="K2506" s="486"/>
      <c r="L2506" s="486">
        <f>SUM(ventas_b_mes684[[#This Row],[IMPORTE NETO]:[EXENTO]])</f>
        <v>25000.0036</v>
      </c>
      <c r="M2506" s="487"/>
    </row>
    <row r="2507" spans="2:13">
      <c r="B2507" s="40" t="s">
        <v>2325</v>
      </c>
      <c r="C2507" s="41">
        <v>6</v>
      </c>
      <c r="D2507" s="538">
        <v>11</v>
      </c>
      <c r="E2507" s="539">
        <v>38503</v>
      </c>
      <c r="F2507" s="540">
        <v>12276336</v>
      </c>
      <c r="G2507" s="541" t="str">
        <f>IFERROR(IF(ventas_b_mes684[[#This Row],[CUIT]]="","-",VLOOKUP(ventas_b_mes684[[#This Row],[CUIT]],Lista_CUIT[#All],2,0)),"CUIT NO CARGADO")</f>
        <v>CUIT NO CARGADO</v>
      </c>
      <c r="H2507" s="64">
        <v>30528.93</v>
      </c>
      <c r="I2507" s="485">
        <f>ventas_b_mes684[[#This Row],[IMPORTE NETO]]*0.21</f>
        <v>6411.0752999999995</v>
      </c>
      <c r="J2507" s="486"/>
      <c r="K2507" s="486"/>
      <c r="L2507" s="486">
        <f>SUM(ventas_b_mes684[[#This Row],[IMPORTE NETO]:[EXENTO]])</f>
        <v>36940.005299999997</v>
      </c>
      <c r="M2507" s="487"/>
    </row>
    <row r="2508" spans="2:13">
      <c r="B2508" s="40" t="s">
        <v>2325</v>
      </c>
      <c r="C2508" s="41">
        <v>6</v>
      </c>
      <c r="D2508" s="538">
        <v>11</v>
      </c>
      <c r="E2508" s="539">
        <v>38504</v>
      </c>
      <c r="F2508" s="540">
        <v>25770223</v>
      </c>
      <c r="G2508" s="541" t="str">
        <f>IFERROR(IF(ventas_b_mes684[[#This Row],[CUIT]]="","-",VLOOKUP(ventas_b_mes684[[#This Row],[CUIT]],Lista_CUIT[#All],2,0)),"CUIT NO CARGADO")</f>
        <v>CUIT NO CARGADO</v>
      </c>
      <c r="H2508" s="64">
        <v>20661.16</v>
      </c>
      <c r="I2508" s="485">
        <f>ventas_b_mes684[[#This Row],[IMPORTE NETO]]*0.21</f>
        <v>4338.8436000000002</v>
      </c>
      <c r="J2508" s="486"/>
      <c r="K2508" s="486"/>
      <c r="L2508" s="486">
        <f>SUM(ventas_b_mes684[[#This Row],[IMPORTE NETO]:[EXENTO]])</f>
        <v>25000.0036</v>
      </c>
      <c r="M2508" s="487"/>
    </row>
    <row r="2509" spans="2:13">
      <c r="B2509" s="40" t="s">
        <v>2325</v>
      </c>
      <c r="C2509" s="41">
        <v>6</v>
      </c>
      <c r="D2509" s="538">
        <v>11</v>
      </c>
      <c r="E2509" s="539">
        <v>38495</v>
      </c>
      <c r="F2509" s="540">
        <v>5931848</v>
      </c>
      <c r="G2509" s="541" t="str">
        <f>IFERROR(IF(ventas_b_mes684[[#This Row],[CUIT]]="","-",VLOOKUP(ventas_b_mes684[[#This Row],[CUIT]],Lista_CUIT[#All],2,0)),"CUIT NO CARGADO")</f>
        <v>CUIT NO CARGADO</v>
      </c>
      <c r="H2509" s="64">
        <v>30082.639999999999</v>
      </c>
      <c r="I2509" s="485">
        <f>ventas_b_mes684[[#This Row],[IMPORTE NETO]]*0.21</f>
        <v>6317.3543999999993</v>
      </c>
      <c r="J2509" s="486"/>
      <c r="K2509" s="486"/>
      <c r="L2509" s="486">
        <f>SUM(ventas_b_mes684[[#This Row],[IMPORTE NETO]:[EXENTO]])</f>
        <v>36399.994399999996</v>
      </c>
      <c r="M2509" s="487"/>
    </row>
    <row r="2510" spans="2:13">
      <c r="B2510" s="40" t="s">
        <v>2325</v>
      </c>
      <c r="C2510" s="41">
        <v>6</v>
      </c>
      <c r="D2510" s="538">
        <v>15</v>
      </c>
      <c r="E2510" s="539">
        <v>13574</v>
      </c>
      <c r="F2510" s="540">
        <v>23251656</v>
      </c>
      <c r="G2510" s="541" t="str">
        <f>IFERROR(IF(ventas_b_mes684[[#This Row],[CUIT]]="","-",VLOOKUP(ventas_b_mes684[[#This Row],[CUIT]],Lista_CUIT[#All],2,0)),"CUIT NO CARGADO")</f>
        <v>CUIT NO CARGADO</v>
      </c>
      <c r="H2510" s="64">
        <v>19289.259999999998</v>
      </c>
      <c r="I2510" s="485">
        <f>ventas_b_mes684[[#This Row],[IMPORTE NETO]]*0.21</f>
        <v>4050.7445999999995</v>
      </c>
      <c r="J2510" s="486"/>
      <c r="K2510" s="486"/>
      <c r="L2510" s="486">
        <f>SUM(ventas_b_mes684[[#This Row],[IMPORTE NETO]:[EXENTO]])</f>
        <v>23340.004599999997</v>
      </c>
      <c r="M2510" s="487"/>
    </row>
    <row r="2511" spans="2:13">
      <c r="B2511" s="40" t="s">
        <v>2325</v>
      </c>
      <c r="C2511" s="41">
        <v>6</v>
      </c>
      <c r="D2511" s="538">
        <v>13</v>
      </c>
      <c r="E2511" s="539">
        <v>32670</v>
      </c>
      <c r="F2511" s="540">
        <v>19026505</v>
      </c>
      <c r="G2511" s="541" t="str">
        <f>IFERROR(IF(ventas_b_mes684[[#This Row],[CUIT]]="","-",VLOOKUP(ventas_b_mes684[[#This Row],[CUIT]],Lista_CUIT[#All],2,0)),"CUIT NO CARGADO")</f>
        <v>CUIT NO CARGADO</v>
      </c>
      <c r="H2511" s="64">
        <v>3421.49</v>
      </c>
      <c r="I2511" s="485">
        <f>ventas_b_mes684[[#This Row],[IMPORTE NETO]]*0.21</f>
        <v>718.51289999999995</v>
      </c>
      <c r="J2511" s="486"/>
      <c r="K2511" s="486"/>
      <c r="L2511" s="486">
        <f>SUM(ventas_b_mes684[[#This Row],[IMPORTE NETO]:[EXENTO]])</f>
        <v>4140.0028999999995</v>
      </c>
      <c r="M2511" s="487"/>
    </row>
    <row r="2512" spans="2:13">
      <c r="B2512" s="40" t="s">
        <v>2325</v>
      </c>
      <c r="C2512" s="41">
        <v>6</v>
      </c>
      <c r="D2512" s="538">
        <v>13</v>
      </c>
      <c r="E2512" s="539">
        <v>32667</v>
      </c>
      <c r="F2512" s="540">
        <v>20560897</v>
      </c>
      <c r="G2512" s="541" t="str">
        <f>IFERROR(IF(ventas_b_mes684[[#This Row],[CUIT]]="","-",VLOOKUP(ventas_b_mes684[[#This Row],[CUIT]],Lista_CUIT[#All],2,0)),"CUIT NO CARGADO")</f>
        <v>CUIT NO CARGADO</v>
      </c>
      <c r="H2512" s="64">
        <v>169190.08</v>
      </c>
      <c r="I2512" s="485">
        <f>ventas_b_mes684[[#This Row],[IMPORTE NETO]]*0.21</f>
        <v>35529.916799999999</v>
      </c>
      <c r="J2512" s="486"/>
      <c r="K2512" s="486"/>
      <c r="L2512" s="486">
        <f>SUM(ventas_b_mes684[[#This Row],[IMPORTE NETO]:[EXENTO]])</f>
        <v>204719.99679999999</v>
      </c>
      <c r="M2512" s="487"/>
    </row>
    <row r="2513" spans="2:13">
      <c r="B2513" s="40" t="s">
        <v>2325</v>
      </c>
      <c r="C2513" s="41">
        <v>6</v>
      </c>
      <c r="D2513" s="538">
        <v>11</v>
      </c>
      <c r="E2513" s="539">
        <v>38481</v>
      </c>
      <c r="F2513" s="540">
        <v>20572305</v>
      </c>
      <c r="G2513" s="541" t="str">
        <f>IFERROR(IF(ventas_b_mes684[[#This Row],[CUIT]]="","-",VLOOKUP(ventas_b_mes684[[#This Row],[CUIT]],Lista_CUIT[#All],2,0)),"CUIT NO CARGADO")</f>
        <v>CUIT NO CARGADO</v>
      </c>
      <c r="H2513" s="64">
        <v>28958.68</v>
      </c>
      <c r="I2513" s="485">
        <f>ventas_b_mes684[[#This Row],[IMPORTE NETO]]*0.21</f>
        <v>6081.3227999999999</v>
      </c>
      <c r="J2513" s="486"/>
      <c r="K2513" s="486"/>
      <c r="L2513" s="486">
        <f>SUM(ventas_b_mes684[[#This Row],[IMPORTE NETO]:[EXENTO]])</f>
        <v>35040.002800000002</v>
      </c>
      <c r="M2513" s="487"/>
    </row>
    <row r="2514" spans="2:13">
      <c r="B2514" s="40" t="s">
        <v>2325</v>
      </c>
      <c r="C2514" s="41">
        <v>6</v>
      </c>
      <c r="D2514" s="538">
        <v>13</v>
      </c>
      <c r="E2514" s="539">
        <v>32664</v>
      </c>
      <c r="F2514" s="540">
        <v>93764635</v>
      </c>
      <c r="G2514" s="541" t="str">
        <f>IFERROR(IF(ventas_b_mes684[[#This Row],[CUIT]]="","-",VLOOKUP(ventas_b_mes684[[#This Row],[CUIT]],Lista_CUIT[#All],2,0)),"CUIT NO CARGADO")</f>
        <v>CUIT NO CARGADO</v>
      </c>
      <c r="H2514" s="64">
        <v>34181.82</v>
      </c>
      <c r="I2514" s="485">
        <f>ventas_b_mes684[[#This Row],[IMPORTE NETO]]*0.21</f>
        <v>7178.1821999999993</v>
      </c>
      <c r="J2514" s="486"/>
      <c r="K2514" s="486"/>
      <c r="L2514" s="486">
        <f>SUM(ventas_b_mes684[[#This Row],[IMPORTE NETO]:[EXENTO]])</f>
        <v>41360.002200000003</v>
      </c>
      <c r="M2514" s="487"/>
    </row>
    <row r="2515" spans="2:13">
      <c r="B2515" s="40" t="s">
        <v>2325</v>
      </c>
      <c r="C2515" s="41">
        <v>6</v>
      </c>
      <c r="D2515" s="538">
        <v>10</v>
      </c>
      <c r="E2515" s="539">
        <v>54765</v>
      </c>
      <c r="F2515" s="540">
        <v>18751658</v>
      </c>
      <c r="G2515" s="541" t="str">
        <f>IFERROR(IF(ventas_b_mes684[[#This Row],[CUIT]]="","-",VLOOKUP(ventas_b_mes684[[#This Row],[CUIT]],Lista_CUIT[#All],2,0)),"CUIT NO CARGADO")</f>
        <v>CUIT NO CARGADO</v>
      </c>
      <c r="H2515" s="64">
        <v>151206.60999999999</v>
      </c>
      <c r="I2515" s="485">
        <f>ventas_b_mes684[[#This Row],[IMPORTE NETO]]*0.21</f>
        <v>31753.388099999996</v>
      </c>
      <c r="J2515" s="486"/>
      <c r="K2515" s="486"/>
      <c r="L2515" s="486">
        <f>SUM(ventas_b_mes684[[#This Row],[IMPORTE NETO]:[EXENTO]])</f>
        <v>182959.99809999997</v>
      </c>
      <c r="M2515" s="487"/>
    </row>
    <row r="2516" spans="2:13">
      <c r="B2516" s="40" t="s">
        <v>2325</v>
      </c>
      <c r="C2516" s="41">
        <v>6</v>
      </c>
      <c r="D2516" s="538">
        <v>10</v>
      </c>
      <c r="E2516" s="539">
        <v>54766</v>
      </c>
      <c r="F2516" s="540">
        <v>18751658</v>
      </c>
      <c r="G2516" s="541" t="str">
        <f>IFERROR(IF(ventas_b_mes684[[#This Row],[CUIT]]="","-",VLOOKUP(ventas_b_mes684[[#This Row],[CUIT]],Lista_CUIT[#All],2,0)),"CUIT NO CARGADO")</f>
        <v>CUIT NO CARGADO</v>
      </c>
      <c r="H2516" s="64">
        <v>46611.58</v>
      </c>
      <c r="I2516" s="485">
        <f>ventas_b_mes684[[#This Row],[IMPORTE NETO]]*0.21</f>
        <v>9788.4318000000003</v>
      </c>
      <c r="J2516" s="486"/>
      <c r="K2516" s="486"/>
      <c r="L2516" s="486">
        <f>SUM(ventas_b_mes684[[#This Row],[IMPORTE NETO]:[EXENTO]])</f>
        <v>56400.0118</v>
      </c>
      <c r="M2516" s="487"/>
    </row>
    <row r="2517" spans="2:13">
      <c r="B2517" s="40" t="s">
        <v>2325</v>
      </c>
      <c r="C2517" s="41">
        <v>6</v>
      </c>
      <c r="D2517" s="538">
        <v>11</v>
      </c>
      <c r="E2517" s="539">
        <v>38493</v>
      </c>
      <c r="F2517" s="540">
        <v>92708396</v>
      </c>
      <c r="G2517" s="541" t="str">
        <f>IFERROR(IF(ventas_b_mes684[[#This Row],[CUIT]]="","-",VLOOKUP(ventas_b_mes684[[#This Row],[CUIT]],Lista_CUIT[#All],2,0)),"CUIT NO CARGADO")</f>
        <v>CUIT NO CARGADO</v>
      </c>
      <c r="H2517" s="64">
        <v>10976.03</v>
      </c>
      <c r="I2517" s="485">
        <f>ventas_b_mes684[[#This Row],[IMPORTE NETO]]*0.21</f>
        <v>2304.9663</v>
      </c>
      <c r="J2517" s="486"/>
      <c r="K2517" s="486"/>
      <c r="L2517" s="486">
        <f>SUM(ventas_b_mes684[[#This Row],[IMPORTE NETO]:[EXENTO]])</f>
        <v>13280.996300000001</v>
      </c>
      <c r="M2517" s="487"/>
    </row>
    <row r="2518" spans="2:13">
      <c r="B2518" s="40" t="s">
        <v>2325</v>
      </c>
      <c r="C2518" s="41">
        <v>6</v>
      </c>
      <c r="D2518" s="538">
        <v>15</v>
      </c>
      <c r="E2518" s="539">
        <v>13572</v>
      </c>
      <c r="F2518" s="540">
        <v>11368071</v>
      </c>
      <c r="G2518" s="541" t="str">
        <f>IFERROR(IF(ventas_b_mes684[[#This Row],[CUIT]]="","-",VLOOKUP(ventas_b_mes684[[#This Row],[CUIT]],Lista_CUIT[#All],2,0)),"CUIT NO CARGADO")</f>
        <v>BURSIK,Norma</v>
      </c>
      <c r="H2518" s="64">
        <v>52033.06</v>
      </c>
      <c r="I2518" s="485">
        <f>ventas_b_mes684[[#This Row],[IMPORTE NETO]]*0.21</f>
        <v>10926.942599999998</v>
      </c>
      <c r="J2518" s="486"/>
      <c r="K2518" s="486"/>
      <c r="L2518" s="486">
        <f>SUM(ventas_b_mes684[[#This Row],[IMPORTE NETO]:[EXENTO]])</f>
        <v>62960.002599999993</v>
      </c>
      <c r="M2518" s="487"/>
    </row>
    <row r="2519" spans="2:13">
      <c r="B2519" s="40" t="s">
        <v>2325</v>
      </c>
      <c r="C2519" s="41">
        <v>6</v>
      </c>
      <c r="D2519" s="538">
        <v>10</v>
      </c>
      <c r="E2519" s="539">
        <v>54772</v>
      </c>
      <c r="F2519" s="540">
        <v>13237807</v>
      </c>
      <c r="G2519" s="541" t="str">
        <f>IFERROR(IF(ventas_b_mes684[[#This Row],[CUIT]]="","-",VLOOKUP(ventas_b_mes684[[#This Row],[CUIT]],Lista_CUIT[#All],2,0)),"CUIT NO CARGADO")</f>
        <v>CUIT NO CARGADO</v>
      </c>
      <c r="H2519" s="64">
        <v>50909.09</v>
      </c>
      <c r="I2519" s="485">
        <f>ventas_b_mes684[[#This Row],[IMPORTE NETO]]*0.21</f>
        <v>10690.908899999999</v>
      </c>
      <c r="J2519" s="486"/>
      <c r="K2519" s="486"/>
      <c r="L2519" s="486">
        <f>SUM(ventas_b_mes684[[#This Row],[IMPORTE NETO]:[EXENTO]])</f>
        <v>61599.998899999991</v>
      </c>
      <c r="M2519" s="487"/>
    </row>
    <row r="2520" spans="2:13">
      <c r="B2520" s="40" t="s">
        <v>2325</v>
      </c>
      <c r="C2520" s="41">
        <v>6</v>
      </c>
      <c r="D2520" s="538">
        <v>10</v>
      </c>
      <c r="E2520" s="539">
        <v>54773</v>
      </c>
      <c r="F2520" s="540">
        <v>20349477</v>
      </c>
      <c r="G2520" s="541" t="str">
        <f>IFERROR(IF(ventas_b_mes684[[#This Row],[CUIT]]="","-",VLOOKUP(ventas_b_mes684[[#This Row],[CUIT]],Lista_CUIT[#All],2,0)),"CUIT NO CARGADO")</f>
        <v>CUIT NO CARGADO</v>
      </c>
      <c r="H2520" s="64">
        <v>57181.82</v>
      </c>
      <c r="I2520" s="485">
        <f>ventas_b_mes684[[#This Row],[IMPORTE NETO]]*0.21</f>
        <v>12008.182199999999</v>
      </c>
      <c r="J2520" s="486"/>
      <c r="K2520" s="486"/>
      <c r="L2520" s="486">
        <f>SUM(ventas_b_mes684[[#This Row],[IMPORTE NETO]:[EXENTO]])</f>
        <v>69190.002200000003</v>
      </c>
      <c r="M2520" s="487"/>
    </row>
    <row r="2521" spans="2:13">
      <c r="B2521" s="40" t="s">
        <v>2325</v>
      </c>
      <c r="C2521" s="41">
        <v>6</v>
      </c>
      <c r="D2521" s="538">
        <v>11</v>
      </c>
      <c r="E2521" s="539">
        <v>38488</v>
      </c>
      <c r="F2521" s="540">
        <v>25174784</v>
      </c>
      <c r="G2521" s="541" t="str">
        <f>IFERROR(IF(ventas_b_mes684[[#This Row],[CUIT]]="","-",VLOOKUP(ventas_b_mes684[[#This Row],[CUIT]],Lista_CUIT[#All],2,0)),"CUIT NO CARGADO")</f>
        <v>CUIT NO CARGADO</v>
      </c>
      <c r="H2521" s="64">
        <v>122314.05</v>
      </c>
      <c r="I2521" s="485">
        <f>ventas_b_mes684[[#This Row],[IMPORTE NETO]]*0.21</f>
        <v>25685.950499999999</v>
      </c>
      <c r="J2521" s="486"/>
      <c r="K2521" s="486"/>
      <c r="L2521" s="486">
        <f>SUM(ventas_b_mes684[[#This Row],[IMPORTE NETO]:[EXENTO]])</f>
        <v>148000.00049999999</v>
      </c>
      <c r="M2521" s="487"/>
    </row>
    <row r="2522" spans="2:13">
      <c r="B2522" s="40" t="s">
        <v>2325</v>
      </c>
      <c r="C2522" s="41">
        <v>6</v>
      </c>
      <c r="D2522" s="538">
        <v>11</v>
      </c>
      <c r="E2522" s="539">
        <v>38492</v>
      </c>
      <c r="F2522" s="540">
        <v>43625296</v>
      </c>
      <c r="G2522" s="541" t="str">
        <f>IFERROR(IF(ventas_b_mes684[[#This Row],[CUIT]]="","-",VLOOKUP(ventas_b_mes684[[#This Row],[CUIT]],Lista_CUIT[#All],2,0)),"CUIT NO CARGADO")</f>
        <v>CUIT NO CARGADO</v>
      </c>
      <c r="H2522" s="64">
        <v>9731.4</v>
      </c>
      <c r="I2522" s="485">
        <f>ventas_b_mes684[[#This Row],[IMPORTE NETO]]*0.21</f>
        <v>2043.5939999999998</v>
      </c>
      <c r="J2522" s="486"/>
      <c r="K2522" s="486"/>
      <c r="L2522" s="486">
        <f>SUM(ventas_b_mes684[[#This Row],[IMPORTE NETO]:[EXENTO]])</f>
        <v>11774.993999999999</v>
      </c>
      <c r="M2522" s="487"/>
    </row>
    <row r="2523" spans="2:13">
      <c r="B2523" s="40" t="s">
        <v>2325</v>
      </c>
      <c r="C2523" s="41">
        <v>6</v>
      </c>
      <c r="D2523" s="538">
        <v>13</v>
      </c>
      <c r="E2523" s="539">
        <v>32669</v>
      </c>
      <c r="F2523" s="540">
        <v>29198939</v>
      </c>
      <c r="G2523" s="541" t="str">
        <f>IFERROR(IF(ventas_b_mes684[[#This Row],[CUIT]]="","-",VLOOKUP(ventas_b_mes684[[#This Row],[CUIT]],Lista_CUIT[#All],2,0)),"CUIT NO CARGADO")</f>
        <v>CUIT NO CARGADO</v>
      </c>
      <c r="H2523" s="64">
        <v>46413.22</v>
      </c>
      <c r="I2523" s="485">
        <f>ventas_b_mes684[[#This Row],[IMPORTE NETO]]*0.21</f>
        <v>9746.7762000000002</v>
      </c>
      <c r="J2523" s="486"/>
      <c r="K2523" s="486"/>
      <c r="L2523" s="486">
        <f>SUM(ventas_b_mes684[[#This Row],[IMPORTE NETO]:[EXENTO]])</f>
        <v>56159.996200000001</v>
      </c>
      <c r="M2523" s="487"/>
    </row>
    <row r="2524" spans="2:13">
      <c r="B2524" s="40" t="s">
        <v>2325</v>
      </c>
      <c r="C2524" s="41">
        <v>6</v>
      </c>
      <c r="D2524" s="538">
        <v>11</v>
      </c>
      <c r="E2524" s="539">
        <v>38483</v>
      </c>
      <c r="F2524" s="540">
        <v>22964838</v>
      </c>
      <c r="G2524" s="541" t="str">
        <f>IFERROR(IF(ventas_b_mes684[[#This Row],[CUIT]]="","-",VLOOKUP(ventas_b_mes684[[#This Row],[CUIT]],Lista_CUIT[#All],2,0)),"CUIT NO CARGADO")</f>
        <v>CUIT NO CARGADO</v>
      </c>
      <c r="H2524" s="64">
        <v>24925.62</v>
      </c>
      <c r="I2524" s="485">
        <f>ventas_b_mes684[[#This Row],[IMPORTE NETO]]*0.21</f>
        <v>5234.3801999999996</v>
      </c>
      <c r="J2524" s="486"/>
      <c r="K2524" s="486"/>
      <c r="L2524" s="486">
        <f>SUM(ventas_b_mes684[[#This Row],[IMPORTE NETO]:[EXENTO]])</f>
        <v>30160.000199999999</v>
      </c>
      <c r="M2524" s="487"/>
    </row>
    <row r="2525" spans="2:13">
      <c r="B2525" s="40" t="s">
        <v>2325</v>
      </c>
      <c r="C2525" s="41">
        <v>6</v>
      </c>
      <c r="D2525" s="538">
        <v>12</v>
      </c>
      <c r="E2525" s="539">
        <v>29940</v>
      </c>
      <c r="F2525" s="540">
        <v>20534859</v>
      </c>
      <c r="G2525" s="541" t="str">
        <f>IFERROR(IF(ventas_b_mes684[[#This Row],[CUIT]]="","-",VLOOKUP(ventas_b_mes684[[#This Row],[CUIT]],Lista_CUIT[#All],2,0)),"CUIT NO CARGADO")</f>
        <v>CUIT NO CARGADO</v>
      </c>
      <c r="H2525" s="64">
        <v>20363.64</v>
      </c>
      <c r="I2525" s="485">
        <f>ventas_b_mes684[[#This Row],[IMPORTE NETO]]*0.21</f>
        <v>4276.3643999999995</v>
      </c>
      <c r="J2525" s="486"/>
      <c r="K2525" s="486"/>
      <c r="L2525" s="486">
        <f>SUM(ventas_b_mes684[[#This Row],[IMPORTE NETO]:[EXENTO]])</f>
        <v>24640.004399999998</v>
      </c>
      <c r="M2525" s="487"/>
    </row>
    <row r="2526" spans="2:13">
      <c r="B2526" s="40" t="s">
        <v>2325</v>
      </c>
      <c r="C2526" s="41">
        <v>6</v>
      </c>
      <c r="D2526" s="538">
        <v>11</v>
      </c>
      <c r="E2526" s="539">
        <v>38479</v>
      </c>
      <c r="F2526" s="540">
        <v>43625296</v>
      </c>
      <c r="G2526" s="541" t="str">
        <f>IFERROR(IF(ventas_b_mes684[[#This Row],[CUIT]]="","-",VLOOKUP(ventas_b_mes684[[#This Row],[CUIT]],Lista_CUIT[#All],2,0)),"CUIT NO CARGADO")</f>
        <v>CUIT NO CARGADO</v>
      </c>
      <c r="H2526" s="64">
        <v>39359.5</v>
      </c>
      <c r="I2526" s="485">
        <f>ventas_b_mes684[[#This Row],[IMPORTE NETO]]*0.21</f>
        <v>8265.494999999999</v>
      </c>
      <c r="J2526" s="486"/>
      <c r="K2526" s="486"/>
      <c r="L2526" s="486">
        <f>SUM(ventas_b_mes684[[#This Row],[IMPORTE NETO]:[EXENTO]])</f>
        <v>47624.994999999995</v>
      </c>
      <c r="M2526" s="487"/>
    </row>
    <row r="2527" spans="2:13">
      <c r="B2527" s="40" t="s">
        <v>2325</v>
      </c>
      <c r="C2527" s="41">
        <v>6</v>
      </c>
      <c r="D2527" s="538">
        <v>11</v>
      </c>
      <c r="E2527" s="539">
        <v>38490</v>
      </c>
      <c r="F2527" s="540">
        <v>18432994</v>
      </c>
      <c r="G2527" s="541" t="str">
        <f>IFERROR(IF(ventas_b_mes684[[#This Row],[CUIT]]="","-",VLOOKUP(ventas_b_mes684[[#This Row],[CUIT]],Lista_CUIT[#All],2,0)),"CUIT NO CARGADO")</f>
        <v>CUIT NO CARGADO</v>
      </c>
      <c r="H2527" s="64">
        <v>25520.66</v>
      </c>
      <c r="I2527" s="485">
        <f>ventas_b_mes684[[#This Row],[IMPORTE NETO]]*0.21</f>
        <v>5359.3386</v>
      </c>
      <c r="J2527" s="486"/>
      <c r="K2527" s="486"/>
      <c r="L2527" s="486">
        <f>SUM(ventas_b_mes684[[#This Row],[IMPORTE NETO]:[EXENTO]])</f>
        <v>30879.998599999999</v>
      </c>
      <c r="M2527" s="487"/>
    </row>
    <row r="2528" spans="2:13">
      <c r="B2528" s="40" t="s">
        <v>2325</v>
      </c>
      <c r="C2528" s="41">
        <v>6</v>
      </c>
      <c r="D2528" s="538">
        <v>12</v>
      </c>
      <c r="E2528" s="539">
        <v>29941</v>
      </c>
      <c r="F2528" s="540">
        <v>26147779</v>
      </c>
      <c r="G2528" s="541" t="str">
        <f>IFERROR(IF(ventas_b_mes684[[#This Row],[CUIT]]="","-",VLOOKUP(ventas_b_mes684[[#This Row],[CUIT]],Lista_CUIT[#All],2,0)),"CUIT NO CARGADO")</f>
        <v>CUIT NO CARGADO</v>
      </c>
      <c r="H2528" s="64">
        <v>98181.82</v>
      </c>
      <c r="I2528" s="485">
        <f>ventas_b_mes684[[#This Row],[IMPORTE NETO]]*0.21</f>
        <v>20618.182199999999</v>
      </c>
      <c r="J2528" s="486"/>
      <c r="K2528" s="486"/>
      <c r="L2528" s="486">
        <f>SUM(ventas_b_mes684[[#This Row],[IMPORTE NETO]:[EXENTO]])</f>
        <v>118800.0022</v>
      </c>
      <c r="M2528" s="487"/>
    </row>
    <row r="2529" spans="2:13">
      <c r="B2529" s="40" t="s">
        <v>2325</v>
      </c>
      <c r="C2529" s="41">
        <v>6</v>
      </c>
      <c r="D2529" s="538">
        <v>15</v>
      </c>
      <c r="E2529" s="539">
        <v>13569</v>
      </c>
      <c r="F2529" s="540">
        <v>27687487</v>
      </c>
      <c r="G2529" s="541" t="str">
        <f>IFERROR(IF(ventas_b_mes684[[#This Row],[CUIT]]="","-",VLOOKUP(ventas_b_mes684[[#This Row],[CUIT]],Lista_CUIT[#All],2,0)),"CUIT NO CARGADO")</f>
        <v>CUIT NO CARGADO</v>
      </c>
      <c r="H2529" s="64">
        <v>5884.3</v>
      </c>
      <c r="I2529" s="485">
        <f>ventas_b_mes684[[#This Row],[IMPORTE NETO]]*0.21</f>
        <v>1235.703</v>
      </c>
      <c r="J2529" s="486"/>
      <c r="K2529" s="486"/>
      <c r="L2529" s="486">
        <f>SUM(ventas_b_mes684[[#This Row],[IMPORTE NETO]:[EXENTO]])</f>
        <v>7120.0030000000006</v>
      </c>
      <c r="M2529" s="487"/>
    </row>
    <row r="2530" spans="2:13">
      <c r="B2530" s="40" t="s">
        <v>2325</v>
      </c>
      <c r="C2530" s="41">
        <v>6</v>
      </c>
      <c r="D2530" s="538">
        <v>12</v>
      </c>
      <c r="E2530" s="539">
        <v>29949</v>
      </c>
      <c r="F2530" s="540">
        <v>26626528</v>
      </c>
      <c r="G2530" s="541" t="str">
        <f>IFERROR(IF(ventas_b_mes684[[#This Row],[CUIT]]="","-",VLOOKUP(ventas_b_mes684[[#This Row],[CUIT]],Lista_CUIT[#All],2,0)),"CUIT NO CARGADO")</f>
        <v>CUIT NO CARGADO</v>
      </c>
      <c r="H2530" s="64">
        <v>3636.36</v>
      </c>
      <c r="I2530" s="485">
        <f>ventas_b_mes684[[#This Row],[IMPORTE NETO]]*0.21</f>
        <v>763.63559999999995</v>
      </c>
      <c r="J2530" s="486"/>
      <c r="K2530" s="486"/>
      <c r="L2530" s="486">
        <f>SUM(ventas_b_mes684[[#This Row],[IMPORTE NETO]:[EXENTO]])</f>
        <v>4399.9956000000002</v>
      </c>
      <c r="M2530" s="487"/>
    </row>
    <row r="2531" spans="2:13">
      <c r="B2531" s="40" t="s">
        <v>2325</v>
      </c>
      <c r="C2531" s="41">
        <v>6</v>
      </c>
      <c r="D2531" s="538">
        <v>15</v>
      </c>
      <c r="E2531" s="539">
        <v>13563</v>
      </c>
      <c r="F2531" s="540">
        <v>33086577</v>
      </c>
      <c r="G2531" s="541" t="str">
        <f>IFERROR(IF(ventas_b_mes684[[#This Row],[CUIT]]="","-",VLOOKUP(ventas_b_mes684[[#This Row],[CUIT]],Lista_CUIT[#All],2,0)),"CUIT NO CARGADO")</f>
        <v>CUIT NO CARGADO</v>
      </c>
      <c r="H2531" s="64">
        <v>15933.88</v>
      </c>
      <c r="I2531" s="485">
        <f>ventas_b_mes684[[#This Row],[IMPORTE NETO]]*0.21</f>
        <v>3346.1147999999998</v>
      </c>
      <c r="J2531" s="486"/>
      <c r="K2531" s="486"/>
      <c r="L2531" s="486">
        <f>SUM(ventas_b_mes684[[#This Row],[IMPORTE NETO]:[EXENTO]])</f>
        <v>19279.9948</v>
      </c>
      <c r="M2531" s="487"/>
    </row>
    <row r="2532" spans="2:13">
      <c r="B2532" s="40" t="s">
        <v>2325</v>
      </c>
      <c r="C2532" s="41">
        <v>6</v>
      </c>
      <c r="D2532" s="538">
        <v>12</v>
      </c>
      <c r="E2532" s="539">
        <v>29952</v>
      </c>
      <c r="F2532" s="540">
        <v>25802685</v>
      </c>
      <c r="G2532" s="541" t="str">
        <f>IFERROR(IF(ventas_b_mes684[[#This Row],[CUIT]]="","-",VLOOKUP(ventas_b_mes684[[#This Row],[CUIT]],Lista_CUIT[#All],2,0)),"CUIT NO CARGADO")</f>
        <v>CUIT NO CARGADO</v>
      </c>
      <c r="H2532" s="64">
        <v>5289.26</v>
      </c>
      <c r="I2532" s="485">
        <f>ventas_b_mes684[[#This Row],[IMPORTE NETO]]*0.21</f>
        <v>1110.7446</v>
      </c>
      <c r="J2532" s="486"/>
      <c r="K2532" s="486"/>
      <c r="L2532" s="486">
        <f>SUM(ventas_b_mes684[[#This Row],[IMPORTE NETO]:[EXENTO]])</f>
        <v>6400.0046000000002</v>
      </c>
      <c r="M2532" s="487"/>
    </row>
    <row r="2533" spans="2:13">
      <c r="B2533" s="40" t="s">
        <v>2325</v>
      </c>
      <c r="C2533" s="41">
        <v>6</v>
      </c>
      <c r="D2533" s="538">
        <v>15</v>
      </c>
      <c r="E2533" s="539">
        <v>13577</v>
      </c>
      <c r="F2533" s="540">
        <v>38453129</v>
      </c>
      <c r="G2533" s="541" t="str">
        <f>IFERROR(IF(ventas_b_mes684[[#This Row],[CUIT]]="","-",VLOOKUP(ventas_b_mes684[[#This Row],[CUIT]],Lista_CUIT[#All],2,0)),"CUIT NO CARGADO")</f>
        <v>CUIT NO CARGADO</v>
      </c>
      <c r="H2533" s="64">
        <v>9256.2000000000007</v>
      </c>
      <c r="I2533" s="485">
        <f>ventas_b_mes684[[#This Row],[IMPORTE NETO]]*0.21</f>
        <v>1943.8020000000001</v>
      </c>
      <c r="J2533" s="486"/>
      <c r="K2533" s="486"/>
      <c r="L2533" s="486">
        <f>SUM(ventas_b_mes684[[#This Row],[IMPORTE NETO]:[EXENTO]])</f>
        <v>11200.002</v>
      </c>
      <c r="M2533" s="487"/>
    </row>
    <row r="2534" spans="2:13">
      <c r="B2534" s="40" t="s">
        <v>2325</v>
      </c>
      <c r="C2534" s="41">
        <v>6</v>
      </c>
      <c r="D2534" s="538">
        <v>11</v>
      </c>
      <c r="E2534" s="539">
        <v>38480</v>
      </c>
      <c r="F2534" s="540">
        <v>28890840</v>
      </c>
      <c r="G2534" s="541" t="str">
        <f>IFERROR(IF(ventas_b_mes684[[#This Row],[CUIT]]="","-",VLOOKUP(ventas_b_mes684[[#This Row],[CUIT]],Lista_CUIT[#All],2,0)),"CUIT NO CARGADO")</f>
        <v>CUIT NO CARGADO</v>
      </c>
      <c r="H2534" s="64">
        <v>33657.019999999997</v>
      </c>
      <c r="I2534" s="485">
        <f>ventas_b_mes684[[#This Row],[IMPORTE NETO]]*0.21</f>
        <v>7067.9741999999987</v>
      </c>
      <c r="J2534" s="486"/>
      <c r="K2534" s="486"/>
      <c r="L2534" s="486">
        <f>SUM(ventas_b_mes684[[#This Row],[IMPORTE NETO]:[EXENTO]])</f>
        <v>40724.994199999994</v>
      </c>
      <c r="M2534" s="487"/>
    </row>
    <row r="2535" spans="2:13">
      <c r="B2535" s="40" t="s">
        <v>2325</v>
      </c>
      <c r="C2535" s="41">
        <v>6</v>
      </c>
      <c r="D2535" s="538">
        <v>10</v>
      </c>
      <c r="E2535" s="539">
        <v>54768</v>
      </c>
      <c r="F2535" s="540">
        <v>24935723</v>
      </c>
      <c r="G2535" s="541" t="str">
        <f>IFERROR(IF(ventas_b_mes684[[#This Row],[CUIT]]="","-",VLOOKUP(ventas_b_mes684[[#This Row],[CUIT]],Lista_CUIT[#All],2,0)),"CUIT NO CARGADO")</f>
        <v>CUIT NO CARGADO</v>
      </c>
      <c r="H2535" s="64">
        <v>36942.15</v>
      </c>
      <c r="I2535" s="485">
        <f>ventas_b_mes684[[#This Row],[IMPORTE NETO]]*0.21</f>
        <v>7757.8514999999998</v>
      </c>
      <c r="J2535" s="486"/>
      <c r="K2535" s="486"/>
      <c r="L2535" s="486">
        <f>SUM(ventas_b_mes684[[#This Row],[IMPORTE NETO]:[EXENTO]])</f>
        <v>44700.001499999998</v>
      </c>
      <c r="M2535" s="487"/>
    </row>
    <row r="2536" spans="2:13">
      <c r="B2536" s="40" t="s">
        <v>2325</v>
      </c>
      <c r="C2536" s="41">
        <v>6</v>
      </c>
      <c r="D2536" s="538">
        <v>15</v>
      </c>
      <c r="E2536" s="539">
        <v>13570</v>
      </c>
      <c r="F2536" s="540">
        <v>27687487</v>
      </c>
      <c r="G2536" s="541" t="str">
        <f>IFERROR(IF(ventas_b_mes684[[#This Row],[CUIT]]="","-",VLOOKUP(ventas_b_mes684[[#This Row],[CUIT]],Lista_CUIT[#All],2,0)),"CUIT NO CARGADO")</f>
        <v>CUIT NO CARGADO</v>
      </c>
      <c r="H2536" s="64">
        <v>16462.810000000001</v>
      </c>
      <c r="I2536" s="485">
        <f>ventas_b_mes684[[#This Row],[IMPORTE NETO]]*0.21</f>
        <v>3457.1901000000003</v>
      </c>
      <c r="J2536" s="486"/>
      <c r="K2536" s="486"/>
      <c r="L2536" s="486">
        <f>SUM(ventas_b_mes684[[#This Row],[IMPORTE NETO]:[EXENTO]])</f>
        <v>19920.000100000001</v>
      </c>
      <c r="M2536" s="487"/>
    </row>
    <row r="2537" spans="2:13">
      <c r="B2537" s="40" t="s">
        <v>2325</v>
      </c>
      <c r="C2537" s="41">
        <v>6</v>
      </c>
      <c r="D2537" s="538">
        <v>10</v>
      </c>
      <c r="E2537" s="539">
        <v>54769</v>
      </c>
      <c r="F2537" s="540">
        <v>27358751054</v>
      </c>
      <c r="G2537" s="541" t="str">
        <f>IFERROR(IF(ventas_b_mes684[[#This Row],[CUIT]]="","-",VLOOKUP(ventas_b_mes684[[#This Row],[CUIT]],Lista_CUIT[#All],2,0)),"CUIT NO CARGADO")</f>
        <v>CUIT NO CARGADO</v>
      </c>
      <c r="H2537" s="64">
        <v>139803.68</v>
      </c>
      <c r="I2537" s="485">
        <f>ventas_b_mes684[[#This Row],[IMPORTE NETO]]*0.21</f>
        <v>29358.772799999999</v>
      </c>
      <c r="J2537" s="486"/>
      <c r="K2537" s="486"/>
      <c r="L2537" s="486">
        <f>SUM(ventas_b_mes684[[#This Row],[IMPORTE NETO]:[EXENTO]])</f>
        <v>169162.4528</v>
      </c>
      <c r="M2537" s="487"/>
    </row>
    <row r="2538" spans="2:13">
      <c r="B2538" s="40" t="s">
        <v>2325</v>
      </c>
      <c r="C2538" s="41">
        <v>6</v>
      </c>
      <c r="D2538" s="538">
        <v>15</v>
      </c>
      <c r="E2538" s="539">
        <v>13562</v>
      </c>
      <c r="F2538" s="540">
        <v>38439933</v>
      </c>
      <c r="G2538" s="541" t="str">
        <f>IFERROR(IF(ventas_b_mes684[[#This Row],[CUIT]]="","-",VLOOKUP(ventas_b_mes684[[#This Row],[CUIT]],Lista_CUIT[#All],2,0)),"CUIT NO CARGADO")</f>
        <v>CUIT NO CARGADO</v>
      </c>
      <c r="H2538" s="64">
        <v>36099.17</v>
      </c>
      <c r="I2538" s="485">
        <f>ventas_b_mes684[[#This Row],[IMPORTE NETO]]*0.21</f>
        <v>7580.8256999999994</v>
      </c>
      <c r="J2538" s="486"/>
      <c r="K2538" s="486"/>
      <c r="L2538" s="486">
        <f>SUM(ventas_b_mes684[[#This Row],[IMPORTE NETO]:[EXENTO]])</f>
        <v>43679.995699999999</v>
      </c>
      <c r="M2538" s="487"/>
    </row>
    <row r="2539" spans="2:13">
      <c r="B2539" s="40" t="s">
        <v>2325</v>
      </c>
      <c r="C2539" s="41">
        <v>6</v>
      </c>
      <c r="D2539" s="538">
        <v>10</v>
      </c>
      <c r="E2539" s="539">
        <v>54779</v>
      </c>
      <c r="F2539" s="540">
        <v>18317592</v>
      </c>
      <c r="G2539" s="541" t="str">
        <f>IFERROR(IF(ventas_b_mes684[[#This Row],[CUIT]]="","-",VLOOKUP(ventas_b_mes684[[#This Row],[CUIT]],Lista_CUIT[#All],2,0)),"CUIT NO CARGADO")</f>
        <v>CUIT NO CARGADO</v>
      </c>
      <c r="H2539" s="64">
        <v>66975.22</v>
      </c>
      <c r="I2539" s="485">
        <f>ventas_b_mes684[[#This Row],[IMPORTE NETO]]*0.21</f>
        <v>14064.796199999999</v>
      </c>
      <c r="J2539" s="486"/>
      <c r="K2539" s="486"/>
      <c r="L2539" s="486">
        <f>SUM(ventas_b_mes684[[#This Row],[IMPORTE NETO]:[EXENTO]])</f>
        <v>81040.016199999998</v>
      </c>
      <c r="M2539" s="487"/>
    </row>
    <row r="2540" spans="2:13">
      <c r="B2540" s="40" t="s">
        <v>2325</v>
      </c>
      <c r="C2540" s="41">
        <v>6</v>
      </c>
      <c r="D2540" s="538">
        <v>11</v>
      </c>
      <c r="E2540" s="539">
        <v>38478</v>
      </c>
      <c r="F2540" s="540">
        <v>13256715</v>
      </c>
      <c r="G2540" s="541" t="str">
        <f>IFERROR(IF(ventas_b_mes684[[#This Row],[CUIT]]="","-",VLOOKUP(ventas_b_mes684[[#This Row],[CUIT]],Lista_CUIT[#All],2,0)),"CUIT NO CARGADO")</f>
        <v>CUIT NO CARGADO</v>
      </c>
      <c r="H2540" s="64">
        <v>49103.29</v>
      </c>
      <c r="I2540" s="485">
        <f>ventas_b_mes684[[#This Row],[IMPORTE NETO]]*0.21</f>
        <v>10311.6909</v>
      </c>
      <c r="J2540" s="486"/>
      <c r="K2540" s="486"/>
      <c r="L2540" s="486">
        <f>SUM(ventas_b_mes684[[#This Row],[IMPORTE NETO]:[EXENTO]])</f>
        <v>59414.980900000002</v>
      </c>
      <c r="M2540" s="487"/>
    </row>
    <row r="2541" spans="2:13">
      <c r="B2541" s="40" t="s">
        <v>2325</v>
      </c>
      <c r="C2541" s="41">
        <v>6</v>
      </c>
      <c r="D2541" s="538">
        <v>11</v>
      </c>
      <c r="E2541" s="539">
        <v>38477</v>
      </c>
      <c r="F2541" s="540">
        <v>13256715</v>
      </c>
      <c r="G2541" s="541" t="str">
        <f>IFERROR(IF(ventas_b_mes684[[#This Row],[CUIT]]="","-",VLOOKUP(ventas_b_mes684[[#This Row],[CUIT]],Lista_CUIT[#All],2,0)),"CUIT NO CARGADO")</f>
        <v>CUIT NO CARGADO</v>
      </c>
      <c r="H2541" s="64">
        <v>91111.679999999993</v>
      </c>
      <c r="I2541" s="485">
        <f>ventas_b_mes684[[#This Row],[IMPORTE NETO]]*0.21</f>
        <v>19133.452799999999</v>
      </c>
      <c r="J2541" s="486"/>
      <c r="K2541" s="486"/>
      <c r="L2541" s="486">
        <f>SUM(ventas_b_mes684[[#This Row],[IMPORTE NETO]:[EXENTO]])</f>
        <v>110245.13279999999</v>
      </c>
      <c r="M2541" s="487"/>
    </row>
    <row r="2542" spans="2:13">
      <c r="B2542" s="40" t="s">
        <v>2325</v>
      </c>
      <c r="C2542" s="41">
        <v>6</v>
      </c>
      <c r="D2542" s="538">
        <v>11</v>
      </c>
      <c r="E2542" s="539">
        <v>38491</v>
      </c>
      <c r="F2542" s="540">
        <v>92708396</v>
      </c>
      <c r="G2542" s="541" t="str">
        <f>IFERROR(IF(ventas_b_mes684[[#This Row],[CUIT]]="","-",VLOOKUP(ventas_b_mes684[[#This Row],[CUIT]],Lista_CUIT[#All],2,0)),"CUIT NO CARGADO")</f>
        <v>CUIT NO CARGADO</v>
      </c>
      <c r="H2542" s="64">
        <v>62082.65</v>
      </c>
      <c r="I2542" s="485">
        <f>ventas_b_mes684[[#This Row],[IMPORTE NETO]]*0.21</f>
        <v>13037.3565</v>
      </c>
      <c r="J2542" s="486"/>
      <c r="K2542" s="486"/>
      <c r="L2542" s="486">
        <f>SUM(ventas_b_mes684[[#This Row],[IMPORTE NETO]:[EXENTO]])</f>
        <v>75120.006500000003</v>
      </c>
      <c r="M2542" s="487"/>
    </row>
    <row r="2543" spans="2:13">
      <c r="B2543" s="40" t="s">
        <v>2325</v>
      </c>
      <c r="C2543" s="41">
        <v>6</v>
      </c>
      <c r="D2543" s="538">
        <v>12</v>
      </c>
      <c r="E2543" s="539">
        <v>29944</v>
      </c>
      <c r="F2543" s="540">
        <v>4932222</v>
      </c>
      <c r="G2543" s="541" t="str">
        <f>IFERROR(IF(ventas_b_mes684[[#This Row],[CUIT]]="","-",VLOOKUP(ventas_b_mes684[[#This Row],[CUIT]],Lista_CUIT[#All],2,0)),"CUIT NO CARGADO")</f>
        <v>CUIT NO CARGADO</v>
      </c>
      <c r="H2543" s="64">
        <v>38281.040000000001</v>
      </c>
      <c r="I2543" s="485">
        <f>ventas_b_mes684[[#This Row],[IMPORTE NETO]]*0.21</f>
        <v>8039.0183999999999</v>
      </c>
      <c r="J2543" s="486"/>
      <c r="K2543" s="486"/>
      <c r="L2543" s="486">
        <f>SUM(ventas_b_mes684[[#This Row],[IMPORTE NETO]:[EXENTO]])</f>
        <v>46320.058400000002</v>
      </c>
      <c r="M2543" s="487"/>
    </row>
    <row r="2544" spans="2:13">
      <c r="B2544" s="40" t="s">
        <v>2325</v>
      </c>
      <c r="C2544" s="41">
        <v>6</v>
      </c>
      <c r="D2544" s="538">
        <v>11</v>
      </c>
      <c r="E2544" s="539">
        <v>38499</v>
      </c>
      <c r="F2544" s="540">
        <v>28378051</v>
      </c>
      <c r="G2544" s="541" t="str">
        <f>IFERROR(IF(ventas_b_mes684[[#This Row],[CUIT]]="","-",VLOOKUP(ventas_b_mes684[[#This Row],[CUIT]],Lista_CUIT[#All],2,0)),"CUIT NO CARGADO")</f>
        <v>CUIT NO CARGADO</v>
      </c>
      <c r="H2544" s="64">
        <v>46752.07</v>
      </c>
      <c r="I2544" s="485">
        <f>ventas_b_mes684[[#This Row],[IMPORTE NETO]]*0.21</f>
        <v>9817.9346999999998</v>
      </c>
      <c r="J2544" s="486"/>
      <c r="K2544" s="486"/>
      <c r="L2544" s="486">
        <f>SUM(ventas_b_mes684[[#This Row],[IMPORTE NETO]:[EXENTO]])</f>
        <v>56570.004699999998</v>
      </c>
      <c r="M2544" s="487"/>
    </row>
    <row r="2545" spans="2:13">
      <c r="B2545" s="40" t="s">
        <v>2325</v>
      </c>
      <c r="C2545" s="41">
        <v>6</v>
      </c>
      <c r="D2545" s="538">
        <v>10</v>
      </c>
      <c r="E2545" s="539">
        <v>54778</v>
      </c>
      <c r="F2545" s="540">
        <v>47953224</v>
      </c>
      <c r="G2545" s="541" t="str">
        <f>IFERROR(IF(ventas_b_mes684[[#This Row],[CUIT]]="","-",VLOOKUP(ventas_b_mes684[[#This Row],[CUIT]],Lista_CUIT[#All],2,0)),"CUIT NO CARGADO")</f>
        <v>CUIT NO CARGADO</v>
      </c>
      <c r="H2545" s="64">
        <v>27570.25</v>
      </c>
      <c r="I2545" s="485">
        <f>ventas_b_mes684[[#This Row],[IMPORTE NETO]]*0.21</f>
        <v>5789.7524999999996</v>
      </c>
      <c r="J2545" s="486"/>
      <c r="K2545" s="486"/>
      <c r="L2545" s="486">
        <f>SUM(ventas_b_mes684[[#This Row],[IMPORTE NETO]:[EXENTO]])</f>
        <v>33360.002500000002</v>
      </c>
      <c r="M2545" s="487"/>
    </row>
    <row r="2546" spans="2:13">
      <c r="B2546" s="40" t="s">
        <v>2325</v>
      </c>
      <c r="C2546" s="41">
        <v>6</v>
      </c>
      <c r="D2546" s="538">
        <v>12</v>
      </c>
      <c r="E2546" s="539">
        <v>29948</v>
      </c>
      <c r="F2546" s="540">
        <v>41782389</v>
      </c>
      <c r="G2546" s="541" t="str">
        <f>IFERROR(IF(ventas_b_mes684[[#This Row],[CUIT]]="","-",VLOOKUP(ventas_b_mes684[[#This Row],[CUIT]],Lista_CUIT[#All],2,0)),"CUIT NO CARGADO")</f>
        <v>CUIT NO CARGADO</v>
      </c>
      <c r="H2546" s="64">
        <v>5289.26</v>
      </c>
      <c r="I2546" s="485">
        <f>ventas_b_mes684[[#This Row],[IMPORTE NETO]]*0.21</f>
        <v>1110.7446</v>
      </c>
      <c r="J2546" s="486"/>
      <c r="K2546" s="486"/>
      <c r="L2546" s="486">
        <f>SUM(ventas_b_mes684[[#This Row],[IMPORTE NETO]:[EXENTO]])</f>
        <v>6400.0046000000002</v>
      </c>
      <c r="M2546" s="487"/>
    </row>
    <row r="2547" spans="2:13">
      <c r="B2547" s="40" t="s">
        <v>2325</v>
      </c>
      <c r="C2547" s="41">
        <v>6</v>
      </c>
      <c r="D2547" s="538">
        <v>11</v>
      </c>
      <c r="E2547" s="539">
        <v>38482</v>
      </c>
      <c r="F2547" s="540">
        <v>38890414</v>
      </c>
      <c r="G2547" s="541" t="str">
        <f>IFERROR(IF(ventas_b_mes684[[#This Row],[CUIT]]="","-",VLOOKUP(ventas_b_mes684[[#This Row],[CUIT]],Lista_CUIT[#All],2,0)),"CUIT NO CARGADO")</f>
        <v>CUIT NO CARGADO</v>
      </c>
      <c r="H2547" s="64">
        <v>15735.54</v>
      </c>
      <c r="I2547" s="485">
        <f>ventas_b_mes684[[#This Row],[IMPORTE NETO]]*0.21</f>
        <v>3304.4634000000001</v>
      </c>
      <c r="J2547" s="486"/>
      <c r="K2547" s="486"/>
      <c r="L2547" s="486">
        <f>SUM(ventas_b_mes684[[#This Row],[IMPORTE NETO]:[EXENTO]])</f>
        <v>19040.003400000001</v>
      </c>
      <c r="M2547" s="487"/>
    </row>
    <row r="2548" spans="2:13">
      <c r="B2548" s="40" t="s">
        <v>2325</v>
      </c>
      <c r="C2548" s="41">
        <v>6</v>
      </c>
      <c r="D2548" s="538">
        <v>15</v>
      </c>
      <c r="E2548" s="539">
        <v>13568</v>
      </c>
      <c r="F2548" s="540">
        <v>184424711</v>
      </c>
      <c r="G2548" s="541" t="str">
        <f>IFERROR(IF(ventas_b_mes684[[#This Row],[CUIT]]="","-",VLOOKUP(ventas_b_mes684[[#This Row],[CUIT]],Lista_CUIT[#All],2,0)),"CUIT NO CARGADO")</f>
        <v>CUIT NO CARGADO</v>
      </c>
      <c r="H2548" s="64">
        <v>7933.88</v>
      </c>
      <c r="I2548" s="485">
        <f>ventas_b_mes684[[#This Row],[IMPORTE NETO]]*0.21</f>
        <v>1666.1148000000001</v>
      </c>
      <c r="J2548" s="486"/>
      <c r="K2548" s="486"/>
      <c r="L2548" s="486">
        <f>SUM(ventas_b_mes684[[#This Row],[IMPORTE NETO]:[EXENTO]])</f>
        <v>9599.9948000000004</v>
      </c>
      <c r="M2548" s="487"/>
    </row>
    <row r="2549" spans="2:13">
      <c r="B2549" s="40" t="s">
        <v>2325</v>
      </c>
      <c r="C2549" s="41">
        <v>6</v>
      </c>
      <c r="D2549" s="538">
        <v>10</v>
      </c>
      <c r="E2549" s="539">
        <v>54771</v>
      </c>
      <c r="F2549" s="540">
        <v>22114947</v>
      </c>
      <c r="G2549" s="541" t="str">
        <f>IFERROR(IF(ventas_b_mes684[[#This Row],[CUIT]]="","-",VLOOKUP(ventas_b_mes684[[#This Row],[CUIT]],Lista_CUIT[#All],2,0)),"CUIT NO CARGADO")</f>
        <v>CUIT NO CARGADO</v>
      </c>
      <c r="H2549" s="64">
        <v>38570.28</v>
      </c>
      <c r="I2549" s="485">
        <f>ventas_b_mes684[[#This Row],[IMPORTE NETO]]*0.21</f>
        <v>8099.7587999999996</v>
      </c>
      <c r="J2549" s="486"/>
      <c r="K2549" s="486"/>
      <c r="L2549" s="486">
        <f>SUM(ventas_b_mes684[[#This Row],[IMPORTE NETO]:[EXENTO]])</f>
        <v>46670.038799999995</v>
      </c>
      <c r="M2549" s="487"/>
    </row>
    <row r="2550" spans="2:13">
      <c r="B2550" s="40" t="s">
        <v>2325</v>
      </c>
      <c r="C2550" s="41">
        <v>6</v>
      </c>
      <c r="D2550" s="538">
        <v>13</v>
      </c>
      <c r="E2550" s="539">
        <v>32665</v>
      </c>
      <c r="F2550" s="540">
        <v>10313563</v>
      </c>
      <c r="G2550" s="541" t="str">
        <f>IFERROR(IF(ventas_b_mes684[[#This Row],[CUIT]]="","-",VLOOKUP(ventas_b_mes684[[#This Row],[CUIT]],Lista_CUIT[#All],2,0)),"CUIT NO CARGADO")</f>
        <v>CUIT NO CARGADO</v>
      </c>
      <c r="H2550" s="64">
        <v>63537.19</v>
      </c>
      <c r="I2550" s="485">
        <f>ventas_b_mes684[[#This Row],[IMPORTE NETO]]*0.21</f>
        <v>13342.8099</v>
      </c>
      <c r="J2550" s="486"/>
      <c r="K2550" s="486"/>
      <c r="L2550" s="486">
        <f>SUM(ventas_b_mes684[[#This Row],[IMPORTE NETO]:[EXENTO]])</f>
        <v>76879.999899999995</v>
      </c>
      <c r="M2550" s="487"/>
    </row>
    <row r="2551" spans="2:13">
      <c r="B2551" s="40" t="s">
        <v>2325</v>
      </c>
      <c r="C2551" s="41">
        <v>6</v>
      </c>
      <c r="D2551" s="538">
        <v>15</v>
      </c>
      <c r="E2551" s="539">
        <v>13567</v>
      </c>
      <c r="F2551" s="540">
        <v>184424711</v>
      </c>
      <c r="G2551" s="541" t="str">
        <f>IFERROR(IF(ventas_b_mes684[[#This Row],[CUIT]]="","-",VLOOKUP(ventas_b_mes684[[#This Row],[CUIT]],Lista_CUIT[#All],2,0)),"CUIT NO CARGADO")</f>
        <v>CUIT NO CARGADO</v>
      </c>
      <c r="H2551" s="64">
        <v>20661.16</v>
      </c>
      <c r="I2551" s="485">
        <f>ventas_b_mes684[[#This Row],[IMPORTE NETO]]*0.21</f>
        <v>4338.8436000000002</v>
      </c>
      <c r="J2551" s="486"/>
      <c r="K2551" s="486"/>
      <c r="L2551" s="486">
        <f>SUM(ventas_b_mes684[[#This Row],[IMPORTE NETO]:[EXENTO]])</f>
        <v>25000.0036</v>
      </c>
      <c r="M2551" s="487"/>
    </row>
    <row r="2552" spans="2:13">
      <c r="B2552" s="40" t="s">
        <v>2325</v>
      </c>
      <c r="C2552" s="41">
        <v>6</v>
      </c>
      <c r="D2552" s="538">
        <v>15</v>
      </c>
      <c r="E2552" s="539">
        <v>13566</v>
      </c>
      <c r="F2552" s="540">
        <v>40808377</v>
      </c>
      <c r="G2552" s="541" t="str">
        <f>IFERROR(IF(ventas_b_mes684[[#This Row],[CUIT]]="","-",VLOOKUP(ventas_b_mes684[[#This Row],[CUIT]],Lista_CUIT[#All],2,0)),"CUIT NO CARGADO")</f>
        <v>CUIT NO CARGADO</v>
      </c>
      <c r="H2552" s="64">
        <v>7933.88</v>
      </c>
      <c r="I2552" s="485">
        <f>ventas_b_mes684[[#This Row],[IMPORTE NETO]]*0.21</f>
        <v>1666.1148000000001</v>
      </c>
      <c r="J2552" s="486"/>
      <c r="K2552" s="486"/>
      <c r="L2552" s="486">
        <f>SUM(ventas_b_mes684[[#This Row],[IMPORTE NETO]:[EXENTO]])</f>
        <v>9599.9948000000004</v>
      </c>
      <c r="M2552" s="487"/>
    </row>
    <row r="2553" spans="2:13">
      <c r="B2553" s="40" t="s">
        <v>2325</v>
      </c>
      <c r="C2553" s="41">
        <v>8</v>
      </c>
      <c r="D2553" s="538">
        <v>11</v>
      </c>
      <c r="E2553" s="539">
        <v>1048</v>
      </c>
      <c r="F2553" s="540">
        <v>4524165</v>
      </c>
      <c r="G2553" s="541" t="str">
        <f>IFERROR(IF(ventas_b_mes684[[#This Row],[CUIT]]="","-",VLOOKUP(ventas_b_mes684[[#This Row],[CUIT]],Lista_CUIT[#All],2,0)),"CUIT NO CARGADO")</f>
        <v>CUIT NO CARGADO</v>
      </c>
      <c r="H2553" s="64">
        <v>-3504.13</v>
      </c>
      <c r="I2553" s="485">
        <f>ventas_b_mes684[[#This Row],[IMPORTE NETO]]*0.21</f>
        <v>-735.8673</v>
      </c>
      <c r="J2553" s="486"/>
      <c r="K2553" s="486"/>
      <c r="L2553" s="486">
        <f>SUM(ventas_b_mes684[[#This Row],[IMPORTE NETO]:[EXENTO]])</f>
        <v>-4239.9973</v>
      </c>
      <c r="M2553" s="487"/>
    </row>
    <row r="2554" spans="2:13">
      <c r="B2554" s="40" t="s">
        <v>2325</v>
      </c>
      <c r="C2554" s="41">
        <v>6</v>
      </c>
      <c r="D2554" s="538">
        <v>15</v>
      </c>
      <c r="E2554" s="539">
        <v>13576</v>
      </c>
      <c r="F2554" s="540">
        <v>29561469</v>
      </c>
      <c r="G2554" s="541" t="str">
        <f>IFERROR(IF(ventas_b_mes684[[#This Row],[CUIT]]="","-",VLOOKUP(ventas_b_mes684[[#This Row],[CUIT]],Lista_CUIT[#All],2,0)),"CUIT NO CARGADO")</f>
        <v>CUIT NO CARGADO</v>
      </c>
      <c r="H2554" s="64">
        <v>4826.45</v>
      </c>
      <c r="I2554" s="485">
        <f>ventas_b_mes684[[#This Row],[IMPORTE NETO]]*0.21</f>
        <v>1013.5545</v>
      </c>
      <c r="J2554" s="486"/>
      <c r="K2554" s="486"/>
      <c r="L2554" s="486">
        <f>SUM(ventas_b_mes684[[#This Row],[IMPORTE NETO]:[EXENTO]])</f>
        <v>5840.0045</v>
      </c>
      <c r="M2554" s="487"/>
    </row>
    <row r="2555" spans="2:13">
      <c r="B2555" s="40" t="s">
        <v>2325</v>
      </c>
      <c r="C2555" s="41">
        <v>6</v>
      </c>
      <c r="D2555" s="538">
        <v>10</v>
      </c>
      <c r="E2555" s="539">
        <v>54776</v>
      </c>
      <c r="F2555" s="540">
        <v>21977181</v>
      </c>
      <c r="G2555" s="541" t="str">
        <f>IFERROR(IF(ventas_b_mes684[[#This Row],[CUIT]]="","-",VLOOKUP(ventas_b_mes684[[#This Row],[CUIT]],Lista_CUIT[#All],2,0)),"CUIT NO CARGADO")</f>
        <v>CUIT NO CARGADO</v>
      </c>
      <c r="H2555" s="64">
        <v>32595.05</v>
      </c>
      <c r="I2555" s="485">
        <f>ventas_b_mes684[[#This Row],[IMPORTE NETO]]*0.21</f>
        <v>6844.9604999999992</v>
      </c>
      <c r="J2555" s="486"/>
      <c r="K2555" s="486"/>
      <c r="L2555" s="486">
        <f>SUM(ventas_b_mes684[[#This Row],[IMPORTE NETO]:[EXENTO]])</f>
        <v>39440.010499999997</v>
      </c>
      <c r="M2555" s="487"/>
    </row>
    <row r="2556" spans="2:13">
      <c r="B2556" s="40" t="s">
        <v>2325</v>
      </c>
      <c r="C2556" s="41">
        <v>6</v>
      </c>
      <c r="D2556" s="538">
        <v>11</v>
      </c>
      <c r="E2556" s="539">
        <v>38506</v>
      </c>
      <c r="F2556" s="540">
        <v>17363693</v>
      </c>
      <c r="G2556" s="541" t="str">
        <f>IFERROR(IF(ventas_b_mes684[[#This Row],[CUIT]]="","-",VLOOKUP(ventas_b_mes684[[#This Row],[CUIT]],Lista_CUIT[#All],2,0)),"CUIT NO CARGADO")</f>
        <v>CUIT NO CARGADO</v>
      </c>
      <c r="H2556" s="64">
        <v>46214.879999999997</v>
      </c>
      <c r="I2556" s="485">
        <f>ventas_b_mes684[[#This Row],[IMPORTE NETO]]*0.21</f>
        <v>9705.1247999999996</v>
      </c>
      <c r="J2556" s="486"/>
      <c r="K2556" s="486"/>
      <c r="L2556" s="486">
        <f>SUM(ventas_b_mes684[[#This Row],[IMPORTE NETO]:[EXENTO]])</f>
        <v>55920.004799999995</v>
      </c>
      <c r="M2556" s="487"/>
    </row>
    <row r="2557" spans="2:13">
      <c r="B2557" s="40" t="s">
        <v>2325</v>
      </c>
      <c r="C2557" s="41">
        <v>6</v>
      </c>
      <c r="D2557" s="538">
        <v>12</v>
      </c>
      <c r="E2557" s="539">
        <v>29946</v>
      </c>
      <c r="F2557" s="540">
        <v>12960718</v>
      </c>
      <c r="G2557" s="541" t="str">
        <f>IFERROR(IF(ventas_b_mes684[[#This Row],[CUIT]]="","-",VLOOKUP(ventas_b_mes684[[#This Row],[CUIT]],Lista_CUIT[#All],2,0)),"CUIT NO CARGADO")</f>
        <v>CUIT NO CARGADO</v>
      </c>
      <c r="H2557" s="64">
        <v>97685.95</v>
      </c>
      <c r="I2557" s="485">
        <f>ventas_b_mes684[[#This Row],[IMPORTE NETO]]*0.21</f>
        <v>20514.049499999997</v>
      </c>
      <c r="J2557" s="486"/>
      <c r="K2557" s="486"/>
      <c r="L2557" s="486">
        <f>SUM(ventas_b_mes684[[#This Row],[IMPORTE NETO]:[EXENTO]])</f>
        <v>118199.99949999999</v>
      </c>
      <c r="M2557" s="487"/>
    </row>
    <row r="2558" spans="2:13">
      <c r="B2558" s="40" t="s">
        <v>2325</v>
      </c>
      <c r="C2558" s="41">
        <v>6</v>
      </c>
      <c r="D2558" s="538">
        <v>12</v>
      </c>
      <c r="E2558" s="539">
        <v>29945</v>
      </c>
      <c r="F2558" s="540">
        <v>34101866</v>
      </c>
      <c r="G2558" s="541" t="str">
        <f>IFERROR(IF(ventas_b_mes684[[#This Row],[CUIT]]="","-",VLOOKUP(ventas_b_mes684[[#This Row],[CUIT]],Lista_CUIT[#All],2,0)),"CUIT NO CARGADO")</f>
        <v>CUIT NO CARGADO</v>
      </c>
      <c r="H2558" s="64">
        <v>4495.87</v>
      </c>
      <c r="I2558" s="485">
        <f>ventas_b_mes684[[#This Row],[IMPORTE NETO]]*0.21</f>
        <v>944.13269999999989</v>
      </c>
      <c r="J2558" s="486"/>
      <c r="K2558" s="486"/>
      <c r="L2558" s="486">
        <f>SUM(ventas_b_mes684[[#This Row],[IMPORTE NETO]:[EXENTO]])</f>
        <v>5440.0027</v>
      </c>
      <c r="M2558" s="487"/>
    </row>
    <row r="2559" spans="2:13">
      <c r="B2559" s="40" t="s">
        <v>2325</v>
      </c>
      <c r="C2559" s="41">
        <v>6</v>
      </c>
      <c r="D2559" s="538">
        <v>12</v>
      </c>
      <c r="E2559" s="539">
        <v>29951</v>
      </c>
      <c r="F2559" s="540">
        <v>92781276</v>
      </c>
      <c r="G2559" s="541" t="str">
        <f>IFERROR(IF(ventas_b_mes684[[#This Row],[CUIT]]="","-",VLOOKUP(ventas_b_mes684[[#This Row],[CUIT]],Lista_CUIT[#All],2,0)),"CUIT NO CARGADO")</f>
        <v>CUIT NO CARGADO</v>
      </c>
      <c r="H2559" s="64">
        <v>63471.07</v>
      </c>
      <c r="I2559" s="485">
        <f>ventas_b_mes684[[#This Row],[IMPORTE NETO]]*0.21</f>
        <v>13328.9247</v>
      </c>
      <c r="J2559" s="486"/>
      <c r="K2559" s="486"/>
      <c r="L2559" s="486">
        <f>SUM(ventas_b_mes684[[#This Row],[IMPORTE NETO]:[EXENTO]])</f>
        <v>76799.994699999996</v>
      </c>
      <c r="M2559" s="487"/>
    </row>
    <row r="2560" spans="2:13">
      <c r="B2560" s="40" t="s">
        <v>2325</v>
      </c>
      <c r="C2560" s="41">
        <v>6</v>
      </c>
      <c r="D2560" s="538">
        <v>10</v>
      </c>
      <c r="E2560" s="539">
        <v>54763</v>
      </c>
      <c r="F2560" s="540">
        <v>20249179</v>
      </c>
      <c r="G2560" s="541" t="str">
        <f>IFERROR(IF(ventas_b_mes684[[#This Row],[CUIT]]="","-",VLOOKUP(ventas_b_mes684[[#This Row],[CUIT]],Lista_CUIT[#All],2,0)),"CUIT NO CARGADO")</f>
        <v>CUIT NO CARGADO</v>
      </c>
      <c r="H2560" s="64">
        <v>5190.08</v>
      </c>
      <c r="I2560" s="485">
        <f>ventas_b_mes684[[#This Row],[IMPORTE NETO]]*0.21</f>
        <v>1089.9168</v>
      </c>
      <c r="J2560" s="486"/>
      <c r="K2560" s="486"/>
      <c r="L2560" s="486">
        <f>SUM(ventas_b_mes684[[#This Row],[IMPORTE NETO]:[EXENTO]])</f>
        <v>6279.9967999999999</v>
      </c>
      <c r="M2560" s="487"/>
    </row>
    <row r="2561" spans="2:13">
      <c r="B2561" s="40" t="s">
        <v>2325</v>
      </c>
      <c r="C2561" s="41">
        <v>6</v>
      </c>
      <c r="D2561" s="538">
        <v>10</v>
      </c>
      <c r="E2561" s="539">
        <v>54764</v>
      </c>
      <c r="F2561" s="540">
        <v>20249179</v>
      </c>
      <c r="G2561" s="541" t="str">
        <f>IFERROR(IF(ventas_b_mes684[[#This Row],[CUIT]]="","-",VLOOKUP(ventas_b_mes684[[#This Row],[CUIT]],Lista_CUIT[#All],2,0)),"CUIT NO CARGADO")</f>
        <v>CUIT NO CARGADO</v>
      </c>
      <c r="H2561" s="64">
        <v>22611.57</v>
      </c>
      <c r="I2561" s="485">
        <f>ventas_b_mes684[[#This Row],[IMPORTE NETO]]*0.21</f>
        <v>4748.4296999999997</v>
      </c>
      <c r="J2561" s="486"/>
      <c r="K2561" s="486"/>
      <c r="L2561" s="486">
        <f>SUM(ventas_b_mes684[[#This Row],[IMPORTE NETO]:[EXENTO]])</f>
        <v>27359.9997</v>
      </c>
      <c r="M2561" s="487"/>
    </row>
    <row r="2562" spans="2:13">
      <c r="B2562" s="40" t="s">
        <v>2325</v>
      </c>
      <c r="C2562" s="41">
        <v>6</v>
      </c>
      <c r="D2562" s="538">
        <v>15</v>
      </c>
      <c r="E2562" s="539">
        <v>13558</v>
      </c>
      <c r="F2562" s="540">
        <v>21649880</v>
      </c>
      <c r="G2562" s="541" t="str">
        <f>IFERROR(IF(ventas_b_mes684[[#This Row],[CUIT]]="","-",VLOOKUP(ventas_b_mes684[[#This Row],[CUIT]],Lista_CUIT[#All],2,0)),"CUIT NO CARGADO")</f>
        <v>CUIT NO CARGADO</v>
      </c>
      <c r="H2562" s="64">
        <v>493123.14</v>
      </c>
      <c r="I2562" s="485">
        <f>ventas_b_mes684[[#This Row],[IMPORTE NETO]]*0.21</f>
        <v>103555.8594</v>
      </c>
      <c r="J2562" s="486"/>
      <c r="K2562" s="486"/>
      <c r="L2562" s="486">
        <f>SUM(ventas_b_mes684[[#This Row],[IMPORTE NETO]:[EXENTO]])</f>
        <v>596678.99939999997</v>
      </c>
      <c r="M2562" s="487"/>
    </row>
    <row r="2563" spans="2:13">
      <c r="B2563" s="40" t="s">
        <v>2325</v>
      </c>
      <c r="C2563" s="41">
        <v>6</v>
      </c>
      <c r="D2563" s="538">
        <v>12</v>
      </c>
      <c r="E2563" s="539">
        <v>29939</v>
      </c>
      <c r="F2563" s="540">
        <v>35647206</v>
      </c>
      <c r="G2563" s="541" t="str">
        <f>IFERROR(IF(ventas_b_mes684[[#This Row],[CUIT]]="","-",VLOOKUP(ventas_b_mes684[[#This Row],[CUIT]],Lista_CUIT[#All],2,0)),"CUIT NO CARGADO")</f>
        <v>CUIT NO CARGADO</v>
      </c>
      <c r="H2563" s="64">
        <v>9256.2000000000007</v>
      </c>
      <c r="I2563" s="485">
        <f>ventas_b_mes684[[#This Row],[IMPORTE NETO]]*0.21</f>
        <v>1943.8020000000001</v>
      </c>
      <c r="J2563" s="486"/>
      <c r="K2563" s="486"/>
      <c r="L2563" s="486">
        <f>SUM(ventas_b_mes684[[#This Row],[IMPORTE NETO]:[EXENTO]])</f>
        <v>11200.002</v>
      </c>
      <c r="M2563" s="487"/>
    </row>
    <row r="2564" spans="2:13">
      <c r="B2564" s="40" t="s">
        <v>2325</v>
      </c>
      <c r="C2564" s="41">
        <v>6</v>
      </c>
      <c r="D2564" s="538">
        <v>11</v>
      </c>
      <c r="E2564" s="539">
        <v>38486</v>
      </c>
      <c r="F2564" s="540">
        <v>95930427</v>
      </c>
      <c r="G2564" s="541" t="str">
        <f>IFERROR(IF(ventas_b_mes684[[#This Row],[CUIT]]="","-",VLOOKUP(ventas_b_mes684[[#This Row],[CUIT]],Lista_CUIT[#All],2,0)),"CUIT NO CARGADO")</f>
        <v>CUIT NO CARGADO</v>
      </c>
      <c r="H2564" s="64">
        <v>69111.570000000007</v>
      </c>
      <c r="I2564" s="485">
        <f>ventas_b_mes684[[#This Row],[IMPORTE NETO]]*0.21</f>
        <v>14513.429700000001</v>
      </c>
      <c r="J2564" s="486"/>
      <c r="K2564" s="486"/>
      <c r="L2564" s="486">
        <f>SUM(ventas_b_mes684[[#This Row],[IMPORTE NETO]:[EXENTO]])</f>
        <v>83624.999700000015</v>
      </c>
      <c r="M2564" s="487"/>
    </row>
    <row r="2565" spans="2:13">
      <c r="B2565" s="40" t="s">
        <v>2325</v>
      </c>
      <c r="C2565" s="41">
        <v>6</v>
      </c>
      <c r="D2565" s="538">
        <v>11</v>
      </c>
      <c r="E2565" s="539">
        <v>38487</v>
      </c>
      <c r="F2565" s="540">
        <v>31510366</v>
      </c>
      <c r="G2565" s="541" t="str">
        <f>IFERROR(IF(ventas_b_mes684[[#This Row],[CUIT]]="","-",VLOOKUP(ventas_b_mes684[[#This Row],[CUIT]],Lista_CUIT[#All],2,0)),"CUIT NO CARGADO")</f>
        <v>CUIT NO CARGADO</v>
      </c>
      <c r="H2565" s="64">
        <v>25289.26</v>
      </c>
      <c r="I2565" s="485">
        <f>ventas_b_mes684[[#This Row],[IMPORTE NETO]]*0.21</f>
        <v>5310.7445999999991</v>
      </c>
      <c r="J2565" s="486"/>
      <c r="K2565" s="486"/>
      <c r="L2565" s="486">
        <f>SUM(ventas_b_mes684[[#This Row],[IMPORTE NETO]:[EXENTO]])</f>
        <v>30600.004599999997</v>
      </c>
      <c r="M2565" s="487"/>
    </row>
    <row r="2566" spans="2:13">
      <c r="B2566" s="40" t="s">
        <v>2325</v>
      </c>
      <c r="C2566" s="41">
        <v>6</v>
      </c>
      <c r="D2566" s="538">
        <v>12</v>
      </c>
      <c r="E2566" s="539">
        <v>29942</v>
      </c>
      <c r="F2566" s="540">
        <v>30406035</v>
      </c>
      <c r="G2566" s="541" t="str">
        <f>IFERROR(IF(ventas_b_mes684[[#This Row],[CUIT]]="","-",VLOOKUP(ventas_b_mes684[[#This Row],[CUIT]],Lista_CUIT[#All],2,0)),"CUIT NO CARGADO")</f>
        <v>CUIT NO CARGADO</v>
      </c>
      <c r="H2566" s="64">
        <v>11504.13</v>
      </c>
      <c r="I2566" s="485">
        <f>ventas_b_mes684[[#This Row],[IMPORTE NETO]]*0.21</f>
        <v>2415.8672999999999</v>
      </c>
      <c r="J2566" s="486"/>
      <c r="K2566" s="486"/>
      <c r="L2566" s="486">
        <f>SUM(ventas_b_mes684[[#This Row],[IMPORTE NETO]:[EXENTO]])</f>
        <v>13919.997299999999</v>
      </c>
      <c r="M2566" s="487"/>
    </row>
    <row r="2567" spans="2:13">
      <c r="B2567" s="40" t="s">
        <v>2325</v>
      </c>
      <c r="C2567" s="41">
        <v>6</v>
      </c>
      <c r="D2567" s="538">
        <v>15</v>
      </c>
      <c r="E2567" s="539">
        <v>13565</v>
      </c>
      <c r="F2567" s="540">
        <v>30040191</v>
      </c>
      <c r="G2567" s="541" t="str">
        <f>IFERROR(IF(ventas_b_mes684[[#This Row],[CUIT]]="","-",VLOOKUP(ventas_b_mes684[[#This Row],[CUIT]],Lista_CUIT[#All],2,0)),"CUIT NO CARGADO")</f>
        <v>CUIT NO CARGADO</v>
      </c>
      <c r="H2567" s="64">
        <v>28033.06</v>
      </c>
      <c r="I2567" s="485">
        <f>ventas_b_mes684[[#This Row],[IMPORTE NETO]]*0.21</f>
        <v>5886.9426000000003</v>
      </c>
      <c r="J2567" s="486"/>
      <c r="K2567" s="486"/>
      <c r="L2567" s="486">
        <f>SUM(ventas_b_mes684[[#This Row],[IMPORTE NETO]:[EXENTO]])</f>
        <v>33920.0026</v>
      </c>
      <c r="M2567" s="487"/>
    </row>
    <row r="2568" spans="2:13">
      <c r="B2568" s="40" t="s">
        <v>2325</v>
      </c>
      <c r="C2568" s="41">
        <v>6</v>
      </c>
      <c r="D2568" s="538">
        <v>12</v>
      </c>
      <c r="E2568" s="539">
        <v>29950</v>
      </c>
      <c r="F2568" s="540">
        <v>23023441</v>
      </c>
      <c r="G2568" s="541" t="str">
        <f>IFERROR(IF(ventas_b_mes684[[#This Row],[CUIT]]="","-",VLOOKUP(ventas_b_mes684[[#This Row],[CUIT]],Lista_CUIT[#All],2,0)),"CUIT NO CARGADO")</f>
        <v>CUIT NO CARGADO</v>
      </c>
      <c r="H2568" s="64">
        <v>7462.81</v>
      </c>
      <c r="I2568" s="485">
        <f>ventas_b_mes684[[#This Row],[IMPORTE NETO]]*0.21</f>
        <v>1567.1901</v>
      </c>
      <c r="J2568" s="486"/>
      <c r="K2568" s="486"/>
      <c r="L2568" s="486">
        <f>SUM(ventas_b_mes684[[#This Row],[IMPORTE NETO]:[EXENTO]])</f>
        <v>9030.0001000000011</v>
      </c>
      <c r="M2568" s="487"/>
    </row>
    <row r="2569" spans="2:13">
      <c r="B2569" s="40" t="s">
        <v>2325</v>
      </c>
      <c r="C2569" s="41">
        <v>6</v>
      </c>
      <c r="D2569" s="538">
        <v>11</v>
      </c>
      <c r="E2569" s="539">
        <v>38501</v>
      </c>
      <c r="F2569" s="540">
        <v>28378051</v>
      </c>
      <c r="G2569" s="541" t="str">
        <f>IFERROR(IF(ventas_b_mes684[[#This Row],[CUIT]]="","-",VLOOKUP(ventas_b_mes684[[#This Row],[CUIT]],Lista_CUIT[#All],2,0)),"CUIT NO CARGADO")</f>
        <v>CUIT NO CARGADO</v>
      </c>
      <c r="H2569" s="64">
        <v>46752.11</v>
      </c>
      <c r="I2569" s="485">
        <f>ventas_b_mes684[[#This Row],[IMPORTE NETO]]*0.21</f>
        <v>9817.9431000000004</v>
      </c>
      <c r="J2569" s="486"/>
      <c r="K2569" s="486"/>
      <c r="L2569" s="486">
        <f>SUM(ventas_b_mes684[[#This Row],[IMPORTE NETO]:[EXENTO]])</f>
        <v>56570.053100000005</v>
      </c>
      <c r="M2569" s="487"/>
    </row>
    <row r="2570" spans="2:13">
      <c r="B2570" s="40" t="s">
        <v>2325</v>
      </c>
      <c r="C2570" s="41">
        <v>6</v>
      </c>
      <c r="D2570" s="538">
        <v>10</v>
      </c>
      <c r="E2570" s="539">
        <v>54775</v>
      </c>
      <c r="F2570" s="540">
        <v>92352413</v>
      </c>
      <c r="G2570" s="541" t="str">
        <f>IFERROR(IF(ventas_b_mes684[[#This Row],[CUIT]]="","-",VLOOKUP(ventas_b_mes684[[#This Row],[CUIT]],Lista_CUIT[#All],2,0)),"CUIT NO CARGADO")</f>
        <v>CUIT NO CARGADO</v>
      </c>
      <c r="H2570" s="64">
        <v>10586.78</v>
      </c>
      <c r="I2570" s="485">
        <f>ventas_b_mes684[[#This Row],[IMPORTE NETO]]*0.21</f>
        <v>2223.2238000000002</v>
      </c>
      <c r="J2570" s="486"/>
      <c r="K2570" s="486"/>
      <c r="L2570" s="486">
        <f>SUM(ventas_b_mes684[[#This Row],[IMPORTE NETO]:[EXENTO]])</f>
        <v>12810.0038</v>
      </c>
      <c r="M2570" s="487"/>
    </row>
    <row r="2571" spans="2:13">
      <c r="B2571" s="40" t="s">
        <v>2325</v>
      </c>
      <c r="C2571" s="41">
        <v>6</v>
      </c>
      <c r="D2571" s="538">
        <v>10</v>
      </c>
      <c r="E2571" s="539">
        <v>54770</v>
      </c>
      <c r="F2571" s="540">
        <v>26996097</v>
      </c>
      <c r="G2571" s="541" t="str">
        <f>IFERROR(IF(ventas_b_mes684[[#This Row],[CUIT]]="","-",VLOOKUP(ventas_b_mes684[[#This Row],[CUIT]],Lista_CUIT[#All],2,0)),"CUIT NO CARGADO")</f>
        <v>DOBROSOLSKY PATRICIA ALEJANDRA</v>
      </c>
      <c r="H2571" s="64">
        <v>16198.35</v>
      </c>
      <c r="I2571" s="485">
        <f>ventas_b_mes684[[#This Row],[IMPORTE NETO]]*0.21</f>
        <v>3401.6534999999999</v>
      </c>
      <c r="J2571" s="486"/>
      <c r="K2571" s="486"/>
      <c r="L2571" s="486">
        <f>SUM(ventas_b_mes684[[#This Row],[IMPORTE NETO]:[EXENTO]])</f>
        <v>19600.003499999999</v>
      </c>
      <c r="M2571" s="487"/>
    </row>
    <row r="2572" spans="2:13">
      <c r="B2572" s="40" t="s">
        <v>2325</v>
      </c>
      <c r="C2572" s="41">
        <v>6</v>
      </c>
      <c r="D2572" s="538">
        <v>15</v>
      </c>
      <c r="E2572" s="539">
        <v>13560</v>
      </c>
      <c r="F2572" s="540">
        <v>25178917</v>
      </c>
      <c r="G2572" s="541" t="str">
        <f>IFERROR(IF(ventas_b_mes684[[#This Row],[CUIT]]="","-",VLOOKUP(ventas_b_mes684[[#This Row],[CUIT]],Lista_CUIT[#All],2,0)),"CUIT NO CARGADO")</f>
        <v>CUIT NO CARGADO</v>
      </c>
      <c r="H2572" s="64">
        <v>11297.52</v>
      </c>
      <c r="I2572" s="485">
        <f>ventas_b_mes684[[#This Row],[IMPORTE NETO]]*0.21</f>
        <v>2372.4792000000002</v>
      </c>
      <c r="J2572" s="486"/>
      <c r="K2572" s="486"/>
      <c r="L2572" s="486">
        <f>SUM(ventas_b_mes684[[#This Row],[IMPORTE NETO]:[EXENTO]])</f>
        <v>13669.9992</v>
      </c>
      <c r="M2572" s="487"/>
    </row>
    <row r="2573" spans="2:13">
      <c r="B2573" s="40" t="s">
        <v>2325</v>
      </c>
      <c r="C2573" s="41">
        <v>6</v>
      </c>
      <c r="D2573" s="538">
        <v>11</v>
      </c>
      <c r="E2573" s="539">
        <v>38505</v>
      </c>
      <c r="F2573" s="540">
        <v>28664336</v>
      </c>
      <c r="G2573" s="541" t="str">
        <f>IFERROR(IF(ventas_b_mes684[[#This Row],[CUIT]]="","-",VLOOKUP(ventas_b_mes684[[#This Row],[CUIT]],Lista_CUIT[#All],2,0)),"CUIT NO CARGADO")</f>
        <v>CUIT NO CARGADO</v>
      </c>
      <c r="H2573" s="64">
        <v>6280.99</v>
      </c>
      <c r="I2573" s="485">
        <f>ventas_b_mes684[[#This Row],[IMPORTE NETO]]*0.21</f>
        <v>1319.0078999999998</v>
      </c>
      <c r="J2573" s="486"/>
      <c r="K2573" s="486"/>
      <c r="L2573" s="486">
        <f>SUM(ventas_b_mes684[[#This Row],[IMPORTE NETO]:[EXENTO]])</f>
        <v>7599.9978999999994</v>
      </c>
      <c r="M2573" s="487"/>
    </row>
    <row r="2574" spans="2:13">
      <c r="B2574" s="40" t="s">
        <v>2325</v>
      </c>
      <c r="C2574" s="41">
        <v>6</v>
      </c>
      <c r="D2574" s="538">
        <v>15</v>
      </c>
      <c r="E2574" s="539">
        <v>13581</v>
      </c>
      <c r="F2574" s="540">
        <v>17681773</v>
      </c>
      <c r="G2574" s="541" t="str">
        <f>IFERROR(IF(ventas_b_mes684[[#This Row],[CUIT]]="","-",VLOOKUP(ventas_b_mes684[[#This Row],[CUIT]],Lista_CUIT[#All],2,0)),"CUIT NO CARGADO")</f>
        <v>NUÑOZ,Maria Julieta</v>
      </c>
      <c r="H2574" s="64">
        <v>13752.07</v>
      </c>
      <c r="I2574" s="485">
        <f>ventas_b_mes684[[#This Row],[IMPORTE NETO]]*0.21</f>
        <v>2887.9346999999998</v>
      </c>
      <c r="J2574" s="486"/>
      <c r="K2574" s="486"/>
      <c r="L2574" s="486">
        <f>SUM(ventas_b_mes684[[#This Row],[IMPORTE NETO]:[EXENTO]])</f>
        <v>16640.004699999998</v>
      </c>
      <c r="M2574" s="487"/>
    </row>
    <row r="2575" spans="2:13">
      <c r="B2575" s="40" t="s">
        <v>2325</v>
      </c>
      <c r="C2575" s="41">
        <v>6</v>
      </c>
      <c r="D2575" s="538">
        <v>11</v>
      </c>
      <c r="E2575" s="539">
        <v>38502</v>
      </c>
      <c r="F2575" s="540">
        <v>28378051</v>
      </c>
      <c r="G2575" s="541" t="str">
        <f>IFERROR(IF(ventas_b_mes684[[#This Row],[CUIT]]="","-",VLOOKUP(ventas_b_mes684[[#This Row],[CUIT]],Lista_CUIT[#All],2,0)),"CUIT NO CARGADO")</f>
        <v>CUIT NO CARGADO</v>
      </c>
      <c r="H2575" s="64">
        <v>7074.38</v>
      </c>
      <c r="I2575" s="485">
        <f>ventas_b_mes684[[#This Row],[IMPORTE NETO]]*0.21</f>
        <v>1485.6197999999999</v>
      </c>
      <c r="J2575" s="486"/>
      <c r="K2575" s="486"/>
      <c r="L2575" s="486">
        <f>SUM(ventas_b_mes684[[#This Row],[IMPORTE NETO]:[EXENTO]])</f>
        <v>8559.9997999999996</v>
      </c>
      <c r="M2575" s="487"/>
    </row>
    <row r="2576" spans="2:13">
      <c r="B2576" s="40" t="s">
        <v>2325</v>
      </c>
      <c r="C2576" s="41">
        <v>6</v>
      </c>
      <c r="D2576" s="538">
        <v>11</v>
      </c>
      <c r="E2576" s="539">
        <v>38507</v>
      </c>
      <c r="F2576" s="540">
        <v>20008688</v>
      </c>
      <c r="G2576" s="541" t="str">
        <f>IFERROR(IF(ventas_b_mes684[[#This Row],[CUIT]]="","-",VLOOKUP(ventas_b_mes684[[#This Row],[CUIT]],Lista_CUIT[#All],2,0)),"CUIT NO CARGADO")</f>
        <v>CUIT NO CARGADO</v>
      </c>
      <c r="H2576" s="64">
        <v>110950.41</v>
      </c>
      <c r="I2576" s="485">
        <f>ventas_b_mes684[[#This Row],[IMPORTE NETO]]*0.21</f>
        <v>23299.5861</v>
      </c>
      <c r="J2576" s="486"/>
      <c r="K2576" s="486"/>
      <c r="L2576" s="486">
        <f>SUM(ventas_b_mes684[[#This Row],[IMPORTE NETO]:[EXENTO]])</f>
        <v>134249.99609999999</v>
      </c>
      <c r="M2576" s="487"/>
    </row>
    <row r="2577" spans="2:13">
      <c r="B2577" s="40" t="s">
        <v>2325</v>
      </c>
      <c r="C2577" s="41">
        <v>6</v>
      </c>
      <c r="D2577" s="538">
        <v>15</v>
      </c>
      <c r="E2577" s="539">
        <v>13573</v>
      </c>
      <c r="F2577" s="540">
        <v>26272486</v>
      </c>
      <c r="G2577" s="541" t="str">
        <f>IFERROR(IF(ventas_b_mes684[[#This Row],[CUIT]]="","-",VLOOKUP(ventas_b_mes684[[#This Row],[CUIT]],Lista_CUIT[#All],2,0)),"CUIT NO CARGADO")</f>
        <v>BALMACEDA,NATALIA LORENA</v>
      </c>
      <c r="H2577" s="64">
        <v>8330.58</v>
      </c>
      <c r="I2577" s="485">
        <f>ventas_b_mes684[[#This Row],[IMPORTE NETO]]*0.21</f>
        <v>1749.4217999999998</v>
      </c>
      <c r="J2577" s="486"/>
      <c r="K2577" s="486"/>
      <c r="L2577" s="486">
        <f>SUM(ventas_b_mes684[[#This Row],[IMPORTE NETO]:[EXENTO]])</f>
        <v>10080.0018</v>
      </c>
      <c r="M2577" s="487"/>
    </row>
    <row r="2578" spans="2:13">
      <c r="B2578" s="40" t="s">
        <v>2325</v>
      </c>
      <c r="C2578" s="41">
        <v>6</v>
      </c>
      <c r="D2578" s="538">
        <v>11</v>
      </c>
      <c r="E2578" s="539">
        <v>38497</v>
      </c>
      <c r="F2578" s="540">
        <v>4524165</v>
      </c>
      <c r="G2578" s="541" t="str">
        <f>IFERROR(IF(ventas_b_mes684[[#This Row],[CUIT]]="","-",VLOOKUP(ventas_b_mes684[[#This Row],[CUIT]],Lista_CUIT[#All],2,0)),"CUIT NO CARGADO")</f>
        <v>CUIT NO CARGADO</v>
      </c>
      <c r="H2578" s="64">
        <v>3504.13</v>
      </c>
      <c r="I2578" s="485">
        <f>ventas_b_mes684[[#This Row],[IMPORTE NETO]]*0.21</f>
        <v>735.8673</v>
      </c>
      <c r="J2578" s="486"/>
      <c r="K2578" s="486"/>
      <c r="L2578" s="486">
        <f>SUM(ventas_b_mes684[[#This Row],[IMPORTE NETO]:[EXENTO]])</f>
        <v>4239.9973</v>
      </c>
      <c r="M2578" s="487"/>
    </row>
    <row r="2579" spans="2:13">
      <c r="B2579" s="40" t="s">
        <v>2325</v>
      </c>
      <c r="C2579" s="41">
        <v>6</v>
      </c>
      <c r="D2579" s="538">
        <v>15</v>
      </c>
      <c r="E2579" s="539">
        <v>13559</v>
      </c>
      <c r="F2579" s="540">
        <v>25671318</v>
      </c>
      <c r="G2579" s="541" t="str">
        <f>IFERROR(IF(ventas_b_mes684[[#This Row],[CUIT]]="","-",VLOOKUP(ventas_b_mes684[[#This Row],[CUIT]],Lista_CUIT[#All],2,0)),"CUIT NO CARGADO")</f>
        <v>GOMEZ,Griselda graciela</v>
      </c>
      <c r="H2579" s="64">
        <v>23206.61</v>
      </c>
      <c r="I2579" s="485">
        <f>ventas_b_mes684[[#This Row],[IMPORTE NETO]]*0.21</f>
        <v>4873.3881000000001</v>
      </c>
      <c r="J2579" s="486"/>
      <c r="K2579" s="486"/>
      <c r="L2579" s="486">
        <f>SUM(ventas_b_mes684[[#This Row],[IMPORTE NETO]:[EXENTO]])</f>
        <v>28079.998100000001</v>
      </c>
      <c r="M2579" s="487"/>
    </row>
    <row r="2580" spans="2:13">
      <c r="B2580" s="40" t="s">
        <v>2325</v>
      </c>
      <c r="C2580" s="41">
        <v>6</v>
      </c>
      <c r="D2580" s="538">
        <v>15</v>
      </c>
      <c r="E2580" s="539">
        <v>13564</v>
      </c>
      <c r="F2580" s="540">
        <v>95775679</v>
      </c>
      <c r="G2580" s="541" t="str">
        <f>IFERROR(IF(ventas_b_mes684[[#This Row],[CUIT]]="","-",VLOOKUP(ventas_b_mes684[[#This Row],[CUIT]],Lista_CUIT[#All],2,0)),"CUIT NO CARGADO")</f>
        <v>FLORES, LISANDRA</v>
      </c>
      <c r="H2580" s="64">
        <v>13818.18</v>
      </c>
      <c r="I2580" s="485">
        <f>ventas_b_mes684[[#This Row],[IMPORTE NETO]]*0.21</f>
        <v>2901.8177999999998</v>
      </c>
      <c r="J2580" s="486"/>
      <c r="K2580" s="486"/>
      <c r="L2580" s="486">
        <f>SUM(ventas_b_mes684[[#This Row],[IMPORTE NETO]:[EXENTO]])</f>
        <v>16719.997800000001</v>
      </c>
      <c r="M2580" s="487"/>
    </row>
    <row r="2581" spans="2:13">
      <c r="B2581" s="40" t="s">
        <v>2325</v>
      </c>
      <c r="C2581" s="41">
        <v>6</v>
      </c>
      <c r="D2581" s="538">
        <v>13</v>
      </c>
      <c r="E2581" s="539">
        <v>32666</v>
      </c>
      <c r="F2581" s="540">
        <v>94432134</v>
      </c>
      <c r="G2581" s="541" t="str">
        <f>IFERROR(IF(ventas_b_mes684[[#This Row],[CUIT]]="","-",VLOOKUP(ventas_b_mes684[[#This Row],[CUIT]],Lista_CUIT[#All],2,0)),"CUIT NO CARGADO")</f>
        <v>CUIT NO CARGADO</v>
      </c>
      <c r="H2581" s="64">
        <v>20562.009999999998</v>
      </c>
      <c r="I2581" s="485">
        <f>ventas_b_mes684[[#This Row],[IMPORTE NETO]]*0.21</f>
        <v>4318.0220999999992</v>
      </c>
      <c r="J2581" s="486"/>
      <c r="K2581" s="486"/>
      <c r="L2581" s="486">
        <f>SUM(ventas_b_mes684[[#This Row],[IMPORTE NETO]:[EXENTO]])</f>
        <v>24880.032099999997</v>
      </c>
      <c r="M2581" s="487"/>
    </row>
    <row r="2582" spans="2:13">
      <c r="B2582" s="40" t="s">
        <v>2325</v>
      </c>
      <c r="C2582" s="41">
        <v>6</v>
      </c>
      <c r="D2582" s="538">
        <v>15</v>
      </c>
      <c r="E2582" s="539">
        <v>13571</v>
      </c>
      <c r="F2582" s="540">
        <v>16273293</v>
      </c>
      <c r="G2582" s="541" t="str">
        <f>IFERROR(IF(ventas_b_mes684[[#This Row],[CUIT]]="","-",VLOOKUP(ventas_b_mes684[[#This Row],[CUIT]],Lista_CUIT[#All],2,0)),"CUIT NO CARGADO")</f>
        <v>CUIT NO CARGADO</v>
      </c>
      <c r="H2582" s="64">
        <v>86942.15</v>
      </c>
      <c r="I2582" s="485">
        <f>ventas_b_mes684[[#This Row],[IMPORTE NETO]]*0.21</f>
        <v>18257.851499999997</v>
      </c>
      <c r="J2582" s="486"/>
      <c r="K2582" s="486"/>
      <c r="L2582" s="486">
        <f>SUM(ventas_b_mes684[[#This Row],[IMPORTE NETO]:[EXENTO]])</f>
        <v>105200.00149999998</v>
      </c>
      <c r="M2582" s="487"/>
    </row>
    <row r="2583" spans="2:13">
      <c r="B2583" s="40" t="s">
        <v>2325</v>
      </c>
      <c r="C2583" s="41">
        <v>6</v>
      </c>
      <c r="D2583" s="538">
        <v>12</v>
      </c>
      <c r="E2583" s="539">
        <v>29947</v>
      </c>
      <c r="F2583" s="540">
        <v>12960718</v>
      </c>
      <c r="G2583" s="541" t="str">
        <f>IFERROR(IF(ventas_b_mes684[[#This Row],[CUIT]]="","-",VLOOKUP(ventas_b_mes684[[#This Row],[CUIT]],Lista_CUIT[#All],2,0)),"CUIT NO CARGADO")</f>
        <v>CUIT NO CARGADO</v>
      </c>
      <c r="H2583" s="64">
        <v>18644.63</v>
      </c>
      <c r="I2583" s="485">
        <f>ventas_b_mes684[[#This Row],[IMPORTE NETO]]*0.21</f>
        <v>3915.3723</v>
      </c>
      <c r="J2583" s="486"/>
      <c r="K2583" s="486"/>
      <c r="L2583" s="486">
        <f>SUM(ventas_b_mes684[[#This Row],[IMPORTE NETO]:[EXENTO]])</f>
        <v>22560.0023</v>
      </c>
      <c r="M2583" s="487"/>
    </row>
    <row r="2584" spans="2:13">
      <c r="B2584" s="40" t="s">
        <v>2325</v>
      </c>
      <c r="C2584" s="41">
        <v>6</v>
      </c>
      <c r="D2584" s="538">
        <v>13</v>
      </c>
      <c r="E2584" s="539">
        <v>32668</v>
      </c>
      <c r="F2584" s="540">
        <v>20560897</v>
      </c>
      <c r="G2584" s="541" t="str">
        <f>IFERROR(IF(ventas_b_mes684[[#This Row],[CUIT]]="","-",VLOOKUP(ventas_b_mes684[[#This Row],[CUIT]],Lista_CUIT[#All],2,0)),"CUIT NO CARGADO")</f>
        <v>CUIT NO CARGADO</v>
      </c>
      <c r="H2584" s="64">
        <v>226231.41</v>
      </c>
      <c r="I2584" s="485">
        <f>ventas_b_mes684[[#This Row],[IMPORTE NETO]]*0.21</f>
        <v>47508.596100000002</v>
      </c>
      <c r="J2584" s="486"/>
      <c r="K2584" s="486"/>
      <c r="L2584" s="486">
        <f>SUM(ventas_b_mes684[[#This Row],[IMPORTE NETO]:[EXENTO]])</f>
        <v>273740.0061</v>
      </c>
      <c r="M2584" s="487"/>
    </row>
    <row r="2585" spans="2:13">
      <c r="B2585" s="40" t="s">
        <v>2325</v>
      </c>
      <c r="C2585" s="41">
        <v>6</v>
      </c>
      <c r="D2585" s="538">
        <v>11</v>
      </c>
      <c r="E2585" s="539">
        <v>38496</v>
      </c>
      <c r="F2585" s="540">
        <v>22470297</v>
      </c>
      <c r="G2585" s="541" t="str">
        <f>IFERROR(IF(ventas_b_mes684[[#This Row],[CUIT]]="","-",VLOOKUP(ventas_b_mes684[[#This Row],[CUIT]],Lista_CUIT[#All],2,0)),"CUIT NO CARGADO")</f>
        <v>CUIT NO CARGADO</v>
      </c>
      <c r="H2585" s="64">
        <v>20661.16</v>
      </c>
      <c r="I2585" s="485">
        <f>ventas_b_mes684[[#This Row],[IMPORTE NETO]]*0.21</f>
        <v>4338.8436000000002</v>
      </c>
      <c r="J2585" s="486"/>
      <c r="K2585" s="486"/>
      <c r="L2585" s="486">
        <f>SUM(ventas_b_mes684[[#This Row],[IMPORTE NETO]:[EXENTO]])</f>
        <v>25000.0036</v>
      </c>
      <c r="M2585" s="487"/>
    </row>
    <row r="2586" spans="2:13">
      <c r="B2586" s="40" t="s">
        <v>2325</v>
      </c>
      <c r="C2586" s="41">
        <v>8</v>
      </c>
      <c r="D2586" s="538">
        <v>11</v>
      </c>
      <c r="E2586" s="539">
        <v>1050</v>
      </c>
      <c r="F2586" s="540">
        <v>28378051</v>
      </c>
      <c r="G2586" s="541" t="str">
        <f>IFERROR(IF(ventas_b_mes684[[#This Row],[CUIT]]="","-",VLOOKUP(ventas_b_mes684[[#This Row],[CUIT]],Lista_CUIT[#All],2,0)),"CUIT NO CARGADO")</f>
        <v>CUIT NO CARGADO</v>
      </c>
      <c r="H2586" s="64">
        <v>-46752.07</v>
      </c>
      <c r="I2586" s="485">
        <f>ventas_b_mes684[[#This Row],[IMPORTE NETO]]*0.21</f>
        <v>-9817.9346999999998</v>
      </c>
      <c r="J2586" s="486"/>
      <c r="K2586" s="486"/>
      <c r="L2586" s="486">
        <f>SUM(ventas_b_mes684[[#This Row],[IMPORTE NETO]:[EXENTO]])</f>
        <v>-56570.004699999998</v>
      </c>
      <c r="M2586" s="487"/>
    </row>
    <row r="2587" spans="2:13">
      <c r="B2587" s="40" t="s">
        <v>2325</v>
      </c>
      <c r="C2587" s="41">
        <v>8</v>
      </c>
      <c r="D2587" s="538">
        <v>12</v>
      </c>
      <c r="E2587" s="539">
        <v>917</v>
      </c>
      <c r="F2587" s="540">
        <v>12960718</v>
      </c>
      <c r="G2587" s="541" t="str">
        <f>IFERROR(IF(ventas_b_mes684[[#This Row],[CUIT]]="","-",VLOOKUP(ventas_b_mes684[[#This Row],[CUIT]],Lista_CUIT[#All],2,0)),"CUIT NO CARGADO")</f>
        <v>CUIT NO CARGADO</v>
      </c>
      <c r="H2587" s="64">
        <v>-97685.95</v>
      </c>
      <c r="I2587" s="485">
        <f>ventas_b_mes684[[#This Row],[IMPORTE NETO]]*0.21</f>
        <v>-20514.049499999997</v>
      </c>
      <c r="J2587" s="486"/>
      <c r="K2587" s="486"/>
      <c r="L2587" s="486">
        <f>SUM(ventas_b_mes684[[#This Row],[IMPORTE NETO]:[EXENTO]])</f>
        <v>-118199.99949999999</v>
      </c>
      <c r="M2587" s="487"/>
    </row>
    <row r="2588" spans="2:13">
      <c r="B2588" s="40" t="s">
        <v>2325</v>
      </c>
      <c r="C2588" s="41">
        <v>8</v>
      </c>
      <c r="D2588" s="538">
        <v>11</v>
      </c>
      <c r="E2588" s="539">
        <v>1049</v>
      </c>
      <c r="F2588" s="540">
        <v>4524165</v>
      </c>
      <c r="G2588" s="541" t="str">
        <f>IFERROR(IF(ventas_b_mes684[[#This Row],[CUIT]]="","-",VLOOKUP(ventas_b_mes684[[#This Row],[CUIT]],Lista_CUIT[#All],2,0)),"CUIT NO CARGADO")</f>
        <v>CUIT NO CARGADO</v>
      </c>
      <c r="H2588" s="64">
        <v>-3504.13</v>
      </c>
      <c r="I2588" s="485">
        <f>ventas_b_mes684[[#This Row],[IMPORTE NETO]]*0.21</f>
        <v>-735.8673</v>
      </c>
      <c r="J2588" s="486"/>
      <c r="K2588" s="486"/>
      <c r="L2588" s="486">
        <f>SUM(ventas_b_mes684[[#This Row],[IMPORTE NETO]:[EXENTO]])</f>
        <v>-4239.9973</v>
      </c>
      <c r="M2588" s="487"/>
    </row>
    <row r="2589" spans="2:13">
      <c r="B2589" s="40" t="s">
        <v>2325</v>
      </c>
      <c r="C2589" s="41">
        <v>8</v>
      </c>
      <c r="D2589" s="538">
        <v>11</v>
      </c>
      <c r="E2589" s="539">
        <v>1047</v>
      </c>
      <c r="F2589" s="540">
        <v>43625296</v>
      </c>
      <c r="G2589" s="541" t="str">
        <f>IFERROR(IF(ventas_b_mes684[[#This Row],[CUIT]]="","-",VLOOKUP(ventas_b_mes684[[#This Row],[CUIT]],Lista_CUIT[#All],2,0)),"CUIT NO CARGADO")</f>
        <v>CUIT NO CARGADO</v>
      </c>
      <c r="H2589" s="64">
        <v>-3037.19</v>
      </c>
      <c r="I2589" s="485">
        <f>ventas_b_mes684[[#This Row],[IMPORTE NETO]]*0.21</f>
        <v>-637.80989999999997</v>
      </c>
      <c r="J2589" s="486"/>
      <c r="K2589" s="486"/>
      <c r="L2589" s="486">
        <f>SUM(ventas_b_mes684[[#This Row],[IMPORTE NETO]:[EXENTO]])</f>
        <v>-3674.9998999999998</v>
      </c>
      <c r="M2589" s="487"/>
    </row>
    <row r="2590" spans="2:13">
      <c r="B2590" s="40"/>
      <c r="C2590" s="41"/>
      <c r="D2590" s="538"/>
      <c r="E2590" s="539"/>
      <c r="F2590" s="540"/>
      <c r="G2590" s="541" t="str">
        <f>IFERROR(IF(ventas_b_mes684[[#This Row],[CUIT]]="","-",VLOOKUP(ventas_b_mes684[[#This Row],[CUIT]],Lista_CUIT[#All],2,0)),"CUIT NO CARGADO")</f>
        <v>-</v>
      </c>
      <c r="H2590" s="64"/>
      <c r="I2590" s="485">
        <f>ventas_b_mes684[[#This Row],[IMPORTE NETO]]*0.21</f>
        <v>0</v>
      </c>
      <c r="J2590" s="486"/>
      <c r="K2590" s="486"/>
      <c r="L2590" s="486">
        <f>SUM(ventas_b_mes684[[#This Row],[IMPORTE NETO]:[EXENTO]])</f>
        <v>0</v>
      </c>
      <c r="M2590" s="487"/>
    </row>
    <row r="2591" spans="2:13">
      <c r="B2591" s="40"/>
      <c r="C2591" s="41"/>
      <c r="D2591" s="538"/>
      <c r="E2591" s="539"/>
      <c r="F2591" s="540"/>
      <c r="G2591" s="541" t="str">
        <f>IFERROR(IF(ventas_b_mes684[[#This Row],[CUIT]]="","-",VLOOKUP(ventas_b_mes684[[#This Row],[CUIT]],Lista_CUIT[#All],2,0)),"CUIT NO CARGADO")</f>
        <v>-</v>
      </c>
      <c r="H2591" s="64"/>
      <c r="I2591" s="485">
        <f>ventas_b_mes684[[#This Row],[IMPORTE NETO]]*0.21</f>
        <v>0</v>
      </c>
      <c r="J2591" s="486"/>
      <c r="K2591" s="486"/>
      <c r="L2591" s="486">
        <f>SUM(ventas_b_mes684[[#This Row],[IMPORTE NETO]:[EXENTO]])</f>
        <v>0</v>
      </c>
      <c r="M2591" s="487"/>
    </row>
    <row r="2592" spans="2:13">
      <c r="B2592" s="40"/>
      <c r="C2592" s="41"/>
      <c r="D2592" s="538"/>
      <c r="E2592" s="539"/>
      <c r="F2592" s="540"/>
      <c r="G2592" s="541" t="str">
        <f>IFERROR(IF(ventas_b_mes684[[#This Row],[CUIT]]="","-",VLOOKUP(ventas_b_mes684[[#This Row],[CUIT]],Lista_CUIT[#All],2,0)),"CUIT NO CARGADO")</f>
        <v>-</v>
      </c>
      <c r="H2592" s="64"/>
      <c r="I2592" s="485">
        <f>ventas_b_mes684[[#This Row],[IMPORTE NETO]]*0.21</f>
        <v>0</v>
      </c>
      <c r="J2592" s="486"/>
      <c r="K2592" s="486"/>
      <c r="L2592" s="486">
        <f>SUM(ventas_b_mes684[[#This Row],[IMPORTE NETO]:[EXENTO]])</f>
        <v>0</v>
      </c>
      <c r="M2592" s="487"/>
    </row>
    <row r="2593" spans="2:13">
      <c r="B2593" s="40"/>
      <c r="C2593" s="41"/>
      <c r="D2593" s="538"/>
      <c r="E2593" s="539"/>
      <c r="F2593" s="540"/>
      <c r="G2593" s="541" t="str">
        <f>IFERROR(IF(ventas_b_mes684[[#This Row],[CUIT]]="","-",VLOOKUP(ventas_b_mes684[[#This Row],[CUIT]],Lista_CUIT[#All],2,0)),"CUIT NO CARGADO")</f>
        <v>-</v>
      </c>
      <c r="H2593" s="64"/>
      <c r="I2593" s="485">
        <f>ventas_b_mes684[[#This Row],[IMPORTE NETO]]*0.21</f>
        <v>0</v>
      </c>
      <c r="J2593" s="486"/>
      <c r="K2593" s="486"/>
      <c r="L2593" s="486">
        <f>SUM(ventas_b_mes684[[#This Row],[IMPORTE NETO]:[EXENTO]])</f>
        <v>0</v>
      </c>
      <c r="M2593" s="487"/>
    </row>
    <row r="2594" spans="2:13">
      <c r="B2594" s="40"/>
      <c r="C2594" s="41"/>
      <c r="D2594" s="538"/>
      <c r="E2594" s="539"/>
      <c r="F2594" s="540"/>
      <c r="G2594" s="541" t="str">
        <f>IFERROR(IF(ventas_b_mes684[[#This Row],[CUIT]]="","-",VLOOKUP(ventas_b_mes684[[#This Row],[CUIT]],Lista_CUIT[#All],2,0)),"CUIT NO CARGADO")</f>
        <v>-</v>
      </c>
      <c r="H2594" s="64"/>
      <c r="I2594" s="485">
        <f>ventas_b_mes684[[#This Row],[IMPORTE NETO]]*0.21</f>
        <v>0</v>
      </c>
      <c r="J2594" s="486"/>
      <c r="K2594" s="486"/>
      <c r="L2594" s="486">
        <f>SUM(ventas_b_mes684[[#This Row],[IMPORTE NETO]:[EXENTO]])</f>
        <v>0</v>
      </c>
      <c r="M2594" s="487"/>
    </row>
    <row r="2595" spans="2:13">
      <c r="B2595" s="40"/>
      <c r="C2595" s="41"/>
      <c r="D2595" s="538"/>
      <c r="E2595" s="539"/>
      <c r="F2595" s="540"/>
      <c r="G2595" s="541" t="str">
        <f>IFERROR(IF(ventas_b_mes684[[#This Row],[CUIT]]="","-",VLOOKUP(ventas_b_mes684[[#This Row],[CUIT]],Lista_CUIT[#All],2,0)),"CUIT NO CARGADO")</f>
        <v>-</v>
      </c>
      <c r="H2595" s="64"/>
      <c r="I2595" s="485">
        <f>ventas_b_mes684[[#This Row],[IMPORTE NETO]]*0.21</f>
        <v>0</v>
      </c>
      <c r="J2595" s="486"/>
      <c r="K2595" s="486"/>
      <c r="L2595" s="486">
        <f>SUM(ventas_b_mes684[[#This Row],[IMPORTE NETO]:[EXENTO]])</f>
        <v>0</v>
      </c>
      <c r="M2595" s="487"/>
    </row>
    <row r="2596" spans="2:13">
      <c r="B2596" s="40"/>
      <c r="C2596" s="41"/>
      <c r="D2596" s="538"/>
      <c r="E2596" s="539"/>
      <c r="F2596" s="540"/>
      <c r="G2596" s="541" t="str">
        <f>IFERROR(IF(ventas_b_mes684[[#This Row],[CUIT]]="","-",VLOOKUP(ventas_b_mes684[[#This Row],[CUIT]],Lista_CUIT[#All],2,0)),"CUIT NO CARGADO")</f>
        <v>-</v>
      </c>
      <c r="H2596" s="64"/>
      <c r="I2596" s="485">
        <f>ventas_b_mes684[[#This Row],[IMPORTE NETO]]*0.21</f>
        <v>0</v>
      </c>
      <c r="J2596" s="486"/>
      <c r="K2596" s="486"/>
      <c r="L2596" s="486">
        <f>SUM(ventas_b_mes684[[#This Row],[IMPORTE NETO]:[EXENTO]])</f>
        <v>0</v>
      </c>
      <c r="M2596" s="487"/>
    </row>
    <row r="2597" spans="2:13">
      <c r="B2597" s="40"/>
      <c r="C2597" s="41"/>
      <c r="D2597" s="538"/>
      <c r="E2597" s="539"/>
      <c r="F2597" s="540"/>
      <c r="G2597" s="541" t="str">
        <f>IFERROR(IF(ventas_b_mes684[[#This Row],[CUIT]]="","-",VLOOKUP(ventas_b_mes684[[#This Row],[CUIT]],Lista_CUIT[#All],2,0)),"CUIT NO CARGADO")</f>
        <v>-</v>
      </c>
      <c r="H2597" s="64"/>
      <c r="I2597" s="485">
        <f>ventas_b_mes684[[#This Row],[IMPORTE NETO]]*0.21</f>
        <v>0</v>
      </c>
      <c r="J2597" s="486"/>
      <c r="K2597" s="486"/>
      <c r="L2597" s="486">
        <f>SUM(ventas_b_mes684[[#This Row],[IMPORTE NETO]:[EXENTO]])</f>
        <v>0</v>
      </c>
      <c r="M2597" s="487"/>
    </row>
    <row r="2598" spans="2:13">
      <c r="B2598" s="40"/>
      <c r="C2598" s="41"/>
      <c r="D2598" s="538"/>
      <c r="E2598" s="539"/>
      <c r="F2598" s="540"/>
      <c r="G2598" s="541" t="str">
        <f>IFERROR(IF(ventas_b_mes684[[#This Row],[CUIT]]="","-",VLOOKUP(ventas_b_mes684[[#This Row],[CUIT]],Lista_CUIT[#All],2,0)),"CUIT NO CARGADO")</f>
        <v>-</v>
      </c>
      <c r="H2598" s="64"/>
      <c r="I2598" s="485">
        <f>ventas_b_mes684[[#This Row],[IMPORTE NETO]]*0.21</f>
        <v>0</v>
      </c>
      <c r="J2598" s="486"/>
      <c r="K2598" s="486"/>
      <c r="L2598" s="486">
        <f>SUM(ventas_b_mes684[[#This Row],[IMPORTE NETO]:[EXENTO]])</f>
        <v>0</v>
      </c>
      <c r="M2598" s="487"/>
    </row>
    <row r="2599" spans="2:13">
      <c r="B2599" s="40"/>
      <c r="C2599" s="41"/>
      <c r="D2599" s="538"/>
      <c r="E2599" s="539"/>
      <c r="F2599" s="540"/>
      <c r="G2599" s="541" t="str">
        <f>IFERROR(IF(ventas_b_mes684[[#This Row],[CUIT]]="","-",VLOOKUP(ventas_b_mes684[[#This Row],[CUIT]],Lista_CUIT[#All],2,0)),"CUIT NO CARGADO")</f>
        <v>-</v>
      </c>
      <c r="H2599" s="64"/>
      <c r="I2599" s="485">
        <f>ventas_b_mes684[[#This Row],[IMPORTE NETO]]*0.21</f>
        <v>0</v>
      </c>
      <c r="J2599" s="486"/>
      <c r="K2599" s="486"/>
      <c r="L2599" s="486">
        <f>SUM(ventas_b_mes684[[#This Row],[IMPORTE NETO]:[EXENTO]])</f>
        <v>0</v>
      </c>
      <c r="M2599" s="487"/>
    </row>
    <row r="2600" spans="2:13">
      <c r="B2600" s="40"/>
      <c r="C2600" s="41"/>
      <c r="D2600" s="538"/>
      <c r="E2600" s="539"/>
      <c r="F2600" s="540"/>
      <c r="G2600" s="541" t="str">
        <f>IFERROR(IF(ventas_b_mes684[[#This Row],[CUIT]]="","-",VLOOKUP(ventas_b_mes684[[#This Row],[CUIT]],Lista_CUIT[#All],2,0)),"CUIT NO CARGADO")</f>
        <v>-</v>
      </c>
      <c r="H2600" s="64"/>
      <c r="I2600" s="485">
        <f>ventas_b_mes684[[#This Row],[IMPORTE NETO]]*0.21</f>
        <v>0</v>
      </c>
      <c r="J2600" s="486"/>
      <c r="K2600" s="486"/>
      <c r="L2600" s="486">
        <f>SUM(ventas_b_mes684[[#This Row],[IMPORTE NETO]:[EXENTO]])</f>
        <v>0</v>
      </c>
      <c r="M2600" s="487"/>
    </row>
    <row r="2601" spans="2:13">
      <c r="B2601" s="40"/>
      <c r="C2601" s="41"/>
      <c r="D2601" s="538"/>
      <c r="E2601" s="539"/>
      <c r="F2601" s="540"/>
      <c r="G2601" s="541" t="str">
        <f>IFERROR(IF(ventas_b_mes684[[#This Row],[CUIT]]="","-",VLOOKUP(ventas_b_mes684[[#This Row],[CUIT]],Lista_CUIT[#All],2,0)),"CUIT NO CARGADO")</f>
        <v>-</v>
      </c>
      <c r="H2601" s="64"/>
      <c r="I2601" s="485">
        <f>ventas_b_mes684[[#This Row],[IMPORTE NETO]]*0.21</f>
        <v>0</v>
      </c>
      <c r="J2601" s="486"/>
      <c r="K2601" s="486"/>
      <c r="L2601" s="486">
        <f>SUM(ventas_b_mes684[[#This Row],[IMPORTE NETO]:[EXENTO]])</f>
        <v>0</v>
      </c>
      <c r="M2601" s="487"/>
    </row>
    <row r="2602" spans="2:13">
      <c r="B2602" s="40"/>
      <c r="C2602" s="41"/>
      <c r="D2602" s="538"/>
      <c r="E2602" s="539"/>
      <c r="F2602" s="540"/>
      <c r="G2602" s="541" t="str">
        <f>IFERROR(IF(ventas_b_mes684[[#This Row],[CUIT]]="","-",VLOOKUP(ventas_b_mes684[[#This Row],[CUIT]],Lista_CUIT[#All],2,0)),"CUIT NO CARGADO")</f>
        <v>-</v>
      </c>
      <c r="H2602" s="64"/>
      <c r="I2602" s="485">
        <f>ventas_b_mes684[[#This Row],[IMPORTE NETO]]*0.21</f>
        <v>0</v>
      </c>
      <c r="J2602" s="486"/>
      <c r="K2602" s="486"/>
      <c r="L2602" s="486">
        <f>SUM(ventas_b_mes684[[#This Row],[IMPORTE NETO]:[EXENTO]])</f>
        <v>0</v>
      </c>
      <c r="M2602" s="487"/>
    </row>
    <row r="2603" spans="2:13">
      <c r="B2603" s="40"/>
      <c r="C2603" s="41"/>
      <c r="D2603" s="538"/>
      <c r="E2603" s="539"/>
      <c r="F2603" s="540"/>
      <c r="G2603" s="541" t="str">
        <f>IFERROR(IF(ventas_b_mes684[[#This Row],[CUIT]]="","-",VLOOKUP(ventas_b_mes684[[#This Row],[CUIT]],Lista_CUIT[#All],2,0)),"CUIT NO CARGADO")</f>
        <v>-</v>
      </c>
      <c r="H2603" s="64"/>
      <c r="I2603" s="485">
        <f>ventas_b_mes684[[#This Row],[IMPORTE NETO]]*0.21</f>
        <v>0</v>
      </c>
      <c r="J2603" s="486"/>
      <c r="K2603" s="486"/>
      <c r="L2603" s="486">
        <f>SUM(ventas_b_mes684[[#This Row],[IMPORTE NETO]:[EXENTO]])</f>
        <v>0</v>
      </c>
      <c r="M2603" s="487"/>
    </row>
    <row r="2604" spans="2:13">
      <c r="B2604" s="40"/>
      <c r="C2604" s="41"/>
      <c r="D2604" s="538"/>
      <c r="E2604" s="539"/>
      <c r="F2604" s="540"/>
      <c r="G2604" s="541" t="str">
        <f>IFERROR(IF(ventas_b_mes684[[#This Row],[CUIT]]="","-",VLOOKUP(ventas_b_mes684[[#This Row],[CUIT]],Lista_CUIT[#All],2,0)),"CUIT NO CARGADO")</f>
        <v>-</v>
      </c>
      <c r="H2604" s="64"/>
      <c r="I2604" s="485">
        <f>ventas_b_mes684[[#This Row],[IMPORTE NETO]]*0.21</f>
        <v>0</v>
      </c>
      <c r="J2604" s="486"/>
      <c r="K2604" s="486"/>
      <c r="L2604" s="486">
        <f>SUM(ventas_b_mes684[[#This Row],[IMPORTE NETO]:[EXENTO]])</f>
        <v>0</v>
      </c>
      <c r="M2604" s="487"/>
    </row>
    <row r="2605" spans="2:13">
      <c r="B2605" s="40"/>
      <c r="C2605" s="41"/>
      <c r="D2605" s="538"/>
      <c r="E2605" s="539"/>
      <c r="F2605" s="540"/>
      <c r="G2605" s="541" t="str">
        <f>IFERROR(IF(ventas_b_mes684[[#This Row],[CUIT]]="","-",VLOOKUP(ventas_b_mes684[[#This Row],[CUIT]],Lista_CUIT[#All],2,0)),"CUIT NO CARGADO")</f>
        <v>-</v>
      </c>
      <c r="H2605" s="64"/>
      <c r="I2605" s="485">
        <f>ventas_b_mes684[[#This Row],[IMPORTE NETO]]*0.21</f>
        <v>0</v>
      </c>
      <c r="J2605" s="486"/>
      <c r="K2605" s="486"/>
      <c r="L2605" s="486">
        <f>SUM(ventas_b_mes684[[#This Row],[IMPORTE NETO]:[EXENTO]])</f>
        <v>0</v>
      </c>
      <c r="M2605" s="487"/>
    </row>
    <row r="2606" spans="2:13">
      <c r="B2606" s="40"/>
      <c r="C2606" s="41"/>
      <c r="D2606" s="538"/>
      <c r="E2606" s="539"/>
      <c r="F2606" s="540"/>
      <c r="G2606" s="541" t="str">
        <f>IFERROR(IF(ventas_b_mes684[[#This Row],[CUIT]]="","-",VLOOKUP(ventas_b_mes684[[#This Row],[CUIT]],Lista_CUIT[#All],2,0)),"CUIT NO CARGADO")</f>
        <v>-</v>
      </c>
      <c r="H2606" s="64"/>
      <c r="I2606" s="485">
        <f>ventas_b_mes684[[#This Row],[IMPORTE NETO]]*0.21</f>
        <v>0</v>
      </c>
      <c r="J2606" s="486"/>
      <c r="K2606" s="486"/>
      <c r="L2606" s="486">
        <f>SUM(ventas_b_mes684[[#This Row],[IMPORTE NETO]:[EXENTO]])</f>
        <v>0</v>
      </c>
      <c r="M2606" s="487"/>
    </row>
    <row r="2607" spans="2:13">
      <c r="B2607" s="40"/>
      <c r="C2607" s="41"/>
      <c r="D2607" s="538"/>
      <c r="E2607" s="539"/>
      <c r="F2607" s="540"/>
      <c r="G2607" s="541" t="str">
        <f>IFERROR(IF(ventas_b_mes684[[#This Row],[CUIT]]="","-",VLOOKUP(ventas_b_mes684[[#This Row],[CUIT]],Lista_CUIT[#All],2,0)),"CUIT NO CARGADO")</f>
        <v>-</v>
      </c>
      <c r="H2607" s="64"/>
      <c r="I2607" s="485">
        <f>ventas_b_mes684[[#This Row],[IMPORTE NETO]]*0.21</f>
        <v>0</v>
      </c>
      <c r="J2607" s="486"/>
      <c r="K2607" s="486"/>
      <c r="L2607" s="486">
        <f>SUM(ventas_b_mes684[[#This Row],[IMPORTE NETO]:[EXENTO]])</f>
        <v>0</v>
      </c>
      <c r="M2607" s="487"/>
    </row>
    <row r="2608" spans="2:13">
      <c r="B2608" s="40"/>
      <c r="C2608" s="41"/>
      <c r="D2608" s="538"/>
      <c r="E2608" s="539"/>
      <c r="F2608" s="540"/>
      <c r="G2608" s="541" t="str">
        <f>IFERROR(IF(ventas_b_mes684[[#This Row],[CUIT]]="","-",VLOOKUP(ventas_b_mes684[[#This Row],[CUIT]],Lista_CUIT[#All],2,0)),"CUIT NO CARGADO")</f>
        <v>-</v>
      </c>
      <c r="H2608" s="64"/>
      <c r="I2608" s="485">
        <f>ventas_b_mes684[[#This Row],[IMPORTE NETO]]*0.21</f>
        <v>0</v>
      </c>
      <c r="J2608" s="486"/>
      <c r="K2608" s="486"/>
      <c r="L2608" s="486">
        <f>SUM(ventas_b_mes684[[#This Row],[IMPORTE NETO]:[EXENTO]])</f>
        <v>0</v>
      </c>
      <c r="M2608" s="487"/>
    </row>
    <row r="2609" spans="2:13">
      <c r="B2609" s="40"/>
      <c r="C2609" s="41"/>
      <c r="D2609" s="538"/>
      <c r="E2609" s="539"/>
      <c r="F2609" s="540"/>
      <c r="G2609" s="541" t="str">
        <f>IFERROR(IF(ventas_b_mes684[[#This Row],[CUIT]]="","-",VLOOKUP(ventas_b_mes684[[#This Row],[CUIT]],Lista_CUIT[#All],2,0)),"CUIT NO CARGADO")</f>
        <v>-</v>
      </c>
      <c r="H2609" s="64"/>
      <c r="I2609" s="485">
        <f>ventas_b_mes684[[#This Row],[IMPORTE NETO]]*0.21</f>
        <v>0</v>
      </c>
      <c r="J2609" s="486"/>
      <c r="K2609" s="486"/>
      <c r="L2609" s="486">
        <f>SUM(ventas_b_mes684[[#This Row],[IMPORTE NETO]:[EXENTO]])</f>
        <v>0</v>
      </c>
      <c r="M2609" s="487"/>
    </row>
    <row r="2610" spans="2:13">
      <c r="B2610" s="40"/>
      <c r="C2610" s="41"/>
      <c r="D2610" s="538"/>
      <c r="E2610" s="539"/>
      <c r="F2610" s="540"/>
      <c r="G2610" s="541" t="str">
        <f>IFERROR(IF(ventas_b_mes684[[#This Row],[CUIT]]="","-",VLOOKUP(ventas_b_mes684[[#This Row],[CUIT]],Lista_CUIT[#All],2,0)),"CUIT NO CARGADO")</f>
        <v>-</v>
      </c>
      <c r="H2610" s="64"/>
      <c r="I2610" s="485">
        <f>ventas_b_mes684[[#This Row],[IMPORTE NETO]]*0.21</f>
        <v>0</v>
      </c>
      <c r="J2610" s="486"/>
      <c r="K2610" s="486"/>
      <c r="L2610" s="486">
        <f>SUM(ventas_b_mes684[[#This Row],[IMPORTE NETO]:[EXENTO]])</f>
        <v>0</v>
      </c>
      <c r="M2610" s="487"/>
    </row>
    <row r="2611" spans="2:13">
      <c r="B2611" s="40"/>
      <c r="C2611" s="41"/>
      <c r="D2611" s="538"/>
      <c r="E2611" s="539"/>
      <c r="F2611" s="540"/>
      <c r="G2611" s="541" t="str">
        <f>IFERROR(IF(ventas_b_mes684[[#This Row],[CUIT]]="","-",VLOOKUP(ventas_b_mes684[[#This Row],[CUIT]],Lista_CUIT[#All],2,0)),"CUIT NO CARGADO")</f>
        <v>-</v>
      </c>
      <c r="H2611" s="64"/>
      <c r="I2611" s="485">
        <f>ventas_b_mes684[[#This Row],[IMPORTE NETO]]*0.21</f>
        <v>0</v>
      </c>
      <c r="J2611" s="486"/>
      <c r="K2611" s="486"/>
      <c r="L2611" s="486">
        <f>SUM(ventas_b_mes684[[#This Row],[IMPORTE NETO]:[EXENTO]])</f>
        <v>0</v>
      </c>
      <c r="M2611" s="487"/>
    </row>
    <row r="2612" spans="2:13">
      <c r="B2612" s="40"/>
      <c r="C2612" s="41"/>
      <c r="D2612" s="538"/>
      <c r="E2612" s="539"/>
      <c r="F2612" s="540"/>
      <c r="G2612" s="541" t="str">
        <f>IFERROR(IF(ventas_b_mes684[[#This Row],[CUIT]]="","-",VLOOKUP(ventas_b_mes684[[#This Row],[CUIT]],Lista_CUIT[#All],2,0)),"CUIT NO CARGADO")</f>
        <v>-</v>
      </c>
      <c r="H2612" s="64"/>
      <c r="I2612" s="485">
        <f>ventas_b_mes684[[#This Row],[IMPORTE NETO]]*0.21</f>
        <v>0</v>
      </c>
      <c r="J2612" s="486"/>
      <c r="K2612" s="486"/>
      <c r="L2612" s="486">
        <f>SUM(ventas_b_mes684[[#This Row],[IMPORTE NETO]:[EXENTO]])</f>
        <v>0</v>
      </c>
      <c r="M2612" s="487"/>
    </row>
    <row r="2613" spans="2:13">
      <c r="B2613" s="40"/>
      <c r="C2613" s="41"/>
      <c r="D2613" s="538"/>
      <c r="E2613" s="539"/>
      <c r="F2613" s="540"/>
      <c r="G2613" s="541" t="str">
        <f>IFERROR(IF(ventas_b_mes684[[#This Row],[CUIT]]="","-",VLOOKUP(ventas_b_mes684[[#This Row],[CUIT]],Lista_CUIT[#All],2,0)),"CUIT NO CARGADO")</f>
        <v>-</v>
      </c>
      <c r="H2613" s="64"/>
      <c r="I2613" s="485">
        <f>ventas_b_mes684[[#This Row],[IMPORTE NETO]]*0.21</f>
        <v>0</v>
      </c>
      <c r="J2613" s="486"/>
      <c r="K2613" s="486"/>
      <c r="L2613" s="486">
        <f>SUM(ventas_b_mes684[[#This Row],[IMPORTE NETO]:[EXENTO]])</f>
        <v>0</v>
      </c>
      <c r="M2613" s="487"/>
    </row>
    <row r="2614" spans="2:13">
      <c r="B2614" s="40"/>
      <c r="C2614" s="41"/>
      <c r="D2614" s="538"/>
      <c r="E2614" s="539"/>
      <c r="F2614" s="540"/>
      <c r="G2614" s="541" t="str">
        <f>IFERROR(IF(ventas_b_mes684[[#This Row],[CUIT]]="","-",VLOOKUP(ventas_b_mes684[[#This Row],[CUIT]],Lista_CUIT[#All],2,0)),"CUIT NO CARGADO")</f>
        <v>-</v>
      </c>
      <c r="H2614" s="64"/>
      <c r="I2614" s="485">
        <f>ventas_b_mes684[[#This Row],[IMPORTE NETO]]*0.21</f>
        <v>0</v>
      </c>
      <c r="J2614" s="486"/>
      <c r="K2614" s="486"/>
      <c r="L2614" s="486">
        <f>SUM(ventas_b_mes684[[#This Row],[IMPORTE NETO]:[EXENTO]])</f>
        <v>0</v>
      </c>
      <c r="M2614" s="487"/>
    </row>
    <row r="2615" spans="2:13">
      <c r="B2615" s="40"/>
      <c r="C2615" s="41"/>
      <c r="D2615" s="538"/>
      <c r="E2615" s="539"/>
      <c r="F2615" s="540"/>
      <c r="G2615" s="541" t="str">
        <f>IFERROR(IF(ventas_b_mes684[[#This Row],[CUIT]]="","-",VLOOKUP(ventas_b_mes684[[#This Row],[CUIT]],Lista_CUIT[#All],2,0)),"CUIT NO CARGADO")</f>
        <v>-</v>
      </c>
      <c r="H2615" s="64"/>
      <c r="I2615" s="485">
        <f>ventas_b_mes684[[#This Row],[IMPORTE NETO]]*0.21</f>
        <v>0</v>
      </c>
      <c r="J2615" s="486"/>
      <c r="K2615" s="486"/>
      <c r="L2615" s="486">
        <f>SUM(ventas_b_mes684[[#This Row],[IMPORTE NETO]:[EXENTO]])</f>
        <v>0</v>
      </c>
      <c r="M2615" s="487"/>
    </row>
    <row r="2616" spans="2:13">
      <c r="B2616" s="40"/>
      <c r="C2616" s="41"/>
      <c r="D2616" s="538"/>
      <c r="E2616" s="539"/>
      <c r="F2616" s="540"/>
      <c r="G2616" s="541" t="str">
        <f>IFERROR(IF(ventas_b_mes684[[#This Row],[CUIT]]="","-",VLOOKUP(ventas_b_mes684[[#This Row],[CUIT]],Lista_CUIT[#All],2,0)),"CUIT NO CARGADO")</f>
        <v>-</v>
      </c>
      <c r="H2616" s="64"/>
      <c r="I2616" s="485">
        <f>ventas_b_mes684[[#This Row],[IMPORTE NETO]]*0.21</f>
        <v>0</v>
      </c>
      <c r="J2616" s="486"/>
      <c r="K2616" s="486"/>
      <c r="L2616" s="486">
        <f>SUM(ventas_b_mes684[[#This Row],[IMPORTE NETO]:[EXENTO]])</f>
        <v>0</v>
      </c>
      <c r="M2616" s="487"/>
    </row>
    <row r="2617" spans="2:13">
      <c r="B2617" s="40"/>
      <c r="C2617" s="41"/>
      <c r="D2617" s="538"/>
      <c r="E2617" s="539"/>
      <c r="F2617" s="540"/>
      <c r="G2617" s="541" t="str">
        <f>IFERROR(IF(ventas_b_mes684[[#This Row],[CUIT]]="","-",VLOOKUP(ventas_b_mes684[[#This Row],[CUIT]],Lista_CUIT[#All],2,0)),"CUIT NO CARGADO")</f>
        <v>-</v>
      </c>
      <c r="H2617" s="64"/>
      <c r="I2617" s="485">
        <f>ventas_b_mes684[[#This Row],[IMPORTE NETO]]*0.21</f>
        <v>0</v>
      </c>
      <c r="J2617" s="486"/>
      <c r="K2617" s="486"/>
      <c r="L2617" s="486">
        <f>SUM(ventas_b_mes684[[#This Row],[IMPORTE NETO]:[EXENTO]])</f>
        <v>0</v>
      </c>
      <c r="M2617" s="487"/>
    </row>
    <row r="2618" spans="2:13">
      <c r="B2618" s="40"/>
      <c r="C2618" s="41"/>
      <c r="D2618" s="538"/>
      <c r="E2618" s="539"/>
      <c r="F2618" s="540"/>
      <c r="G2618" s="541" t="str">
        <f>IFERROR(IF(ventas_b_mes684[[#This Row],[CUIT]]="","-",VLOOKUP(ventas_b_mes684[[#This Row],[CUIT]],Lista_CUIT[#All],2,0)),"CUIT NO CARGADO")</f>
        <v>-</v>
      </c>
      <c r="H2618" s="64"/>
      <c r="I2618" s="485">
        <f>ventas_b_mes684[[#This Row],[IMPORTE NETO]]*0.21</f>
        <v>0</v>
      </c>
      <c r="J2618" s="486"/>
      <c r="K2618" s="486"/>
      <c r="L2618" s="486">
        <f>SUM(ventas_b_mes684[[#This Row],[IMPORTE NETO]:[EXENTO]])</f>
        <v>0</v>
      </c>
      <c r="M2618" s="487"/>
    </row>
    <row r="2619" spans="2:13">
      <c r="B2619" s="40"/>
      <c r="C2619" s="41"/>
      <c r="D2619" s="538"/>
      <c r="E2619" s="539"/>
      <c r="F2619" s="540"/>
      <c r="G2619" s="541" t="str">
        <f>IFERROR(IF(ventas_b_mes684[[#This Row],[CUIT]]="","-",VLOOKUP(ventas_b_mes684[[#This Row],[CUIT]],Lista_CUIT[#All],2,0)),"CUIT NO CARGADO")</f>
        <v>-</v>
      </c>
      <c r="H2619" s="64"/>
      <c r="I2619" s="485">
        <f>ventas_b_mes684[[#This Row],[IMPORTE NETO]]*0.21</f>
        <v>0</v>
      </c>
      <c r="J2619" s="486"/>
      <c r="K2619" s="486"/>
      <c r="L2619" s="486">
        <f>SUM(ventas_b_mes684[[#This Row],[IMPORTE NETO]:[EXENTO]])</f>
        <v>0</v>
      </c>
      <c r="M2619" s="487"/>
    </row>
    <row r="2620" spans="2:13">
      <c r="B2620" s="40"/>
      <c r="C2620" s="41"/>
      <c r="D2620" s="538"/>
      <c r="E2620" s="539"/>
      <c r="F2620" s="540"/>
      <c r="G2620" s="541" t="str">
        <f>IFERROR(IF(ventas_b_mes684[[#This Row],[CUIT]]="","-",VLOOKUP(ventas_b_mes684[[#This Row],[CUIT]],Lista_CUIT[#All],2,0)),"CUIT NO CARGADO")</f>
        <v>-</v>
      </c>
      <c r="H2620" s="64"/>
      <c r="I2620" s="485">
        <f>ventas_b_mes684[[#This Row],[IMPORTE NETO]]*0.21</f>
        <v>0</v>
      </c>
      <c r="J2620" s="486"/>
      <c r="K2620" s="486"/>
      <c r="L2620" s="486">
        <f>SUM(ventas_b_mes684[[#This Row],[IMPORTE NETO]:[EXENTO]])</f>
        <v>0</v>
      </c>
      <c r="M2620" s="487"/>
    </row>
    <row r="2621" spans="2:13">
      <c r="B2621" s="40"/>
      <c r="C2621" s="41"/>
      <c r="D2621" s="538"/>
      <c r="E2621" s="539"/>
      <c r="F2621" s="540"/>
      <c r="G2621" s="541" t="str">
        <f>IFERROR(IF(ventas_b_mes684[[#This Row],[CUIT]]="","-",VLOOKUP(ventas_b_mes684[[#This Row],[CUIT]],Lista_CUIT[#All],2,0)),"CUIT NO CARGADO")</f>
        <v>-</v>
      </c>
      <c r="H2621" s="64"/>
      <c r="I2621" s="485">
        <f>ventas_b_mes684[[#This Row],[IMPORTE NETO]]*0.21</f>
        <v>0</v>
      </c>
      <c r="J2621" s="486"/>
      <c r="K2621" s="486"/>
      <c r="L2621" s="486">
        <f>SUM(ventas_b_mes684[[#This Row],[IMPORTE NETO]:[EXENTO]])</f>
        <v>0</v>
      </c>
      <c r="M2621" s="487"/>
    </row>
    <row r="2622" spans="2:13">
      <c r="B2622" s="40"/>
      <c r="C2622" s="41"/>
      <c r="D2622" s="538"/>
      <c r="E2622" s="539"/>
      <c r="F2622" s="540"/>
      <c r="G2622" s="541" t="str">
        <f>IFERROR(IF(ventas_b_mes684[[#This Row],[CUIT]]="","-",VLOOKUP(ventas_b_mes684[[#This Row],[CUIT]],Lista_CUIT[#All],2,0)),"CUIT NO CARGADO")</f>
        <v>-</v>
      </c>
      <c r="H2622" s="64"/>
      <c r="I2622" s="485">
        <f>ventas_b_mes684[[#This Row],[IMPORTE NETO]]*0.21</f>
        <v>0</v>
      </c>
      <c r="J2622" s="486"/>
      <c r="K2622" s="486"/>
      <c r="L2622" s="486">
        <f>SUM(ventas_b_mes684[[#This Row],[IMPORTE NETO]:[EXENTO]])</f>
        <v>0</v>
      </c>
      <c r="M2622" s="487"/>
    </row>
    <row r="2623" spans="2:13">
      <c r="B2623" s="40"/>
      <c r="C2623" s="41"/>
      <c r="D2623" s="538"/>
      <c r="E2623" s="539"/>
      <c r="F2623" s="540"/>
      <c r="G2623" s="541" t="str">
        <f>IFERROR(IF(ventas_b_mes684[[#This Row],[CUIT]]="","-",VLOOKUP(ventas_b_mes684[[#This Row],[CUIT]],Lista_CUIT[#All],2,0)),"CUIT NO CARGADO")</f>
        <v>-</v>
      </c>
      <c r="H2623" s="64"/>
      <c r="I2623" s="485">
        <f>ventas_b_mes684[[#This Row],[IMPORTE NETO]]*0.21</f>
        <v>0</v>
      </c>
      <c r="J2623" s="486"/>
      <c r="K2623" s="486"/>
      <c r="L2623" s="486">
        <f>SUM(ventas_b_mes684[[#This Row],[IMPORTE NETO]:[EXENTO]])</f>
        <v>0</v>
      </c>
      <c r="M2623" s="487"/>
    </row>
    <row r="2624" spans="2:13">
      <c r="B2624" s="40"/>
      <c r="C2624" s="41"/>
      <c r="D2624" s="538"/>
      <c r="E2624" s="539"/>
      <c r="F2624" s="540"/>
      <c r="G2624" s="541" t="str">
        <f>IFERROR(IF(ventas_b_mes684[[#This Row],[CUIT]]="","-",VLOOKUP(ventas_b_mes684[[#This Row],[CUIT]],Lista_CUIT[#All],2,0)),"CUIT NO CARGADO")</f>
        <v>-</v>
      </c>
      <c r="H2624" s="64"/>
      <c r="I2624" s="485">
        <f>ventas_b_mes684[[#This Row],[IMPORTE NETO]]*0.21</f>
        <v>0</v>
      </c>
      <c r="J2624" s="486"/>
      <c r="K2624" s="486"/>
      <c r="L2624" s="486">
        <f>SUM(ventas_b_mes684[[#This Row],[IMPORTE NETO]:[EXENTO]])</f>
        <v>0</v>
      </c>
      <c r="M2624" s="487"/>
    </row>
    <row r="2625" spans="2:13">
      <c r="B2625" s="40"/>
      <c r="C2625" s="41"/>
      <c r="D2625" s="538"/>
      <c r="E2625" s="539"/>
      <c r="F2625" s="540"/>
      <c r="G2625" s="541" t="str">
        <f>IFERROR(IF(ventas_b_mes684[[#This Row],[CUIT]]="","-",VLOOKUP(ventas_b_mes684[[#This Row],[CUIT]],Lista_CUIT[#All],2,0)),"CUIT NO CARGADO")</f>
        <v>-</v>
      </c>
      <c r="H2625" s="64"/>
      <c r="I2625" s="485">
        <f>ventas_b_mes684[[#This Row],[IMPORTE NETO]]*0.21</f>
        <v>0</v>
      </c>
      <c r="J2625" s="486"/>
      <c r="K2625" s="486"/>
      <c r="L2625" s="486">
        <f>SUM(ventas_b_mes684[[#This Row],[IMPORTE NETO]:[EXENTO]])</f>
        <v>0</v>
      </c>
      <c r="M2625" s="487"/>
    </row>
    <row r="2626" spans="2:13">
      <c r="B2626" s="40"/>
      <c r="C2626" s="41"/>
      <c r="D2626" s="538"/>
      <c r="E2626" s="539"/>
      <c r="F2626" s="540"/>
      <c r="G2626" s="541" t="str">
        <f>IFERROR(IF(ventas_b_mes684[[#This Row],[CUIT]]="","-",VLOOKUP(ventas_b_mes684[[#This Row],[CUIT]],Lista_CUIT[#All],2,0)),"CUIT NO CARGADO")</f>
        <v>-</v>
      </c>
      <c r="H2626" s="64"/>
      <c r="I2626" s="485">
        <f>ventas_b_mes684[[#This Row],[IMPORTE NETO]]*0.21</f>
        <v>0</v>
      </c>
      <c r="J2626" s="486"/>
      <c r="K2626" s="486"/>
      <c r="L2626" s="486">
        <f>SUM(ventas_b_mes684[[#This Row],[IMPORTE NETO]:[EXENTO]])</f>
        <v>0</v>
      </c>
      <c r="M2626" s="487"/>
    </row>
    <row r="2627" spans="2:13">
      <c r="B2627" s="40"/>
      <c r="C2627" s="41"/>
      <c r="D2627" s="538"/>
      <c r="E2627" s="539"/>
      <c r="F2627" s="540"/>
      <c r="G2627" s="541" t="str">
        <f>IFERROR(IF(ventas_b_mes684[[#This Row],[CUIT]]="","-",VLOOKUP(ventas_b_mes684[[#This Row],[CUIT]],Lista_CUIT[#All],2,0)),"CUIT NO CARGADO")</f>
        <v>-</v>
      </c>
      <c r="H2627" s="64"/>
      <c r="I2627" s="485">
        <f>ventas_b_mes684[[#This Row],[IMPORTE NETO]]*0.21</f>
        <v>0</v>
      </c>
      <c r="J2627" s="486"/>
      <c r="K2627" s="486"/>
      <c r="L2627" s="486">
        <f>SUM(ventas_b_mes684[[#This Row],[IMPORTE NETO]:[EXENTO]])</f>
        <v>0</v>
      </c>
      <c r="M2627" s="487"/>
    </row>
    <row r="2628" spans="2:13">
      <c r="B2628" s="40"/>
      <c r="C2628" s="41"/>
      <c r="D2628" s="538"/>
      <c r="E2628" s="539"/>
      <c r="F2628" s="540"/>
      <c r="G2628" s="541" t="str">
        <f>IFERROR(IF(ventas_b_mes684[[#This Row],[CUIT]]="","-",VLOOKUP(ventas_b_mes684[[#This Row],[CUIT]],Lista_CUIT[#All],2,0)),"CUIT NO CARGADO")</f>
        <v>-</v>
      </c>
      <c r="H2628" s="64"/>
      <c r="I2628" s="485">
        <f>ventas_b_mes684[[#This Row],[IMPORTE NETO]]*0.21</f>
        <v>0</v>
      </c>
      <c r="J2628" s="486"/>
      <c r="K2628" s="486"/>
      <c r="L2628" s="486">
        <f>SUM(ventas_b_mes684[[#This Row],[IMPORTE NETO]:[EXENTO]])</f>
        <v>0</v>
      </c>
      <c r="M2628" s="487"/>
    </row>
    <row r="2629" spans="2:13">
      <c r="B2629" s="40"/>
      <c r="C2629" s="41"/>
      <c r="D2629" s="538"/>
      <c r="E2629" s="539"/>
      <c r="F2629" s="540"/>
      <c r="G2629" s="541" t="str">
        <f>IFERROR(IF(ventas_b_mes684[[#This Row],[CUIT]]="","-",VLOOKUP(ventas_b_mes684[[#This Row],[CUIT]],Lista_CUIT[#All],2,0)),"CUIT NO CARGADO")</f>
        <v>-</v>
      </c>
      <c r="H2629" s="64"/>
      <c r="I2629" s="485">
        <f>ventas_b_mes684[[#This Row],[IMPORTE NETO]]*0.21</f>
        <v>0</v>
      </c>
      <c r="J2629" s="486"/>
      <c r="K2629" s="486"/>
      <c r="L2629" s="486">
        <f>SUM(ventas_b_mes684[[#This Row],[IMPORTE NETO]:[EXENTO]])</f>
        <v>0</v>
      </c>
      <c r="M2629" s="487"/>
    </row>
    <row r="2630" spans="2:13">
      <c r="B2630" s="40"/>
      <c r="C2630" s="41"/>
      <c r="D2630" s="538"/>
      <c r="E2630" s="539"/>
      <c r="F2630" s="540"/>
      <c r="G2630" s="541" t="str">
        <f>IFERROR(IF(ventas_b_mes684[[#This Row],[CUIT]]="","-",VLOOKUP(ventas_b_mes684[[#This Row],[CUIT]],Lista_CUIT[#All],2,0)),"CUIT NO CARGADO")</f>
        <v>-</v>
      </c>
      <c r="H2630" s="64"/>
      <c r="I2630" s="485">
        <f>ventas_b_mes684[[#This Row],[IMPORTE NETO]]*0.21</f>
        <v>0</v>
      </c>
      <c r="J2630" s="486"/>
      <c r="K2630" s="486"/>
      <c r="L2630" s="486">
        <f>SUM(ventas_b_mes684[[#This Row],[IMPORTE NETO]:[EXENTO]])</f>
        <v>0</v>
      </c>
      <c r="M2630" s="487"/>
    </row>
    <row r="2631" spans="2:13">
      <c r="B2631" s="40"/>
      <c r="C2631" s="41"/>
      <c r="D2631" s="538"/>
      <c r="E2631" s="539"/>
      <c r="F2631" s="540"/>
      <c r="G2631" s="541" t="str">
        <f>IFERROR(IF(ventas_b_mes684[[#This Row],[CUIT]]="","-",VLOOKUP(ventas_b_mes684[[#This Row],[CUIT]],Lista_CUIT[#All],2,0)),"CUIT NO CARGADO")</f>
        <v>-</v>
      </c>
      <c r="H2631" s="64"/>
      <c r="I2631" s="485">
        <f>ventas_b_mes684[[#This Row],[IMPORTE NETO]]*0.21</f>
        <v>0</v>
      </c>
      <c r="J2631" s="486"/>
      <c r="K2631" s="486"/>
      <c r="L2631" s="486">
        <f>SUM(ventas_b_mes684[[#This Row],[IMPORTE NETO]:[EXENTO]])</f>
        <v>0</v>
      </c>
      <c r="M2631" s="487"/>
    </row>
    <row r="2632" spans="2:13">
      <c r="B2632" s="40"/>
      <c r="C2632" s="41"/>
      <c r="D2632" s="538"/>
      <c r="E2632" s="539"/>
      <c r="F2632" s="540"/>
      <c r="G2632" s="541" t="str">
        <f>IFERROR(IF(ventas_b_mes684[[#This Row],[CUIT]]="","-",VLOOKUP(ventas_b_mes684[[#This Row],[CUIT]],Lista_CUIT[#All],2,0)),"CUIT NO CARGADO")</f>
        <v>-</v>
      </c>
      <c r="H2632" s="64"/>
      <c r="I2632" s="485">
        <f>ventas_b_mes684[[#This Row],[IMPORTE NETO]]*0.21</f>
        <v>0</v>
      </c>
      <c r="J2632" s="486"/>
      <c r="K2632" s="486"/>
      <c r="L2632" s="486">
        <f>SUM(ventas_b_mes684[[#This Row],[IMPORTE NETO]:[EXENTO]])</f>
        <v>0</v>
      </c>
      <c r="M2632" s="487"/>
    </row>
    <row r="2633" spans="2:13">
      <c r="B2633" s="40"/>
      <c r="C2633" s="41"/>
      <c r="D2633" s="538"/>
      <c r="E2633" s="539"/>
      <c r="F2633" s="540"/>
      <c r="G2633" s="541" t="str">
        <f>IFERROR(IF(ventas_b_mes684[[#This Row],[CUIT]]="","-",VLOOKUP(ventas_b_mes684[[#This Row],[CUIT]],Lista_CUIT[#All],2,0)),"CUIT NO CARGADO")</f>
        <v>-</v>
      </c>
      <c r="H2633" s="64"/>
      <c r="I2633" s="485">
        <f>ventas_b_mes684[[#This Row],[IMPORTE NETO]]*0.21</f>
        <v>0</v>
      </c>
      <c r="J2633" s="486"/>
      <c r="K2633" s="486"/>
      <c r="L2633" s="486">
        <f>SUM(ventas_b_mes684[[#This Row],[IMPORTE NETO]:[EXENTO]])</f>
        <v>0</v>
      </c>
      <c r="M2633" s="487"/>
    </row>
    <row r="2634" spans="2:13">
      <c r="B2634" s="40"/>
      <c r="C2634" s="41"/>
      <c r="D2634" s="538"/>
      <c r="E2634" s="539"/>
      <c r="F2634" s="540"/>
      <c r="G2634" s="541" t="str">
        <f>IFERROR(IF(ventas_b_mes684[[#This Row],[CUIT]]="","-",VLOOKUP(ventas_b_mes684[[#This Row],[CUIT]],Lista_CUIT[#All],2,0)),"CUIT NO CARGADO")</f>
        <v>-</v>
      </c>
      <c r="H2634" s="64"/>
      <c r="I2634" s="485">
        <f>ventas_b_mes684[[#This Row],[IMPORTE NETO]]*0.21</f>
        <v>0</v>
      </c>
      <c r="J2634" s="486"/>
      <c r="K2634" s="486"/>
      <c r="L2634" s="486">
        <f>SUM(ventas_b_mes684[[#This Row],[IMPORTE NETO]:[EXENTO]])</f>
        <v>0</v>
      </c>
      <c r="M2634" s="487"/>
    </row>
    <row r="2635" spans="2:13">
      <c r="B2635" s="40"/>
      <c r="C2635" s="41"/>
      <c r="D2635" s="538"/>
      <c r="E2635" s="539"/>
      <c r="F2635" s="540"/>
      <c r="G2635" s="541" t="str">
        <f>IFERROR(IF(ventas_b_mes684[[#This Row],[CUIT]]="","-",VLOOKUP(ventas_b_mes684[[#This Row],[CUIT]],Lista_CUIT[#All],2,0)),"CUIT NO CARGADO")</f>
        <v>-</v>
      </c>
      <c r="H2635" s="64"/>
      <c r="I2635" s="485">
        <f>ventas_b_mes684[[#This Row],[IMPORTE NETO]]*0.21</f>
        <v>0</v>
      </c>
      <c r="J2635" s="486"/>
      <c r="K2635" s="486"/>
      <c r="L2635" s="486">
        <f>SUM(ventas_b_mes684[[#This Row],[IMPORTE NETO]:[EXENTO]])</f>
        <v>0</v>
      </c>
      <c r="M2635" s="487"/>
    </row>
    <row r="2636" spans="2:13">
      <c r="B2636" s="40"/>
      <c r="C2636" s="41"/>
      <c r="D2636" s="538"/>
      <c r="E2636" s="539"/>
      <c r="F2636" s="540"/>
      <c r="G2636" s="541" t="str">
        <f>IFERROR(IF(ventas_b_mes684[[#This Row],[CUIT]]="","-",VLOOKUP(ventas_b_mes684[[#This Row],[CUIT]],Lista_CUIT[#All],2,0)),"CUIT NO CARGADO")</f>
        <v>-</v>
      </c>
      <c r="H2636" s="64"/>
      <c r="I2636" s="485">
        <f>ventas_b_mes684[[#This Row],[IMPORTE NETO]]*0.21</f>
        <v>0</v>
      </c>
      <c r="J2636" s="486"/>
      <c r="K2636" s="486"/>
      <c r="L2636" s="486">
        <f>SUM(ventas_b_mes684[[#This Row],[IMPORTE NETO]:[EXENTO]])</f>
        <v>0</v>
      </c>
      <c r="M2636" s="487"/>
    </row>
    <row r="2637" spans="2:13">
      <c r="B2637" s="40"/>
      <c r="C2637" s="41"/>
      <c r="D2637" s="538"/>
      <c r="E2637" s="539"/>
      <c r="F2637" s="540"/>
      <c r="G2637" s="541" t="str">
        <f>IFERROR(IF(ventas_b_mes684[[#This Row],[CUIT]]="","-",VLOOKUP(ventas_b_mes684[[#This Row],[CUIT]],Lista_CUIT[#All],2,0)),"CUIT NO CARGADO")</f>
        <v>-</v>
      </c>
      <c r="H2637" s="64"/>
      <c r="I2637" s="485">
        <f>ventas_b_mes684[[#This Row],[IMPORTE NETO]]*0.21</f>
        <v>0</v>
      </c>
      <c r="J2637" s="486"/>
      <c r="K2637" s="486"/>
      <c r="L2637" s="486">
        <f>SUM(ventas_b_mes684[[#This Row],[IMPORTE NETO]:[EXENTO]])</f>
        <v>0</v>
      </c>
      <c r="M2637" s="487"/>
    </row>
    <row r="2638" spans="2:13">
      <c r="B2638" s="40"/>
      <c r="C2638" s="41"/>
      <c r="D2638" s="538"/>
      <c r="E2638" s="539"/>
      <c r="F2638" s="540"/>
      <c r="G2638" s="541" t="str">
        <f>IFERROR(IF(ventas_b_mes684[[#This Row],[CUIT]]="","-",VLOOKUP(ventas_b_mes684[[#This Row],[CUIT]],Lista_CUIT[#All],2,0)),"CUIT NO CARGADO")</f>
        <v>-</v>
      </c>
      <c r="H2638" s="64"/>
      <c r="I2638" s="485">
        <f>ventas_b_mes684[[#This Row],[IMPORTE NETO]]*0.21</f>
        <v>0</v>
      </c>
      <c r="J2638" s="486"/>
      <c r="K2638" s="486"/>
      <c r="L2638" s="486">
        <f>SUM(ventas_b_mes684[[#This Row],[IMPORTE NETO]:[EXENTO]])</f>
        <v>0</v>
      </c>
      <c r="M2638" s="487"/>
    </row>
    <row r="2639" spans="2:13">
      <c r="B2639" s="40"/>
      <c r="C2639" s="41"/>
      <c r="D2639" s="538"/>
      <c r="E2639" s="539"/>
      <c r="F2639" s="540"/>
      <c r="G2639" s="541" t="str">
        <f>IFERROR(IF(ventas_b_mes684[[#This Row],[CUIT]]="","-",VLOOKUP(ventas_b_mes684[[#This Row],[CUIT]],Lista_CUIT[#All],2,0)),"CUIT NO CARGADO")</f>
        <v>-</v>
      </c>
      <c r="H2639" s="64"/>
      <c r="I2639" s="485">
        <f>ventas_b_mes684[[#This Row],[IMPORTE NETO]]*0.21</f>
        <v>0</v>
      </c>
      <c r="J2639" s="486"/>
      <c r="K2639" s="486"/>
      <c r="L2639" s="486">
        <f>SUM(ventas_b_mes684[[#This Row],[IMPORTE NETO]:[EXENTO]])</f>
        <v>0</v>
      </c>
      <c r="M2639" s="487"/>
    </row>
    <row r="2640" spans="2:13">
      <c r="B2640" s="40"/>
      <c r="C2640" s="41"/>
      <c r="D2640" s="538"/>
      <c r="E2640" s="539"/>
      <c r="F2640" s="540"/>
      <c r="G2640" s="541" t="str">
        <f>IFERROR(IF(ventas_b_mes684[[#This Row],[CUIT]]="","-",VLOOKUP(ventas_b_mes684[[#This Row],[CUIT]],Lista_CUIT[#All],2,0)),"CUIT NO CARGADO")</f>
        <v>-</v>
      </c>
      <c r="H2640" s="64"/>
      <c r="I2640" s="485">
        <f>ventas_b_mes684[[#This Row],[IMPORTE NETO]]*0.21</f>
        <v>0</v>
      </c>
      <c r="J2640" s="486"/>
      <c r="K2640" s="486"/>
      <c r="L2640" s="486">
        <f>SUM(ventas_b_mes684[[#This Row],[IMPORTE NETO]:[EXENTO]])</f>
        <v>0</v>
      </c>
      <c r="M2640" s="487"/>
    </row>
    <row r="2641" spans="2:13">
      <c r="B2641" s="40"/>
      <c r="C2641" s="41"/>
      <c r="D2641" s="538"/>
      <c r="E2641" s="539"/>
      <c r="F2641" s="540"/>
      <c r="G2641" s="541" t="str">
        <f>IFERROR(IF(ventas_b_mes684[[#This Row],[CUIT]]="","-",VLOOKUP(ventas_b_mes684[[#This Row],[CUIT]],Lista_CUIT[#All],2,0)),"CUIT NO CARGADO")</f>
        <v>-</v>
      </c>
      <c r="H2641" s="64"/>
      <c r="I2641" s="485">
        <f>ventas_b_mes684[[#This Row],[IMPORTE NETO]]*0.21</f>
        <v>0</v>
      </c>
      <c r="J2641" s="486"/>
      <c r="K2641" s="486"/>
      <c r="L2641" s="486">
        <f>SUM(ventas_b_mes684[[#This Row],[IMPORTE NETO]:[EXENTO]])</f>
        <v>0</v>
      </c>
      <c r="M2641" s="487"/>
    </row>
    <row r="2642" spans="2:13">
      <c r="B2642" s="40"/>
      <c r="C2642" s="41"/>
      <c r="D2642" s="538"/>
      <c r="E2642" s="539"/>
      <c r="F2642" s="540"/>
      <c r="G2642" s="541" t="str">
        <f>IFERROR(IF(ventas_b_mes684[[#This Row],[CUIT]]="","-",VLOOKUP(ventas_b_mes684[[#This Row],[CUIT]],Lista_CUIT[#All],2,0)),"CUIT NO CARGADO")</f>
        <v>-</v>
      </c>
      <c r="H2642" s="64"/>
      <c r="I2642" s="485">
        <f>ventas_b_mes684[[#This Row],[IMPORTE NETO]]*0.21</f>
        <v>0</v>
      </c>
      <c r="J2642" s="486"/>
      <c r="K2642" s="486"/>
      <c r="L2642" s="486">
        <f>SUM(ventas_b_mes684[[#This Row],[IMPORTE NETO]:[EXENTO]])</f>
        <v>0</v>
      </c>
      <c r="M2642" s="487"/>
    </row>
    <row r="2643" spans="2:13">
      <c r="B2643" s="40"/>
      <c r="C2643" s="41"/>
      <c r="D2643" s="538"/>
      <c r="E2643" s="539"/>
      <c r="F2643" s="540"/>
      <c r="G2643" s="541" t="str">
        <f>IFERROR(IF(ventas_b_mes684[[#This Row],[CUIT]]="","-",VLOOKUP(ventas_b_mes684[[#This Row],[CUIT]],Lista_CUIT[#All],2,0)),"CUIT NO CARGADO")</f>
        <v>-</v>
      </c>
      <c r="H2643" s="64"/>
      <c r="I2643" s="485">
        <f>ventas_b_mes684[[#This Row],[IMPORTE NETO]]*0.21</f>
        <v>0</v>
      </c>
      <c r="J2643" s="486"/>
      <c r="K2643" s="486"/>
      <c r="L2643" s="486">
        <f>SUM(ventas_b_mes684[[#This Row],[IMPORTE NETO]:[EXENTO]])</f>
        <v>0</v>
      </c>
      <c r="M2643" s="487"/>
    </row>
    <row r="2644" spans="2:13">
      <c r="B2644" s="40"/>
      <c r="C2644" s="41"/>
      <c r="D2644" s="538"/>
      <c r="E2644" s="539"/>
      <c r="F2644" s="540"/>
      <c r="G2644" s="541" t="str">
        <f>IFERROR(IF(ventas_b_mes684[[#This Row],[CUIT]]="","-",VLOOKUP(ventas_b_mes684[[#This Row],[CUIT]],Lista_CUIT[#All],2,0)),"CUIT NO CARGADO")</f>
        <v>-</v>
      </c>
      <c r="H2644" s="64"/>
      <c r="I2644" s="485">
        <f>ventas_b_mes684[[#This Row],[IMPORTE NETO]]*0.21</f>
        <v>0</v>
      </c>
      <c r="J2644" s="486"/>
      <c r="K2644" s="486"/>
      <c r="L2644" s="486">
        <f>SUM(ventas_b_mes684[[#This Row],[IMPORTE NETO]:[EXENTO]])</f>
        <v>0</v>
      </c>
      <c r="M2644" s="487"/>
    </row>
    <row r="2645" spans="2:13">
      <c r="B2645" s="40"/>
      <c r="C2645" s="41"/>
      <c r="D2645" s="538"/>
      <c r="E2645" s="539"/>
      <c r="F2645" s="540"/>
      <c r="G2645" s="541" t="str">
        <f>IFERROR(IF(ventas_b_mes684[[#This Row],[CUIT]]="","-",VLOOKUP(ventas_b_mes684[[#This Row],[CUIT]],Lista_CUIT[#All],2,0)),"CUIT NO CARGADO")</f>
        <v>-</v>
      </c>
      <c r="H2645" s="64"/>
      <c r="I2645" s="485">
        <f>ventas_b_mes684[[#This Row],[IMPORTE NETO]]*0.21</f>
        <v>0</v>
      </c>
      <c r="J2645" s="486"/>
      <c r="K2645" s="486"/>
      <c r="L2645" s="486">
        <f>SUM(ventas_b_mes684[[#This Row],[IMPORTE NETO]:[EXENTO]])</f>
        <v>0</v>
      </c>
      <c r="M2645" s="487"/>
    </row>
    <row r="2646" spans="2:13">
      <c r="B2646" s="40"/>
      <c r="C2646" s="41"/>
      <c r="D2646" s="538"/>
      <c r="E2646" s="539"/>
      <c r="F2646" s="540"/>
      <c r="G2646" s="541" t="str">
        <f>IFERROR(IF(ventas_b_mes684[[#This Row],[CUIT]]="","-",VLOOKUP(ventas_b_mes684[[#This Row],[CUIT]],Lista_CUIT[#All],2,0)),"CUIT NO CARGADO")</f>
        <v>-</v>
      </c>
      <c r="H2646" s="64"/>
      <c r="I2646" s="485">
        <f>ventas_b_mes684[[#This Row],[IMPORTE NETO]]*0.21</f>
        <v>0</v>
      </c>
      <c r="J2646" s="486"/>
      <c r="K2646" s="486"/>
      <c r="L2646" s="486">
        <f>SUM(ventas_b_mes684[[#This Row],[IMPORTE NETO]:[EXENTO]])</f>
        <v>0</v>
      </c>
      <c r="M2646" s="487"/>
    </row>
    <row r="2647" spans="2:13">
      <c r="B2647" s="40"/>
      <c r="C2647" s="41"/>
      <c r="D2647" s="538"/>
      <c r="E2647" s="539"/>
      <c r="F2647" s="540"/>
      <c r="G2647" s="541" t="str">
        <f>IFERROR(IF(ventas_b_mes684[[#This Row],[CUIT]]="","-",VLOOKUP(ventas_b_mes684[[#This Row],[CUIT]],Lista_CUIT[#All],2,0)),"CUIT NO CARGADO")</f>
        <v>-</v>
      </c>
      <c r="H2647" s="64"/>
      <c r="I2647" s="485">
        <f>ventas_b_mes684[[#This Row],[IMPORTE NETO]]*0.21</f>
        <v>0</v>
      </c>
      <c r="J2647" s="486"/>
      <c r="K2647" s="486"/>
      <c r="L2647" s="486">
        <f>SUM(ventas_b_mes684[[#This Row],[IMPORTE NETO]:[EXENTO]])</f>
        <v>0</v>
      </c>
      <c r="M2647" s="487"/>
    </row>
    <row r="2648" spans="2:13">
      <c r="B2648" s="40"/>
      <c r="C2648" s="41"/>
      <c r="D2648" s="538"/>
      <c r="E2648" s="539"/>
      <c r="F2648" s="540"/>
      <c r="G2648" s="541" t="str">
        <f>IFERROR(IF(ventas_b_mes684[[#This Row],[CUIT]]="","-",VLOOKUP(ventas_b_mes684[[#This Row],[CUIT]],Lista_CUIT[#All],2,0)),"CUIT NO CARGADO")</f>
        <v>-</v>
      </c>
      <c r="H2648" s="64"/>
      <c r="I2648" s="485">
        <f>ventas_b_mes684[[#This Row],[IMPORTE NETO]]*0.21</f>
        <v>0</v>
      </c>
      <c r="J2648" s="486"/>
      <c r="K2648" s="486"/>
      <c r="L2648" s="486">
        <f>SUM(ventas_b_mes684[[#This Row],[IMPORTE NETO]:[EXENTO]])</f>
        <v>0</v>
      </c>
      <c r="M2648" s="487"/>
    </row>
    <row r="2649" spans="2:13">
      <c r="B2649" s="40"/>
      <c r="C2649" s="41"/>
      <c r="D2649" s="538"/>
      <c r="E2649" s="539"/>
      <c r="F2649" s="540"/>
      <c r="G2649" s="541" t="str">
        <f>IFERROR(IF(ventas_b_mes684[[#This Row],[CUIT]]="","-",VLOOKUP(ventas_b_mes684[[#This Row],[CUIT]],Lista_CUIT[#All],2,0)),"CUIT NO CARGADO")</f>
        <v>-</v>
      </c>
      <c r="H2649" s="64"/>
      <c r="I2649" s="485">
        <f>ventas_b_mes684[[#This Row],[IMPORTE NETO]]*0.21</f>
        <v>0</v>
      </c>
      <c r="J2649" s="486"/>
      <c r="K2649" s="486"/>
      <c r="L2649" s="486">
        <f>SUM(ventas_b_mes684[[#This Row],[IMPORTE NETO]:[EXENTO]])</f>
        <v>0</v>
      </c>
      <c r="M2649" s="487"/>
    </row>
    <row r="2650" spans="2:13">
      <c r="B2650" s="40"/>
      <c r="C2650" s="41"/>
      <c r="D2650" s="538"/>
      <c r="E2650" s="539"/>
      <c r="F2650" s="540"/>
      <c r="G2650" s="541" t="str">
        <f>IFERROR(IF(ventas_b_mes684[[#This Row],[CUIT]]="","-",VLOOKUP(ventas_b_mes684[[#This Row],[CUIT]],Lista_CUIT[#All],2,0)),"CUIT NO CARGADO")</f>
        <v>-</v>
      </c>
      <c r="H2650" s="64"/>
      <c r="I2650" s="485">
        <f>ventas_b_mes684[[#This Row],[IMPORTE NETO]]*0.21</f>
        <v>0</v>
      </c>
      <c r="J2650" s="486"/>
      <c r="K2650" s="486"/>
      <c r="L2650" s="486">
        <f>SUM(ventas_b_mes684[[#This Row],[IMPORTE NETO]:[EXENTO]])</f>
        <v>0</v>
      </c>
      <c r="M2650" s="487"/>
    </row>
    <row r="2651" spans="2:13">
      <c r="B2651" s="40"/>
      <c r="C2651" s="41"/>
      <c r="D2651" s="538"/>
      <c r="E2651" s="539"/>
      <c r="F2651" s="540"/>
      <c r="G2651" s="541" t="str">
        <f>IFERROR(IF(ventas_b_mes684[[#This Row],[CUIT]]="","-",VLOOKUP(ventas_b_mes684[[#This Row],[CUIT]],Lista_CUIT[#All],2,0)),"CUIT NO CARGADO")</f>
        <v>-</v>
      </c>
      <c r="H2651" s="64"/>
      <c r="I2651" s="485">
        <f>ventas_b_mes684[[#This Row],[IMPORTE NETO]]*0.21</f>
        <v>0</v>
      </c>
      <c r="J2651" s="486"/>
      <c r="K2651" s="486"/>
      <c r="L2651" s="486">
        <f>SUM(ventas_b_mes684[[#This Row],[IMPORTE NETO]:[EXENTO]])</f>
        <v>0</v>
      </c>
      <c r="M2651" s="487"/>
    </row>
    <row r="2652" spans="2:13">
      <c r="B2652" s="40"/>
      <c r="C2652" s="41"/>
      <c r="D2652" s="538"/>
      <c r="E2652" s="539"/>
      <c r="F2652" s="540"/>
      <c r="G2652" s="541" t="str">
        <f>IFERROR(IF(ventas_b_mes684[[#This Row],[CUIT]]="","-",VLOOKUP(ventas_b_mes684[[#This Row],[CUIT]],Lista_CUIT[#All],2,0)),"CUIT NO CARGADO")</f>
        <v>-</v>
      </c>
      <c r="H2652" s="64"/>
      <c r="I2652" s="485">
        <f>ventas_b_mes684[[#This Row],[IMPORTE NETO]]*0.21</f>
        <v>0</v>
      </c>
      <c r="J2652" s="486"/>
      <c r="K2652" s="486"/>
      <c r="L2652" s="486">
        <f>SUM(ventas_b_mes684[[#This Row],[IMPORTE NETO]:[EXENTO]])</f>
        <v>0</v>
      </c>
      <c r="M2652" s="487"/>
    </row>
    <row r="2653" spans="2:13">
      <c r="B2653" s="40"/>
      <c r="C2653" s="41"/>
      <c r="D2653" s="538"/>
      <c r="E2653" s="539"/>
      <c r="F2653" s="540"/>
      <c r="G2653" s="541" t="str">
        <f>IFERROR(IF(ventas_b_mes684[[#This Row],[CUIT]]="","-",VLOOKUP(ventas_b_mes684[[#This Row],[CUIT]],Lista_CUIT[#All],2,0)),"CUIT NO CARGADO")</f>
        <v>-</v>
      </c>
      <c r="H2653" s="64"/>
      <c r="I2653" s="485">
        <f>ventas_b_mes684[[#This Row],[IMPORTE NETO]]*0.21</f>
        <v>0</v>
      </c>
      <c r="J2653" s="486"/>
      <c r="K2653" s="486"/>
      <c r="L2653" s="486">
        <f>SUM(ventas_b_mes684[[#This Row],[IMPORTE NETO]:[EXENTO]])</f>
        <v>0</v>
      </c>
      <c r="M2653" s="487"/>
    </row>
    <row r="2654" spans="2:13">
      <c r="B2654" s="40"/>
      <c r="C2654" s="41"/>
      <c r="D2654" s="538"/>
      <c r="E2654" s="539"/>
      <c r="F2654" s="540"/>
      <c r="G2654" s="541" t="str">
        <f>IFERROR(IF(ventas_b_mes684[[#This Row],[CUIT]]="","-",VLOOKUP(ventas_b_mes684[[#This Row],[CUIT]],Lista_CUIT[#All],2,0)),"CUIT NO CARGADO")</f>
        <v>-</v>
      </c>
      <c r="H2654" s="64"/>
      <c r="I2654" s="485">
        <f>ventas_b_mes684[[#This Row],[IMPORTE NETO]]*0.21</f>
        <v>0</v>
      </c>
      <c r="J2654" s="486"/>
      <c r="K2654" s="486"/>
      <c r="L2654" s="486">
        <f>SUM(ventas_b_mes684[[#This Row],[IMPORTE NETO]:[EXENTO]])</f>
        <v>0</v>
      </c>
      <c r="M2654" s="487"/>
    </row>
    <row r="2655" spans="2:13">
      <c r="B2655" s="40"/>
      <c r="C2655" s="41"/>
      <c r="D2655" s="538"/>
      <c r="E2655" s="539"/>
      <c r="F2655" s="540"/>
      <c r="G2655" s="541" t="str">
        <f>IFERROR(IF(ventas_b_mes684[[#This Row],[CUIT]]="","-",VLOOKUP(ventas_b_mes684[[#This Row],[CUIT]],Lista_CUIT[#All],2,0)),"CUIT NO CARGADO")</f>
        <v>-</v>
      </c>
      <c r="H2655" s="64"/>
      <c r="I2655" s="485">
        <f>ventas_b_mes684[[#This Row],[IMPORTE NETO]]*0.21</f>
        <v>0</v>
      </c>
      <c r="J2655" s="486"/>
      <c r="K2655" s="486"/>
      <c r="L2655" s="486">
        <f>SUM(ventas_b_mes684[[#This Row],[IMPORTE NETO]:[EXENTO]])</f>
        <v>0</v>
      </c>
      <c r="M2655" s="487"/>
    </row>
    <row r="2656" spans="2:13">
      <c r="B2656" s="40"/>
      <c r="C2656" s="41"/>
      <c r="D2656" s="538"/>
      <c r="E2656" s="539"/>
      <c r="F2656" s="540"/>
      <c r="G2656" s="541" t="str">
        <f>IFERROR(IF(ventas_b_mes684[[#This Row],[CUIT]]="","-",VLOOKUP(ventas_b_mes684[[#This Row],[CUIT]],Lista_CUIT[#All],2,0)),"CUIT NO CARGADO")</f>
        <v>-</v>
      </c>
      <c r="H2656" s="64"/>
      <c r="I2656" s="485">
        <f>ventas_b_mes684[[#This Row],[IMPORTE NETO]]*0.21</f>
        <v>0</v>
      </c>
      <c r="J2656" s="486"/>
      <c r="K2656" s="486"/>
      <c r="L2656" s="486">
        <f>SUM(ventas_b_mes684[[#This Row],[IMPORTE NETO]:[EXENTO]])</f>
        <v>0</v>
      </c>
      <c r="M2656" s="487"/>
    </row>
    <row r="2657" spans="2:13">
      <c r="B2657" s="40"/>
      <c r="C2657" s="41"/>
      <c r="D2657" s="538"/>
      <c r="E2657" s="539"/>
      <c r="F2657" s="540"/>
      <c r="G2657" s="541" t="str">
        <f>IFERROR(IF(ventas_b_mes684[[#This Row],[CUIT]]="","-",VLOOKUP(ventas_b_mes684[[#This Row],[CUIT]],Lista_CUIT[#All],2,0)),"CUIT NO CARGADO")</f>
        <v>-</v>
      </c>
      <c r="H2657" s="64"/>
      <c r="I2657" s="485">
        <f>ventas_b_mes684[[#This Row],[IMPORTE NETO]]*0.21</f>
        <v>0</v>
      </c>
      <c r="J2657" s="486"/>
      <c r="K2657" s="486"/>
      <c r="L2657" s="486">
        <f>SUM(ventas_b_mes684[[#This Row],[IMPORTE NETO]:[EXENTO]])</f>
        <v>0</v>
      </c>
      <c r="M2657" s="487"/>
    </row>
    <row r="2658" spans="2:13">
      <c r="B2658" s="40"/>
      <c r="C2658" s="41"/>
      <c r="D2658" s="538"/>
      <c r="E2658" s="539"/>
      <c r="F2658" s="540"/>
      <c r="G2658" s="541" t="str">
        <f>IFERROR(IF(ventas_b_mes684[[#This Row],[CUIT]]="","-",VLOOKUP(ventas_b_mes684[[#This Row],[CUIT]],Lista_CUIT[#All],2,0)),"CUIT NO CARGADO")</f>
        <v>-</v>
      </c>
      <c r="H2658" s="64"/>
      <c r="I2658" s="485">
        <f>ventas_b_mes684[[#This Row],[IMPORTE NETO]]*0.21</f>
        <v>0</v>
      </c>
      <c r="J2658" s="486"/>
      <c r="K2658" s="486"/>
      <c r="L2658" s="486">
        <f>SUM(ventas_b_mes684[[#This Row],[IMPORTE NETO]:[EXENTO]])</f>
        <v>0</v>
      </c>
      <c r="M2658" s="487"/>
    </row>
    <row r="2659" spans="2:13">
      <c r="B2659" s="40"/>
      <c r="C2659" s="41"/>
      <c r="D2659" s="538"/>
      <c r="E2659" s="539"/>
      <c r="F2659" s="540"/>
      <c r="G2659" s="541" t="str">
        <f>IFERROR(IF(ventas_b_mes684[[#This Row],[CUIT]]="","-",VLOOKUP(ventas_b_mes684[[#This Row],[CUIT]],Lista_CUIT[#All],2,0)),"CUIT NO CARGADO")</f>
        <v>-</v>
      </c>
      <c r="H2659" s="64"/>
      <c r="I2659" s="485">
        <f>ventas_b_mes684[[#This Row],[IMPORTE NETO]]*0.21</f>
        <v>0</v>
      </c>
      <c r="J2659" s="486"/>
      <c r="K2659" s="486"/>
      <c r="L2659" s="486">
        <f>SUM(ventas_b_mes684[[#This Row],[IMPORTE NETO]:[EXENTO]])</f>
        <v>0</v>
      </c>
      <c r="M2659" s="487"/>
    </row>
    <row r="2660" spans="2:13">
      <c r="B2660" s="40"/>
      <c r="C2660" s="41"/>
      <c r="D2660" s="538"/>
      <c r="E2660" s="539"/>
      <c r="F2660" s="540"/>
      <c r="G2660" s="541" t="str">
        <f>IFERROR(IF(ventas_b_mes684[[#This Row],[CUIT]]="","-",VLOOKUP(ventas_b_mes684[[#This Row],[CUIT]],Lista_CUIT[#All],2,0)),"CUIT NO CARGADO")</f>
        <v>-</v>
      </c>
      <c r="H2660" s="64"/>
      <c r="I2660" s="485">
        <f>ventas_b_mes684[[#This Row],[IMPORTE NETO]]*0.21</f>
        <v>0</v>
      </c>
      <c r="J2660" s="486"/>
      <c r="K2660" s="486"/>
      <c r="L2660" s="486">
        <f>SUM(ventas_b_mes684[[#This Row],[IMPORTE NETO]:[EXENTO]])</f>
        <v>0</v>
      </c>
      <c r="M2660" s="487"/>
    </row>
    <row r="2661" spans="2:13">
      <c r="B2661" s="40"/>
      <c r="C2661" s="41"/>
      <c r="D2661" s="538"/>
      <c r="E2661" s="539"/>
      <c r="F2661" s="540"/>
      <c r="G2661" s="541" t="str">
        <f>IFERROR(IF(ventas_b_mes684[[#This Row],[CUIT]]="","-",VLOOKUP(ventas_b_mes684[[#This Row],[CUIT]],Lista_CUIT[#All],2,0)),"CUIT NO CARGADO")</f>
        <v>-</v>
      </c>
      <c r="H2661" s="64"/>
      <c r="I2661" s="485">
        <f>ventas_b_mes684[[#This Row],[IMPORTE NETO]]*0.21</f>
        <v>0</v>
      </c>
      <c r="J2661" s="486"/>
      <c r="K2661" s="486"/>
      <c r="L2661" s="486">
        <f>SUM(ventas_b_mes684[[#This Row],[IMPORTE NETO]:[EXENTO]])</f>
        <v>0</v>
      </c>
      <c r="M2661" s="487"/>
    </row>
    <row r="2662" spans="2:13">
      <c r="B2662" s="40"/>
      <c r="C2662" s="41"/>
      <c r="D2662" s="538"/>
      <c r="E2662" s="539"/>
      <c r="F2662" s="540"/>
      <c r="G2662" s="541" t="str">
        <f>IFERROR(IF(ventas_b_mes684[[#This Row],[CUIT]]="","-",VLOOKUP(ventas_b_mes684[[#This Row],[CUIT]],Lista_CUIT[#All],2,0)),"CUIT NO CARGADO")</f>
        <v>-</v>
      </c>
      <c r="H2662" s="64"/>
      <c r="I2662" s="485">
        <f>ventas_b_mes684[[#This Row],[IMPORTE NETO]]*0.21</f>
        <v>0</v>
      </c>
      <c r="J2662" s="486"/>
      <c r="K2662" s="486"/>
      <c r="L2662" s="486">
        <f>SUM(ventas_b_mes684[[#This Row],[IMPORTE NETO]:[EXENTO]])</f>
        <v>0</v>
      </c>
      <c r="M2662" s="487"/>
    </row>
    <row r="2663" spans="2:13">
      <c r="B2663" s="40"/>
      <c r="C2663" s="41"/>
      <c r="D2663" s="538"/>
      <c r="E2663" s="539"/>
      <c r="F2663" s="540"/>
      <c r="G2663" s="541" t="str">
        <f>IFERROR(IF(ventas_b_mes684[[#This Row],[CUIT]]="","-",VLOOKUP(ventas_b_mes684[[#This Row],[CUIT]],Lista_CUIT[#All],2,0)),"CUIT NO CARGADO")</f>
        <v>-</v>
      </c>
      <c r="H2663" s="64"/>
      <c r="I2663" s="485">
        <f>ventas_b_mes684[[#This Row],[IMPORTE NETO]]*0.21</f>
        <v>0</v>
      </c>
      <c r="J2663" s="486"/>
      <c r="K2663" s="486"/>
      <c r="L2663" s="486">
        <f>SUM(ventas_b_mes684[[#This Row],[IMPORTE NETO]:[EXENTO]])</f>
        <v>0</v>
      </c>
      <c r="M2663" s="487"/>
    </row>
    <row r="2664" spans="2:13">
      <c r="B2664" s="40"/>
      <c r="C2664" s="41"/>
      <c r="D2664" s="538"/>
      <c r="E2664" s="539"/>
      <c r="F2664" s="540"/>
      <c r="G2664" s="541" t="str">
        <f>IFERROR(IF(ventas_b_mes684[[#This Row],[CUIT]]="","-",VLOOKUP(ventas_b_mes684[[#This Row],[CUIT]],Lista_CUIT[#All],2,0)),"CUIT NO CARGADO")</f>
        <v>-</v>
      </c>
      <c r="H2664" s="64"/>
      <c r="I2664" s="485">
        <f>ventas_b_mes684[[#This Row],[IMPORTE NETO]]*0.21</f>
        <v>0</v>
      </c>
      <c r="J2664" s="486"/>
      <c r="K2664" s="486"/>
      <c r="L2664" s="486">
        <f>SUM(ventas_b_mes684[[#This Row],[IMPORTE NETO]:[EXENTO]])</f>
        <v>0</v>
      </c>
      <c r="M2664" s="487"/>
    </row>
    <row r="2665" spans="2:13">
      <c r="B2665" s="40"/>
      <c r="C2665" s="41"/>
      <c r="D2665" s="538"/>
      <c r="E2665" s="539"/>
      <c r="F2665" s="540"/>
      <c r="G2665" s="541" t="str">
        <f>IFERROR(IF(ventas_b_mes684[[#This Row],[CUIT]]="","-",VLOOKUP(ventas_b_mes684[[#This Row],[CUIT]],Lista_CUIT[#All],2,0)),"CUIT NO CARGADO")</f>
        <v>-</v>
      </c>
      <c r="H2665" s="64"/>
      <c r="I2665" s="485">
        <f>ventas_b_mes684[[#This Row],[IMPORTE NETO]]*0.21</f>
        <v>0</v>
      </c>
      <c r="J2665" s="486"/>
      <c r="K2665" s="486"/>
      <c r="L2665" s="486">
        <f>SUM(ventas_b_mes684[[#This Row],[IMPORTE NETO]:[EXENTO]])</f>
        <v>0</v>
      </c>
      <c r="M2665" s="487"/>
    </row>
    <row r="2666" spans="2:13">
      <c r="B2666" s="40"/>
      <c r="C2666" s="41"/>
      <c r="D2666" s="538"/>
      <c r="E2666" s="539"/>
      <c r="F2666" s="540"/>
      <c r="G2666" s="541" t="str">
        <f>IFERROR(IF(ventas_b_mes684[[#This Row],[CUIT]]="","-",VLOOKUP(ventas_b_mes684[[#This Row],[CUIT]],Lista_CUIT[#All],2,0)),"CUIT NO CARGADO")</f>
        <v>-</v>
      </c>
      <c r="H2666" s="64"/>
      <c r="I2666" s="485">
        <f>ventas_b_mes684[[#This Row],[IMPORTE NETO]]*0.21</f>
        <v>0</v>
      </c>
      <c r="J2666" s="486"/>
      <c r="K2666" s="486"/>
      <c r="L2666" s="486">
        <f>SUM(ventas_b_mes684[[#This Row],[IMPORTE NETO]:[EXENTO]])</f>
        <v>0</v>
      </c>
      <c r="M2666" s="487"/>
    </row>
    <row r="2667" spans="2:13">
      <c r="B2667" s="40"/>
      <c r="C2667" s="41"/>
      <c r="D2667" s="538"/>
      <c r="E2667" s="539"/>
      <c r="F2667" s="540"/>
      <c r="G2667" s="541" t="str">
        <f>IFERROR(IF(ventas_b_mes684[[#This Row],[CUIT]]="","-",VLOOKUP(ventas_b_mes684[[#This Row],[CUIT]],Lista_CUIT[#All],2,0)),"CUIT NO CARGADO")</f>
        <v>-</v>
      </c>
      <c r="H2667" s="64"/>
      <c r="I2667" s="485">
        <f>ventas_b_mes684[[#This Row],[IMPORTE NETO]]*0.21</f>
        <v>0</v>
      </c>
      <c r="J2667" s="486"/>
      <c r="K2667" s="486"/>
      <c r="L2667" s="486">
        <f>SUM(ventas_b_mes684[[#This Row],[IMPORTE NETO]:[EXENTO]])</f>
        <v>0</v>
      </c>
      <c r="M2667" s="487"/>
    </row>
    <row r="2668" spans="2:13">
      <c r="B2668" s="40"/>
      <c r="C2668" s="41"/>
      <c r="D2668" s="538"/>
      <c r="E2668" s="539"/>
      <c r="F2668" s="540"/>
      <c r="G2668" s="541" t="str">
        <f>IFERROR(IF(ventas_b_mes684[[#This Row],[CUIT]]="","-",VLOOKUP(ventas_b_mes684[[#This Row],[CUIT]],Lista_CUIT[#All],2,0)),"CUIT NO CARGADO")</f>
        <v>-</v>
      </c>
      <c r="H2668" s="64"/>
      <c r="I2668" s="485">
        <f>ventas_b_mes684[[#This Row],[IMPORTE NETO]]*0.21</f>
        <v>0</v>
      </c>
      <c r="J2668" s="486"/>
      <c r="K2668" s="486"/>
      <c r="L2668" s="486">
        <f>SUM(ventas_b_mes684[[#This Row],[IMPORTE NETO]:[EXENTO]])</f>
        <v>0</v>
      </c>
      <c r="M2668" s="487"/>
    </row>
    <row r="2669" spans="2:13">
      <c r="B2669" s="40"/>
      <c r="C2669" s="41"/>
      <c r="D2669" s="538"/>
      <c r="E2669" s="539"/>
      <c r="F2669" s="540"/>
      <c r="G2669" s="541" t="str">
        <f>IFERROR(IF(ventas_b_mes684[[#This Row],[CUIT]]="","-",VLOOKUP(ventas_b_mes684[[#This Row],[CUIT]],Lista_CUIT[#All],2,0)),"CUIT NO CARGADO")</f>
        <v>-</v>
      </c>
      <c r="H2669" s="64"/>
      <c r="I2669" s="485">
        <f>ventas_b_mes684[[#This Row],[IMPORTE NETO]]*0.21</f>
        <v>0</v>
      </c>
      <c r="J2669" s="486"/>
      <c r="K2669" s="486"/>
      <c r="L2669" s="486">
        <f>SUM(ventas_b_mes684[[#This Row],[IMPORTE NETO]:[EXENTO]])</f>
        <v>0</v>
      </c>
      <c r="M2669" s="487"/>
    </row>
    <row r="2670" spans="2:13">
      <c r="B2670" s="40"/>
      <c r="C2670" s="41"/>
      <c r="D2670" s="538"/>
      <c r="E2670" s="539"/>
      <c r="F2670" s="540"/>
      <c r="G2670" s="541" t="str">
        <f>IFERROR(IF(ventas_b_mes684[[#This Row],[CUIT]]="","-",VLOOKUP(ventas_b_mes684[[#This Row],[CUIT]],Lista_CUIT[#All],2,0)),"CUIT NO CARGADO")</f>
        <v>-</v>
      </c>
      <c r="H2670" s="64"/>
      <c r="I2670" s="485">
        <f>ventas_b_mes684[[#This Row],[IMPORTE NETO]]*0.21</f>
        <v>0</v>
      </c>
      <c r="J2670" s="486"/>
      <c r="K2670" s="486"/>
      <c r="L2670" s="486">
        <f>SUM(ventas_b_mes684[[#This Row],[IMPORTE NETO]:[EXENTO]])</f>
        <v>0</v>
      </c>
      <c r="M2670" s="487"/>
    </row>
    <row r="2671" spans="2:13">
      <c r="B2671" s="40"/>
      <c r="C2671" s="41"/>
      <c r="D2671" s="538"/>
      <c r="E2671" s="539"/>
      <c r="F2671" s="540"/>
      <c r="G2671" s="541" t="str">
        <f>IFERROR(IF(ventas_b_mes684[[#This Row],[CUIT]]="","-",VLOOKUP(ventas_b_mes684[[#This Row],[CUIT]],Lista_CUIT[#All],2,0)),"CUIT NO CARGADO")</f>
        <v>-</v>
      </c>
      <c r="H2671" s="64"/>
      <c r="I2671" s="485">
        <f>ventas_b_mes684[[#This Row],[IMPORTE NETO]]*0.21</f>
        <v>0</v>
      </c>
      <c r="J2671" s="486"/>
      <c r="K2671" s="486"/>
      <c r="L2671" s="486">
        <f>SUM(ventas_b_mes684[[#This Row],[IMPORTE NETO]:[EXENTO]])</f>
        <v>0</v>
      </c>
      <c r="M2671" s="487"/>
    </row>
    <row r="2672" spans="2:13">
      <c r="B2672" s="40"/>
      <c r="C2672" s="41"/>
      <c r="D2672" s="538"/>
      <c r="E2672" s="539"/>
      <c r="F2672" s="540"/>
      <c r="G2672" s="541" t="str">
        <f>IFERROR(IF(ventas_b_mes684[[#This Row],[CUIT]]="","-",VLOOKUP(ventas_b_mes684[[#This Row],[CUIT]],Lista_CUIT[#All],2,0)),"CUIT NO CARGADO")</f>
        <v>-</v>
      </c>
      <c r="H2672" s="64"/>
      <c r="I2672" s="485">
        <f>ventas_b_mes684[[#This Row],[IMPORTE NETO]]*0.21</f>
        <v>0</v>
      </c>
      <c r="J2672" s="486"/>
      <c r="K2672" s="486"/>
      <c r="L2672" s="486">
        <f>SUM(ventas_b_mes684[[#This Row],[IMPORTE NETO]:[EXENTO]])</f>
        <v>0</v>
      </c>
      <c r="M2672" s="487"/>
    </row>
    <row r="2673" spans="2:13">
      <c r="B2673" s="40"/>
      <c r="C2673" s="41"/>
      <c r="D2673" s="538"/>
      <c r="E2673" s="539"/>
      <c r="F2673" s="540"/>
      <c r="G2673" s="541" t="str">
        <f>IFERROR(IF(ventas_b_mes684[[#This Row],[CUIT]]="","-",VLOOKUP(ventas_b_mes684[[#This Row],[CUIT]],Lista_CUIT[#All],2,0)),"CUIT NO CARGADO")</f>
        <v>-</v>
      </c>
      <c r="H2673" s="64"/>
      <c r="I2673" s="485">
        <f>ventas_b_mes684[[#This Row],[IMPORTE NETO]]*0.21</f>
        <v>0</v>
      </c>
      <c r="J2673" s="486"/>
      <c r="K2673" s="486"/>
      <c r="L2673" s="486">
        <f>SUM(ventas_b_mes684[[#This Row],[IMPORTE NETO]:[EXENTO]])</f>
        <v>0</v>
      </c>
      <c r="M2673" s="487"/>
    </row>
    <row r="2674" spans="2:13">
      <c r="B2674" s="40"/>
      <c r="C2674" s="41"/>
      <c r="D2674" s="538"/>
      <c r="E2674" s="539"/>
      <c r="F2674" s="540"/>
      <c r="G2674" s="541" t="str">
        <f>IFERROR(IF(ventas_b_mes684[[#This Row],[CUIT]]="","-",VLOOKUP(ventas_b_mes684[[#This Row],[CUIT]],Lista_CUIT[#All],2,0)),"CUIT NO CARGADO")</f>
        <v>-</v>
      </c>
      <c r="H2674" s="64"/>
      <c r="I2674" s="485">
        <f>ventas_b_mes684[[#This Row],[IMPORTE NETO]]*0.21</f>
        <v>0</v>
      </c>
      <c r="J2674" s="486"/>
      <c r="K2674" s="486"/>
      <c r="L2674" s="486">
        <f>SUM(ventas_b_mes684[[#This Row],[IMPORTE NETO]:[EXENTO]])</f>
        <v>0</v>
      </c>
      <c r="M2674" s="487"/>
    </row>
    <row r="2675" spans="2:13">
      <c r="B2675" s="40"/>
      <c r="C2675" s="41"/>
      <c r="D2675" s="538"/>
      <c r="E2675" s="539"/>
      <c r="F2675" s="540"/>
      <c r="G2675" s="541" t="str">
        <f>IFERROR(IF(ventas_b_mes684[[#This Row],[CUIT]]="","-",VLOOKUP(ventas_b_mes684[[#This Row],[CUIT]],Lista_CUIT[#All],2,0)),"CUIT NO CARGADO")</f>
        <v>-</v>
      </c>
      <c r="H2675" s="64"/>
      <c r="I2675" s="485">
        <f>ventas_b_mes684[[#This Row],[IMPORTE NETO]]*0.21</f>
        <v>0</v>
      </c>
      <c r="J2675" s="486"/>
      <c r="K2675" s="486"/>
      <c r="L2675" s="486">
        <f>SUM(ventas_b_mes684[[#This Row],[IMPORTE NETO]:[EXENTO]])</f>
        <v>0</v>
      </c>
      <c r="M2675" s="487"/>
    </row>
    <row r="2676" spans="2:13">
      <c r="B2676" s="40"/>
      <c r="C2676" s="41"/>
      <c r="D2676" s="538"/>
      <c r="E2676" s="539"/>
      <c r="F2676" s="540"/>
      <c r="G2676" s="541" t="str">
        <f>IFERROR(IF(ventas_b_mes684[[#This Row],[CUIT]]="","-",VLOOKUP(ventas_b_mes684[[#This Row],[CUIT]],Lista_CUIT[#All],2,0)),"CUIT NO CARGADO")</f>
        <v>-</v>
      </c>
      <c r="H2676" s="64"/>
      <c r="I2676" s="485">
        <f>ventas_b_mes684[[#This Row],[IMPORTE NETO]]*0.21</f>
        <v>0</v>
      </c>
      <c r="J2676" s="486"/>
      <c r="K2676" s="486"/>
      <c r="L2676" s="486">
        <f>SUM(ventas_b_mes684[[#This Row],[IMPORTE NETO]:[EXENTO]])</f>
        <v>0</v>
      </c>
      <c r="M2676" s="487"/>
    </row>
    <row r="2677" spans="2:13">
      <c r="B2677" s="40"/>
      <c r="C2677" s="41"/>
      <c r="D2677" s="538"/>
      <c r="E2677" s="539"/>
      <c r="F2677" s="540"/>
      <c r="G2677" s="541" t="str">
        <f>IFERROR(IF(ventas_b_mes684[[#This Row],[CUIT]]="","-",VLOOKUP(ventas_b_mes684[[#This Row],[CUIT]],Lista_CUIT[#All],2,0)),"CUIT NO CARGADO")</f>
        <v>-</v>
      </c>
      <c r="H2677" s="64"/>
      <c r="I2677" s="485">
        <f>ventas_b_mes684[[#This Row],[IMPORTE NETO]]*0.21</f>
        <v>0</v>
      </c>
      <c r="J2677" s="486"/>
      <c r="K2677" s="486"/>
      <c r="L2677" s="486">
        <f>SUM(ventas_b_mes684[[#This Row],[IMPORTE NETO]:[EXENTO]])</f>
        <v>0</v>
      </c>
      <c r="M2677" s="487"/>
    </row>
    <row r="2678" spans="2:13">
      <c r="B2678" s="40"/>
      <c r="C2678" s="41"/>
      <c r="D2678" s="538"/>
      <c r="E2678" s="539"/>
      <c r="F2678" s="540"/>
      <c r="G2678" s="541" t="str">
        <f>IFERROR(IF(ventas_b_mes684[[#This Row],[CUIT]]="","-",VLOOKUP(ventas_b_mes684[[#This Row],[CUIT]],Lista_CUIT[#All],2,0)),"CUIT NO CARGADO")</f>
        <v>-</v>
      </c>
      <c r="H2678" s="64"/>
      <c r="I2678" s="485">
        <f>ventas_b_mes684[[#This Row],[IMPORTE NETO]]*0.21</f>
        <v>0</v>
      </c>
      <c r="J2678" s="486"/>
      <c r="K2678" s="486"/>
      <c r="L2678" s="486">
        <f>SUM(ventas_b_mes684[[#This Row],[IMPORTE NETO]:[EXENTO]])</f>
        <v>0</v>
      </c>
      <c r="M2678" s="487"/>
    </row>
    <row r="2679" spans="2:13">
      <c r="B2679" s="40"/>
      <c r="C2679" s="41"/>
      <c r="D2679" s="538"/>
      <c r="E2679" s="539"/>
      <c r="F2679" s="540"/>
      <c r="G2679" s="541" t="str">
        <f>IFERROR(IF(ventas_b_mes684[[#This Row],[CUIT]]="","-",VLOOKUP(ventas_b_mes684[[#This Row],[CUIT]],Lista_CUIT[#All],2,0)),"CUIT NO CARGADO")</f>
        <v>-</v>
      </c>
      <c r="H2679" s="64"/>
      <c r="I2679" s="485">
        <f>ventas_b_mes684[[#This Row],[IMPORTE NETO]]*0.21</f>
        <v>0</v>
      </c>
      <c r="J2679" s="486"/>
      <c r="K2679" s="486"/>
      <c r="L2679" s="486">
        <f>SUM(ventas_b_mes684[[#This Row],[IMPORTE NETO]:[EXENTO]])</f>
        <v>0</v>
      </c>
      <c r="M2679" s="487"/>
    </row>
    <row r="2680" spans="2:13">
      <c r="B2680" s="40"/>
      <c r="C2680" s="41"/>
      <c r="D2680" s="538"/>
      <c r="E2680" s="539"/>
      <c r="F2680" s="540"/>
      <c r="G2680" s="541" t="str">
        <f>IFERROR(IF(ventas_b_mes684[[#This Row],[CUIT]]="","-",VLOOKUP(ventas_b_mes684[[#This Row],[CUIT]],Lista_CUIT[#All],2,0)),"CUIT NO CARGADO")</f>
        <v>-</v>
      </c>
      <c r="H2680" s="64"/>
      <c r="I2680" s="485">
        <f>ventas_b_mes684[[#This Row],[IMPORTE NETO]]*0.21</f>
        <v>0</v>
      </c>
      <c r="J2680" s="486"/>
      <c r="K2680" s="486"/>
      <c r="L2680" s="486">
        <f>SUM(ventas_b_mes684[[#This Row],[IMPORTE NETO]:[EXENTO]])</f>
        <v>0</v>
      </c>
      <c r="M2680" s="487"/>
    </row>
    <row r="2681" spans="2:13">
      <c r="B2681" s="40"/>
      <c r="C2681" s="41"/>
      <c r="D2681" s="538"/>
      <c r="E2681" s="539"/>
      <c r="F2681" s="540"/>
      <c r="G2681" s="541" t="str">
        <f>IFERROR(IF(ventas_b_mes684[[#This Row],[CUIT]]="","-",VLOOKUP(ventas_b_mes684[[#This Row],[CUIT]],Lista_CUIT[#All],2,0)),"CUIT NO CARGADO")</f>
        <v>-</v>
      </c>
      <c r="H2681" s="64"/>
      <c r="I2681" s="485">
        <f>ventas_b_mes684[[#This Row],[IMPORTE NETO]]*0.21</f>
        <v>0</v>
      </c>
      <c r="J2681" s="486"/>
      <c r="K2681" s="486"/>
      <c r="L2681" s="486">
        <f>SUM(ventas_b_mes684[[#This Row],[IMPORTE NETO]:[EXENTO]])</f>
        <v>0</v>
      </c>
      <c r="M2681" s="487"/>
    </row>
    <row r="2682" spans="2:13">
      <c r="B2682" s="40"/>
      <c r="C2682" s="41"/>
      <c r="D2682" s="538"/>
      <c r="E2682" s="539"/>
      <c r="F2682" s="540"/>
      <c r="G2682" s="541" t="str">
        <f>IFERROR(IF(ventas_b_mes684[[#This Row],[CUIT]]="","-",VLOOKUP(ventas_b_mes684[[#This Row],[CUIT]],Lista_CUIT[#All],2,0)),"CUIT NO CARGADO")</f>
        <v>-</v>
      </c>
      <c r="H2682" s="64"/>
      <c r="I2682" s="485">
        <f>ventas_b_mes684[[#This Row],[IMPORTE NETO]]*0.21</f>
        <v>0</v>
      </c>
      <c r="J2682" s="486"/>
      <c r="K2682" s="486"/>
      <c r="L2682" s="486">
        <f>SUM(ventas_b_mes684[[#This Row],[IMPORTE NETO]:[EXENTO]])</f>
        <v>0</v>
      </c>
      <c r="M2682" s="487"/>
    </row>
    <row r="2683" spans="2:13">
      <c r="B2683" s="40"/>
      <c r="C2683" s="41"/>
      <c r="D2683" s="538"/>
      <c r="E2683" s="539"/>
      <c r="F2683" s="540"/>
      <c r="G2683" s="541" t="str">
        <f>IFERROR(IF(ventas_b_mes684[[#This Row],[CUIT]]="","-",VLOOKUP(ventas_b_mes684[[#This Row],[CUIT]],Lista_CUIT[#All],2,0)),"CUIT NO CARGADO")</f>
        <v>-</v>
      </c>
      <c r="H2683" s="64"/>
      <c r="I2683" s="485">
        <f>ventas_b_mes684[[#This Row],[IMPORTE NETO]]*0.21</f>
        <v>0</v>
      </c>
      <c r="J2683" s="486"/>
      <c r="K2683" s="486"/>
      <c r="L2683" s="486">
        <f>SUM(ventas_b_mes684[[#This Row],[IMPORTE NETO]:[EXENTO]])</f>
        <v>0</v>
      </c>
      <c r="M2683" s="487"/>
    </row>
    <row r="2684" spans="2:13">
      <c r="B2684" s="40"/>
      <c r="C2684" s="41"/>
      <c r="D2684" s="538"/>
      <c r="E2684" s="539"/>
      <c r="F2684" s="540"/>
      <c r="G2684" s="541" t="str">
        <f>IFERROR(IF(ventas_b_mes684[[#This Row],[CUIT]]="","-",VLOOKUP(ventas_b_mes684[[#This Row],[CUIT]],Lista_CUIT[#All],2,0)),"CUIT NO CARGADO")</f>
        <v>-</v>
      </c>
      <c r="H2684" s="64"/>
      <c r="I2684" s="485">
        <f>ventas_b_mes684[[#This Row],[IMPORTE NETO]]*0.21</f>
        <v>0</v>
      </c>
      <c r="J2684" s="486"/>
      <c r="K2684" s="486"/>
      <c r="L2684" s="486">
        <f>SUM(ventas_b_mes684[[#This Row],[IMPORTE NETO]:[EXENTO]])</f>
        <v>0</v>
      </c>
      <c r="M2684" s="487"/>
    </row>
    <row r="2685" spans="2:13">
      <c r="B2685" s="40"/>
      <c r="C2685" s="41"/>
      <c r="D2685" s="538"/>
      <c r="E2685" s="539"/>
      <c r="F2685" s="540"/>
      <c r="G2685" s="541" t="str">
        <f>IFERROR(IF(ventas_b_mes684[[#This Row],[CUIT]]="","-",VLOOKUP(ventas_b_mes684[[#This Row],[CUIT]],Lista_CUIT[#All],2,0)),"CUIT NO CARGADO")</f>
        <v>-</v>
      </c>
      <c r="H2685" s="64"/>
      <c r="I2685" s="485">
        <f>ventas_b_mes684[[#This Row],[IMPORTE NETO]]*0.21</f>
        <v>0</v>
      </c>
      <c r="J2685" s="486"/>
      <c r="K2685" s="486"/>
      <c r="L2685" s="486">
        <f>SUM(ventas_b_mes684[[#This Row],[IMPORTE NETO]:[EXENTO]])</f>
        <v>0</v>
      </c>
      <c r="M2685" s="487"/>
    </row>
    <row r="2686" spans="2:13">
      <c r="B2686" s="40"/>
      <c r="C2686" s="41"/>
      <c r="D2686" s="538"/>
      <c r="E2686" s="539"/>
      <c r="F2686" s="540"/>
      <c r="G2686" s="541" t="str">
        <f>IFERROR(IF(ventas_b_mes684[[#This Row],[CUIT]]="","-",VLOOKUP(ventas_b_mes684[[#This Row],[CUIT]],Lista_CUIT[#All],2,0)),"CUIT NO CARGADO")</f>
        <v>-</v>
      </c>
      <c r="H2686" s="64"/>
      <c r="I2686" s="485">
        <f>ventas_b_mes684[[#This Row],[IMPORTE NETO]]*0.21</f>
        <v>0</v>
      </c>
      <c r="J2686" s="486"/>
      <c r="K2686" s="486"/>
      <c r="L2686" s="486">
        <f>SUM(ventas_b_mes684[[#This Row],[IMPORTE NETO]:[EXENTO]])</f>
        <v>0</v>
      </c>
      <c r="M2686" s="487"/>
    </row>
    <row r="2687" spans="2:13">
      <c r="B2687" s="40"/>
      <c r="C2687" s="41"/>
      <c r="D2687" s="538"/>
      <c r="E2687" s="539"/>
      <c r="F2687" s="540"/>
      <c r="G2687" s="541" t="str">
        <f>IFERROR(IF(ventas_b_mes684[[#This Row],[CUIT]]="","-",VLOOKUP(ventas_b_mes684[[#This Row],[CUIT]],Lista_CUIT[#All],2,0)),"CUIT NO CARGADO")</f>
        <v>-</v>
      </c>
      <c r="H2687" s="64"/>
      <c r="I2687" s="485">
        <f>ventas_b_mes684[[#This Row],[IMPORTE NETO]]*0.21</f>
        <v>0</v>
      </c>
      <c r="J2687" s="486"/>
      <c r="K2687" s="486"/>
      <c r="L2687" s="486">
        <f>SUM(ventas_b_mes684[[#This Row],[IMPORTE NETO]:[EXENTO]])</f>
        <v>0</v>
      </c>
      <c r="M2687" s="487"/>
    </row>
    <row r="2688" spans="2:13">
      <c r="B2688" s="40"/>
      <c r="C2688" s="41"/>
      <c r="D2688" s="538"/>
      <c r="E2688" s="539"/>
      <c r="F2688" s="540"/>
      <c r="G2688" s="541" t="str">
        <f>IFERROR(IF(ventas_b_mes684[[#This Row],[CUIT]]="","-",VLOOKUP(ventas_b_mes684[[#This Row],[CUIT]],Lista_CUIT[#All],2,0)),"CUIT NO CARGADO")</f>
        <v>-</v>
      </c>
      <c r="H2688" s="64"/>
      <c r="I2688" s="485">
        <f>ventas_b_mes684[[#This Row],[IMPORTE NETO]]*0.21</f>
        <v>0</v>
      </c>
      <c r="J2688" s="486"/>
      <c r="K2688" s="486"/>
      <c r="L2688" s="486">
        <f>SUM(ventas_b_mes684[[#This Row],[IMPORTE NETO]:[EXENTO]])</f>
        <v>0</v>
      </c>
      <c r="M2688" s="487"/>
    </row>
    <row r="2689" spans="2:13">
      <c r="B2689" s="40"/>
      <c r="C2689" s="41"/>
      <c r="D2689" s="538"/>
      <c r="E2689" s="539"/>
      <c r="F2689" s="540"/>
      <c r="G2689" s="541" t="str">
        <f>IFERROR(IF(ventas_b_mes684[[#This Row],[CUIT]]="","-",VLOOKUP(ventas_b_mes684[[#This Row],[CUIT]],Lista_CUIT[#All],2,0)),"CUIT NO CARGADO")</f>
        <v>-</v>
      </c>
      <c r="H2689" s="64"/>
      <c r="I2689" s="485">
        <f>ventas_b_mes684[[#This Row],[IMPORTE NETO]]*0.21</f>
        <v>0</v>
      </c>
      <c r="J2689" s="486"/>
      <c r="K2689" s="486"/>
      <c r="L2689" s="486">
        <f>SUM(ventas_b_mes684[[#This Row],[IMPORTE NETO]:[EXENTO]])</f>
        <v>0</v>
      </c>
      <c r="M2689" s="487"/>
    </row>
    <row r="2690" spans="2:13">
      <c r="B2690" s="40"/>
      <c r="C2690" s="41"/>
      <c r="D2690" s="538"/>
      <c r="E2690" s="539"/>
      <c r="F2690" s="540"/>
      <c r="G2690" s="541" t="str">
        <f>IFERROR(IF(ventas_b_mes684[[#This Row],[CUIT]]="","-",VLOOKUP(ventas_b_mes684[[#This Row],[CUIT]],Lista_CUIT[#All],2,0)),"CUIT NO CARGADO")</f>
        <v>-</v>
      </c>
      <c r="H2690" s="64"/>
      <c r="I2690" s="485">
        <f>ventas_b_mes684[[#This Row],[IMPORTE NETO]]*0.21</f>
        <v>0</v>
      </c>
      <c r="J2690" s="486"/>
      <c r="K2690" s="486"/>
      <c r="L2690" s="486">
        <f>SUM(ventas_b_mes684[[#This Row],[IMPORTE NETO]:[EXENTO]])</f>
        <v>0</v>
      </c>
      <c r="M2690" s="487"/>
    </row>
    <row r="2691" spans="2:13">
      <c r="B2691" s="40"/>
      <c r="C2691" s="41"/>
      <c r="D2691" s="538"/>
      <c r="E2691" s="539"/>
      <c r="F2691" s="540"/>
      <c r="G2691" s="541" t="str">
        <f>IFERROR(IF(ventas_b_mes684[[#This Row],[CUIT]]="","-",VLOOKUP(ventas_b_mes684[[#This Row],[CUIT]],Lista_CUIT[#All],2,0)),"CUIT NO CARGADO")</f>
        <v>-</v>
      </c>
      <c r="H2691" s="64"/>
      <c r="I2691" s="485">
        <f>ventas_b_mes684[[#This Row],[IMPORTE NETO]]*0.21</f>
        <v>0</v>
      </c>
      <c r="J2691" s="486"/>
      <c r="K2691" s="486"/>
      <c r="L2691" s="486">
        <f>SUM(ventas_b_mes684[[#This Row],[IMPORTE NETO]:[EXENTO]])</f>
        <v>0</v>
      </c>
      <c r="M2691" s="487"/>
    </row>
    <row r="2692" spans="2:13">
      <c r="B2692" s="40"/>
      <c r="C2692" s="41"/>
      <c r="D2692" s="538"/>
      <c r="E2692" s="539"/>
      <c r="F2692" s="540"/>
      <c r="G2692" s="541" t="str">
        <f>IFERROR(IF(ventas_b_mes684[[#This Row],[CUIT]]="","-",VLOOKUP(ventas_b_mes684[[#This Row],[CUIT]],Lista_CUIT[#All],2,0)),"CUIT NO CARGADO")</f>
        <v>-</v>
      </c>
      <c r="H2692" s="64"/>
      <c r="I2692" s="485">
        <f>ventas_b_mes684[[#This Row],[IMPORTE NETO]]*0.21</f>
        <v>0</v>
      </c>
      <c r="J2692" s="486"/>
      <c r="K2692" s="486"/>
      <c r="L2692" s="486">
        <f>SUM(ventas_b_mes684[[#This Row],[IMPORTE NETO]:[EXENTO]])</f>
        <v>0</v>
      </c>
      <c r="M2692" s="487"/>
    </row>
    <row r="2693" spans="2:13">
      <c r="B2693" s="40"/>
      <c r="C2693" s="41"/>
      <c r="D2693" s="538"/>
      <c r="E2693" s="539"/>
      <c r="F2693" s="540"/>
      <c r="G2693" s="541" t="str">
        <f>IFERROR(IF(ventas_b_mes684[[#This Row],[CUIT]]="","-",VLOOKUP(ventas_b_mes684[[#This Row],[CUIT]],Lista_CUIT[#All],2,0)),"CUIT NO CARGADO")</f>
        <v>-</v>
      </c>
      <c r="H2693" s="64"/>
      <c r="I2693" s="485">
        <f>ventas_b_mes684[[#This Row],[IMPORTE NETO]]*0.21</f>
        <v>0</v>
      </c>
      <c r="J2693" s="486"/>
      <c r="K2693" s="486"/>
      <c r="L2693" s="486">
        <f>SUM(ventas_b_mes684[[#This Row],[IMPORTE NETO]:[EXENTO]])</f>
        <v>0</v>
      </c>
      <c r="M2693" s="487"/>
    </row>
    <row r="2694" spans="2:13">
      <c r="B2694" s="40"/>
      <c r="C2694" s="41"/>
      <c r="D2694" s="538"/>
      <c r="E2694" s="539"/>
      <c r="F2694" s="540"/>
      <c r="G2694" s="541" t="str">
        <f>IFERROR(IF(ventas_b_mes684[[#This Row],[CUIT]]="","-",VLOOKUP(ventas_b_mes684[[#This Row],[CUIT]],Lista_CUIT[#All],2,0)),"CUIT NO CARGADO")</f>
        <v>-</v>
      </c>
      <c r="H2694" s="64"/>
      <c r="I2694" s="485">
        <f>ventas_b_mes684[[#This Row],[IMPORTE NETO]]*0.21</f>
        <v>0</v>
      </c>
      <c r="J2694" s="486"/>
      <c r="K2694" s="486"/>
      <c r="L2694" s="486">
        <f>SUM(ventas_b_mes684[[#This Row],[IMPORTE NETO]:[EXENTO]])</f>
        <v>0</v>
      </c>
      <c r="M2694" s="487"/>
    </row>
    <row r="2695" spans="2:13">
      <c r="B2695" s="40"/>
      <c r="C2695" s="41"/>
      <c r="D2695" s="538"/>
      <c r="E2695" s="539"/>
      <c r="F2695" s="540"/>
      <c r="G2695" s="541" t="str">
        <f>IFERROR(IF(ventas_b_mes684[[#This Row],[CUIT]]="","-",VLOOKUP(ventas_b_mes684[[#This Row],[CUIT]],Lista_CUIT[#All],2,0)),"CUIT NO CARGADO")</f>
        <v>-</v>
      </c>
      <c r="H2695" s="64"/>
      <c r="I2695" s="485">
        <f>ventas_b_mes684[[#This Row],[IMPORTE NETO]]*0.21</f>
        <v>0</v>
      </c>
      <c r="J2695" s="486"/>
      <c r="K2695" s="486"/>
      <c r="L2695" s="486">
        <f>SUM(ventas_b_mes684[[#This Row],[IMPORTE NETO]:[EXENTO]])</f>
        <v>0</v>
      </c>
      <c r="M2695" s="487"/>
    </row>
    <row r="2696" spans="2:13">
      <c r="B2696" s="40"/>
      <c r="C2696" s="41"/>
      <c r="D2696" s="538"/>
      <c r="E2696" s="539"/>
      <c r="F2696" s="540"/>
      <c r="G2696" s="541" t="str">
        <f>IFERROR(IF(ventas_b_mes684[[#This Row],[CUIT]]="","-",VLOOKUP(ventas_b_mes684[[#This Row],[CUIT]],Lista_CUIT[#All],2,0)),"CUIT NO CARGADO")</f>
        <v>-</v>
      </c>
      <c r="H2696" s="64"/>
      <c r="I2696" s="485">
        <f>ventas_b_mes684[[#This Row],[IMPORTE NETO]]*0.21</f>
        <v>0</v>
      </c>
      <c r="J2696" s="486"/>
      <c r="K2696" s="486"/>
      <c r="L2696" s="486">
        <f>SUM(ventas_b_mes684[[#This Row],[IMPORTE NETO]:[EXENTO]])</f>
        <v>0</v>
      </c>
      <c r="M2696" s="487"/>
    </row>
    <row r="2697" spans="2:13">
      <c r="B2697" s="40"/>
      <c r="C2697" s="41"/>
      <c r="D2697" s="538"/>
      <c r="E2697" s="539"/>
      <c r="F2697" s="540"/>
      <c r="G2697" s="541" t="str">
        <f>IFERROR(IF(ventas_b_mes684[[#This Row],[CUIT]]="","-",VLOOKUP(ventas_b_mes684[[#This Row],[CUIT]],Lista_CUIT[#All],2,0)),"CUIT NO CARGADO")</f>
        <v>-</v>
      </c>
      <c r="H2697" s="64"/>
      <c r="I2697" s="485">
        <f>ventas_b_mes684[[#This Row],[IMPORTE NETO]]*0.21</f>
        <v>0</v>
      </c>
      <c r="J2697" s="486"/>
      <c r="K2697" s="486"/>
      <c r="L2697" s="486">
        <f>SUM(ventas_b_mes684[[#This Row],[IMPORTE NETO]:[EXENTO]])</f>
        <v>0</v>
      </c>
      <c r="M2697" s="487"/>
    </row>
    <row r="2698" spans="2:13">
      <c r="B2698" s="40"/>
      <c r="C2698" s="41"/>
      <c r="D2698" s="538"/>
      <c r="E2698" s="539"/>
      <c r="F2698" s="540"/>
      <c r="G2698" s="541" t="str">
        <f>IFERROR(IF(ventas_b_mes684[[#This Row],[CUIT]]="","-",VLOOKUP(ventas_b_mes684[[#This Row],[CUIT]],Lista_CUIT[#All],2,0)),"CUIT NO CARGADO")</f>
        <v>-</v>
      </c>
      <c r="H2698" s="64"/>
      <c r="I2698" s="485">
        <f>ventas_b_mes684[[#This Row],[IMPORTE NETO]]*0.21</f>
        <v>0</v>
      </c>
      <c r="J2698" s="486"/>
      <c r="K2698" s="486"/>
      <c r="L2698" s="486">
        <f>SUM(ventas_b_mes684[[#This Row],[IMPORTE NETO]:[EXENTO]])</f>
        <v>0</v>
      </c>
      <c r="M2698" s="487"/>
    </row>
    <row r="2699" spans="2:13">
      <c r="B2699" s="40"/>
      <c r="C2699" s="41"/>
      <c r="D2699" s="538"/>
      <c r="E2699" s="539"/>
      <c r="F2699" s="540"/>
      <c r="G2699" s="541" t="str">
        <f>IFERROR(IF(ventas_b_mes684[[#This Row],[CUIT]]="","-",VLOOKUP(ventas_b_mes684[[#This Row],[CUIT]],Lista_CUIT[#All],2,0)),"CUIT NO CARGADO")</f>
        <v>-</v>
      </c>
      <c r="H2699" s="64"/>
      <c r="I2699" s="485">
        <f>ventas_b_mes684[[#This Row],[IMPORTE NETO]]*0.21</f>
        <v>0</v>
      </c>
      <c r="J2699" s="486"/>
      <c r="K2699" s="486"/>
      <c r="L2699" s="486">
        <f>SUM(ventas_b_mes684[[#This Row],[IMPORTE NETO]:[EXENTO]])</f>
        <v>0</v>
      </c>
      <c r="M2699" s="487"/>
    </row>
    <row r="2700" spans="2:13">
      <c r="B2700" s="40"/>
      <c r="C2700" s="41"/>
      <c r="D2700" s="538"/>
      <c r="E2700" s="539"/>
      <c r="F2700" s="540"/>
      <c r="G2700" s="541" t="str">
        <f>IFERROR(IF(ventas_b_mes684[[#This Row],[CUIT]]="","-",VLOOKUP(ventas_b_mes684[[#This Row],[CUIT]],Lista_CUIT[#All],2,0)),"CUIT NO CARGADO")</f>
        <v>-</v>
      </c>
      <c r="H2700" s="64"/>
      <c r="I2700" s="485">
        <f>ventas_b_mes684[[#This Row],[IMPORTE NETO]]*0.21</f>
        <v>0</v>
      </c>
      <c r="J2700" s="486"/>
      <c r="K2700" s="486"/>
      <c r="L2700" s="486">
        <f>SUM(ventas_b_mes684[[#This Row],[IMPORTE NETO]:[EXENTO]])</f>
        <v>0</v>
      </c>
      <c r="M2700" s="487"/>
    </row>
    <row r="2701" spans="2:13">
      <c r="B2701" s="40"/>
      <c r="C2701" s="41"/>
      <c r="D2701" s="538"/>
      <c r="E2701" s="539"/>
      <c r="F2701" s="540"/>
      <c r="G2701" s="541" t="str">
        <f>IFERROR(IF(ventas_b_mes684[[#This Row],[CUIT]]="","-",VLOOKUP(ventas_b_mes684[[#This Row],[CUIT]],Lista_CUIT[#All],2,0)),"CUIT NO CARGADO")</f>
        <v>-</v>
      </c>
      <c r="H2701" s="64"/>
      <c r="I2701" s="485">
        <f>ventas_b_mes684[[#This Row],[IMPORTE NETO]]*0.21</f>
        <v>0</v>
      </c>
      <c r="J2701" s="486"/>
      <c r="K2701" s="486"/>
      <c r="L2701" s="486">
        <f>SUM(ventas_b_mes684[[#This Row],[IMPORTE NETO]:[EXENTO]])</f>
        <v>0</v>
      </c>
      <c r="M2701" s="487"/>
    </row>
    <row r="2702" spans="2:13">
      <c r="B2702" s="40"/>
      <c r="C2702" s="41"/>
      <c r="D2702" s="538"/>
      <c r="E2702" s="539"/>
      <c r="F2702" s="540"/>
      <c r="G2702" s="541" t="str">
        <f>IFERROR(IF(ventas_b_mes684[[#This Row],[CUIT]]="","-",VLOOKUP(ventas_b_mes684[[#This Row],[CUIT]],Lista_CUIT[#All],2,0)),"CUIT NO CARGADO")</f>
        <v>-</v>
      </c>
      <c r="H2702" s="64"/>
      <c r="I2702" s="485">
        <f>ventas_b_mes684[[#This Row],[IMPORTE NETO]]*0.21</f>
        <v>0</v>
      </c>
      <c r="J2702" s="486"/>
      <c r="K2702" s="486"/>
      <c r="L2702" s="486">
        <f>SUM(ventas_b_mes684[[#This Row],[IMPORTE NETO]:[EXENTO]])</f>
        <v>0</v>
      </c>
      <c r="M2702" s="487"/>
    </row>
    <row r="2703" spans="2:13">
      <c r="B2703" s="40"/>
      <c r="C2703" s="41"/>
      <c r="D2703" s="538"/>
      <c r="E2703" s="539"/>
      <c r="F2703" s="540"/>
      <c r="G2703" s="541" t="str">
        <f>IFERROR(IF(ventas_b_mes684[[#This Row],[CUIT]]="","-",VLOOKUP(ventas_b_mes684[[#This Row],[CUIT]],Lista_CUIT[#All],2,0)),"CUIT NO CARGADO")</f>
        <v>-</v>
      </c>
      <c r="H2703" s="64"/>
      <c r="I2703" s="485">
        <f>ventas_b_mes684[[#This Row],[IMPORTE NETO]]*0.21</f>
        <v>0</v>
      </c>
      <c r="J2703" s="486"/>
      <c r="K2703" s="486"/>
      <c r="L2703" s="486">
        <f>SUM(ventas_b_mes684[[#This Row],[IMPORTE NETO]:[EXENTO]])</f>
        <v>0</v>
      </c>
      <c r="M2703" s="487"/>
    </row>
    <row r="2704" spans="2:13">
      <c r="B2704" s="40"/>
      <c r="C2704" s="41"/>
      <c r="D2704" s="538"/>
      <c r="E2704" s="539"/>
      <c r="F2704" s="540"/>
      <c r="G2704" s="541" t="str">
        <f>IFERROR(IF(ventas_b_mes684[[#This Row],[CUIT]]="","-",VLOOKUP(ventas_b_mes684[[#This Row],[CUIT]],Lista_CUIT[#All],2,0)),"CUIT NO CARGADO")</f>
        <v>-</v>
      </c>
      <c r="H2704" s="64"/>
      <c r="I2704" s="485">
        <f>ventas_b_mes684[[#This Row],[IMPORTE NETO]]*0.21</f>
        <v>0</v>
      </c>
      <c r="J2704" s="486"/>
      <c r="K2704" s="486"/>
      <c r="L2704" s="486">
        <f>SUM(ventas_b_mes684[[#This Row],[IMPORTE NETO]:[EXENTO]])</f>
        <v>0</v>
      </c>
      <c r="M2704" s="487"/>
    </row>
    <row r="2705" spans="2:13">
      <c r="B2705" s="40"/>
      <c r="C2705" s="41"/>
      <c r="D2705" s="538"/>
      <c r="E2705" s="539"/>
      <c r="F2705" s="540"/>
      <c r="G2705" s="541" t="str">
        <f>IFERROR(IF(ventas_b_mes684[[#This Row],[CUIT]]="","-",VLOOKUP(ventas_b_mes684[[#This Row],[CUIT]],Lista_CUIT[#All],2,0)),"CUIT NO CARGADO")</f>
        <v>-</v>
      </c>
      <c r="H2705" s="64"/>
      <c r="I2705" s="485">
        <f>ventas_b_mes684[[#This Row],[IMPORTE NETO]]*0.21</f>
        <v>0</v>
      </c>
      <c r="J2705" s="486"/>
      <c r="K2705" s="486"/>
      <c r="L2705" s="486">
        <f>SUM(ventas_b_mes684[[#This Row],[IMPORTE NETO]:[EXENTO]])</f>
        <v>0</v>
      </c>
      <c r="M2705" s="487"/>
    </row>
    <row r="2706" spans="2:13">
      <c r="B2706" s="40"/>
      <c r="C2706" s="41"/>
      <c r="D2706" s="538"/>
      <c r="E2706" s="539"/>
      <c r="F2706" s="540"/>
      <c r="G2706" s="541" t="str">
        <f>IFERROR(IF(ventas_b_mes684[[#This Row],[CUIT]]="","-",VLOOKUP(ventas_b_mes684[[#This Row],[CUIT]],Lista_CUIT[#All],2,0)),"CUIT NO CARGADO")</f>
        <v>-</v>
      </c>
      <c r="H2706" s="64"/>
      <c r="I2706" s="485">
        <f>ventas_b_mes684[[#This Row],[IMPORTE NETO]]*0.21</f>
        <v>0</v>
      </c>
      <c r="J2706" s="486"/>
      <c r="K2706" s="486"/>
      <c r="L2706" s="486">
        <f>SUM(ventas_b_mes684[[#This Row],[IMPORTE NETO]:[EXENTO]])</f>
        <v>0</v>
      </c>
      <c r="M2706" s="487"/>
    </row>
    <row r="2707" spans="2:13">
      <c r="B2707" s="40"/>
      <c r="C2707" s="41"/>
      <c r="D2707" s="538"/>
      <c r="E2707" s="539"/>
      <c r="F2707" s="540"/>
      <c r="G2707" s="541" t="str">
        <f>IFERROR(IF(ventas_b_mes684[[#This Row],[CUIT]]="","-",VLOOKUP(ventas_b_mes684[[#This Row],[CUIT]],Lista_CUIT[#All],2,0)),"CUIT NO CARGADO")</f>
        <v>-</v>
      </c>
      <c r="H2707" s="64"/>
      <c r="I2707" s="485">
        <f>ventas_b_mes684[[#This Row],[IMPORTE NETO]]*0.21</f>
        <v>0</v>
      </c>
      <c r="J2707" s="486"/>
      <c r="K2707" s="486"/>
      <c r="L2707" s="486">
        <f>SUM(ventas_b_mes684[[#This Row],[IMPORTE NETO]:[EXENTO]])</f>
        <v>0</v>
      </c>
      <c r="M2707" s="487"/>
    </row>
    <row r="2708" spans="2:13">
      <c r="B2708" s="40"/>
      <c r="C2708" s="41"/>
      <c r="D2708" s="538"/>
      <c r="E2708" s="539"/>
      <c r="F2708" s="540"/>
      <c r="G2708" s="541" t="str">
        <f>IFERROR(IF(ventas_b_mes684[[#This Row],[CUIT]]="","-",VLOOKUP(ventas_b_mes684[[#This Row],[CUIT]],Lista_CUIT[#All],2,0)),"CUIT NO CARGADO")</f>
        <v>-</v>
      </c>
      <c r="H2708" s="64"/>
      <c r="I2708" s="485">
        <f>ventas_b_mes684[[#This Row],[IMPORTE NETO]]*0.21</f>
        <v>0</v>
      </c>
      <c r="J2708" s="486"/>
      <c r="K2708" s="486"/>
      <c r="L2708" s="486">
        <f>SUM(ventas_b_mes684[[#This Row],[IMPORTE NETO]:[EXENTO]])</f>
        <v>0</v>
      </c>
      <c r="M2708" s="487"/>
    </row>
    <row r="2709" spans="2:13">
      <c r="B2709" s="40"/>
      <c r="C2709" s="41"/>
      <c r="D2709" s="538"/>
      <c r="E2709" s="539"/>
      <c r="F2709" s="540"/>
      <c r="G2709" s="541" t="str">
        <f>IFERROR(IF(ventas_b_mes684[[#This Row],[CUIT]]="","-",VLOOKUP(ventas_b_mes684[[#This Row],[CUIT]],Lista_CUIT[#All],2,0)),"CUIT NO CARGADO")</f>
        <v>-</v>
      </c>
      <c r="H2709" s="64"/>
      <c r="I2709" s="485">
        <f>ventas_b_mes684[[#This Row],[IMPORTE NETO]]*0.21</f>
        <v>0</v>
      </c>
      <c r="J2709" s="486"/>
      <c r="K2709" s="486"/>
      <c r="L2709" s="486">
        <f>SUM(ventas_b_mes684[[#This Row],[IMPORTE NETO]:[EXENTO]])</f>
        <v>0</v>
      </c>
      <c r="M2709" s="487"/>
    </row>
    <row r="2710" spans="2:13">
      <c r="B2710" s="40"/>
      <c r="C2710" s="41"/>
      <c r="D2710" s="538"/>
      <c r="E2710" s="539"/>
      <c r="F2710" s="540"/>
      <c r="G2710" s="541" t="str">
        <f>IFERROR(IF(ventas_b_mes684[[#This Row],[CUIT]]="","-",VLOOKUP(ventas_b_mes684[[#This Row],[CUIT]],Lista_CUIT[#All],2,0)),"CUIT NO CARGADO")</f>
        <v>-</v>
      </c>
      <c r="H2710" s="64"/>
      <c r="I2710" s="485">
        <f>ventas_b_mes684[[#This Row],[IMPORTE NETO]]*0.21</f>
        <v>0</v>
      </c>
      <c r="J2710" s="486"/>
      <c r="K2710" s="486"/>
      <c r="L2710" s="486">
        <f>SUM(ventas_b_mes684[[#This Row],[IMPORTE NETO]:[EXENTO]])</f>
        <v>0</v>
      </c>
      <c r="M2710" s="487"/>
    </row>
    <row r="2711" spans="2:13">
      <c r="B2711" s="40"/>
      <c r="C2711" s="41"/>
      <c r="D2711" s="538"/>
      <c r="E2711" s="539"/>
      <c r="F2711" s="540"/>
      <c r="G2711" s="541" t="str">
        <f>IFERROR(IF(ventas_b_mes684[[#This Row],[CUIT]]="","-",VLOOKUP(ventas_b_mes684[[#This Row],[CUIT]],Lista_CUIT[#All],2,0)),"CUIT NO CARGADO")</f>
        <v>-</v>
      </c>
      <c r="H2711" s="64"/>
      <c r="I2711" s="485">
        <f>ventas_b_mes684[[#This Row],[IMPORTE NETO]]*0.21</f>
        <v>0</v>
      </c>
      <c r="J2711" s="486"/>
      <c r="K2711" s="486"/>
      <c r="L2711" s="486">
        <f>SUM(ventas_b_mes684[[#This Row],[IMPORTE NETO]:[EXENTO]])</f>
        <v>0</v>
      </c>
      <c r="M2711" s="487"/>
    </row>
    <row r="2712" spans="2:13">
      <c r="B2712" s="40"/>
      <c r="C2712" s="41"/>
      <c r="D2712" s="538"/>
      <c r="E2712" s="539"/>
      <c r="F2712" s="540"/>
      <c r="G2712" s="541" t="str">
        <f>IFERROR(IF(ventas_b_mes684[[#This Row],[CUIT]]="","-",VLOOKUP(ventas_b_mes684[[#This Row],[CUIT]],Lista_CUIT[#All],2,0)),"CUIT NO CARGADO")</f>
        <v>-</v>
      </c>
      <c r="H2712" s="64"/>
      <c r="I2712" s="485">
        <f>ventas_b_mes684[[#This Row],[IMPORTE NETO]]*0.21</f>
        <v>0</v>
      </c>
      <c r="J2712" s="486"/>
      <c r="K2712" s="486"/>
      <c r="L2712" s="486">
        <f>SUM(ventas_b_mes684[[#This Row],[IMPORTE NETO]:[EXENTO]])</f>
        <v>0</v>
      </c>
      <c r="M2712" s="487"/>
    </row>
    <row r="2713" spans="2:13">
      <c r="B2713" s="40"/>
      <c r="C2713" s="41"/>
      <c r="D2713" s="538"/>
      <c r="E2713" s="539"/>
      <c r="F2713" s="540"/>
      <c r="G2713" s="541" t="str">
        <f>IFERROR(IF(ventas_b_mes684[[#This Row],[CUIT]]="","-",VLOOKUP(ventas_b_mes684[[#This Row],[CUIT]],Lista_CUIT[#All],2,0)),"CUIT NO CARGADO")</f>
        <v>-</v>
      </c>
      <c r="H2713" s="64"/>
      <c r="I2713" s="485">
        <f>ventas_b_mes684[[#This Row],[IMPORTE NETO]]*0.21</f>
        <v>0</v>
      </c>
      <c r="J2713" s="486"/>
      <c r="K2713" s="486"/>
      <c r="L2713" s="486">
        <f>SUM(ventas_b_mes684[[#This Row],[IMPORTE NETO]:[EXENTO]])</f>
        <v>0</v>
      </c>
      <c r="M2713" s="487"/>
    </row>
    <row r="2714" spans="2:13">
      <c r="B2714" s="40"/>
      <c r="C2714" s="41"/>
      <c r="D2714" s="538"/>
      <c r="E2714" s="539"/>
      <c r="F2714" s="540"/>
      <c r="G2714" s="541" t="str">
        <f>IFERROR(IF(ventas_b_mes684[[#This Row],[CUIT]]="","-",VLOOKUP(ventas_b_mes684[[#This Row],[CUIT]],Lista_CUIT[#All],2,0)),"CUIT NO CARGADO")</f>
        <v>-</v>
      </c>
      <c r="H2714" s="64"/>
      <c r="I2714" s="485">
        <f>ventas_b_mes684[[#This Row],[IMPORTE NETO]]*0.21</f>
        <v>0</v>
      </c>
      <c r="J2714" s="486"/>
      <c r="K2714" s="486"/>
      <c r="L2714" s="486">
        <f>SUM(ventas_b_mes684[[#This Row],[IMPORTE NETO]:[EXENTO]])</f>
        <v>0</v>
      </c>
      <c r="M2714" s="487"/>
    </row>
    <row r="2715" spans="2:13">
      <c r="B2715" s="40"/>
      <c r="C2715" s="41"/>
      <c r="D2715" s="538"/>
      <c r="E2715" s="539"/>
      <c r="F2715" s="540"/>
      <c r="G2715" s="541" t="str">
        <f>IFERROR(IF(ventas_b_mes684[[#This Row],[CUIT]]="","-",VLOOKUP(ventas_b_mes684[[#This Row],[CUIT]],Lista_CUIT[#All],2,0)),"CUIT NO CARGADO")</f>
        <v>-</v>
      </c>
      <c r="H2715" s="64"/>
      <c r="I2715" s="485">
        <f>ventas_b_mes684[[#This Row],[IMPORTE NETO]]*0.21</f>
        <v>0</v>
      </c>
      <c r="J2715" s="486"/>
      <c r="K2715" s="486"/>
      <c r="L2715" s="486">
        <f>SUM(ventas_b_mes684[[#This Row],[IMPORTE NETO]:[EXENTO]])</f>
        <v>0</v>
      </c>
      <c r="M2715" s="487"/>
    </row>
    <row r="2716" spans="2:13">
      <c r="B2716" s="40"/>
      <c r="C2716" s="41"/>
      <c r="D2716" s="538"/>
      <c r="E2716" s="539"/>
      <c r="F2716" s="540"/>
      <c r="G2716" s="541" t="str">
        <f>IFERROR(IF(ventas_b_mes684[[#This Row],[CUIT]]="","-",VLOOKUP(ventas_b_mes684[[#This Row],[CUIT]],Lista_CUIT[#All],2,0)),"CUIT NO CARGADO")</f>
        <v>-</v>
      </c>
      <c r="H2716" s="64"/>
      <c r="I2716" s="485">
        <f>ventas_b_mes684[[#This Row],[IMPORTE NETO]]*0.21</f>
        <v>0</v>
      </c>
      <c r="J2716" s="486"/>
      <c r="K2716" s="486"/>
      <c r="L2716" s="486">
        <f>SUM(ventas_b_mes684[[#This Row],[IMPORTE NETO]:[EXENTO]])</f>
        <v>0</v>
      </c>
      <c r="M2716" s="487"/>
    </row>
    <row r="2717" spans="2:13">
      <c r="B2717" s="40"/>
      <c r="C2717" s="41"/>
      <c r="D2717" s="538"/>
      <c r="E2717" s="539"/>
      <c r="F2717" s="540"/>
      <c r="G2717" s="541" t="str">
        <f>IFERROR(IF(ventas_b_mes684[[#This Row],[CUIT]]="","-",VLOOKUP(ventas_b_mes684[[#This Row],[CUIT]],Lista_CUIT[#All],2,0)),"CUIT NO CARGADO")</f>
        <v>-</v>
      </c>
      <c r="H2717" s="64"/>
      <c r="I2717" s="485">
        <f>ventas_b_mes684[[#This Row],[IMPORTE NETO]]*0.21</f>
        <v>0</v>
      </c>
      <c r="J2717" s="486"/>
      <c r="K2717" s="486"/>
      <c r="L2717" s="486">
        <f>SUM(ventas_b_mes684[[#This Row],[IMPORTE NETO]:[EXENTO]])</f>
        <v>0</v>
      </c>
      <c r="M2717" s="487"/>
    </row>
    <row r="2718" spans="2:13">
      <c r="B2718" s="40"/>
      <c r="C2718" s="41"/>
      <c r="D2718" s="538"/>
      <c r="E2718" s="539"/>
      <c r="F2718" s="540"/>
      <c r="G2718" s="541" t="str">
        <f>IFERROR(IF(ventas_b_mes684[[#This Row],[CUIT]]="","-",VLOOKUP(ventas_b_mes684[[#This Row],[CUIT]],Lista_CUIT[#All],2,0)),"CUIT NO CARGADO")</f>
        <v>-</v>
      </c>
      <c r="H2718" s="64"/>
      <c r="I2718" s="485">
        <f>ventas_b_mes684[[#This Row],[IMPORTE NETO]]*0.21</f>
        <v>0</v>
      </c>
      <c r="J2718" s="486"/>
      <c r="K2718" s="486"/>
      <c r="L2718" s="486">
        <f>SUM(ventas_b_mes684[[#This Row],[IMPORTE NETO]:[EXENTO]])</f>
        <v>0</v>
      </c>
      <c r="M2718" s="487"/>
    </row>
    <row r="2719" spans="2:13">
      <c r="B2719" s="40"/>
      <c r="C2719" s="41"/>
      <c r="D2719" s="538"/>
      <c r="E2719" s="539"/>
      <c r="F2719" s="540"/>
      <c r="G2719" s="541" t="str">
        <f>IFERROR(IF(ventas_b_mes684[[#This Row],[CUIT]]="","-",VLOOKUP(ventas_b_mes684[[#This Row],[CUIT]],Lista_CUIT[#All],2,0)),"CUIT NO CARGADO")</f>
        <v>-</v>
      </c>
      <c r="H2719" s="64"/>
      <c r="I2719" s="485">
        <f>ventas_b_mes684[[#This Row],[IMPORTE NETO]]*0.21</f>
        <v>0</v>
      </c>
      <c r="J2719" s="486"/>
      <c r="K2719" s="486"/>
      <c r="L2719" s="486">
        <f>SUM(ventas_b_mes684[[#This Row],[IMPORTE NETO]:[EXENTO]])</f>
        <v>0</v>
      </c>
      <c r="M2719" s="487"/>
    </row>
    <row r="2720" spans="2:13">
      <c r="B2720" s="40"/>
      <c r="C2720" s="41"/>
      <c r="D2720" s="538"/>
      <c r="E2720" s="539"/>
      <c r="F2720" s="540"/>
      <c r="G2720" s="541" t="str">
        <f>IFERROR(IF(ventas_b_mes684[[#This Row],[CUIT]]="","-",VLOOKUP(ventas_b_mes684[[#This Row],[CUIT]],Lista_CUIT[#All],2,0)),"CUIT NO CARGADO")</f>
        <v>-</v>
      </c>
      <c r="H2720" s="64"/>
      <c r="I2720" s="485">
        <f>ventas_b_mes684[[#This Row],[IMPORTE NETO]]*0.21</f>
        <v>0</v>
      </c>
      <c r="J2720" s="486"/>
      <c r="K2720" s="486"/>
      <c r="L2720" s="486">
        <f>SUM(ventas_b_mes684[[#This Row],[IMPORTE NETO]:[EXENTO]])</f>
        <v>0</v>
      </c>
      <c r="M2720" s="487"/>
    </row>
    <row r="2721" spans="2:13">
      <c r="B2721" s="40"/>
      <c r="C2721" s="41"/>
      <c r="D2721" s="538"/>
      <c r="E2721" s="539"/>
      <c r="F2721" s="540"/>
      <c r="G2721" s="541" t="str">
        <f>IFERROR(IF(ventas_b_mes684[[#This Row],[CUIT]]="","-",VLOOKUP(ventas_b_mes684[[#This Row],[CUIT]],Lista_CUIT[#All],2,0)),"CUIT NO CARGADO")</f>
        <v>-</v>
      </c>
      <c r="H2721" s="64"/>
      <c r="I2721" s="485">
        <f>ventas_b_mes684[[#This Row],[IMPORTE NETO]]*0.21</f>
        <v>0</v>
      </c>
      <c r="J2721" s="486"/>
      <c r="K2721" s="486"/>
      <c r="L2721" s="486">
        <f>SUM(ventas_b_mes684[[#This Row],[IMPORTE NETO]:[EXENTO]])</f>
        <v>0</v>
      </c>
      <c r="M2721" s="487"/>
    </row>
    <row r="2722" spans="2:13">
      <c r="B2722" s="40"/>
      <c r="C2722" s="41"/>
      <c r="D2722" s="538"/>
      <c r="E2722" s="539"/>
      <c r="F2722" s="540"/>
      <c r="G2722" s="541" t="str">
        <f>IFERROR(IF(ventas_b_mes684[[#This Row],[CUIT]]="","-",VLOOKUP(ventas_b_mes684[[#This Row],[CUIT]],Lista_CUIT[#All],2,0)),"CUIT NO CARGADO")</f>
        <v>-</v>
      </c>
      <c r="H2722" s="64"/>
      <c r="I2722" s="485">
        <f>ventas_b_mes684[[#This Row],[IMPORTE NETO]]*0.21</f>
        <v>0</v>
      </c>
      <c r="J2722" s="486"/>
      <c r="K2722" s="486"/>
      <c r="L2722" s="486">
        <f>SUM(ventas_b_mes684[[#This Row],[IMPORTE NETO]:[EXENTO]])</f>
        <v>0</v>
      </c>
      <c r="M2722" s="487"/>
    </row>
    <row r="2723" spans="2:13">
      <c r="B2723" s="40"/>
      <c r="C2723" s="41"/>
      <c r="D2723" s="538"/>
      <c r="E2723" s="539"/>
      <c r="F2723" s="540"/>
      <c r="G2723" s="541" t="str">
        <f>IFERROR(IF(ventas_b_mes684[[#This Row],[CUIT]]="","-",VLOOKUP(ventas_b_mes684[[#This Row],[CUIT]],Lista_CUIT[#All],2,0)),"CUIT NO CARGADO")</f>
        <v>-</v>
      </c>
      <c r="H2723" s="64"/>
      <c r="I2723" s="485">
        <f>ventas_b_mes684[[#This Row],[IMPORTE NETO]]*0.21</f>
        <v>0</v>
      </c>
      <c r="J2723" s="486"/>
      <c r="K2723" s="486"/>
      <c r="L2723" s="486">
        <f>SUM(ventas_b_mes684[[#This Row],[IMPORTE NETO]:[EXENTO]])</f>
        <v>0</v>
      </c>
      <c r="M2723" s="487"/>
    </row>
    <row r="2724" spans="2:13">
      <c r="B2724" s="40"/>
      <c r="C2724" s="41"/>
      <c r="D2724" s="538"/>
      <c r="E2724" s="539"/>
      <c r="F2724" s="540"/>
      <c r="G2724" s="541" t="str">
        <f>IFERROR(IF(ventas_b_mes684[[#This Row],[CUIT]]="","-",VLOOKUP(ventas_b_mes684[[#This Row],[CUIT]],Lista_CUIT[#All],2,0)),"CUIT NO CARGADO")</f>
        <v>-</v>
      </c>
      <c r="H2724" s="64"/>
      <c r="I2724" s="485">
        <f>ventas_b_mes684[[#This Row],[IMPORTE NETO]]*0.21</f>
        <v>0</v>
      </c>
      <c r="J2724" s="486"/>
      <c r="K2724" s="486"/>
      <c r="L2724" s="486">
        <f>SUM(ventas_b_mes684[[#This Row],[IMPORTE NETO]:[EXENTO]])</f>
        <v>0</v>
      </c>
      <c r="M2724" s="487"/>
    </row>
    <row r="2725" spans="2:13">
      <c r="B2725" s="40"/>
      <c r="C2725" s="41"/>
      <c r="D2725" s="538"/>
      <c r="E2725" s="539"/>
      <c r="F2725" s="540"/>
      <c r="G2725" s="541" t="str">
        <f>IFERROR(IF(ventas_b_mes684[[#This Row],[CUIT]]="","-",VLOOKUP(ventas_b_mes684[[#This Row],[CUIT]],Lista_CUIT[#All],2,0)),"CUIT NO CARGADO")</f>
        <v>-</v>
      </c>
      <c r="H2725" s="64"/>
      <c r="I2725" s="485">
        <f>ventas_b_mes684[[#This Row],[IMPORTE NETO]]*0.21</f>
        <v>0</v>
      </c>
      <c r="J2725" s="486"/>
      <c r="K2725" s="486"/>
      <c r="L2725" s="486">
        <f>SUM(ventas_b_mes684[[#This Row],[IMPORTE NETO]:[EXENTO]])</f>
        <v>0</v>
      </c>
      <c r="M2725" s="487"/>
    </row>
    <row r="2726" spans="2:13">
      <c r="B2726" s="40"/>
      <c r="C2726" s="41"/>
      <c r="D2726" s="538"/>
      <c r="E2726" s="539"/>
      <c r="F2726" s="540"/>
      <c r="G2726" s="541" t="str">
        <f>IFERROR(IF(ventas_b_mes684[[#This Row],[CUIT]]="","-",VLOOKUP(ventas_b_mes684[[#This Row],[CUIT]],Lista_CUIT[#All],2,0)),"CUIT NO CARGADO")</f>
        <v>-</v>
      </c>
      <c r="H2726" s="64"/>
      <c r="I2726" s="485">
        <f>ventas_b_mes684[[#This Row],[IMPORTE NETO]]*0.21</f>
        <v>0</v>
      </c>
      <c r="J2726" s="486"/>
      <c r="K2726" s="486"/>
      <c r="L2726" s="486">
        <f>SUM(ventas_b_mes684[[#This Row],[IMPORTE NETO]:[EXENTO]])</f>
        <v>0</v>
      </c>
      <c r="M2726" s="487"/>
    </row>
    <row r="2727" spans="2:13">
      <c r="B2727" s="40"/>
      <c r="C2727" s="41"/>
      <c r="D2727" s="538"/>
      <c r="E2727" s="539"/>
      <c r="F2727" s="540"/>
      <c r="G2727" s="541" t="str">
        <f>IFERROR(IF(ventas_b_mes684[[#This Row],[CUIT]]="","-",VLOOKUP(ventas_b_mes684[[#This Row],[CUIT]],Lista_CUIT[#All],2,0)),"CUIT NO CARGADO")</f>
        <v>-</v>
      </c>
      <c r="H2727" s="64"/>
      <c r="I2727" s="485">
        <f>ventas_b_mes684[[#This Row],[IMPORTE NETO]]*0.21</f>
        <v>0</v>
      </c>
      <c r="J2727" s="486"/>
      <c r="K2727" s="486"/>
      <c r="L2727" s="486">
        <f>SUM(ventas_b_mes684[[#This Row],[IMPORTE NETO]:[EXENTO]])</f>
        <v>0</v>
      </c>
      <c r="M2727" s="487"/>
    </row>
    <row r="2728" spans="2:13">
      <c r="B2728" s="40"/>
      <c r="C2728" s="41"/>
      <c r="D2728" s="538"/>
      <c r="E2728" s="539"/>
      <c r="F2728" s="540"/>
      <c r="G2728" s="541" t="str">
        <f>IFERROR(IF(ventas_b_mes684[[#This Row],[CUIT]]="","-",VLOOKUP(ventas_b_mes684[[#This Row],[CUIT]],Lista_CUIT[#All],2,0)),"CUIT NO CARGADO")</f>
        <v>-</v>
      </c>
      <c r="H2728" s="64"/>
      <c r="I2728" s="485">
        <f>ventas_b_mes684[[#This Row],[IMPORTE NETO]]*0.21</f>
        <v>0</v>
      </c>
      <c r="J2728" s="486"/>
      <c r="K2728" s="486"/>
      <c r="L2728" s="486">
        <f>SUM(ventas_b_mes684[[#This Row],[IMPORTE NETO]:[EXENTO]])</f>
        <v>0</v>
      </c>
      <c r="M2728" s="487"/>
    </row>
    <row r="2729" spans="2:13">
      <c r="B2729" s="40"/>
      <c r="C2729" s="41"/>
      <c r="D2729" s="538"/>
      <c r="E2729" s="539"/>
      <c r="F2729" s="540"/>
      <c r="G2729" s="541" t="str">
        <f>IFERROR(IF(ventas_b_mes684[[#This Row],[CUIT]]="","-",VLOOKUP(ventas_b_mes684[[#This Row],[CUIT]],Lista_CUIT[#All],2,0)),"CUIT NO CARGADO")</f>
        <v>-</v>
      </c>
      <c r="H2729" s="64"/>
      <c r="I2729" s="485">
        <f>ventas_b_mes684[[#This Row],[IMPORTE NETO]]*0.21</f>
        <v>0</v>
      </c>
      <c r="J2729" s="486"/>
      <c r="K2729" s="486"/>
      <c r="L2729" s="486">
        <f>SUM(ventas_b_mes684[[#This Row],[IMPORTE NETO]:[EXENTO]])</f>
        <v>0</v>
      </c>
      <c r="M2729" s="487"/>
    </row>
    <row r="2730" spans="2:13">
      <c r="B2730" s="40"/>
      <c r="C2730" s="41"/>
      <c r="D2730" s="538"/>
      <c r="E2730" s="539"/>
      <c r="F2730" s="540"/>
      <c r="G2730" s="541" t="str">
        <f>IFERROR(IF(ventas_b_mes684[[#This Row],[CUIT]]="","-",VLOOKUP(ventas_b_mes684[[#This Row],[CUIT]],Lista_CUIT[#All],2,0)),"CUIT NO CARGADO")</f>
        <v>-</v>
      </c>
      <c r="H2730" s="64"/>
      <c r="I2730" s="485">
        <f>ventas_b_mes684[[#This Row],[IMPORTE NETO]]*0.21</f>
        <v>0</v>
      </c>
      <c r="J2730" s="486"/>
      <c r="K2730" s="486"/>
      <c r="L2730" s="486">
        <f>SUM(ventas_b_mes684[[#This Row],[IMPORTE NETO]:[EXENTO]])</f>
        <v>0</v>
      </c>
      <c r="M2730" s="487"/>
    </row>
    <row r="2731" spans="2:13">
      <c r="B2731" s="40"/>
      <c r="C2731" s="41"/>
      <c r="D2731" s="538"/>
      <c r="E2731" s="539"/>
      <c r="F2731" s="540"/>
      <c r="G2731" s="541" t="str">
        <f>IFERROR(IF(ventas_b_mes684[[#This Row],[CUIT]]="","-",VLOOKUP(ventas_b_mes684[[#This Row],[CUIT]],Lista_CUIT[#All],2,0)),"CUIT NO CARGADO")</f>
        <v>-</v>
      </c>
      <c r="H2731" s="64"/>
      <c r="I2731" s="485">
        <f>ventas_b_mes684[[#This Row],[IMPORTE NETO]]*0.21</f>
        <v>0</v>
      </c>
      <c r="J2731" s="486"/>
      <c r="K2731" s="486"/>
      <c r="L2731" s="486">
        <f>SUM(ventas_b_mes684[[#This Row],[IMPORTE NETO]:[EXENTO]])</f>
        <v>0</v>
      </c>
      <c r="M2731" s="487"/>
    </row>
    <row r="2732" spans="2:13">
      <c r="B2732" s="40"/>
      <c r="C2732" s="41"/>
      <c r="D2732" s="538"/>
      <c r="E2732" s="539"/>
      <c r="F2732" s="540"/>
      <c r="G2732" s="541" t="str">
        <f>IFERROR(IF(ventas_b_mes684[[#This Row],[CUIT]]="","-",VLOOKUP(ventas_b_mes684[[#This Row],[CUIT]],Lista_CUIT[#All],2,0)),"CUIT NO CARGADO")</f>
        <v>-</v>
      </c>
      <c r="H2732" s="64"/>
      <c r="I2732" s="485">
        <f>ventas_b_mes684[[#This Row],[IMPORTE NETO]]*0.21</f>
        <v>0</v>
      </c>
      <c r="J2732" s="486"/>
      <c r="K2732" s="486"/>
      <c r="L2732" s="486">
        <f>SUM(ventas_b_mes684[[#This Row],[IMPORTE NETO]:[EXENTO]])</f>
        <v>0</v>
      </c>
      <c r="M2732" s="487"/>
    </row>
    <row r="2733" spans="2:13">
      <c r="B2733" s="40"/>
      <c r="C2733" s="41"/>
      <c r="D2733" s="538"/>
      <c r="E2733" s="539"/>
      <c r="F2733" s="540"/>
      <c r="G2733" s="541" t="str">
        <f>IFERROR(IF(ventas_b_mes684[[#This Row],[CUIT]]="","-",VLOOKUP(ventas_b_mes684[[#This Row],[CUIT]],Lista_CUIT[#All],2,0)),"CUIT NO CARGADO")</f>
        <v>-</v>
      </c>
      <c r="H2733" s="64"/>
      <c r="I2733" s="485">
        <f>ventas_b_mes684[[#This Row],[IMPORTE NETO]]*0.21</f>
        <v>0</v>
      </c>
      <c r="J2733" s="486"/>
      <c r="K2733" s="486"/>
      <c r="L2733" s="486">
        <f>SUM(ventas_b_mes684[[#This Row],[IMPORTE NETO]:[EXENTO]])</f>
        <v>0</v>
      </c>
      <c r="M2733" s="487"/>
    </row>
    <row r="2734" spans="2:13">
      <c r="B2734" s="40"/>
      <c r="C2734" s="41"/>
      <c r="D2734" s="538"/>
      <c r="E2734" s="539"/>
      <c r="F2734" s="540"/>
      <c r="G2734" s="541" t="str">
        <f>IFERROR(IF(ventas_b_mes684[[#This Row],[CUIT]]="","-",VLOOKUP(ventas_b_mes684[[#This Row],[CUIT]],Lista_CUIT[#All],2,0)),"CUIT NO CARGADO")</f>
        <v>-</v>
      </c>
      <c r="H2734" s="64"/>
      <c r="I2734" s="485">
        <f>ventas_b_mes684[[#This Row],[IMPORTE NETO]]*0.21</f>
        <v>0</v>
      </c>
      <c r="J2734" s="486"/>
      <c r="K2734" s="486"/>
      <c r="L2734" s="486">
        <f>SUM(ventas_b_mes684[[#This Row],[IMPORTE NETO]:[EXENTO]])</f>
        <v>0</v>
      </c>
      <c r="M2734" s="487"/>
    </row>
    <row r="2735" spans="2:13">
      <c r="B2735" s="40"/>
      <c r="C2735" s="41"/>
      <c r="D2735" s="538"/>
      <c r="E2735" s="539"/>
      <c r="F2735" s="540"/>
      <c r="G2735" s="541" t="str">
        <f>IFERROR(IF(ventas_b_mes684[[#This Row],[CUIT]]="","-",VLOOKUP(ventas_b_mes684[[#This Row],[CUIT]],Lista_CUIT[#All],2,0)),"CUIT NO CARGADO")</f>
        <v>-</v>
      </c>
      <c r="H2735" s="64"/>
      <c r="I2735" s="485">
        <f>ventas_b_mes684[[#This Row],[IMPORTE NETO]]*0.21</f>
        <v>0</v>
      </c>
      <c r="J2735" s="486"/>
      <c r="K2735" s="486"/>
      <c r="L2735" s="486">
        <f>SUM(ventas_b_mes684[[#This Row],[IMPORTE NETO]:[EXENTO]])</f>
        <v>0</v>
      </c>
      <c r="M2735" s="487"/>
    </row>
    <row r="2736" spans="2:13">
      <c r="B2736" s="40"/>
      <c r="C2736" s="41"/>
      <c r="D2736" s="538"/>
      <c r="E2736" s="539"/>
      <c r="F2736" s="540"/>
      <c r="G2736" s="541" t="str">
        <f>IFERROR(IF(ventas_b_mes684[[#This Row],[CUIT]]="","-",VLOOKUP(ventas_b_mes684[[#This Row],[CUIT]],Lista_CUIT[#All],2,0)),"CUIT NO CARGADO")</f>
        <v>-</v>
      </c>
      <c r="H2736" s="64"/>
      <c r="I2736" s="485">
        <f>ventas_b_mes684[[#This Row],[IMPORTE NETO]]*0.21</f>
        <v>0</v>
      </c>
      <c r="J2736" s="486"/>
      <c r="K2736" s="486"/>
      <c r="L2736" s="486">
        <f>SUM(ventas_b_mes684[[#This Row],[IMPORTE NETO]:[EXENTO]])</f>
        <v>0</v>
      </c>
      <c r="M2736" s="487"/>
    </row>
    <row r="2737" spans="2:13">
      <c r="B2737" s="40"/>
      <c r="C2737" s="41"/>
      <c r="D2737" s="538"/>
      <c r="E2737" s="539"/>
      <c r="F2737" s="540"/>
      <c r="G2737" s="541" t="str">
        <f>IFERROR(IF(ventas_b_mes684[[#This Row],[CUIT]]="","-",VLOOKUP(ventas_b_mes684[[#This Row],[CUIT]],Lista_CUIT[#All],2,0)),"CUIT NO CARGADO")</f>
        <v>-</v>
      </c>
      <c r="H2737" s="64"/>
      <c r="I2737" s="485">
        <f>ventas_b_mes684[[#This Row],[IMPORTE NETO]]*0.21</f>
        <v>0</v>
      </c>
      <c r="J2737" s="486"/>
      <c r="K2737" s="486"/>
      <c r="L2737" s="486">
        <f>SUM(ventas_b_mes684[[#This Row],[IMPORTE NETO]:[EXENTO]])</f>
        <v>0</v>
      </c>
      <c r="M2737" s="487"/>
    </row>
    <row r="2738" spans="2:13">
      <c r="B2738" s="40"/>
      <c r="C2738" s="41"/>
      <c r="D2738" s="538"/>
      <c r="E2738" s="539"/>
      <c r="F2738" s="540"/>
      <c r="G2738" s="541" t="str">
        <f>IFERROR(IF(ventas_b_mes684[[#This Row],[CUIT]]="","-",VLOOKUP(ventas_b_mes684[[#This Row],[CUIT]],Lista_CUIT[#All],2,0)),"CUIT NO CARGADO")</f>
        <v>-</v>
      </c>
      <c r="H2738" s="64"/>
      <c r="I2738" s="485">
        <f>ventas_b_mes684[[#This Row],[IMPORTE NETO]]*0.21</f>
        <v>0</v>
      </c>
      <c r="J2738" s="486"/>
      <c r="K2738" s="486"/>
      <c r="L2738" s="486">
        <f>SUM(ventas_b_mes684[[#This Row],[IMPORTE NETO]:[EXENTO]])</f>
        <v>0</v>
      </c>
      <c r="M2738" s="487"/>
    </row>
    <row r="2739" spans="2:13">
      <c r="B2739" s="40"/>
      <c r="C2739" s="41"/>
      <c r="D2739" s="538"/>
      <c r="E2739" s="539"/>
      <c r="F2739" s="540"/>
      <c r="G2739" s="541" t="str">
        <f>IFERROR(IF(ventas_b_mes684[[#This Row],[CUIT]]="","-",VLOOKUP(ventas_b_mes684[[#This Row],[CUIT]],Lista_CUIT[#All],2,0)),"CUIT NO CARGADO")</f>
        <v>-</v>
      </c>
      <c r="H2739" s="64"/>
      <c r="I2739" s="485">
        <f>ventas_b_mes684[[#This Row],[IMPORTE NETO]]*0.21</f>
        <v>0</v>
      </c>
      <c r="J2739" s="486"/>
      <c r="K2739" s="486"/>
      <c r="L2739" s="486">
        <f>SUM(ventas_b_mes684[[#This Row],[IMPORTE NETO]:[EXENTO]])</f>
        <v>0</v>
      </c>
      <c r="M2739" s="487"/>
    </row>
    <row r="2740" spans="2:13">
      <c r="B2740" s="40"/>
      <c r="C2740" s="41"/>
      <c r="D2740" s="538"/>
      <c r="E2740" s="539"/>
      <c r="F2740" s="540"/>
      <c r="G2740" s="541" t="str">
        <f>IFERROR(IF(ventas_b_mes684[[#This Row],[CUIT]]="","-",VLOOKUP(ventas_b_mes684[[#This Row],[CUIT]],Lista_CUIT[#All],2,0)),"CUIT NO CARGADO")</f>
        <v>-</v>
      </c>
      <c r="H2740" s="64"/>
      <c r="I2740" s="485">
        <f>ventas_b_mes684[[#This Row],[IMPORTE NETO]]*0.21</f>
        <v>0</v>
      </c>
      <c r="J2740" s="486"/>
      <c r="K2740" s="486"/>
      <c r="L2740" s="486">
        <f>SUM(ventas_b_mes684[[#This Row],[IMPORTE NETO]:[EXENTO]])</f>
        <v>0</v>
      </c>
      <c r="M2740" s="487"/>
    </row>
    <row r="2741" spans="2:13">
      <c r="B2741" s="40"/>
      <c r="C2741" s="41"/>
      <c r="D2741" s="538"/>
      <c r="E2741" s="539"/>
      <c r="F2741" s="540"/>
      <c r="G2741" s="541" t="str">
        <f>IFERROR(IF(ventas_b_mes684[[#This Row],[CUIT]]="","-",VLOOKUP(ventas_b_mes684[[#This Row],[CUIT]],Lista_CUIT[#All],2,0)),"CUIT NO CARGADO")</f>
        <v>-</v>
      </c>
      <c r="H2741" s="64"/>
      <c r="I2741" s="485">
        <f>ventas_b_mes684[[#This Row],[IMPORTE NETO]]*0.21</f>
        <v>0</v>
      </c>
      <c r="J2741" s="486"/>
      <c r="K2741" s="486"/>
      <c r="L2741" s="486">
        <f>SUM(ventas_b_mes684[[#This Row],[IMPORTE NETO]:[EXENTO]])</f>
        <v>0</v>
      </c>
      <c r="M2741" s="487"/>
    </row>
    <row r="2742" spans="2:13">
      <c r="B2742" s="40"/>
      <c r="C2742" s="41"/>
      <c r="D2742" s="538"/>
      <c r="E2742" s="539"/>
      <c r="F2742" s="540"/>
      <c r="G2742" s="541" t="str">
        <f>IFERROR(IF(ventas_b_mes684[[#This Row],[CUIT]]="","-",VLOOKUP(ventas_b_mes684[[#This Row],[CUIT]],Lista_CUIT[#All],2,0)),"CUIT NO CARGADO")</f>
        <v>-</v>
      </c>
      <c r="H2742" s="64"/>
      <c r="I2742" s="485">
        <f>ventas_b_mes684[[#This Row],[IMPORTE NETO]]*0.21</f>
        <v>0</v>
      </c>
      <c r="J2742" s="486"/>
      <c r="K2742" s="486"/>
      <c r="L2742" s="486">
        <f>SUM(ventas_b_mes684[[#This Row],[IMPORTE NETO]:[EXENTO]])</f>
        <v>0</v>
      </c>
      <c r="M2742" s="487"/>
    </row>
    <row r="2743" spans="2:13">
      <c r="B2743" s="40"/>
      <c r="C2743" s="41"/>
      <c r="D2743" s="538"/>
      <c r="E2743" s="539"/>
      <c r="F2743" s="540"/>
      <c r="G2743" s="541" t="str">
        <f>IFERROR(IF(ventas_b_mes684[[#This Row],[CUIT]]="","-",VLOOKUP(ventas_b_mes684[[#This Row],[CUIT]],Lista_CUIT[#All],2,0)),"CUIT NO CARGADO")</f>
        <v>-</v>
      </c>
      <c r="H2743" s="64"/>
      <c r="I2743" s="485">
        <f>ventas_b_mes684[[#This Row],[IMPORTE NETO]]*0.21</f>
        <v>0</v>
      </c>
      <c r="J2743" s="486"/>
      <c r="K2743" s="486"/>
      <c r="L2743" s="486">
        <f>SUM(ventas_b_mes684[[#This Row],[IMPORTE NETO]:[EXENTO]])</f>
        <v>0</v>
      </c>
      <c r="M2743" s="487"/>
    </row>
    <row r="2744" spans="2:13">
      <c r="B2744" s="40"/>
      <c r="C2744" s="41"/>
      <c r="D2744" s="538"/>
      <c r="E2744" s="539"/>
      <c r="F2744" s="540"/>
      <c r="G2744" s="541" t="str">
        <f>IFERROR(IF(ventas_b_mes684[[#This Row],[CUIT]]="","-",VLOOKUP(ventas_b_mes684[[#This Row],[CUIT]],Lista_CUIT[#All],2,0)),"CUIT NO CARGADO")</f>
        <v>-</v>
      </c>
      <c r="H2744" s="64"/>
      <c r="I2744" s="485">
        <f>ventas_b_mes684[[#This Row],[IMPORTE NETO]]*0.21</f>
        <v>0</v>
      </c>
      <c r="J2744" s="486"/>
      <c r="K2744" s="486"/>
      <c r="L2744" s="486">
        <f>SUM(ventas_b_mes684[[#This Row],[IMPORTE NETO]:[EXENTO]])</f>
        <v>0</v>
      </c>
      <c r="M2744" s="487"/>
    </row>
    <row r="2745" spans="2:13">
      <c r="B2745" s="40"/>
      <c r="C2745" s="41"/>
      <c r="D2745" s="538"/>
      <c r="E2745" s="539"/>
      <c r="F2745" s="540"/>
      <c r="G2745" s="541" t="str">
        <f>IFERROR(IF(ventas_b_mes684[[#This Row],[CUIT]]="","-",VLOOKUP(ventas_b_mes684[[#This Row],[CUIT]],Lista_CUIT[#All],2,0)),"CUIT NO CARGADO")</f>
        <v>-</v>
      </c>
      <c r="H2745" s="64"/>
      <c r="I2745" s="485">
        <f>ventas_b_mes684[[#This Row],[IMPORTE NETO]]*0.21</f>
        <v>0</v>
      </c>
      <c r="J2745" s="486"/>
      <c r="K2745" s="486"/>
      <c r="L2745" s="486">
        <f>SUM(ventas_b_mes684[[#This Row],[IMPORTE NETO]:[EXENTO]])</f>
        <v>0</v>
      </c>
      <c r="M2745" s="487"/>
    </row>
    <row r="2746" spans="2:13">
      <c r="B2746" s="40"/>
      <c r="C2746" s="41"/>
      <c r="D2746" s="538"/>
      <c r="E2746" s="539"/>
      <c r="F2746" s="540"/>
      <c r="G2746" s="541" t="str">
        <f>IFERROR(IF(ventas_b_mes684[[#This Row],[CUIT]]="","-",VLOOKUP(ventas_b_mes684[[#This Row],[CUIT]],Lista_CUIT[#All],2,0)),"CUIT NO CARGADO")</f>
        <v>-</v>
      </c>
      <c r="H2746" s="64"/>
      <c r="I2746" s="485">
        <f>ventas_b_mes684[[#This Row],[IMPORTE NETO]]*0.21</f>
        <v>0</v>
      </c>
      <c r="J2746" s="486"/>
      <c r="K2746" s="486"/>
      <c r="L2746" s="486">
        <f>SUM(ventas_b_mes684[[#This Row],[IMPORTE NETO]:[EXENTO]])</f>
        <v>0</v>
      </c>
      <c r="M2746" s="487"/>
    </row>
    <row r="2747" spans="2:13">
      <c r="B2747" s="40"/>
      <c r="C2747" s="41"/>
      <c r="D2747" s="538"/>
      <c r="E2747" s="539"/>
      <c r="F2747" s="540"/>
      <c r="G2747" s="541" t="str">
        <f>IFERROR(IF(ventas_b_mes684[[#This Row],[CUIT]]="","-",VLOOKUP(ventas_b_mes684[[#This Row],[CUIT]],Lista_CUIT[#All],2,0)),"CUIT NO CARGADO")</f>
        <v>-</v>
      </c>
      <c r="H2747" s="64"/>
      <c r="I2747" s="485">
        <f>ventas_b_mes684[[#This Row],[IMPORTE NETO]]*0.21</f>
        <v>0</v>
      </c>
      <c r="J2747" s="486"/>
      <c r="K2747" s="486"/>
      <c r="L2747" s="486">
        <f>SUM(ventas_b_mes684[[#This Row],[IMPORTE NETO]:[EXENTO]])</f>
        <v>0</v>
      </c>
      <c r="M2747" s="487"/>
    </row>
    <row r="2748" spans="2:13">
      <c r="B2748" s="40"/>
      <c r="C2748" s="41"/>
      <c r="D2748" s="538"/>
      <c r="E2748" s="539"/>
      <c r="F2748" s="540"/>
      <c r="G2748" s="541" t="str">
        <f>IFERROR(IF(ventas_b_mes684[[#This Row],[CUIT]]="","-",VLOOKUP(ventas_b_mes684[[#This Row],[CUIT]],Lista_CUIT[#All],2,0)),"CUIT NO CARGADO")</f>
        <v>-</v>
      </c>
      <c r="H2748" s="64"/>
      <c r="I2748" s="485">
        <f>ventas_b_mes684[[#This Row],[IMPORTE NETO]]*0.21</f>
        <v>0</v>
      </c>
      <c r="J2748" s="486"/>
      <c r="K2748" s="486"/>
      <c r="L2748" s="486">
        <f>SUM(ventas_b_mes684[[#This Row],[IMPORTE NETO]:[EXENTO]])</f>
        <v>0</v>
      </c>
      <c r="M2748" s="487"/>
    </row>
    <row r="2749" spans="2:13">
      <c r="B2749" s="40"/>
      <c r="C2749" s="41"/>
      <c r="D2749" s="538"/>
      <c r="E2749" s="539"/>
      <c r="F2749" s="540"/>
      <c r="G2749" s="541" t="str">
        <f>IFERROR(IF(ventas_b_mes684[[#This Row],[CUIT]]="","-",VLOOKUP(ventas_b_mes684[[#This Row],[CUIT]],Lista_CUIT[#All],2,0)),"CUIT NO CARGADO")</f>
        <v>-</v>
      </c>
      <c r="H2749" s="64"/>
      <c r="I2749" s="485">
        <f>ventas_b_mes684[[#This Row],[IMPORTE NETO]]*0.21</f>
        <v>0</v>
      </c>
      <c r="J2749" s="486"/>
      <c r="K2749" s="486"/>
      <c r="L2749" s="486">
        <f>SUM(ventas_b_mes684[[#This Row],[IMPORTE NETO]:[EXENTO]])</f>
        <v>0</v>
      </c>
      <c r="M2749" s="487"/>
    </row>
    <row r="2750" spans="2:13">
      <c r="B2750" s="40"/>
      <c r="C2750" s="41"/>
      <c r="D2750" s="538"/>
      <c r="E2750" s="539"/>
      <c r="F2750" s="540"/>
      <c r="G2750" s="541" t="str">
        <f>IFERROR(IF(ventas_b_mes684[[#This Row],[CUIT]]="","-",VLOOKUP(ventas_b_mes684[[#This Row],[CUIT]],Lista_CUIT[#All],2,0)),"CUIT NO CARGADO")</f>
        <v>-</v>
      </c>
      <c r="H2750" s="64"/>
      <c r="I2750" s="485">
        <f>ventas_b_mes684[[#This Row],[IMPORTE NETO]]*0.21</f>
        <v>0</v>
      </c>
      <c r="J2750" s="486"/>
      <c r="K2750" s="486"/>
      <c r="L2750" s="486">
        <f>SUM(ventas_b_mes684[[#This Row],[IMPORTE NETO]:[EXENTO]])</f>
        <v>0</v>
      </c>
      <c r="M2750" s="487"/>
    </row>
    <row r="2751" spans="2:13">
      <c r="B2751" s="40"/>
      <c r="C2751" s="41"/>
      <c r="D2751" s="538"/>
      <c r="E2751" s="539"/>
      <c r="F2751" s="540"/>
      <c r="G2751" s="541" t="str">
        <f>IFERROR(IF(ventas_b_mes684[[#This Row],[CUIT]]="","-",VLOOKUP(ventas_b_mes684[[#This Row],[CUIT]],Lista_CUIT[#All],2,0)),"CUIT NO CARGADO")</f>
        <v>-</v>
      </c>
      <c r="H2751" s="64"/>
      <c r="I2751" s="485">
        <f>ventas_b_mes684[[#This Row],[IMPORTE NETO]]*0.21</f>
        <v>0</v>
      </c>
      <c r="J2751" s="486"/>
      <c r="K2751" s="486"/>
      <c r="L2751" s="486">
        <f>SUM(ventas_b_mes684[[#This Row],[IMPORTE NETO]:[EXENTO]])</f>
        <v>0</v>
      </c>
      <c r="M2751" s="487"/>
    </row>
    <row r="2752" spans="2:13">
      <c r="B2752" s="40"/>
      <c r="C2752" s="41"/>
      <c r="D2752" s="538"/>
      <c r="E2752" s="539"/>
      <c r="F2752" s="540"/>
      <c r="G2752" s="541" t="str">
        <f>IFERROR(IF(ventas_b_mes684[[#This Row],[CUIT]]="","-",VLOOKUP(ventas_b_mes684[[#This Row],[CUIT]],Lista_CUIT[#All],2,0)),"CUIT NO CARGADO")</f>
        <v>-</v>
      </c>
      <c r="H2752" s="64"/>
      <c r="I2752" s="485">
        <f>ventas_b_mes684[[#This Row],[IMPORTE NETO]]*0.21</f>
        <v>0</v>
      </c>
      <c r="J2752" s="486"/>
      <c r="K2752" s="486"/>
      <c r="L2752" s="486">
        <f>SUM(ventas_b_mes684[[#This Row],[IMPORTE NETO]:[EXENTO]])</f>
        <v>0</v>
      </c>
      <c r="M2752" s="487"/>
    </row>
    <row r="2753" spans="2:13">
      <c r="B2753" s="40"/>
      <c r="C2753" s="41"/>
      <c r="D2753" s="538"/>
      <c r="E2753" s="539"/>
      <c r="F2753" s="540"/>
      <c r="G2753" s="541" t="str">
        <f>IFERROR(IF(ventas_b_mes684[[#This Row],[CUIT]]="","-",VLOOKUP(ventas_b_mes684[[#This Row],[CUIT]],Lista_CUIT[#All],2,0)),"CUIT NO CARGADO")</f>
        <v>-</v>
      </c>
      <c r="H2753" s="64"/>
      <c r="I2753" s="485">
        <f>ventas_b_mes684[[#This Row],[IMPORTE NETO]]*0.21</f>
        <v>0</v>
      </c>
      <c r="J2753" s="486"/>
      <c r="K2753" s="486"/>
      <c r="L2753" s="486">
        <f>SUM(ventas_b_mes684[[#This Row],[IMPORTE NETO]:[EXENTO]])</f>
        <v>0</v>
      </c>
      <c r="M2753" s="487"/>
    </row>
    <row r="2754" spans="2:13">
      <c r="B2754" s="40"/>
      <c r="C2754" s="41"/>
      <c r="D2754" s="538"/>
      <c r="E2754" s="539"/>
      <c r="F2754" s="540"/>
      <c r="G2754" s="541" t="str">
        <f>IFERROR(IF(ventas_b_mes684[[#This Row],[CUIT]]="","-",VLOOKUP(ventas_b_mes684[[#This Row],[CUIT]],Lista_CUIT[#All],2,0)),"CUIT NO CARGADO")</f>
        <v>-</v>
      </c>
      <c r="H2754" s="64"/>
      <c r="I2754" s="485">
        <f>ventas_b_mes684[[#This Row],[IMPORTE NETO]]*0.21</f>
        <v>0</v>
      </c>
      <c r="J2754" s="486"/>
      <c r="K2754" s="486"/>
      <c r="L2754" s="486">
        <f>SUM(ventas_b_mes684[[#This Row],[IMPORTE NETO]:[EXENTO]])</f>
        <v>0</v>
      </c>
      <c r="M2754" s="487"/>
    </row>
    <row r="2755" spans="2:13">
      <c r="B2755" s="40"/>
      <c r="C2755" s="41"/>
      <c r="D2755" s="538"/>
      <c r="E2755" s="539"/>
      <c r="F2755" s="540"/>
      <c r="G2755" s="541" t="str">
        <f>IFERROR(IF(ventas_b_mes684[[#This Row],[CUIT]]="","-",VLOOKUP(ventas_b_mes684[[#This Row],[CUIT]],Lista_CUIT[#All],2,0)),"CUIT NO CARGADO")</f>
        <v>-</v>
      </c>
      <c r="H2755" s="64"/>
      <c r="I2755" s="485">
        <f>ventas_b_mes684[[#This Row],[IMPORTE NETO]]*0.21</f>
        <v>0</v>
      </c>
      <c r="J2755" s="486"/>
      <c r="K2755" s="486"/>
      <c r="L2755" s="486">
        <f>SUM(ventas_b_mes684[[#This Row],[IMPORTE NETO]:[EXENTO]])</f>
        <v>0</v>
      </c>
      <c r="M2755" s="487"/>
    </row>
    <row r="2756" spans="2:13">
      <c r="B2756" s="40"/>
      <c r="C2756" s="41"/>
      <c r="D2756" s="538"/>
      <c r="E2756" s="539"/>
      <c r="F2756" s="540"/>
      <c r="G2756" s="541" t="str">
        <f>IFERROR(IF(ventas_b_mes684[[#This Row],[CUIT]]="","-",VLOOKUP(ventas_b_mes684[[#This Row],[CUIT]],Lista_CUIT[#All],2,0)),"CUIT NO CARGADO")</f>
        <v>-</v>
      </c>
      <c r="H2756" s="64"/>
      <c r="I2756" s="485">
        <f>ventas_b_mes684[[#This Row],[IMPORTE NETO]]*0.21</f>
        <v>0</v>
      </c>
      <c r="J2756" s="486"/>
      <c r="K2756" s="486"/>
      <c r="L2756" s="486">
        <f>SUM(ventas_b_mes684[[#This Row],[IMPORTE NETO]:[EXENTO]])</f>
        <v>0</v>
      </c>
      <c r="M2756" s="487"/>
    </row>
    <row r="2757" spans="2:13">
      <c r="B2757" s="40"/>
      <c r="C2757" s="41"/>
      <c r="D2757" s="538"/>
      <c r="E2757" s="539"/>
      <c r="F2757" s="540"/>
      <c r="G2757" s="541" t="str">
        <f>IFERROR(IF(ventas_b_mes684[[#This Row],[CUIT]]="","-",VLOOKUP(ventas_b_mes684[[#This Row],[CUIT]],Lista_CUIT[#All],2,0)),"CUIT NO CARGADO")</f>
        <v>-</v>
      </c>
      <c r="H2757" s="64"/>
      <c r="I2757" s="485">
        <f>ventas_b_mes684[[#This Row],[IMPORTE NETO]]*0.21</f>
        <v>0</v>
      </c>
      <c r="J2757" s="486"/>
      <c r="K2757" s="486"/>
      <c r="L2757" s="486">
        <f>SUM(ventas_b_mes684[[#This Row],[IMPORTE NETO]:[EXENTO]])</f>
        <v>0</v>
      </c>
      <c r="M2757" s="487"/>
    </row>
    <row r="2758" spans="2:13">
      <c r="B2758" s="40"/>
      <c r="C2758" s="41"/>
      <c r="D2758" s="538"/>
      <c r="E2758" s="539"/>
      <c r="F2758" s="540"/>
      <c r="G2758" s="541" t="str">
        <f>IFERROR(IF(ventas_b_mes684[[#This Row],[CUIT]]="","-",VLOOKUP(ventas_b_mes684[[#This Row],[CUIT]],Lista_CUIT[#All],2,0)),"CUIT NO CARGADO")</f>
        <v>-</v>
      </c>
      <c r="H2758" s="64"/>
      <c r="I2758" s="485">
        <f>ventas_b_mes684[[#This Row],[IMPORTE NETO]]*0.21</f>
        <v>0</v>
      </c>
      <c r="J2758" s="486"/>
      <c r="K2758" s="486"/>
      <c r="L2758" s="486">
        <f>SUM(ventas_b_mes684[[#This Row],[IMPORTE NETO]:[EXENTO]])</f>
        <v>0</v>
      </c>
      <c r="M2758" s="487"/>
    </row>
    <row r="2759" spans="2:13">
      <c r="B2759" s="40"/>
      <c r="C2759" s="41"/>
      <c r="D2759" s="538"/>
      <c r="E2759" s="539"/>
      <c r="F2759" s="540"/>
      <c r="G2759" s="541" t="str">
        <f>IFERROR(IF(ventas_b_mes684[[#This Row],[CUIT]]="","-",VLOOKUP(ventas_b_mes684[[#This Row],[CUIT]],Lista_CUIT[#All],2,0)),"CUIT NO CARGADO")</f>
        <v>-</v>
      </c>
      <c r="H2759" s="64"/>
      <c r="I2759" s="485">
        <f>ventas_b_mes684[[#This Row],[IMPORTE NETO]]*0.21</f>
        <v>0</v>
      </c>
      <c r="J2759" s="486"/>
      <c r="K2759" s="486"/>
      <c r="L2759" s="486">
        <f>SUM(ventas_b_mes684[[#This Row],[IMPORTE NETO]:[EXENTO]])</f>
        <v>0</v>
      </c>
      <c r="M2759" s="487"/>
    </row>
    <row r="2760" spans="2:13" ht="15.75" thickBot="1">
      <c r="B2760" s="66" t="s">
        <v>103</v>
      </c>
      <c r="C2760" s="67"/>
      <c r="D2760" s="67"/>
      <c r="E2760" s="67"/>
      <c r="F2760" s="67"/>
      <c r="G2760" s="67"/>
      <c r="H2760" s="77">
        <f>SUBTOTAL(109,ventas_b_mes684[IMPORTE NETO])</f>
        <v>64503831.979999788</v>
      </c>
      <c r="I2760" s="77">
        <f>SUBTOTAL(109,ventas_b_mes684[IVA 21%])</f>
        <v>13545804.715799969</v>
      </c>
      <c r="J2760" s="78">
        <f>SUBTOTAL(109,ventas_b_mes684[IVA 10,5%])</f>
        <v>0</v>
      </c>
      <c r="K2760" s="78">
        <f>SUBTOTAL(109,ventas_b_mes684[EXENTO])</f>
        <v>0</v>
      </c>
      <c r="L2760" s="78">
        <f>SUBTOTAL(109,ventas_b_mes684[TOTAL])</f>
        <v>78049636.695800498</v>
      </c>
      <c r="M2760" s="68">
        <f>SUBTOTAL(103,ventas_b_mes684[Provincia])</f>
        <v>0</v>
      </c>
    </row>
    <row r="2761" spans="2:13" ht="15.75" thickTop="1">
      <c r="C2761" s="728" t="s">
        <v>66</v>
      </c>
      <c r="D2761" s="729"/>
      <c r="E2761" s="729"/>
      <c r="F2761" s="729"/>
      <c r="G2761" s="730"/>
      <c r="H2761" s="32"/>
      <c r="I2761" s="32"/>
      <c r="J2761" s="32"/>
    </row>
    <row r="2762" spans="2:13" ht="15.75">
      <c r="C2762" s="114" t="s">
        <v>67</v>
      </c>
      <c r="D2762" s="115" t="s">
        <v>68</v>
      </c>
      <c r="E2762" s="115" t="s">
        <v>105</v>
      </c>
      <c r="F2762" s="115" t="s">
        <v>3</v>
      </c>
      <c r="G2762" s="115" t="s">
        <v>4</v>
      </c>
      <c r="H2762" s="116" t="s">
        <v>69</v>
      </c>
      <c r="I2762" s="116" t="s">
        <v>70</v>
      </c>
      <c r="J2762" s="116" t="s">
        <v>71</v>
      </c>
      <c r="K2762" s="116" t="s">
        <v>72</v>
      </c>
      <c r="L2762" s="116" t="s">
        <v>73</v>
      </c>
    </row>
    <row r="2763" spans="2:13">
      <c r="C2763" s="117"/>
      <c r="D2763" s="118"/>
      <c r="E2763" s="118"/>
      <c r="F2763" s="119"/>
      <c r="G2763" s="53" t="str">
        <f>IFERROR(IF(Retenciones_mes6[[#This Row],[CUIT]]="","-",VLOOKUP(Retenciones_mes6[[#This Row],[CUIT]],Lista_CUIT[#All],2,0)),"CUIT NO CARGADO")</f>
        <v>-</v>
      </c>
      <c r="H2763" s="120"/>
      <c r="I2763" s="120"/>
      <c r="J2763" s="120"/>
      <c r="K2763" s="120"/>
      <c r="L2763" s="120"/>
    </row>
    <row r="2764" spans="2:13">
      <c r="C2764" s="117"/>
      <c r="D2764" s="118"/>
      <c r="E2764" s="118"/>
      <c r="F2764" s="119"/>
      <c r="G2764" s="53" t="str">
        <f>IFERROR(IF(Retenciones_mes6[[#This Row],[CUIT]]="","-",VLOOKUP(Retenciones_mes6[[#This Row],[CUIT]],Lista_CUIT[#All],2,0)),"CUIT NO CARGADO")</f>
        <v>-</v>
      </c>
      <c r="H2764" s="120"/>
      <c r="I2764" s="120"/>
      <c r="J2764" s="120"/>
      <c r="K2764" s="120"/>
      <c r="L2764" s="120"/>
    </row>
    <row r="2765" spans="2:13">
      <c r="C2765" s="117"/>
      <c r="D2765" s="118"/>
      <c r="E2765" s="118"/>
      <c r="F2765" s="119"/>
      <c r="G2765" s="53" t="str">
        <f>IFERROR(IF(Retenciones_mes6[[#This Row],[CUIT]]="","-",VLOOKUP(Retenciones_mes6[[#This Row],[CUIT]],Lista_CUIT[#All],2,0)),"CUIT NO CARGADO")</f>
        <v>-</v>
      </c>
      <c r="H2765" s="120"/>
      <c r="I2765" s="120"/>
      <c r="J2765" s="120"/>
      <c r="K2765" s="120"/>
      <c r="L2765" s="120"/>
    </row>
    <row r="2766" spans="2:13">
      <c r="C2766" s="117"/>
      <c r="D2766" s="118"/>
      <c r="E2766" s="118"/>
      <c r="F2766" s="119"/>
      <c r="G2766" s="53" t="str">
        <f>IFERROR(IF(Retenciones_mes6[[#This Row],[CUIT]]="","-",VLOOKUP(Retenciones_mes6[[#This Row],[CUIT]],Lista_CUIT[#All],2,0)),"CUIT NO CARGADO")</f>
        <v>-</v>
      </c>
      <c r="H2766" s="120"/>
      <c r="I2766" s="120"/>
      <c r="J2766" s="120"/>
      <c r="K2766" s="120"/>
      <c r="L2766" s="120"/>
    </row>
    <row r="2767" spans="2:13">
      <c r="D2767" s="118"/>
      <c r="E2767" s="118"/>
      <c r="G2767" s="53" t="str">
        <f>IFERROR(IF(Retenciones_mes6[[#This Row],[CUIT]]="","-",VLOOKUP(Retenciones_mes6[[#This Row],[CUIT]],Lista_CUIT[#All],2,0)),"CUIT NO CARGADO")</f>
        <v>-</v>
      </c>
    </row>
    <row r="2768" spans="2:13">
      <c r="C2768" s="33"/>
    </row>
  </sheetData>
  <mergeCells count="21">
    <mergeCell ref="C2761:G2761"/>
    <mergeCell ref="B4:E4"/>
    <mergeCell ref="G4:H4"/>
    <mergeCell ref="J4:K4"/>
    <mergeCell ref="M4:N4"/>
    <mergeCell ref="D182:K182"/>
    <mergeCell ref="B218:J218"/>
    <mergeCell ref="K218:M218"/>
    <mergeCell ref="B220:C220"/>
    <mergeCell ref="B372:C372"/>
    <mergeCell ref="B382:C382"/>
    <mergeCell ref="P4:R4"/>
    <mergeCell ref="D170:L170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9">
    <dataValidation type="whole" allowBlank="1" showInputMessage="1" showErrorMessage="1" sqref="D374:D379 D9:D167 D222:D368 D384:D2759 E184:E211">
      <formula1>1</formula1>
      <formula2>9999</formula2>
    </dataValidation>
    <dataValidation type="whole" allowBlank="1" showInputMessage="1" showErrorMessage="1" sqref="E374:E379 E9:E167 E222:E368 E384:E2759 F184:F211">
      <formula1>1</formula1>
      <formula2>99999999</formula2>
    </dataValidation>
    <dataValidation type="whole" allowBlank="1" showInputMessage="1" showErrorMessage="1" sqref="F374:F379 F9:F167 F222:F368 F384:F2759 G184:G211">
      <formula1>20000000000</formula1>
      <formula2>33999999999</formula2>
    </dataValidation>
    <dataValidation type="date" allowBlank="1" showInputMessage="1" showErrorMessage="1" sqref="B169 B374:B379 B9:B167 D172:D179 B222:B368 B384:B2759 D184:D211">
      <formula1>40179</formula1>
      <formula2>TODAY()</formula2>
    </dataValidation>
    <dataValidation type="whole" allowBlank="1" showInputMessage="1" showErrorMessage="1" sqref="C169 C9:C167 C222:C368">
      <formula1>1</formula1>
      <formula2>3</formula2>
    </dataValidation>
    <dataValidation type="custom" allowBlank="1" showInputMessage="1" showErrorMessage="1" sqref="H222:K222 H366:K366 H224:K364">
      <formula1>IF($C222=3,H222&lt;0,H222&gt;=0)</formula1>
    </dataValidation>
    <dataValidation type="whole" allowBlank="1" showInputMessage="1" showErrorMessage="1" sqref="C374:C379 C384:C2759">
      <formula1>6</formula1>
      <formula2>8</formula2>
    </dataValidation>
    <dataValidation type="custom" allowBlank="1" showInputMessage="1" showErrorMessage="1" sqref="L365:L366">
      <formula1>IF($C168=3,L168&lt;0,L168&gt;=0)</formula1>
    </dataValidation>
    <dataValidation type="custom" allowBlank="1" showInputMessage="1" showErrorMessage="1" sqref="H374:L379 H384:L2759">
      <formula1>IF($C374=8,H374&lt;0,H374&gt;=0)</formula1>
    </dataValidation>
    <dataValidation type="custom" allowBlank="1" showInputMessage="1" showErrorMessage="1" sqref="L222:L223">
      <formula1>IF($C8=3,L8&lt;0,L8&gt;=0)</formula1>
    </dataValidation>
    <dataValidation type="custom" allowBlank="1" showInputMessage="1" showErrorMessage="1" sqref="L358:L364">
      <formula1>IF($C163=3,L163&lt;0,L163&gt;=0)</formula1>
    </dataValidation>
    <dataValidation type="custom" allowBlank="1" showInputMessage="1" showErrorMessage="1" sqref="L339:L357">
      <formula1>IF($C163=3,L163&lt;0,L163&gt;=0)</formula1>
    </dataValidation>
    <dataValidation type="custom" allowBlank="1" showInputMessage="1" showErrorMessage="1" sqref="L320:L338">
      <formula1>IF($C163=3,L163&lt;0,L163&gt;=0)</formula1>
    </dataValidation>
    <dataValidation type="custom" allowBlank="1" showInputMessage="1" showErrorMessage="1" sqref="L301:L319">
      <formula1>IF($C163=3,L163&lt;0,L163&gt;=0)</formula1>
    </dataValidation>
    <dataValidation type="custom" allowBlank="1" showInputMessage="1" showErrorMessage="1" sqref="L282:L300">
      <formula1>IF($C163=3,L163&lt;0,L163&gt;=0)</formula1>
    </dataValidation>
    <dataValidation type="custom" allowBlank="1" showInputMessage="1" showErrorMessage="1" sqref="L263:L281">
      <formula1>IF($C163=3,L163&lt;0,L163&gt;=0)</formula1>
    </dataValidation>
    <dataValidation type="custom" allowBlank="1" showInputMessage="1" showErrorMessage="1" sqref="L224:L243">
      <formula1>IF($C162=3,L162&lt;0,L162&gt;=0)</formula1>
    </dataValidation>
    <dataValidation type="custom" allowBlank="1" showInputMessage="1" showErrorMessage="1" sqref="L244:L262">
      <formula1>IF($C163=3,L163&lt;0,L163&gt;=0)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7">
      <formula1>IF($C9=3,H9&lt;0,H9&gt;=0)</formula1>
    </dataValidation>
  </dataValidations>
  <pageMargins left="0.7" right="0.7" top="0.75" bottom="0.75" header="0.3" footer="0.3"/>
  <pageSetup paperSize="9" scale="47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XEW342"/>
  <sheetViews>
    <sheetView showGridLines="0" topLeftCell="C155" zoomScale="85" zoomScaleNormal="85" workbookViewId="0">
      <selection activeCell="K189" sqref="K189"/>
    </sheetView>
  </sheetViews>
  <sheetFormatPr baseColWidth="10" defaultColWidth="0" defaultRowHeight="15"/>
  <cols>
    <col min="1" max="1" width="1.7109375" customWidth="1"/>
    <col min="2" max="2" width="13.140625" customWidth="1"/>
    <col min="3" max="3" width="9.5703125" customWidth="1"/>
    <col min="4" max="4" width="13.28515625" customWidth="1"/>
    <col min="5" max="5" width="17.285156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22.85546875" customWidth="1"/>
    <col min="11" max="11" width="15.5703125" customWidth="1"/>
    <col min="12" max="12" width="13.140625" customWidth="1"/>
    <col min="13" max="13" width="13.85546875" customWidth="1"/>
    <col min="14" max="14" width="14.42578125" customWidth="1"/>
    <col min="15" max="15" width="12.42578125" customWidth="1"/>
    <col min="16" max="16" width="19" customWidth="1"/>
    <col min="17" max="17" width="22.85546875" style="433" customWidth="1"/>
    <col min="18" max="18" width="14.28515625" customWidth="1"/>
    <col min="19" max="19" width="26.7109375" customWidth="1"/>
    <col min="20" max="20" width="16.2851562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7" width="11.5703125" hidden="1"/>
    <col min="16378" max="16378" width="14.5703125" customWidth="1"/>
    <col min="16379" max="16379" width="11.85546875" customWidth="1"/>
    <col min="16380" max="16380" width="14" customWidth="1"/>
    <col min="16381" max="16381" width="16.28515625" customWidth="1"/>
    <col min="16382" max="16382" width="14" customWidth="1"/>
    <col min="16383" max="16383" width="39.5703125" customWidth="1"/>
    <col min="16384" max="16384" width="1.5703125" customWidth="1"/>
  </cols>
  <sheetData>
    <row r="1" spans="2:26" ht="34.9" customHeight="1">
      <c r="B1" s="714" t="s">
        <v>28</v>
      </c>
      <c r="C1" s="714"/>
      <c r="D1" s="714"/>
      <c r="E1" s="714"/>
      <c r="F1" s="714"/>
      <c r="G1" s="715" t="str">
        <f>'Ene-24'!G1:M1</f>
        <v>EUROARGENTINA</v>
      </c>
      <c r="H1" s="715"/>
      <c r="I1" s="715"/>
      <c r="J1" s="715"/>
      <c r="K1" s="715"/>
      <c r="L1" s="715"/>
      <c r="M1" s="715"/>
      <c r="N1" s="711">
        <f>EDATE('Ene-24'!N1,6)</f>
        <v>45108</v>
      </c>
      <c r="O1" s="711"/>
      <c r="P1" s="711"/>
      <c r="Q1" s="711"/>
      <c r="R1" s="711"/>
    </row>
    <row r="2" spans="2:26" ht="15" customHeight="1"/>
    <row r="3" spans="2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2:26" ht="25.15" customHeight="1">
      <c r="B4" s="718">
        <f>SUM(compras_mes78288[[#Totals],[NETO GRAVADO]])+extracto_banco_mes78691[[#Totals],[NETO]]</f>
        <v>65874796.899999991</v>
      </c>
      <c r="C4" s="718"/>
      <c r="D4" s="718"/>
      <c r="E4" s="718"/>
      <c r="F4" s="39"/>
      <c r="G4" s="719">
        <f>compras_mes78288[[#Totals],[IVA 21 %]]+compras_mes78288[[#Totals],[IVA 27%]]+compras_mes78288[[#Totals],[IVA 10,5%]]+extracto_banco_mes78691[[#Totals],[IVA 21%]]+extracto_banco_mes78691[[#Totals],[IVA 10,5%]]</f>
        <v>13537633.533599997</v>
      </c>
      <c r="H4" s="719"/>
      <c r="I4" s="39"/>
      <c r="J4" s="725"/>
      <c r="K4" s="725"/>
      <c r="L4" s="39"/>
      <c r="M4" s="725"/>
      <c r="N4" s="725"/>
      <c r="O4" s="39"/>
      <c r="P4" s="721">
        <f>G4-M4</f>
        <v>13537633.533599997</v>
      </c>
      <c r="Q4" s="722"/>
      <c r="R4" s="722"/>
    </row>
    <row r="5" spans="2:26" ht="13.15" customHeight="1"/>
    <row r="6" spans="2:26" ht="10.9" customHeight="1">
      <c r="E6" s="128"/>
    </row>
    <row r="7" spans="2:26" s="2" customFormat="1" ht="21" customHeight="1">
      <c r="B7" s="40"/>
      <c r="C7" s="41"/>
      <c r="D7" s="42"/>
      <c r="E7" s="43"/>
      <c r="F7" s="44"/>
      <c r="G7" s="129"/>
      <c r="H7" s="554"/>
      <c r="I7" s="47"/>
      <c r="J7" s="47"/>
      <c r="K7" s="47"/>
      <c r="L7" s="47"/>
      <c r="M7" s="47"/>
      <c r="N7" s="47"/>
      <c r="O7" s="47"/>
      <c r="P7" s="48"/>
      <c r="Q7" s="45"/>
      <c r="R7" s="49"/>
      <c r="T7"/>
      <c r="U7"/>
      <c r="V7"/>
      <c r="W7"/>
      <c r="X7"/>
      <c r="Y7"/>
      <c r="Z7"/>
    </row>
    <row r="8" spans="2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434" t="s">
        <v>11</v>
      </c>
      <c r="R8" s="84" t="s">
        <v>38</v>
      </c>
    </row>
    <row r="9" spans="2:26" s="128" customFormat="1">
      <c r="B9" s="40"/>
      <c r="C9" s="41"/>
      <c r="D9" s="42"/>
      <c r="E9" s="43"/>
      <c r="F9" s="44"/>
      <c r="G9" s="45" t="str">
        <f>IFERROR(IF(compras_mes78288[[#This Row],[CUIT]]="","-",VLOOKUP(compras_mes78288[[#This Row],[CUIT]],Lista_CUIT[#All],2,0)),"CUIT NO CARGADO")</f>
        <v>-</v>
      </c>
      <c r="H9" s="46"/>
      <c r="I9" s="85" t="str">
        <f>IF(compras_mes78288[[#This Row],[NETO GRAVADO]]="","",compras_mes78288[[#This Row],[NETO GRAVADO]]*0.21)</f>
        <v/>
      </c>
      <c r="J9" s="85"/>
      <c r="K9" s="495"/>
      <c r="L9" s="85"/>
      <c r="M9" s="85"/>
      <c r="N9" s="85"/>
      <c r="O9" s="85"/>
      <c r="P9" s="48">
        <f>SUM(compras_mes78288[[#This Row],[NETO GRAVADO]:[Otros / No Grav.]])</f>
        <v>0</v>
      </c>
      <c r="Q9" s="45" t="str">
        <f>IFERROR(IF(compras_mes78288[[#This Row],[CUIT]]="","-",VLOOKUP(compras_mes78288[[#This Row],[CUIT]],Lista_CUIT[#All],3,0)),"CUIT NO CARGADO")</f>
        <v>-</v>
      </c>
      <c r="R9" s="49" t="str">
        <f>IFERROR(IF(compras_mes78288[[#This Row],[CUIT]]="","-",VLOOKUP(compras_mes78288[[#This Row],[CUIT]],Lista_CUIT[#All],4,0)),"CUIT NO CARGADO")</f>
        <v>-</v>
      </c>
    </row>
    <row r="10" spans="2:26" s="128" customFormat="1">
      <c r="B10" s="544" t="s">
        <v>2328</v>
      </c>
      <c r="C10" s="545">
        <v>1</v>
      </c>
      <c r="D10" s="546">
        <v>1</v>
      </c>
      <c r="E10" s="547">
        <v>124</v>
      </c>
      <c r="F10" s="548">
        <v>30716010313</v>
      </c>
      <c r="G10" s="549" t="str">
        <f>IFERROR(IF(compras_mes78288[[#This Row],[CUIT]]="","-",VLOOKUP(compras_mes78288[[#This Row],[CUIT]],Lista_CUIT[#All],2,0)),"CUIT NO CARGADO")</f>
        <v>H UNO 1469 S.A.</v>
      </c>
      <c r="H10" s="550">
        <v>46000</v>
      </c>
      <c r="I10" s="495">
        <f>IF(compras_mes78288[[#This Row],[NETO GRAVADO]]="","",compras_mes78288[[#This Row],[NETO GRAVADO]]*0.21)</f>
        <v>9660</v>
      </c>
      <c r="J10" s="495"/>
      <c r="K10" s="495"/>
      <c r="L10" s="495"/>
      <c r="M10" s="495"/>
      <c r="N10" s="495"/>
      <c r="O10" s="495"/>
      <c r="P10" s="494">
        <f>SUM(compras_mes78288[[#This Row],[NETO GRAVADO]:[Otros / No Grav.]])</f>
        <v>55660</v>
      </c>
      <c r="Q10" s="549" t="str">
        <f>IFERROR(IF(compras_mes78288[[#This Row],[CUIT]]="","-",VLOOKUP(compras_mes78288[[#This Row],[CUIT]],Lista_CUIT[#All],3,0)),"CUIT NO CARGADO")</f>
        <v>Alquiler</v>
      </c>
      <c r="R10" s="551">
        <f>IFERROR(IF(compras_mes78288[[#This Row],[CUIT]]="","-",VLOOKUP(compras_mes78288[[#This Row],[CUIT]],Lista_CUIT[#All],4,0)),"CUIT NO CARGADO")</f>
        <v>0</v>
      </c>
    </row>
    <row r="11" spans="2:26" s="128" customFormat="1">
      <c r="B11" s="544" t="s">
        <v>2328</v>
      </c>
      <c r="C11" s="545">
        <v>1</v>
      </c>
      <c r="D11" s="546">
        <v>2</v>
      </c>
      <c r="E11" s="547">
        <v>267</v>
      </c>
      <c r="F11" s="548">
        <v>27309896063</v>
      </c>
      <c r="G11" s="549" t="str">
        <f>IFERROR(IF(compras_mes78288[[#This Row],[CUIT]]="","-",VLOOKUP(compras_mes78288[[#This Row],[CUIT]],Lista_CUIT[#All],2,0)),"CUIT NO CARGADO")</f>
        <v>BATTELLINI MARIA SOLEDAD</v>
      </c>
      <c r="H11" s="550">
        <v>550000</v>
      </c>
      <c r="I11" s="495">
        <f>IF(compras_mes78288[[#This Row],[NETO GRAVADO]]="","",compras_mes78288[[#This Row],[NETO GRAVADO]]*0.21)</f>
        <v>115500</v>
      </c>
      <c r="J11" s="495"/>
      <c r="K11" s="495"/>
      <c r="L11" s="495"/>
      <c r="M11" s="495"/>
      <c r="N11" s="495"/>
      <c r="O11" s="495"/>
      <c r="P11" s="494">
        <f>SUM(compras_mes78288[[#This Row],[NETO GRAVADO]:[Otros / No Grav.]])</f>
        <v>665500</v>
      </c>
      <c r="Q11" s="549" t="str">
        <f>IFERROR(IF(compras_mes78288[[#This Row],[CUIT]]="","-",VLOOKUP(compras_mes78288[[#This Row],[CUIT]],Lista_CUIT[#All],3,0)),"CUIT NO CARGADO")</f>
        <v>Alquiler</v>
      </c>
      <c r="R11" s="551">
        <f>IFERROR(IF(compras_mes78288[[#This Row],[CUIT]]="","-",VLOOKUP(compras_mes78288[[#This Row],[CUIT]],Lista_CUIT[#All],4,0)),"CUIT NO CARGADO")</f>
        <v>0</v>
      </c>
    </row>
    <row r="12" spans="2:26" s="128" customFormat="1">
      <c r="B12" s="544" t="s">
        <v>2328</v>
      </c>
      <c r="C12" s="545">
        <v>1</v>
      </c>
      <c r="D12" s="546">
        <v>1</v>
      </c>
      <c r="E12" s="547">
        <v>521</v>
      </c>
      <c r="F12" s="548">
        <v>20131206144</v>
      </c>
      <c r="G12" s="549" t="str">
        <f>IFERROR(IF(compras_mes78288[[#This Row],[CUIT]]="","-",VLOOKUP(compras_mes78288[[#This Row],[CUIT]],Lista_CUIT[#All],2,0)),"CUIT NO CARGADO")</f>
        <v>CHAMORRO MANUEL</v>
      </c>
      <c r="H12" s="550">
        <v>707700</v>
      </c>
      <c r="I12" s="495">
        <f>IF(compras_mes78288[[#This Row],[NETO GRAVADO]]="","",compras_mes78288[[#This Row],[NETO GRAVADO]]*0.21)</f>
        <v>148617</v>
      </c>
      <c r="J12" s="495"/>
      <c r="K12" s="495"/>
      <c r="L12" s="495"/>
      <c r="M12" s="495"/>
      <c r="N12" s="495"/>
      <c r="O12" s="495"/>
      <c r="P12" s="494">
        <f>SUM(compras_mes78288[[#This Row],[NETO GRAVADO]:[Otros / No Grav.]])</f>
        <v>856317</v>
      </c>
      <c r="Q12" s="549" t="str">
        <f>IFERROR(IF(compras_mes78288[[#This Row],[CUIT]]="","-",VLOOKUP(compras_mes78288[[#This Row],[CUIT]],Lista_CUIT[#All],3,0)),"CUIT NO CARGADO")</f>
        <v>Alquiler</v>
      </c>
      <c r="R12" s="551">
        <f>IFERROR(IF(compras_mes78288[[#This Row],[CUIT]]="","-",VLOOKUP(compras_mes78288[[#This Row],[CUIT]],Lista_CUIT[#All],4,0)),"CUIT NO CARGADO")</f>
        <v>0</v>
      </c>
    </row>
    <row r="13" spans="2:26" s="128" customFormat="1">
      <c r="B13" s="569" t="s">
        <v>2332</v>
      </c>
      <c r="C13" s="570">
        <v>81</v>
      </c>
      <c r="D13" s="571">
        <v>23</v>
      </c>
      <c r="E13" s="572">
        <v>30016</v>
      </c>
      <c r="F13" s="573">
        <v>30515800219</v>
      </c>
      <c r="G13" s="172" t="str">
        <f>IFERROR(IF(compras_mes78288[[#This Row],[CUIT]]="","-",VLOOKUP(compras_mes78288[[#This Row],[CUIT]],Lista_CUIT[#All],2,0)),"CUIT NO CARGADO")</f>
        <v>INCAT SRL</v>
      </c>
      <c r="H13" s="574">
        <v>23352.14</v>
      </c>
      <c r="I13" s="575">
        <f>IF(compras_mes78288[[#This Row],[NETO GRAVADO]]="","",compras_mes78288[[#This Row],[NETO GRAVADO]]*0.21)</f>
        <v>4903.9493999999995</v>
      </c>
      <c r="J13" s="575"/>
      <c r="K13" s="575"/>
      <c r="L13" s="575"/>
      <c r="M13" s="575"/>
      <c r="N13" s="575">
        <v>0.01</v>
      </c>
      <c r="O13" s="575">
        <v>9489.69</v>
      </c>
      <c r="P13" s="175">
        <f>SUM(compras_mes78288[[#This Row],[NETO GRAVADO]:[Otros / No Grav.]])</f>
        <v>37745.789399999994</v>
      </c>
      <c r="Q13" s="172" t="str">
        <f>IFERROR(IF(compras_mes78288[[#This Row],[CUIT]]="","-",VLOOKUP(compras_mes78288[[#This Row],[CUIT]],Lista_CUIT[#All],3,0)),"CUIT NO CARGADO")</f>
        <v>Combustible</v>
      </c>
      <c r="R13" s="176" t="str">
        <f>IFERROR(IF(compras_mes78288[[#This Row],[CUIT]]="","-",VLOOKUP(compras_mes78288[[#This Row],[CUIT]],Lista_CUIT[#All],4,0)),"CUIT NO CARGADO")</f>
        <v>CABA</v>
      </c>
    </row>
    <row r="14" spans="2:26" s="128" customFormat="1">
      <c r="B14" s="544" t="s">
        <v>2332</v>
      </c>
      <c r="C14" s="545">
        <v>1</v>
      </c>
      <c r="D14" s="546">
        <v>6852</v>
      </c>
      <c r="E14" s="547">
        <v>25240</v>
      </c>
      <c r="F14" s="548">
        <v>30678774495</v>
      </c>
      <c r="G14" s="549" t="str">
        <f>IFERROR(IF(compras_mes78288[[#This Row],[CUIT]]="","-",VLOOKUP(compras_mes78288[[#This Row],[CUIT]],Lista_CUIT[#All],2,0)),"CUIT NO CARGADO")</f>
        <v>OPER. DE EST. DE SERV. SA</v>
      </c>
      <c r="H14" s="550">
        <v>7182.05</v>
      </c>
      <c r="I14" s="495">
        <f>IF(compras_mes78288[[#This Row],[NETO GRAVADO]]="","",compras_mes78288[[#This Row],[NETO GRAVADO]]*0.21)</f>
        <v>1508.2304999999999</v>
      </c>
      <c r="J14" s="495"/>
      <c r="K14" s="495"/>
      <c r="L14" s="495"/>
      <c r="M14" s="495"/>
      <c r="N14" s="495"/>
      <c r="O14" s="495">
        <v>1312</v>
      </c>
      <c r="P14" s="494">
        <f>SUM(compras_mes78288[[#This Row],[NETO GRAVADO]:[Otros / No Grav.]])</f>
        <v>10002.280500000001</v>
      </c>
      <c r="Q14" s="549" t="str">
        <f>IFERROR(IF(compras_mes78288[[#This Row],[CUIT]]="","-",VLOOKUP(compras_mes78288[[#This Row],[CUIT]],Lista_CUIT[#All],3,0)),"CUIT NO CARGADO")</f>
        <v>Combustible</v>
      </c>
      <c r="R14" s="551">
        <f>IFERROR(IF(compras_mes78288[[#This Row],[CUIT]]="","-",VLOOKUP(compras_mes78288[[#This Row],[CUIT]],Lista_CUIT[#All],4,0)),"CUIT NO CARGADO")</f>
        <v>0</v>
      </c>
    </row>
    <row r="15" spans="2:26" s="128" customFormat="1">
      <c r="B15" s="569" t="s">
        <v>2333</v>
      </c>
      <c r="C15" s="570">
        <v>81</v>
      </c>
      <c r="D15" s="571">
        <v>12</v>
      </c>
      <c r="E15" s="572">
        <v>49382</v>
      </c>
      <c r="F15" s="573">
        <v>30696131003</v>
      </c>
      <c r="G15" s="172" t="str">
        <f>IFERROR(IF(compras_mes78288[[#This Row],[CUIT]]="","-",VLOOKUP(compras_mes78288[[#This Row],[CUIT]],Lista_CUIT[#All],2,0)),"CUIT NO CARGADO")</f>
        <v>Petrolfe S.A.</v>
      </c>
      <c r="H15" s="574">
        <v>142669.81</v>
      </c>
      <c r="I15" s="575">
        <f>IF(compras_mes78288[[#This Row],[NETO GRAVADO]]="","",compras_mes78288[[#This Row],[NETO GRAVADO]]*0.21)</f>
        <v>29960.660099999997</v>
      </c>
      <c r="J15" s="575"/>
      <c r="K15" s="575"/>
      <c r="L15" s="575"/>
      <c r="M15" s="575"/>
      <c r="N15" s="575"/>
      <c r="O15" s="575">
        <v>55055.12</v>
      </c>
      <c r="P15" s="175">
        <f>SUM(compras_mes78288[[#This Row],[NETO GRAVADO]:[Otros / No Grav.]])</f>
        <v>227685.5901</v>
      </c>
      <c r="Q15" s="172" t="str">
        <f>IFERROR(IF(compras_mes78288[[#This Row],[CUIT]]="","-",VLOOKUP(compras_mes78288[[#This Row],[CUIT]],Lista_CUIT[#All],3,0)),"CUIT NO CARGADO")</f>
        <v>Combustible</v>
      </c>
      <c r="R15" s="176">
        <f>IFERROR(IF(compras_mes78288[[#This Row],[CUIT]]="","-",VLOOKUP(compras_mes78288[[#This Row],[CUIT]],Lista_CUIT[#All],4,0)),"CUIT NO CARGADO")</f>
        <v>0</v>
      </c>
    </row>
    <row r="16" spans="2:26" s="128" customFormat="1">
      <c r="B16" s="544" t="s">
        <v>2337</v>
      </c>
      <c r="C16" s="545">
        <v>1</v>
      </c>
      <c r="D16" s="546">
        <v>8468</v>
      </c>
      <c r="E16" s="547">
        <v>27257</v>
      </c>
      <c r="F16" s="548">
        <v>30678774495</v>
      </c>
      <c r="G16" s="549" t="str">
        <f>IFERROR(IF(compras_mes78288[[#This Row],[CUIT]]="","-",VLOOKUP(compras_mes78288[[#This Row],[CUIT]],Lista_CUIT[#All],2,0)),"CUIT NO CARGADO")</f>
        <v>OPER. DE EST. DE SERV. SA</v>
      </c>
      <c r="H16" s="550">
        <v>10701.7</v>
      </c>
      <c r="I16" s="495">
        <f>IF(compras_mes78288[[#This Row],[NETO GRAVADO]]="","",compras_mes78288[[#This Row],[NETO GRAVADO]]*0.21)</f>
        <v>2247.357</v>
      </c>
      <c r="J16" s="495"/>
      <c r="K16" s="495"/>
      <c r="L16" s="495"/>
      <c r="M16" s="495"/>
      <c r="N16" s="495"/>
      <c r="O16" s="495">
        <v>2050.92</v>
      </c>
      <c r="P16" s="494">
        <f>SUM(compras_mes78288[[#This Row],[NETO GRAVADO]:[Otros / No Grav.]])</f>
        <v>14999.977000000001</v>
      </c>
      <c r="Q16" s="549" t="str">
        <f>IFERROR(IF(compras_mes78288[[#This Row],[CUIT]]="","-",VLOOKUP(compras_mes78288[[#This Row],[CUIT]],Lista_CUIT[#All],3,0)),"CUIT NO CARGADO")</f>
        <v>Combustible</v>
      </c>
      <c r="R16" s="551">
        <f>IFERROR(IF(compras_mes78288[[#This Row],[CUIT]]="","-",VLOOKUP(compras_mes78288[[#This Row],[CUIT]],Lista_CUIT[#All],4,0)),"CUIT NO CARGADO")</f>
        <v>0</v>
      </c>
    </row>
    <row r="17" spans="2:18" s="128" customFormat="1">
      <c r="B17" s="569" t="s">
        <v>2338</v>
      </c>
      <c r="C17" s="570">
        <v>81</v>
      </c>
      <c r="D17" s="571">
        <v>21</v>
      </c>
      <c r="E17" s="572">
        <v>43572</v>
      </c>
      <c r="F17" s="573">
        <v>30515800219</v>
      </c>
      <c r="G17" s="172" t="str">
        <f>IFERROR(IF(compras_mes78288[[#This Row],[CUIT]]="","-",VLOOKUP(compras_mes78288[[#This Row],[CUIT]],Lista_CUIT[#All],2,0)),"CUIT NO CARGADO")</f>
        <v>INCAT SRL</v>
      </c>
      <c r="H17" s="574">
        <v>7076.24</v>
      </c>
      <c r="I17" s="575">
        <f>IF(compras_mes78288[[#This Row],[NETO GRAVADO]]="","",compras_mes78288[[#This Row],[NETO GRAVADO]]*0.21)</f>
        <v>1486.0103999999999</v>
      </c>
      <c r="J17" s="575"/>
      <c r="K17" s="575"/>
      <c r="L17" s="575"/>
      <c r="M17" s="575"/>
      <c r="N17" s="575"/>
      <c r="O17" s="575">
        <v>2875.58</v>
      </c>
      <c r="P17" s="175">
        <f>SUM(compras_mes78288[[#This Row],[NETO GRAVADO]:[Otros / No Grav.]])</f>
        <v>11437.830399999999</v>
      </c>
      <c r="Q17" s="172" t="str">
        <f>IFERROR(IF(compras_mes78288[[#This Row],[CUIT]]="","-",VLOOKUP(compras_mes78288[[#This Row],[CUIT]],Lista_CUIT[#All],3,0)),"CUIT NO CARGADO")</f>
        <v>Combustible</v>
      </c>
      <c r="R17" s="176" t="str">
        <f>IFERROR(IF(compras_mes78288[[#This Row],[CUIT]]="","-",VLOOKUP(compras_mes78288[[#This Row],[CUIT]],Lista_CUIT[#All],4,0)),"CUIT NO CARGADO")</f>
        <v>CABA</v>
      </c>
    </row>
    <row r="18" spans="2:18" s="128" customFormat="1">
      <c r="B18" s="569" t="s">
        <v>2340</v>
      </c>
      <c r="C18" s="570">
        <v>81</v>
      </c>
      <c r="D18" s="571">
        <v>12</v>
      </c>
      <c r="E18" s="572">
        <v>49567</v>
      </c>
      <c r="F18" s="573">
        <v>30696131003</v>
      </c>
      <c r="G18" s="172" t="str">
        <f>IFERROR(IF(compras_mes78288[[#This Row],[CUIT]]="","-",VLOOKUP(compras_mes78288[[#This Row],[CUIT]],Lista_CUIT[#All],2,0)),"CUIT NO CARGADO")</f>
        <v>Petrolfe S.A.</v>
      </c>
      <c r="H18" s="574">
        <v>43152.19</v>
      </c>
      <c r="I18" s="575">
        <f>IF(compras_mes78288[[#This Row],[NETO GRAVADO]]="","",compras_mes78288[[#This Row],[NETO GRAVADO]]*0.21)</f>
        <v>9061.9598999999998</v>
      </c>
      <c r="J18" s="575"/>
      <c r="K18" s="575"/>
      <c r="L18" s="575"/>
      <c r="M18" s="575"/>
      <c r="N18" s="575"/>
      <c r="O18" s="575">
        <v>17535.82</v>
      </c>
      <c r="P18" s="175">
        <f>SUM(compras_mes78288[[#This Row],[NETO GRAVADO]:[Otros / No Grav.]])</f>
        <v>69749.969899999996</v>
      </c>
      <c r="Q18" s="172" t="str">
        <f>IFERROR(IF(compras_mes78288[[#This Row],[CUIT]]="","-",VLOOKUP(compras_mes78288[[#This Row],[CUIT]],Lista_CUIT[#All],3,0)),"CUIT NO CARGADO")</f>
        <v>Combustible</v>
      </c>
      <c r="R18" s="176">
        <f>IFERROR(IF(compras_mes78288[[#This Row],[CUIT]]="","-",VLOOKUP(compras_mes78288[[#This Row],[CUIT]],Lista_CUIT[#All],4,0)),"CUIT NO CARGADO")</f>
        <v>0</v>
      </c>
    </row>
    <row r="19" spans="2:18" s="128" customFormat="1">
      <c r="B19" s="544" t="s">
        <v>2341</v>
      </c>
      <c r="C19" s="545">
        <v>1</v>
      </c>
      <c r="D19" s="546">
        <v>6850</v>
      </c>
      <c r="E19" s="547">
        <v>22084</v>
      </c>
      <c r="F19" s="548">
        <v>30678774495</v>
      </c>
      <c r="G19" s="549" t="str">
        <f>IFERROR(IF(compras_mes78288[[#This Row],[CUIT]]="","-",VLOOKUP(compras_mes78288[[#This Row],[CUIT]],Lista_CUIT[#All],2,0)),"CUIT NO CARGADO")</f>
        <v>OPER. DE EST. DE SERV. SA</v>
      </c>
      <c r="H19" s="550">
        <v>47780.17</v>
      </c>
      <c r="I19" s="495">
        <f>IF(compras_mes78288[[#This Row],[NETO GRAVADO]]="","",compras_mes78288[[#This Row],[NETO GRAVADO]]*0.21)</f>
        <v>10033.8357</v>
      </c>
      <c r="J19" s="495"/>
      <c r="K19" s="495"/>
      <c r="L19" s="495"/>
      <c r="M19" s="495"/>
      <c r="N19" s="495"/>
      <c r="O19" s="495">
        <v>8733.0499999999993</v>
      </c>
      <c r="P19" s="494">
        <f>SUM(compras_mes78288[[#This Row],[NETO GRAVADO]:[Otros / No Grav.]])</f>
        <v>66547.055699999997</v>
      </c>
      <c r="Q19" s="549" t="str">
        <f>IFERROR(IF(compras_mes78288[[#This Row],[CUIT]]="","-",VLOOKUP(compras_mes78288[[#This Row],[CUIT]],Lista_CUIT[#All],3,0)),"CUIT NO CARGADO")</f>
        <v>Combustible</v>
      </c>
      <c r="R19" s="551">
        <f>IFERROR(IF(compras_mes78288[[#This Row],[CUIT]]="","-",VLOOKUP(compras_mes78288[[#This Row],[CUIT]],Lista_CUIT[#All],4,0)),"CUIT NO CARGADO")</f>
        <v>0</v>
      </c>
    </row>
    <row r="20" spans="2:18" s="128" customFormat="1">
      <c r="B20" s="569" t="s">
        <v>2343</v>
      </c>
      <c r="C20" s="570">
        <v>81</v>
      </c>
      <c r="D20" s="571">
        <v>21</v>
      </c>
      <c r="E20" s="572">
        <v>43866</v>
      </c>
      <c r="F20" s="573">
        <v>30515800219</v>
      </c>
      <c r="G20" s="172" t="str">
        <f>IFERROR(IF(compras_mes78288[[#This Row],[CUIT]]="","-",VLOOKUP(compras_mes78288[[#This Row],[CUIT]],Lista_CUIT[#All],2,0)),"CUIT NO CARGADO")</f>
        <v>INCAT SRL</v>
      </c>
      <c r="H20" s="574">
        <v>7076.24</v>
      </c>
      <c r="I20" s="575">
        <f>IF(compras_mes78288[[#This Row],[NETO GRAVADO]]="","",compras_mes78288[[#This Row],[NETO GRAVADO]]*0.21)</f>
        <v>1486.0103999999999</v>
      </c>
      <c r="J20" s="575"/>
      <c r="K20" s="575"/>
      <c r="L20" s="575"/>
      <c r="M20" s="575"/>
      <c r="N20" s="575"/>
      <c r="O20" s="575">
        <v>2875.58</v>
      </c>
      <c r="P20" s="175">
        <f>SUM(compras_mes78288[[#This Row],[NETO GRAVADO]:[Otros / No Grav.]])</f>
        <v>11437.830399999999</v>
      </c>
      <c r="Q20" s="172" t="str">
        <f>IFERROR(IF(compras_mes78288[[#This Row],[CUIT]]="","-",VLOOKUP(compras_mes78288[[#This Row],[CUIT]],Lista_CUIT[#All],3,0)),"CUIT NO CARGADO")</f>
        <v>Combustible</v>
      </c>
      <c r="R20" s="176" t="str">
        <f>IFERROR(IF(compras_mes78288[[#This Row],[CUIT]]="","-",VLOOKUP(compras_mes78288[[#This Row],[CUIT]],Lista_CUIT[#All],4,0)),"CUIT NO CARGADO")</f>
        <v>CABA</v>
      </c>
    </row>
    <row r="21" spans="2:18" s="128" customFormat="1">
      <c r="B21" s="569" t="s">
        <v>2343</v>
      </c>
      <c r="C21" s="570">
        <v>81</v>
      </c>
      <c r="D21" s="571">
        <v>13</v>
      </c>
      <c r="E21" s="572">
        <v>92121</v>
      </c>
      <c r="F21" s="573">
        <v>30707841105</v>
      </c>
      <c r="G21" s="172" t="str">
        <f>IFERROR(IF(compras_mes78288[[#This Row],[CUIT]]="","-",VLOOKUP(compras_mes78288[[#This Row],[CUIT]],Lista_CUIT[#All],2,0)),"CUIT NO CARGADO")</f>
        <v>PETRO ARG SRL</v>
      </c>
      <c r="H21" s="574">
        <v>25666.57</v>
      </c>
      <c r="I21" s="575">
        <f>IF(compras_mes78288[[#This Row],[NETO GRAVADO]]="","",compras_mes78288[[#This Row],[NETO GRAVADO]]*0.21)</f>
        <v>5389.9796999999999</v>
      </c>
      <c r="J21" s="575"/>
      <c r="K21" s="575"/>
      <c r="L21" s="575"/>
      <c r="M21" s="575"/>
      <c r="N21" s="575"/>
      <c r="O21" s="575">
        <v>7883</v>
      </c>
      <c r="P21" s="175">
        <f>SUM(compras_mes78288[[#This Row],[NETO GRAVADO]:[Otros / No Grav.]])</f>
        <v>38939.549700000003</v>
      </c>
      <c r="Q21" s="172" t="str">
        <f>IFERROR(IF(compras_mes78288[[#This Row],[CUIT]]="","-",VLOOKUP(compras_mes78288[[#This Row],[CUIT]],Lista_CUIT[#All],3,0)),"CUIT NO CARGADO")</f>
        <v>Combustible</v>
      </c>
      <c r="R21" s="176">
        <f>IFERROR(IF(compras_mes78288[[#This Row],[CUIT]]="","-",VLOOKUP(compras_mes78288[[#This Row],[CUIT]],Lista_CUIT[#All],4,0)),"CUIT NO CARGADO")</f>
        <v>0</v>
      </c>
    </row>
    <row r="22" spans="2:18" s="128" customFormat="1">
      <c r="B22" s="569" t="s">
        <v>2344</v>
      </c>
      <c r="C22" s="570">
        <v>81</v>
      </c>
      <c r="D22" s="571">
        <v>9</v>
      </c>
      <c r="E22" s="572">
        <v>70355</v>
      </c>
      <c r="F22" s="573">
        <v>30696131003</v>
      </c>
      <c r="G22" s="172" t="str">
        <f>IFERROR(IF(compras_mes78288[[#This Row],[CUIT]]="","-",VLOOKUP(compras_mes78288[[#This Row],[CUIT]],Lista_CUIT[#All],2,0)),"CUIT NO CARGADO")</f>
        <v>Petrolfe S.A.</v>
      </c>
      <c r="H22" s="574">
        <v>28304.86</v>
      </c>
      <c r="I22" s="575">
        <f>IF(compras_mes78288[[#This Row],[NETO GRAVADO]]="","",compras_mes78288[[#This Row],[NETO GRAVADO]]*0.21)</f>
        <v>5944.0205999999998</v>
      </c>
      <c r="J22" s="575"/>
      <c r="K22" s="575"/>
      <c r="L22" s="575"/>
      <c r="M22" s="575"/>
      <c r="N22" s="575"/>
      <c r="O22" s="575">
        <v>11502.3</v>
      </c>
      <c r="P22" s="175">
        <f>SUM(compras_mes78288[[#This Row],[NETO GRAVADO]:[Otros / No Grav.]])</f>
        <v>45751.180600000007</v>
      </c>
      <c r="Q22" s="172" t="str">
        <f>IFERROR(IF(compras_mes78288[[#This Row],[CUIT]]="","-",VLOOKUP(compras_mes78288[[#This Row],[CUIT]],Lista_CUIT[#All],3,0)),"CUIT NO CARGADO")</f>
        <v>Combustible</v>
      </c>
      <c r="R22" s="176">
        <f>IFERROR(IF(compras_mes78288[[#This Row],[CUIT]]="","-",VLOOKUP(compras_mes78288[[#This Row],[CUIT]],Lista_CUIT[#All],4,0)),"CUIT NO CARGADO")</f>
        <v>0</v>
      </c>
    </row>
    <row r="23" spans="2:18" s="128" customFormat="1">
      <c r="B23" s="569" t="s">
        <v>2344</v>
      </c>
      <c r="C23" s="570">
        <v>81</v>
      </c>
      <c r="D23" s="571">
        <v>11</v>
      </c>
      <c r="E23" s="572">
        <v>34683</v>
      </c>
      <c r="F23" s="573">
        <v>30696131003</v>
      </c>
      <c r="G23" s="172" t="str">
        <f>IFERROR(IF(compras_mes78288[[#This Row],[CUIT]]="","-",VLOOKUP(compras_mes78288[[#This Row],[CUIT]],Lista_CUIT[#All],2,0)),"CUIT NO CARGADO")</f>
        <v>Petrolfe S.A.</v>
      </c>
      <c r="H23" s="574">
        <v>28304.86</v>
      </c>
      <c r="I23" s="575">
        <f>IF(compras_mes78288[[#This Row],[NETO GRAVADO]]="","",compras_mes78288[[#This Row],[NETO GRAVADO]]*0.21)</f>
        <v>5944.0205999999998</v>
      </c>
      <c r="J23" s="575"/>
      <c r="K23" s="575"/>
      <c r="L23" s="575"/>
      <c r="M23" s="575"/>
      <c r="N23" s="575"/>
      <c r="O23" s="575">
        <v>11502.3</v>
      </c>
      <c r="P23" s="175">
        <f>SUM(compras_mes78288[[#This Row],[NETO GRAVADO]:[Otros / No Grav.]])</f>
        <v>45751.180600000007</v>
      </c>
      <c r="Q23" s="172" t="str">
        <f>IFERROR(IF(compras_mes78288[[#This Row],[CUIT]]="","-",VLOOKUP(compras_mes78288[[#This Row],[CUIT]],Lista_CUIT[#All],3,0)),"CUIT NO CARGADO")</f>
        <v>Combustible</v>
      </c>
      <c r="R23" s="176">
        <f>IFERROR(IF(compras_mes78288[[#This Row],[CUIT]]="","-",VLOOKUP(compras_mes78288[[#This Row],[CUIT]],Lista_CUIT[#All],4,0)),"CUIT NO CARGADO")</f>
        <v>0</v>
      </c>
    </row>
    <row r="24" spans="2:18" s="128" customFormat="1">
      <c r="B24" s="569" t="s">
        <v>2347</v>
      </c>
      <c r="C24" s="570">
        <v>81</v>
      </c>
      <c r="D24" s="571">
        <v>12</v>
      </c>
      <c r="E24" s="572">
        <v>49741</v>
      </c>
      <c r="F24" s="573">
        <v>30696131003</v>
      </c>
      <c r="G24" s="172" t="str">
        <f>IFERROR(IF(compras_mes78288[[#This Row],[CUIT]]="","-",VLOOKUP(compras_mes78288[[#This Row],[CUIT]],Lista_CUIT[#All],2,0)),"CUIT NO CARGADO")</f>
        <v>Petrolfe S.A.</v>
      </c>
      <c r="H24" s="574">
        <v>152921.81</v>
      </c>
      <c r="I24" s="575">
        <f>IF(compras_mes78288[[#This Row],[NETO GRAVADO]]="","",compras_mes78288[[#This Row],[NETO GRAVADO]]*0.21)</f>
        <v>32113.580099999999</v>
      </c>
      <c r="J24" s="575"/>
      <c r="K24" s="575"/>
      <c r="L24" s="575"/>
      <c r="M24" s="575"/>
      <c r="N24" s="575"/>
      <c r="O24" s="575">
        <v>62143.08</v>
      </c>
      <c r="P24" s="175">
        <f>SUM(compras_mes78288[[#This Row],[NETO GRAVADO]:[Otros / No Grav.]])</f>
        <v>247178.47009999998</v>
      </c>
      <c r="Q24" s="172" t="str">
        <f>IFERROR(IF(compras_mes78288[[#This Row],[CUIT]]="","-",VLOOKUP(compras_mes78288[[#This Row],[CUIT]],Lista_CUIT[#All],3,0)),"CUIT NO CARGADO")</f>
        <v>Combustible</v>
      </c>
      <c r="R24" s="176">
        <f>IFERROR(IF(compras_mes78288[[#This Row],[CUIT]]="","-",VLOOKUP(compras_mes78288[[#This Row],[CUIT]],Lista_CUIT[#All],4,0)),"CUIT NO CARGADO")</f>
        <v>0</v>
      </c>
    </row>
    <row r="25" spans="2:18" s="128" customFormat="1">
      <c r="B25" s="544" t="s">
        <v>2350</v>
      </c>
      <c r="C25" s="545">
        <v>1</v>
      </c>
      <c r="D25" s="546">
        <v>2004</v>
      </c>
      <c r="E25" s="547">
        <v>138711</v>
      </c>
      <c r="F25" s="548">
        <v>30516186670</v>
      </c>
      <c r="G25" s="129" t="str">
        <f>IFERROR(IF(compras_mes78288[[#This Row],[CUIT]]="","-",VLOOKUP(compras_mes78288[[#This Row],[CUIT]],Lista_CUIT[#All],2,0)),"CUIT NO CARGADO")</f>
        <v>DEHEZA S.A.I.C.F. e I.</v>
      </c>
      <c r="H25" s="550">
        <v>7145.19</v>
      </c>
      <c r="I25" s="495">
        <f>IF(compras_mes78288[[#This Row],[NETO GRAVADO]]="","",compras_mes78288[[#This Row],[NETO GRAVADO]]*0.21)</f>
        <v>1500.4898999999998</v>
      </c>
      <c r="J25" s="495"/>
      <c r="K25" s="495"/>
      <c r="L25" s="495">
        <v>214.36</v>
      </c>
      <c r="M25" s="495"/>
      <c r="N25" s="495">
        <v>509.97</v>
      </c>
      <c r="O25" s="495">
        <v>1354.31</v>
      </c>
      <c r="P25" s="456">
        <f>SUM(compras_mes78288[[#This Row],[NETO GRAVADO]:[Otros / No Grav.]])</f>
        <v>10724.319899999999</v>
      </c>
      <c r="Q25" s="129" t="str">
        <f>IFERROR(IF(compras_mes78288[[#This Row],[CUIT]]="","-",VLOOKUP(compras_mes78288[[#This Row],[CUIT]],Lista_CUIT[#All],3,0)),"CUIT NO CARGADO")</f>
        <v>Combustible</v>
      </c>
      <c r="R25" s="553" t="str">
        <f>IFERROR(IF(compras_mes78288[[#This Row],[CUIT]]="","-",VLOOKUP(compras_mes78288[[#This Row],[CUIT]],Lista_CUIT[#All],4,0)),"CUIT NO CARGADO")</f>
        <v>CABA</v>
      </c>
    </row>
    <row r="26" spans="2:18" s="128" customFormat="1">
      <c r="B26" s="569" t="s">
        <v>2354</v>
      </c>
      <c r="C26" s="570">
        <v>81</v>
      </c>
      <c r="D26" s="571">
        <v>12</v>
      </c>
      <c r="E26" s="572">
        <v>49842</v>
      </c>
      <c r="F26" s="573">
        <v>30696131003</v>
      </c>
      <c r="G26" s="172" t="str">
        <f>IFERROR(IF(compras_mes78288[[#This Row],[CUIT]]="","-",VLOOKUP(compras_mes78288[[#This Row],[CUIT]],Lista_CUIT[#All],2,0)),"CUIT NO CARGADO")</f>
        <v>Petrolfe S.A.</v>
      </c>
      <c r="H26" s="574">
        <v>173383.81</v>
      </c>
      <c r="I26" s="575">
        <f>IF(compras_mes78288[[#This Row],[NETO GRAVADO]]="","",compras_mes78288[[#This Row],[NETO GRAVADO]]*0.21)</f>
        <v>36410.600099999996</v>
      </c>
      <c r="J26" s="575"/>
      <c r="K26" s="575"/>
      <c r="L26" s="575"/>
      <c r="M26" s="575"/>
      <c r="N26" s="575"/>
      <c r="O26" s="575">
        <v>70279.28</v>
      </c>
      <c r="P26" s="175">
        <f>SUM(compras_mes78288[[#This Row],[NETO GRAVADO]:[Otros / No Grav.]])</f>
        <v>280073.69010000001</v>
      </c>
      <c r="Q26" s="172" t="str">
        <f>IFERROR(IF(compras_mes78288[[#This Row],[CUIT]]="","-",VLOOKUP(compras_mes78288[[#This Row],[CUIT]],Lista_CUIT[#All],3,0)),"CUIT NO CARGADO")</f>
        <v>Combustible</v>
      </c>
      <c r="R26" s="176">
        <f>IFERROR(IF(compras_mes78288[[#This Row],[CUIT]]="","-",VLOOKUP(compras_mes78288[[#This Row],[CUIT]],Lista_CUIT[#All],4,0)),"CUIT NO CARGADO")</f>
        <v>0</v>
      </c>
    </row>
    <row r="27" spans="2:18" s="128" customFormat="1">
      <c r="B27" s="544" t="s">
        <v>2355</v>
      </c>
      <c r="C27" s="545">
        <v>1</v>
      </c>
      <c r="D27" s="546">
        <v>6850</v>
      </c>
      <c r="E27" s="547">
        <v>22262</v>
      </c>
      <c r="F27" s="548">
        <v>30678774495</v>
      </c>
      <c r="G27" s="549" t="str">
        <f>IFERROR(IF(compras_mes78288[[#This Row],[CUIT]]="","-",VLOOKUP(compras_mes78288[[#This Row],[CUIT]],Lista_CUIT[#All],2,0)),"CUIT NO CARGADO")</f>
        <v>OPER. DE EST. DE SERV. SA</v>
      </c>
      <c r="H27" s="550">
        <v>10769.89</v>
      </c>
      <c r="I27" s="495">
        <f>IF(compras_mes78288[[#This Row],[NETO GRAVADO]]="","",compras_mes78288[[#This Row],[NETO GRAVADO]]*0.21)</f>
        <v>2261.6768999999999</v>
      </c>
      <c r="J27" s="495"/>
      <c r="K27" s="495"/>
      <c r="L27" s="495"/>
      <c r="M27" s="495"/>
      <c r="N27" s="495"/>
      <c r="O27" s="495">
        <v>1968.47</v>
      </c>
      <c r="P27" s="494">
        <f>SUM(compras_mes78288[[#This Row],[NETO GRAVADO]:[Otros / No Grav.]])</f>
        <v>15000.036899999999</v>
      </c>
      <c r="Q27" s="549" t="str">
        <f>IFERROR(IF(compras_mes78288[[#This Row],[CUIT]]="","-",VLOOKUP(compras_mes78288[[#This Row],[CUIT]],Lista_CUIT[#All],3,0)),"CUIT NO CARGADO")</f>
        <v>Combustible</v>
      </c>
      <c r="R27" s="551">
        <f>IFERROR(IF(compras_mes78288[[#This Row],[CUIT]]="","-",VLOOKUP(compras_mes78288[[#This Row],[CUIT]],Lista_CUIT[#All],4,0)),"CUIT NO CARGADO")</f>
        <v>0</v>
      </c>
    </row>
    <row r="28" spans="2:18" s="128" customFormat="1">
      <c r="B28" s="569" t="s">
        <v>2356</v>
      </c>
      <c r="C28" s="570">
        <v>81</v>
      </c>
      <c r="D28" s="571">
        <v>23</v>
      </c>
      <c r="E28" s="572">
        <v>30861</v>
      </c>
      <c r="F28" s="573">
        <v>30515800219</v>
      </c>
      <c r="G28" s="172" t="str">
        <f>IFERROR(IF(compras_mes78288[[#This Row],[CUIT]]="","-",VLOOKUP(compras_mes78288[[#This Row],[CUIT]],Lista_CUIT[#All],2,0)),"CUIT NO CARGADO")</f>
        <v>INCAT SRL</v>
      </c>
      <c r="H28" s="574">
        <v>24736.95</v>
      </c>
      <c r="I28" s="575">
        <f>IF(compras_mes78288[[#This Row],[NETO GRAVADO]]="","",compras_mes78288[[#This Row],[NETO GRAVADO]]*0.21)</f>
        <v>5194.7595000000001</v>
      </c>
      <c r="J28" s="575"/>
      <c r="K28" s="575"/>
      <c r="L28" s="575"/>
      <c r="M28" s="575"/>
      <c r="N28" s="575"/>
      <c r="O28" s="575">
        <v>10052.44</v>
      </c>
      <c r="P28" s="175">
        <f>SUM(compras_mes78288[[#This Row],[NETO GRAVADO]:[Otros / No Grav.]])</f>
        <v>39984.1495</v>
      </c>
      <c r="Q28" s="172" t="str">
        <f>IFERROR(IF(compras_mes78288[[#This Row],[CUIT]]="","-",VLOOKUP(compras_mes78288[[#This Row],[CUIT]],Lista_CUIT[#All],3,0)),"CUIT NO CARGADO")</f>
        <v>Combustible</v>
      </c>
      <c r="R28" s="176" t="str">
        <f>IFERROR(IF(compras_mes78288[[#This Row],[CUIT]]="","-",VLOOKUP(compras_mes78288[[#This Row],[CUIT]],Lista_CUIT[#All],4,0)),"CUIT NO CARGADO")</f>
        <v>CABA</v>
      </c>
    </row>
    <row r="29" spans="2:18" s="128" customFormat="1">
      <c r="B29" s="544" t="s">
        <v>2357</v>
      </c>
      <c r="C29" s="545">
        <v>1</v>
      </c>
      <c r="D29" s="546">
        <v>6852</v>
      </c>
      <c r="E29" s="547">
        <v>25716</v>
      </c>
      <c r="F29" s="548">
        <v>30678774495</v>
      </c>
      <c r="G29" s="549" t="str">
        <f>IFERROR(IF(compras_mes78288[[#This Row],[CUIT]]="","-",VLOOKUP(compras_mes78288[[#This Row],[CUIT]],Lista_CUIT[#All],2,0)),"CUIT NO CARGADO")</f>
        <v>OPER. DE EST. DE SERV. SA</v>
      </c>
      <c r="H29" s="550">
        <v>7179.9</v>
      </c>
      <c r="I29" s="495">
        <f>IF(compras_mes78288[[#This Row],[NETO GRAVADO]]="","",compras_mes78288[[#This Row],[NETO GRAVADO]]*0.21)</f>
        <v>1507.7789999999998</v>
      </c>
      <c r="J29" s="495"/>
      <c r="K29" s="495"/>
      <c r="L29" s="495"/>
      <c r="M29" s="495"/>
      <c r="N29" s="495"/>
      <c r="O29" s="495">
        <v>1312.31</v>
      </c>
      <c r="P29" s="494">
        <f>SUM(compras_mes78288[[#This Row],[NETO GRAVADO]:[Otros / No Grav.]])</f>
        <v>9999.9889999999996</v>
      </c>
      <c r="Q29" s="549" t="str">
        <f>IFERROR(IF(compras_mes78288[[#This Row],[CUIT]]="","-",VLOOKUP(compras_mes78288[[#This Row],[CUIT]],Lista_CUIT[#All],3,0)),"CUIT NO CARGADO")</f>
        <v>Combustible</v>
      </c>
      <c r="R29" s="551">
        <f>IFERROR(IF(compras_mes78288[[#This Row],[CUIT]]="","-",VLOOKUP(compras_mes78288[[#This Row],[CUIT]],Lista_CUIT[#All],4,0)),"CUIT NO CARGADO")</f>
        <v>0</v>
      </c>
    </row>
    <row r="30" spans="2:18" s="128" customFormat="1">
      <c r="B30" s="544" t="s">
        <v>2328</v>
      </c>
      <c r="C30" s="545">
        <v>1</v>
      </c>
      <c r="D30" s="546">
        <v>16</v>
      </c>
      <c r="E30" s="547">
        <v>117652</v>
      </c>
      <c r="F30" s="548">
        <v>30711050767</v>
      </c>
      <c r="G30" s="549" t="str">
        <f>IFERROR(IF(compras_mes78288[[#This Row],[CUIT]]="","-",VLOOKUP(compras_mes78288[[#This Row],[CUIT]],Lista_CUIT[#All],2,0)),"CUIT NO CARGADO")</f>
        <v>DIAMOND SYSTEM S.A.</v>
      </c>
      <c r="H30" s="550">
        <v>50453.72</v>
      </c>
      <c r="I30" s="495">
        <f>IF(compras_mes78288[[#This Row],[NETO GRAVADO]]="","",compras_mes78288[[#This Row],[NETO GRAVADO]]*0.21)</f>
        <v>10595.281199999999</v>
      </c>
      <c r="J30" s="495"/>
      <c r="K30" s="495"/>
      <c r="L30" s="495"/>
      <c r="M30" s="495"/>
      <c r="N30" s="495"/>
      <c r="O30" s="495"/>
      <c r="P30" s="494">
        <f>SUM(compras_mes78288[[#This Row],[NETO GRAVADO]:[Otros / No Grav.]])</f>
        <v>61049.001199999999</v>
      </c>
      <c r="Q30" s="549" t="s">
        <v>2687</v>
      </c>
      <c r="R30" s="551">
        <f>IFERROR(IF(compras_mes78288[[#This Row],[CUIT]]="","-",VLOOKUP(compras_mes78288[[#This Row],[CUIT]],Lista_CUIT[#All],4,0)),"CUIT NO CARGADO")</f>
        <v>0</v>
      </c>
    </row>
    <row r="31" spans="2:18" s="128" customFormat="1">
      <c r="B31" s="544" t="s">
        <v>2337</v>
      </c>
      <c r="C31" s="545">
        <v>3</v>
      </c>
      <c r="D31" s="546">
        <v>16</v>
      </c>
      <c r="E31" s="547">
        <v>3341</v>
      </c>
      <c r="F31" s="548">
        <v>30711050767</v>
      </c>
      <c r="G31" s="549" t="str">
        <f>IFERROR(IF(compras_mes78288[[#This Row],[CUIT]]="","-",VLOOKUP(compras_mes78288[[#This Row],[CUIT]],Lista_CUIT[#All],2,0)),"CUIT NO CARGADO")</f>
        <v>DIAMOND SYSTEM S.A.</v>
      </c>
      <c r="H31" s="550">
        <v>-50453.72</v>
      </c>
      <c r="I31" s="495">
        <f>IF(compras_mes78288[[#This Row],[NETO GRAVADO]]="","",compras_mes78288[[#This Row],[NETO GRAVADO]]*0.21)</f>
        <v>-10595.281199999999</v>
      </c>
      <c r="J31" s="495"/>
      <c r="K31" s="495"/>
      <c r="L31" s="495"/>
      <c r="M31" s="495"/>
      <c r="N31" s="495"/>
      <c r="O31" s="495"/>
      <c r="P31" s="494">
        <f>SUM(compras_mes78288[[#This Row],[NETO GRAVADO]:[Otros / No Grav.]])</f>
        <v>-61049.001199999999</v>
      </c>
      <c r="Q31" s="549" t="s">
        <v>2687</v>
      </c>
      <c r="R31" s="551">
        <f>IFERROR(IF(compras_mes78288[[#This Row],[CUIT]]="","-",VLOOKUP(compras_mes78288[[#This Row],[CUIT]],Lista_CUIT[#All],4,0)),"CUIT NO CARGADO")</f>
        <v>0</v>
      </c>
    </row>
    <row r="32" spans="2:18" s="128" customFormat="1">
      <c r="B32" s="544" t="s">
        <v>2337</v>
      </c>
      <c r="C32" s="545">
        <v>1</v>
      </c>
      <c r="D32" s="546">
        <v>13</v>
      </c>
      <c r="E32" s="547">
        <v>5992</v>
      </c>
      <c r="F32" s="548">
        <v>30710102046</v>
      </c>
      <c r="G32" s="549" t="str">
        <f>IFERROR(IF(compras_mes78288[[#This Row],[CUIT]]="","-",VLOOKUP(compras_mes78288[[#This Row],[CUIT]],Lista_CUIT[#All],2,0)),"CUIT NO CARGADO")</f>
        <v>A.HARTRODT ARGENTINA S.A</v>
      </c>
      <c r="H32" s="550">
        <v>581157.5</v>
      </c>
      <c r="I32" s="495">
        <f>IF(compras_mes78288[[#This Row],[NETO GRAVADO]]="","",compras_mes78288[[#This Row],[NETO GRAVADO]]*0.21)</f>
        <v>122043.075</v>
      </c>
      <c r="J32" s="495"/>
      <c r="K32" s="495"/>
      <c r="L32" s="495"/>
      <c r="M32" s="495"/>
      <c r="N32" s="495"/>
      <c r="O32" s="495">
        <v>649598.23</v>
      </c>
      <c r="P32" s="494">
        <f>SUM(compras_mes78288[[#This Row],[NETO GRAVADO]:[Otros / No Grav.]])</f>
        <v>1352798.8049999999</v>
      </c>
      <c r="Q32" s="549" t="str">
        <f>IFERROR(IF(compras_mes78288[[#This Row],[CUIT]]="","-",VLOOKUP(compras_mes78288[[#This Row],[CUIT]],Lista_CUIT[#All],3,0)),"CUIT NO CARGADO")</f>
        <v>Gastos Comercializacion</v>
      </c>
      <c r="R32" s="551">
        <f>IFERROR(IF(compras_mes78288[[#This Row],[CUIT]]="","-",VLOOKUP(compras_mes78288[[#This Row],[CUIT]],Lista_CUIT[#All],4,0)),"CUIT NO CARGADO")</f>
        <v>0</v>
      </c>
    </row>
    <row r="33" spans="2:18" s="128" customFormat="1">
      <c r="B33" s="544" t="s">
        <v>2337</v>
      </c>
      <c r="C33" s="545">
        <v>1</v>
      </c>
      <c r="D33" s="546">
        <v>6</v>
      </c>
      <c r="E33" s="547">
        <v>16896501</v>
      </c>
      <c r="F33" s="548">
        <v>30620177497</v>
      </c>
      <c r="G33" s="549" t="str">
        <f>IFERROR(IF(compras_mes78288[[#This Row],[CUIT]]="","-",VLOOKUP(compras_mes78288[[#This Row],[CUIT]],Lista_CUIT[#All],2,0)),"CUIT NO CARGADO")</f>
        <v>POSNET SRL</v>
      </c>
      <c r="H33" s="550">
        <v>24051.46</v>
      </c>
      <c r="I33" s="495">
        <f>IF(compras_mes78288[[#This Row],[NETO GRAVADO]]="","",compras_mes78288[[#This Row],[NETO GRAVADO]]*0.21)</f>
        <v>5050.8065999999999</v>
      </c>
      <c r="J33" s="495"/>
      <c r="K33" s="495"/>
      <c r="L33" s="495"/>
      <c r="M33" s="495"/>
      <c r="N33" s="495">
        <v>2164.63</v>
      </c>
      <c r="O33" s="495"/>
      <c r="P33" s="494">
        <f>SUM(compras_mes78288[[#This Row],[NETO GRAVADO]:[Otros / No Grav.]])</f>
        <v>31266.8966</v>
      </c>
      <c r="Q33" s="549" t="str">
        <f>IFERROR(IF(compras_mes78288[[#This Row],[CUIT]]="","-",VLOOKUP(compras_mes78288[[#This Row],[CUIT]],Lista_CUIT[#All],3,0)),"CUIT NO CARGADO")</f>
        <v>Gastos Comercializacion</v>
      </c>
      <c r="R33" s="551">
        <f>IFERROR(IF(compras_mes78288[[#This Row],[CUIT]]="","-",VLOOKUP(compras_mes78288[[#This Row],[CUIT]],Lista_CUIT[#All],4,0)),"CUIT NO CARGADO")</f>
        <v>0</v>
      </c>
    </row>
    <row r="34" spans="2:18" s="128" customFormat="1">
      <c r="B34" s="544" t="s">
        <v>2337</v>
      </c>
      <c r="C34" s="545">
        <v>1</v>
      </c>
      <c r="D34" s="546">
        <v>6</v>
      </c>
      <c r="E34" s="547">
        <v>16908328</v>
      </c>
      <c r="F34" s="548">
        <v>30620177497</v>
      </c>
      <c r="G34" s="549" t="str">
        <f>IFERROR(IF(compras_mes78288[[#This Row],[CUIT]]="","-",VLOOKUP(compras_mes78288[[#This Row],[CUIT]],Lista_CUIT[#All],2,0)),"CUIT NO CARGADO")</f>
        <v>POSNET SRL</v>
      </c>
      <c r="H34" s="550">
        <v>24051.46</v>
      </c>
      <c r="I34" s="495">
        <f>IF(compras_mes78288[[#This Row],[NETO GRAVADO]]="","",compras_mes78288[[#This Row],[NETO GRAVADO]]*0.21)</f>
        <v>5050.8065999999999</v>
      </c>
      <c r="J34" s="495"/>
      <c r="K34" s="495"/>
      <c r="L34" s="495"/>
      <c r="M34" s="495"/>
      <c r="N34" s="495">
        <v>2164.63</v>
      </c>
      <c r="O34" s="495"/>
      <c r="P34" s="494">
        <f>SUM(compras_mes78288[[#This Row],[NETO GRAVADO]:[Otros / No Grav.]])</f>
        <v>31266.8966</v>
      </c>
      <c r="Q34" s="549" t="str">
        <f>IFERROR(IF(compras_mes78288[[#This Row],[CUIT]]="","-",VLOOKUP(compras_mes78288[[#This Row],[CUIT]],Lista_CUIT[#All],3,0)),"CUIT NO CARGADO")</f>
        <v>Gastos Comercializacion</v>
      </c>
      <c r="R34" s="551">
        <f>IFERROR(IF(compras_mes78288[[#This Row],[CUIT]]="","-",VLOOKUP(compras_mes78288[[#This Row],[CUIT]],Lista_CUIT[#All],4,0)),"CUIT NO CARGADO")</f>
        <v>0</v>
      </c>
    </row>
    <row r="35" spans="2:18" s="128" customFormat="1">
      <c r="B35" s="544" t="s">
        <v>2337</v>
      </c>
      <c r="C35" s="545">
        <v>1</v>
      </c>
      <c r="D35" s="546">
        <v>6</v>
      </c>
      <c r="E35" s="547">
        <v>16917644</v>
      </c>
      <c r="F35" s="548">
        <v>30620177497</v>
      </c>
      <c r="G35" s="129" t="str">
        <f>IFERROR(IF(compras_mes78288[[#This Row],[CUIT]]="","-",VLOOKUP(compras_mes78288[[#This Row],[CUIT]],Lista_CUIT[#All],2,0)),"CUIT NO CARGADO")</f>
        <v>POSNET SRL</v>
      </c>
      <c r="H35" s="550">
        <v>72154.38</v>
      </c>
      <c r="I35" s="495">
        <f>IF(compras_mes78288[[#This Row],[NETO GRAVADO]]="","",compras_mes78288[[#This Row],[NETO GRAVADO]]*0.21)</f>
        <v>15152.4198</v>
      </c>
      <c r="J35" s="495"/>
      <c r="K35" s="495"/>
      <c r="L35" s="495"/>
      <c r="M35" s="495"/>
      <c r="N35" s="495">
        <v>6493.89</v>
      </c>
      <c r="O35" s="495"/>
      <c r="P35" s="456">
        <f>SUM(compras_mes78288[[#This Row],[NETO GRAVADO]:[Otros / No Grav.]])</f>
        <v>93800.689800000007</v>
      </c>
      <c r="Q35" s="129" t="str">
        <f>IFERROR(IF(compras_mes78288[[#This Row],[CUIT]]="","-",VLOOKUP(compras_mes78288[[#This Row],[CUIT]],Lista_CUIT[#All],3,0)),"CUIT NO CARGADO")</f>
        <v>Gastos Comercializacion</v>
      </c>
      <c r="R35" s="553">
        <f>IFERROR(IF(compras_mes78288[[#This Row],[CUIT]]="","-",VLOOKUP(compras_mes78288[[#This Row],[CUIT]],Lista_CUIT[#All],4,0)),"CUIT NO CARGADO")</f>
        <v>0</v>
      </c>
    </row>
    <row r="36" spans="2:18" s="128" customFormat="1">
      <c r="B36" s="544" t="s">
        <v>2337</v>
      </c>
      <c r="C36" s="545">
        <v>1</v>
      </c>
      <c r="D36" s="546">
        <v>6</v>
      </c>
      <c r="E36" s="547">
        <v>16918180</v>
      </c>
      <c r="F36" s="548">
        <v>30620177497</v>
      </c>
      <c r="G36" s="549" t="str">
        <f>IFERROR(IF(compras_mes78288[[#This Row],[CUIT]]="","-",VLOOKUP(compras_mes78288[[#This Row],[CUIT]],Lista_CUIT[#All],2,0)),"CUIT NO CARGADO")</f>
        <v>POSNET SRL</v>
      </c>
      <c r="H36" s="550">
        <v>24051.46</v>
      </c>
      <c r="I36" s="495">
        <f>IF(compras_mes78288[[#This Row],[NETO GRAVADO]]="","",compras_mes78288[[#This Row],[NETO GRAVADO]]*0.21)</f>
        <v>5050.8065999999999</v>
      </c>
      <c r="J36" s="495"/>
      <c r="K36" s="495"/>
      <c r="L36" s="495"/>
      <c r="M36" s="495"/>
      <c r="N36" s="495">
        <v>2164.63</v>
      </c>
      <c r="O36" s="495"/>
      <c r="P36" s="494">
        <f>SUM(compras_mes78288[[#This Row],[NETO GRAVADO]:[Otros / No Grav.]])</f>
        <v>31266.8966</v>
      </c>
      <c r="Q36" s="549" t="str">
        <f>IFERROR(IF(compras_mes78288[[#This Row],[CUIT]]="","-",VLOOKUP(compras_mes78288[[#This Row],[CUIT]],Lista_CUIT[#All],3,0)),"CUIT NO CARGADO")</f>
        <v>Gastos Comercializacion</v>
      </c>
      <c r="R36" s="551">
        <f>IFERROR(IF(compras_mes78288[[#This Row],[CUIT]]="","-",VLOOKUP(compras_mes78288[[#This Row],[CUIT]],Lista_CUIT[#All],4,0)),"CUIT NO CARGADO")</f>
        <v>0</v>
      </c>
    </row>
    <row r="37" spans="2:18" s="128" customFormat="1">
      <c r="B37" s="544" t="s">
        <v>2358</v>
      </c>
      <c r="C37" s="545">
        <v>3</v>
      </c>
      <c r="D37" s="546">
        <v>11</v>
      </c>
      <c r="E37" s="547">
        <v>739004</v>
      </c>
      <c r="F37" s="548">
        <v>33709585229</v>
      </c>
      <c r="G37" s="129" t="str">
        <f>IFERROR(IF(compras_mes78288[[#This Row],[CUIT]]="","-",VLOOKUP(compras_mes78288[[#This Row],[CUIT]],Lista_CUIT[#All],2,0)),"CUIT NO CARGADO")</f>
        <v>GOOGLE ARGENTINA S.R.L.</v>
      </c>
      <c r="H37" s="550">
        <v>-59.35</v>
      </c>
      <c r="I37" s="495">
        <f>IF(compras_mes78288[[#This Row],[NETO GRAVADO]]="","",compras_mes78288[[#This Row],[NETO GRAVADO]]*0.21)</f>
        <v>-12.4635</v>
      </c>
      <c r="J37" s="495"/>
      <c r="K37" s="495"/>
      <c r="L37" s="495"/>
      <c r="M37" s="495"/>
      <c r="N37" s="495"/>
      <c r="O37" s="495">
        <v>-6.66</v>
      </c>
      <c r="P37" s="456">
        <f>SUM(compras_mes78288[[#This Row],[NETO GRAVADO]:[Otros / No Grav.]])</f>
        <v>-78.473500000000001</v>
      </c>
      <c r="Q37" s="129" t="str">
        <f>IFERROR(IF(compras_mes78288[[#This Row],[CUIT]]="","-",VLOOKUP(compras_mes78288[[#This Row],[CUIT]],Lista_CUIT[#All],3,0)),"CUIT NO CARGADO")</f>
        <v>Gastos Comercializacion</v>
      </c>
      <c r="R37" s="553">
        <f>IFERROR(IF(compras_mes78288[[#This Row],[CUIT]]="","-",VLOOKUP(compras_mes78288[[#This Row],[CUIT]],Lista_CUIT[#All],4,0)),"CUIT NO CARGADO")</f>
        <v>0</v>
      </c>
    </row>
    <row r="38" spans="2:18" s="128" customFormat="1">
      <c r="B38" s="544" t="s">
        <v>2358</v>
      </c>
      <c r="C38" s="545">
        <v>1</v>
      </c>
      <c r="D38" s="546">
        <v>11</v>
      </c>
      <c r="E38" s="547">
        <v>1014170</v>
      </c>
      <c r="F38" s="548">
        <v>33709585229</v>
      </c>
      <c r="G38" s="549" t="str">
        <f>IFERROR(IF(compras_mes78288[[#This Row],[CUIT]]="","-",VLOOKUP(compras_mes78288[[#This Row],[CUIT]],Lista_CUIT[#All],2,0)),"CUIT NO CARGADO")</f>
        <v>GOOGLE ARGENTINA S.R.L.</v>
      </c>
      <c r="H38" s="550">
        <v>69318.37</v>
      </c>
      <c r="I38" s="495">
        <f>IF(compras_mes78288[[#This Row],[NETO GRAVADO]]="","",compras_mes78288[[#This Row],[NETO GRAVADO]]*0.21)</f>
        <v>14556.857699999999</v>
      </c>
      <c r="J38" s="495"/>
      <c r="K38" s="495"/>
      <c r="L38" s="495"/>
      <c r="M38" s="495"/>
      <c r="N38" s="495">
        <v>14199.13</v>
      </c>
      <c r="O38" s="495">
        <v>2079.5500000000002</v>
      </c>
      <c r="P38" s="494">
        <f>SUM(compras_mes78288[[#This Row],[NETO GRAVADO]:[Otros / No Grav.]])</f>
        <v>100153.9077</v>
      </c>
      <c r="Q38" s="549" t="str">
        <f>IFERROR(IF(compras_mes78288[[#This Row],[CUIT]]="","-",VLOOKUP(compras_mes78288[[#This Row],[CUIT]],Lista_CUIT[#All],3,0)),"CUIT NO CARGADO")</f>
        <v>Gastos Comercializacion</v>
      </c>
      <c r="R38" s="551">
        <f>IFERROR(IF(compras_mes78288[[#This Row],[CUIT]]="","-",VLOOKUP(compras_mes78288[[#This Row],[CUIT]],Lista_CUIT[#All],4,0)),"CUIT NO CARGADO")</f>
        <v>0</v>
      </c>
    </row>
    <row r="39" spans="2:18" s="128" customFormat="1">
      <c r="B39" s="544" t="s">
        <v>2329</v>
      </c>
      <c r="C39" s="545">
        <v>1</v>
      </c>
      <c r="D39" s="546">
        <v>1</v>
      </c>
      <c r="E39" s="547">
        <v>748</v>
      </c>
      <c r="F39" s="548">
        <v>30715889486</v>
      </c>
      <c r="G39" s="549" t="str">
        <f>IFERROR(IF(compras_mes78288[[#This Row],[CUIT]]="","-",VLOOKUP(compras_mes78288[[#This Row],[CUIT]],Lista_CUIT[#All],2,0)),"CUIT NO CARGADO")</f>
        <v>EXPOESTETICA</v>
      </c>
      <c r="H39" s="550">
        <v>396000</v>
      </c>
      <c r="I39" s="495">
        <f>IF(compras_mes78288[[#This Row],[NETO GRAVADO]]="","",compras_mes78288[[#This Row],[NETO GRAVADO]]*0.21)</f>
        <v>83160</v>
      </c>
      <c r="J39" s="495"/>
      <c r="K39" s="495"/>
      <c r="L39" s="495"/>
      <c r="M39" s="495"/>
      <c r="N39" s="495"/>
      <c r="O39" s="495"/>
      <c r="P39" s="494">
        <f>SUM(compras_mes78288[[#This Row],[NETO GRAVADO]:[Otros / No Grav.]])</f>
        <v>479160</v>
      </c>
      <c r="Q39" s="549" t="str">
        <f>IFERROR(IF(compras_mes78288[[#This Row],[CUIT]]="","-",VLOOKUP(compras_mes78288[[#This Row],[CUIT]],Lista_CUIT[#All],3,0)),"CUIT NO CARGADO")</f>
        <v>Gastos Comercializacion - Feria</v>
      </c>
      <c r="R39" s="551" t="str">
        <f>IFERROR(IF(compras_mes78288[[#This Row],[CUIT]]="","-",VLOOKUP(compras_mes78288[[#This Row],[CUIT]],Lista_CUIT[#All],4,0)),"CUIT NO CARGADO")</f>
        <v>BUENOS AIRES</v>
      </c>
    </row>
    <row r="40" spans="2:18" s="128" customFormat="1">
      <c r="B40" s="544" t="s">
        <v>2335</v>
      </c>
      <c r="C40" s="545">
        <v>1</v>
      </c>
      <c r="D40" s="546">
        <v>14</v>
      </c>
      <c r="E40" s="547">
        <v>13141</v>
      </c>
      <c r="F40" s="548">
        <v>30715186256</v>
      </c>
      <c r="G40" s="549" t="str">
        <f>IFERROR(IF(compras_mes78288[[#This Row],[CUIT]]="","-",VLOOKUP(compras_mes78288[[#This Row],[CUIT]],Lista_CUIT[#All],2,0)),"CUIT NO CARGADO")</f>
        <v>FRIGORIFICO ALIMENTIC</v>
      </c>
      <c r="H40" s="550">
        <v>29410.61</v>
      </c>
      <c r="I40" s="495">
        <f>8745.45*0.21</f>
        <v>1836.5445000000002</v>
      </c>
      <c r="J40" s="495"/>
      <c r="K40" s="495">
        <f>20665.16*0.105</f>
        <v>2169.8417999999997</v>
      </c>
      <c r="L40" s="495"/>
      <c r="M40" s="495"/>
      <c r="N40" s="495"/>
      <c r="O40" s="495"/>
      <c r="P40" s="494">
        <f>SUM(compras_mes78288[[#This Row],[NETO GRAVADO]:[Otros / No Grav.]])</f>
        <v>33416.996299999999</v>
      </c>
      <c r="Q40" s="549" t="str">
        <f>IFERROR(IF(compras_mes78288[[#This Row],[CUIT]]="","-",VLOOKUP(compras_mes78288[[#This Row],[CUIT]],Lista_CUIT[#All],3,0)),"CUIT NO CARGADO")</f>
        <v>Gastos Comercializacion - Feria</v>
      </c>
      <c r="R40" s="551">
        <f>IFERROR(IF(compras_mes78288[[#This Row],[CUIT]]="","-",VLOOKUP(compras_mes78288[[#This Row],[CUIT]],Lista_CUIT[#All],4,0)),"CUIT NO CARGADO")</f>
        <v>0</v>
      </c>
    </row>
    <row r="41" spans="2:18" s="128" customFormat="1">
      <c r="B41" s="544" t="s">
        <v>2343</v>
      </c>
      <c r="C41" s="545">
        <v>1</v>
      </c>
      <c r="D41" s="546">
        <v>14</v>
      </c>
      <c r="E41" s="547">
        <v>13230</v>
      </c>
      <c r="F41" s="548">
        <v>30715186256</v>
      </c>
      <c r="G41" s="549" t="str">
        <f>IFERROR(IF(compras_mes78288[[#This Row],[CUIT]]="","-",VLOOKUP(compras_mes78288[[#This Row],[CUIT]],Lista_CUIT[#All],2,0)),"CUIT NO CARGADO")</f>
        <v>FRIGORIFICO ALIMENTIC</v>
      </c>
      <c r="H41" s="550">
        <v>35770.11</v>
      </c>
      <c r="I41" s="495">
        <f>14285.95*0.21</f>
        <v>3000.0495000000001</v>
      </c>
      <c r="J41" s="495"/>
      <c r="K41" s="495">
        <f>21484.16*0.105</f>
        <v>2255.8368</v>
      </c>
      <c r="L41" s="495"/>
      <c r="M41" s="495"/>
      <c r="N41" s="495"/>
      <c r="O41" s="495"/>
      <c r="P41" s="494">
        <f>SUM(compras_mes78288[[#This Row],[NETO GRAVADO]:[Otros / No Grav.]])</f>
        <v>41025.996299999999</v>
      </c>
      <c r="Q41" s="549" t="str">
        <f>IFERROR(IF(compras_mes78288[[#This Row],[CUIT]]="","-",VLOOKUP(compras_mes78288[[#This Row],[CUIT]],Lista_CUIT[#All],3,0)),"CUIT NO CARGADO")</f>
        <v>Gastos Comercializacion - Feria</v>
      </c>
      <c r="R41" s="551">
        <f>IFERROR(IF(compras_mes78288[[#This Row],[CUIT]]="","-",VLOOKUP(compras_mes78288[[#This Row],[CUIT]],Lista_CUIT[#All],4,0)),"CUIT NO CARGADO")</f>
        <v>0</v>
      </c>
    </row>
    <row r="42" spans="2:18" s="128" customFormat="1">
      <c r="B42" s="544" t="s">
        <v>2347</v>
      </c>
      <c r="C42" s="545">
        <v>1</v>
      </c>
      <c r="D42" s="546">
        <v>14</v>
      </c>
      <c r="E42" s="547">
        <v>13297</v>
      </c>
      <c r="F42" s="548">
        <v>30715186256</v>
      </c>
      <c r="G42" s="549" t="str">
        <f>IFERROR(IF(compras_mes78288[[#This Row],[CUIT]]="","-",VLOOKUP(compras_mes78288[[#This Row],[CUIT]],Lista_CUIT[#All],2,0)),"CUIT NO CARGADO")</f>
        <v>FRIGORIFICO ALIMENTIC</v>
      </c>
      <c r="H42" s="550">
        <v>67678.759999999995</v>
      </c>
      <c r="I42" s="495"/>
      <c r="J42" s="495"/>
      <c r="K42" s="495">
        <f>compras_mes78288[[#This Row],[NETO GRAVADO]]*0.105</f>
        <v>7106.2697999999991</v>
      </c>
      <c r="L42" s="495"/>
      <c r="M42" s="495"/>
      <c r="N42" s="495"/>
      <c r="O42" s="495"/>
      <c r="P42" s="494">
        <f>SUM(compras_mes78288[[#This Row],[NETO GRAVADO]:[Otros / No Grav.]])</f>
        <v>74785.029799999989</v>
      </c>
      <c r="Q42" s="549" t="str">
        <f>IFERROR(IF(compras_mes78288[[#This Row],[CUIT]]="","-",VLOOKUP(compras_mes78288[[#This Row],[CUIT]],Lista_CUIT[#All],3,0)),"CUIT NO CARGADO")</f>
        <v>Gastos Comercializacion - Feria</v>
      </c>
      <c r="R42" s="551">
        <f>IFERROR(IF(compras_mes78288[[#This Row],[CUIT]]="","-",VLOOKUP(compras_mes78288[[#This Row],[CUIT]],Lista_CUIT[#All],4,0)),"CUIT NO CARGADO")</f>
        <v>0</v>
      </c>
    </row>
    <row r="43" spans="2:18" s="128" customFormat="1">
      <c r="B43" s="544" t="s">
        <v>2342</v>
      </c>
      <c r="C43" s="545">
        <v>1</v>
      </c>
      <c r="D43" s="546">
        <v>113</v>
      </c>
      <c r="E43" s="547">
        <v>3698401</v>
      </c>
      <c r="F43" s="548">
        <v>30577207190</v>
      </c>
      <c r="G43" s="549" t="str">
        <f>IFERROR(IF(compras_mes78288[[#This Row],[CUIT]]="","-",VLOOKUP(compras_mes78288[[#This Row],[CUIT]],Lista_CUIT[#All],2,0)),"CUIT NO CARGADO")</f>
        <v>COORDINACION ECOLOGICA AREA METROPOLITANA SOCIEDAD DEL ESTADO</v>
      </c>
      <c r="H43" s="550">
        <v>6621.49</v>
      </c>
      <c r="I43" s="495">
        <f>IF(compras_mes78288[[#This Row],[NETO GRAVADO]]="","",compras_mes78288[[#This Row],[NETO GRAVADO]]*0.21)</f>
        <v>1390.5128999999999</v>
      </c>
      <c r="J43" s="495"/>
      <c r="K43" s="495"/>
      <c r="L43" s="495">
        <v>198.65</v>
      </c>
      <c r="M43" s="495"/>
      <c r="N43" s="495"/>
      <c r="O43" s="495"/>
      <c r="P43" s="494">
        <f>SUM(compras_mes78288[[#This Row],[NETO GRAVADO]:[Otros / No Grav.]])</f>
        <v>8210.6528999999991</v>
      </c>
      <c r="Q43" s="549" t="str">
        <f>IFERROR(IF(compras_mes78288[[#This Row],[CUIT]]="","-",VLOOKUP(compras_mes78288[[#This Row],[CUIT]],Lista_CUIT[#All],3,0)),"CUIT NO CARGADO")</f>
        <v>Gastos Limpieza</v>
      </c>
      <c r="R43" s="551">
        <f>IFERROR(IF(compras_mes78288[[#This Row],[CUIT]]="","-",VLOOKUP(compras_mes78288[[#This Row],[CUIT]],Lista_CUIT[#All],4,0)),"CUIT NO CARGADO")</f>
        <v>0</v>
      </c>
    </row>
    <row r="44" spans="2:18" s="128" customFormat="1">
      <c r="B44" s="544" t="s">
        <v>2358</v>
      </c>
      <c r="C44" s="545">
        <v>1</v>
      </c>
      <c r="D44" s="546">
        <v>5</v>
      </c>
      <c r="E44" s="547">
        <v>1714</v>
      </c>
      <c r="F44" s="548">
        <v>27324789044</v>
      </c>
      <c r="G44" s="549" t="str">
        <f>IFERROR(IF(compras_mes78288[[#This Row],[CUIT]]="","-",VLOOKUP(compras_mes78288[[#This Row],[CUIT]],Lista_CUIT[#All],2,0)),"CUIT NO CARGADO")</f>
        <v>GARCIA HOURQUET MARIA JOSE</v>
      </c>
      <c r="H44" s="550">
        <v>55619.83</v>
      </c>
      <c r="I44" s="495">
        <f>IF(compras_mes78288[[#This Row],[NETO GRAVADO]]="","",compras_mes78288[[#This Row],[NETO GRAVADO]]*0.21)</f>
        <v>11680.1643</v>
      </c>
      <c r="J44" s="495"/>
      <c r="K44" s="495"/>
      <c r="L44" s="495"/>
      <c r="M44" s="495"/>
      <c r="N44" s="495"/>
      <c r="O44" s="495"/>
      <c r="P44" s="494">
        <f>SUM(compras_mes78288[[#This Row],[NETO GRAVADO]:[Otros / No Grav.]])</f>
        <v>67299.994300000006</v>
      </c>
      <c r="Q44" s="549" t="str">
        <f>IFERROR(IF(compras_mes78288[[#This Row],[CUIT]]="","-",VLOOKUP(compras_mes78288[[#This Row],[CUIT]],Lista_CUIT[#All],3,0)),"CUIT NO CARGADO")</f>
        <v>Gastos Limpieza</v>
      </c>
      <c r="R44" s="551">
        <f>IFERROR(IF(compras_mes78288[[#This Row],[CUIT]]="","-",VLOOKUP(compras_mes78288[[#This Row],[CUIT]],Lista_CUIT[#All],4,0)),"CUIT NO CARGADO")</f>
        <v>0</v>
      </c>
    </row>
    <row r="45" spans="2:18" s="128" customFormat="1">
      <c r="B45" s="544" t="s">
        <v>2358</v>
      </c>
      <c r="C45" s="545">
        <v>1</v>
      </c>
      <c r="D45" s="546">
        <v>7</v>
      </c>
      <c r="E45" s="547">
        <v>16566</v>
      </c>
      <c r="F45" s="548">
        <v>30715124919</v>
      </c>
      <c r="G45" s="129" t="str">
        <f>IFERROR(IF(compras_mes78288[[#This Row],[CUIT]]="","-",VLOOKUP(compras_mes78288[[#This Row],[CUIT]],Lista_CUIT[#All],2,0)),"CUIT NO CARGADO")</f>
        <v>CLEAN LAB SRL</v>
      </c>
      <c r="H45" s="550">
        <v>33922.33</v>
      </c>
      <c r="I45" s="495">
        <f>IF(compras_mes78288[[#This Row],[NETO GRAVADO]]="","",compras_mes78288[[#This Row],[NETO GRAVADO]]*0.21)</f>
        <v>7123.6893</v>
      </c>
      <c r="J45" s="495"/>
      <c r="K45" s="495"/>
      <c r="L45" s="495"/>
      <c r="M45" s="495"/>
      <c r="N45" s="495"/>
      <c r="O45" s="495"/>
      <c r="P45" s="456">
        <f>SUM(compras_mes78288[[#This Row],[NETO GRAVADO]:[Otros / No Grav.]])</f>
        <v>41046.0193</v>
      </c>
      <c r="Q45" s="129" t="str">
        <f>IFERROR(IF(compras_mes78288[[#This Row],[CUIT]]="","-",VLOOKUP(compras_mes78288[[#This Row],[CUIT]],Lista_CUIT[#All],3,0)),"CUIT NO CARGADO")</f>
        <v>Gastos Limpieza</v>
      </c>
      <c r="R45" s="553">
        <f>IFERROR(IF(compras_mes78288[[#This Row],[CUIT]]="","-",VLOOKUP(compras_mes78288[[#This Row],[CUIT]],Lista_CUIT[#All],4,0)),"CUIT NO CARGADO")</f>
        <v>0</v>
      </c>
    </row>
    <row r="46" spans="2:18" s="128" customFormat="1">
      <c r="B46" s="544" t="s">
        <v>2358</v>
      </c>
      <c r="C46" s="545">
        <v>1</v>
      </c>
      <c r="D46" s="546">
        <v>113</v>
      </c>
      <c r="E46" s="547">
        <v>3724684</v>
      </c>
      <c r="F46" s="548">
        <v>30577207190</v>
      </c>
      <c r="G46" s="549" t="str">
        <f>IFERROR(IF(compras_mes78288[[#This Row],[CUIT]]="","-",VLOOKUP(compras_mes78288[[#This Row],[CUIT]],Lista_CUIT[#All],2,0)),"CUIT NO CARGADO")</f>
        <v>COORDINACION ECOLOGICA AREA METROPOLITANA SOCIEDAD DEL ESTADO</v>
      </c>
      <c r="H46" s="550">
        <v>5795.04</v>
      </c>
      <c r="I46" s="495">
        <f>IF(compras_mes78288[[#This Row],[NETO GRAVADO]]="","",compras_mes78288[[#This Row],[NETO GRAVADO]]*0.21)</f>
        <v>1216.9584</v>
      </c>
      <c r="J46" s="495"/>
      <c r="K46" s="495"/>
      <c r="L46" s="495">
        <v>173.85</v>
      </c>
      <c r="M46" s="495"/>
      <c r="N46" s="495"/>
      <c r="O46" s="495"/>
      <c r="P46" s="494">
        <f>SUM(compras_mes78288[[#This Row],[NETO GRAVADO]:[Otros / No Grav.]])</f>
        <v>7185.8484000000008</v>
      </c>
      <c r="Q46" s="549" t="str">
        <f>IFERROR(IF(compras_mes78288[[#This Row],[CUIT]]="","-",VLOOKUP(compras_mes78288[[#This Row],[CUIT]],Lista_CUIT[#All],3,0)),"CUIT NO CARGADO")</f>
        <v>Gastos Limpieza</v>
      </c>
      <c r="R46" s="551">
        <f>IFERROR(IF(compras_mes78288[[#This Row],[CUIT]]="","-",VLOOKUP(compras_mes78288[[#This Row],[CUIT]],Lista_CUIT[#All],4,0)),"CUIT NO CARGADO")</f>
        <v>0</v>
      </c>
    </row>
    <row r="47" spans="2:18" s="128" customFormat="1">
      <c r="B47" s="544" t="s">
        <v>2349</v>
      </c>
      <c r="C47" s="545">
        <v>1</v>
      </c>
      <c r="D47" s="546">
        <v>5</v>
      </c>
      <c r="E47" s="547">
        <v>5037</v>
      </c>
      <c r="F47" s="548">
        <v>30716984164</v>
      </c>
      <c r="G47" s="549" t="str">
        <f>IFERROR(IF(compras_mes78288[[#This Row],[CUIT]]="","-",VLOOKUP(compras_mes78288[[#This Row],[CUIT]],Lista_CUIT[#All],2,0)),"CUIT NO CARGADO")</f>
        <v>BS AS PRO AUDIO S.R.L</v>
      </c>
      <c r="H47" s="550">
        <v>47640.5</v>
      </c>
      <c r="I47" s="495">
        <f>IF(compras_mes78288[[#This Row],[NETO GRAVADO]]="","",compras_mes78288[[#This Row],[NETO GRAVADO]]*0.21)</f>
        <v>10004.504999999999</v>
      </c>
      <c r="J47" s="495"/>
      <c r="K47" s="495"/>
      <c r="L47" s="495"/>
      <c r="M47" s="495"/>
      <c r="N47" s="495"/>
      <c r="O47" s="495"/>
      <c r="P47" s="494">
        <f>SUM(compras_mes78288[[#This Row],[NETO GRAVADO]:[Otros / No Grav.]])</f>
        <v>57645.004999999997</v>
      </c>
      <c r="Q47" s="549" t="str">
        <f>IFERROR(IF(compras_mes78288[[#This Row],[CUIT]]="","-",VLOOKUP(compras_mes78288[[#This Row],[CUIT]],Lista_CUIT[#All],3,0)),"CUIT NO CARGADO")</f>
        <v>Gastos Oficina</v>
      </c>
      <c r="R47" s="551">
        <f>IFERROR(IF(compras_mes78288[[#This Row],[CUIT]]="","-",VLOOKUP(compras_mes78288[[#This Row],[CUIT]],Lista_CUIT[#All],4,0)),"CUIT NO CARGADO")</f>
        <v>0</v>
      </c>
    </row>
    <row r="48" spans="2:18" s="128" customFormat="1">
      <c r="B48" s="544" t="s">
        <v>2349</v>
      </c>
      <c r="C48" s="545">
        <v>1</v>
      </c>
      <c r="D48" s="546">
        <v>2</v>
      </c>
      <c r="E48" s="547">
        <v>31187</v>
      </c>
      <c r="F48" s="548">
        <v>30717273520</v>
      </c>
      <c r="G48" s="549" t="str">
        <f>IFERROR(IF(compras_mes78288[[#This Row],[CUIT]]="","-",VLOOKUP(compras_mes78288[[#This Row],[CUIT]],Lista_CUIT[#All],2,0)),"CUIT NO CARGADO")</f>
        <v>SMART IT SOLUTIONS S.R.L</v>
      </c>
      <c r="H48" s="550">
        <v>68699.17</v>
      </c>
      <c r="I48" s="495">
        <f>IF(compras_mes78288[[#This Row],[NETO GRAVADO]]="","",compras_mes78288[[#This Row],[NETO GRAVADO]]*0.21)</f>
        <v>14426.825699999999</v>
      </c>
      <c r="J48" s="495"/>
      <c r="K48" s="495"/>
      <c r="L48" s="495"/>
      <c r="M48" s="495"/>
      <c r="N48" s="495"/>
      <c r="O48" s="495"/>
      <c r="P48" s="494">
        <f>SUM(compras_mes78288[[#This Row],[NETO GRAVADO]:[Otros / No Grav.]])</f>
        <v>83125.995699999999</v>
      </c>
      <c r="Q48" s="549" t="str">
        <f>IFERROR(IF(compras_mes78288[[#This Row],[CUIT]]="","-",VLOOKUP(compras_mes78288[[#This Row],[CUIT]],Lista_CUIT[#All],3,0)),"CUIT NO CARGADO")</f>
        <v>Gastos Oficina</v>
      </c>
      <c r="R48" s="551">
        <f>IFERROR(IF(compras_mes78288[[#This Row],[CUIT]]="","-",VLOOKUP(compras_mes78288[[#This Row],[CUIT]],Lista_CUIT[#All],4,0)),"CUIT NO CARGADO")</f>
        <v>0</v>
      </c>
    </row>
    <row r="49" spans="2:18" s="128" customFormat="1">
      <c r="B49" s="544" t="s">
        <v>2353</v>
      </c>
      <c r="C49" s="545">
        <v>1</v>
      </c>
      <c r="D49" s="546">
        <v>16</v>
      </c>
      <c r="E49" s="547">
        <v>30312</v>
      </c>
      <c r="F49" s="548">
        <v>30687059812</v>
      </c>
      <c r="G49" s="549" t="str">
        <f>IFERROR(IF(compras_mes78288[[#This Row],[CUIT]]="","-",VLOOKUP(compras_mes78288[[#This Row],[CUIT]],Lista_CUIT[#All],2,0)),"CUIT NO CARGADO")</f>
        <v>REDNET SRL</v>
      </c>
      <c r="H49" s="550">
        <v>31404.13</v>
      </c>
      <c r="I49" s="495">
        <f>IF(compras_mes78288[[#This Row],[NETO GRAVADO]]="","",compras_mes78288[[#This Row],[NETO GRAVADO]]*0.21)</f>
        <v>6594.8672999999999</v>
      </c>
      <c r="J49" s="495"/>
      <c r="K49" s="495"/>
      <c r="L49" s="495"/>
      <c r="M49" s="495"/>
      <c r="N49" s="495"/>
      <c r="O49" s="495"/>
      <c r="P49" s="494">
        <f>SUM(compras_mes78288[[#This Row],[NETO GRAVADO]:[Otros / No Grav.]])</f>
        <v>37998.997300000003</v>
      </c>
      <c r="Q49" s="549" t="str">
        <f>IFERROR(IF(compras_mes78288[[#This Row],[CUIT]]="","-",VLOOKUP(compras_mes78288[[#This Row],[CUIT]],Lista_CUIT[#All],3,0)),"CUIT NO CARGADO")</f>
        <v>Gastos Oficina</v>
      </c>
      <c r="R49" s="551">
        <f>IFERROR(IF(compras_mes78288[[#This Row],[CUIT]]="","-",VLOOKUP(compras_mes78288[[#This Row],[CUIT]],Lista_CUIT[#All],4,0)),"CUIT NO CARGADO")</f>
        <v>0</v>
      </c>
    </row>
    <row r="50" spans="2:18" s="128" customFormat="1">
      <c r="B50" s="544" t="s">
        <v>2357</v>
      </c>
      <c r="C50" s="545">
        <v>1</v>
      </c>
      <c r="D50" s="546">
        <v>2</v>
      </c>
      <c r="E50" s="547">
        <v>3276</v>
      </c>
      <c r="F50" s="548">
        <v>30716371170</v>
      </c>
      <c r="G50" s="549" t="str">
        <f>IFERROR(IF(compras_mes78288[[#This Row],[CUIT]]="","-",VLOOKUP(compras_mes78288[[#This Row],[CUIT]],Lista_CUIT[#All],2,0)),"CUIT NO CARGADO")</f>
        <v>HOMEBRAND S.A.S.</v>
      </c>
      <c r="H50" s="550">
        <v>90617.12</v>
      </c>
      <c r="I50" s="495">
        <f>IF(compras_mes78288[[#This Row],[NETO GRAVADO]]="","",compras_mes78288[[#This Row],[NETO GRAVADO]]*0.21)</f>
        <v>19029.5952</v>
      </c>
      <c r="J50" s="495"/>
      <c r="K50" s="495"/>
      <c r="L50" s="495"/>
      <c r="M50" s="495"/>
      <c r="N50" s="495"/>
      <c r="O50" s="495"/>
      <c r="P50" s="494">
        <f>SUM(compras_mes78288[[#This Row],[NETO GRAVADO]:[Otros / No Grav.]])</f>
        <v>109646.71519999999</v>
      </c>
      <c r="Q50" s="549" t="str">
        <f>IFERROR(IF(compras_mes78288[[#This Row],[CUIT]]="","-",VLOOKUP(compras_mes78288[[#This Row],[CUIT]],Lista_CUIT[#All],3,0)),"CUIT NO CARGADO")</f>
        <v>Gastos Oficina</v>
      </c>
      <c r="R50" s="551">
        <f>IFERROR(IF(compras_mes78288[[#This Row],[CUIT]]="","-",VLOOKUP(compras_mes78288[[#This Row],[CUIT]],Lista_CUIT[#All],4,0)),"CUIT NO CARGADO")</f>
        <v>0</v>
      </c>
    </row>
    <row r="51" spans="2:18" s="128" customFormat="1">
      <c r="B51" s="544" t="s">
        <v>2358</v>
      </c>
      <c r="C51" s="545">
        <v>1</v>
      </c>
      <c r="D51" s="546">
        <v>2595</v>
      </c>
      <c r="E51" s="547">
        <v>6804</v>
      </c>
      <c r="F51" s="548">
        <v>20303259164</v>
      </c>
      <c r="G51" s="549" t="str">
        <f>IFERROR(IF(compras_mes78288[[#This Row],[CUIT]]="","-",VLOOKUP(compras_mes78288[[#This Row],[CUIT]],Lista_CUIT[#All],2,0)),"CUIT NO CARGADO")</f>
        <v>CAMPOS ANTONIO ARIEL ALEJANDRO</v>
      </c>
      <c r="H51" s="550">
        <v>42760.33</v>
      </c>
      <c r="I51" s="495">
        <f>IF(compras_mes78288[[#This Row],[NETO GRAVADO]]="","",compras_mes78288[[#This Row],[NETO GRAVADO]]*0.21)</f>
        <v>8979.6692999999996</v>
      </c>
      <c r="J51" s="495"/>
      <c r="K51" s="495"/>
      <c r="L51" s="495"/>
      <c r="M51" s="495"/>
      <c r="N51" s="495"/>
      <c r="O51" s="495"/>
      <c r="P51" s="494">
        <f>SUM(compras_mes78288[[#This Row],[NETO GRAVADO]:[Otros / No Grav.]])</f>
        <v>51739.999300000003</v>
      </c>
      <c r="Q51" s="549" t="str">
        <f>IFERROR(IF(compras_mes78288[[#This Row],[CUIT]]="","-",VLOOKUP(compras_mes78288[[#This Row],[CUIT]],Lista_CUIT[#All],3,0)),"CUIT NO CARGADO")</f>
        <v>Gastos Oficina</v>
      </c>
      <c r="R51" s="551">
        <f>IFERROR(IF(compras_mes78288[[#This Row],[CUIT]]="","-",VLOOKUP(compras_mes78288[[#This Row],[CUIT]],Lista_CUIT[#All],4,0)),"CUIT NO CARGADO")</f>
        <v>0</v>
      </c>
    </row>
    <row r="52" spans="2:18" s="128" customFormat="1">
      <c r="B52" s="544" t="s">
        <v>2328</v>
      </c>
      <c r="C52" s="545">
        <v>1</v>
      </c>
      <c r="D52" s="546">
        <v>13</v>
      </c>
      <c r="E52" s="547">
        <v>1734</v>
      </c>
      <c r="F52" s="548">
        <v>30686272032</v>
      </c>
      <c r="G52" s="549" t="str">
        <f>IFERROR(IF(compras_mes78288[[#This Row],[CUIT]]="","-",VLOOKUP(compras_mes78288[[#This Row],[CUIT]],Lista_CUIT[#All],2,0)),"CUIT NO CARGADO")</f>
        <v>FERRETERIA TANDIL SRL</v>
      </c>
      <c r="H52" s="550">
        <v>2396.69</v>
      </c>
      <c r="I52" s="495">
        <f>IF(compras_mes78288[[#This Row],[NETO GRAVADO]]="","",compras_mes78288[[#This Row],[NETO GRAVADO]]*0.21)</f>
        <v>503.30489999999998</v>
      </c>
      <c r="J52" s="495"/>
      <c r="K52" s="495"/>
      <c r="L52" s="495"/>
      <c r="M52" s="495"/>
      <c r="N52" s="495"/>
      <c r="O52" s="495"/>
      <c r="P52" s="494">
        <f>SUM(compras_mes78288[[#This Row],[NETO GRAVADO]:[Otros / No Grav.]])</f>
        <v>2899.9949000000001</v>
      </c>
      <c r="Q52" s="549" t="str">
        <f>IFERROR(IF(compras_mes78288[[#This Row],[CUIT]]="","-",VLOOKUP(compras_mes78288[[#This Row],[CUIT]],Lista_CUIT[#All],3,0)),"CUIT NO CARGADO")</f>
        <v>Gastos Varios</v>
      </c>
      <c r="R52" s="551">
        <f>IFERROR(IF(compras_mes78288[[#This Row],[CUIT]]="","-",VLOOKUP(compras_mes78288[[#This Row],[CUIT]],Lista_CUIT[#All],4,0)),"CUIT NO CARGADO")</f>
        <v>0</v>
      </c>
    </row>
    <row r="53" spans="2:18" s="128" customFormat="1">
      <c r="B53" s="544" t="s">
        <v>2328</v>
      </c>
      <c r="C53" s="545">
        <v>1</v>
      </c>
      <c r="D53" s="546">
        <v>11</v>
      </c>
      <c r="E53" s="547">
        <v>5056</v>
      </c>
      <c r="F53" s="548">
        <v>30714017736</v>
      </c>
      <c r="G53" s="549" t="str">
        <f>IFERROR(IF(compras_mes78288[[#This Row],[CUIT]]="","-",VLOOKUP(compras_mes78288[[#This Row],[CUIT]],Lista_CUIT[#All],2,0)),"CUIT NO CARGADO")</f>
        <v>LEICO S.R.L.</v>
      </c>
      <c r="H53" s="550">
        <v>10535.53</v>
      </c>
      <c r="I53" s="495">
        <f>IF(compras_mes78288[[#This Row],[NETO GRAVADO]]="","",compras_mes78288[[#This Row],[NETO GRAVADO]]*0.21)</f>
        <v>2212.4612999999999</v>
      </c>
      <c r="J53" s="495"/>
      <c r="K53" s="495"/>
      <c r="L53" s="495"/>
      <c r="M53" s="495"/>
      <c r="N53" s="495"/>
      <c r="O53" s="495"/>
      <c r="P53" s="494">
        <f>SUM(compras_mes78288[[#This Row],[NETO GRAVADO]:[Otros / No Grav.]])</f>
        <v>12747.991300000002</v>
      </c>
      <c r="Q53" s="549" t="str">
        <f>IFERROR(IF(compras_mes78288[[#This Row],[CUIT]]="","-",VLOOKUP(compras_mes78288[[#This Row],[CUIT]],Lista_CUIT[#All],3,0)),"CUIT NO CARGADO")</f>
        <v>Gastos Varios</v>
      </c>
      <c r="R53" s="551">
        <f>IFERROR(IF(compras_mes78288[[#This Row],[CUIT]]="","-",VLOOKUP(compras_mes78288[[#This Row],[CUIT]],Lista_CUIT[#All],4,0)),"CUIT NO CARGADO")</f>
        <v>0</v>
      </c>
    </row>
    <row r="54" spans="2:18" s="128" customFormat="1">
      <c r="B54" s="544" t="s">
        <v>2329</v>
      </c>
      <c r="C54" s="545">
        <v>1</v>
      </c>
      <c r="D54" s="546">
        <v>3</v>
      </c>
      <c r="E54" s="547">
        <v>2279</v>
      </c>
      <c r="F54" s="548">
        <v>30715168673</v>
      </c>
      <c r="G54" s="549" t="str">
        <f>IFERROR(IF(compras_mes78288[[#This Row],[CUIT]]="","-",VLOOKUP(compras_mes78288[[#This Row],[CUIT]],Lista_CUIT[#All],2,0)),"CUIT NO CARGADO")</f>
        <v>BL8 SOLUCIONES</v>
      </c>
      <c r="H54" s="550">
        <v>121487.6</v>
      </c>
      <c r="I54" s="495">
        <f>IF(compras_mes78288[[#This Row],[NETO GRAVADO]]="","",compras_mes78288[[#This Row],[NETO GRAVADO]]*0.21)</f>
        <v>25512.396000000001</v>
      </c>
      <c r="J54" s="495"/>
      <c r="K54" s="495"/>
      <c r="L54" s="495"/>
      <c r="M54" s="495"/>
      <c r="N54" s="495"/>
      <c r="O54" s="495"/>
      <c r="P54" s="494">
        <f>SUM(compras_mes78288[[#This Row],[NETO GRAVADO]:[Otros / No Grav.]])</f>
        <v>146999.99600000001</v>
      </c>
      <c r="Q54" s="549" t="str">
        <f>IFERROR(IF(compras_mes78288[[#This Row],[CUIT]]="","-",VLOOKUP(compras_mes78288[[#This Row],[CUIT]],Lista_CUIT[#All],3,0)),"CUIT NO CARGADO")</f>
        <v>Gastos Varios</v>
      </c>
      <c r="R54" s="551">
        <f>IFERROR(IF(compras_mes78288[[#This Row],[CUIT]]="","-",VLOOKUP(compras_mes78288[[#This Row],[CUIT]],Lista_CUIT[#All],4,0)),"CUIT NO CARGADO")</f>
        <v>0</v>
      </c>
    </row>
    <row r="55" spans="2:18" s="128" customFormat="1">
      <c r="B55" s="544" t="s">
        <v>2330</v>
      </c>
      <c r="C55" s="545">
        <v>1</v>
      </c>
      <c r="D55" s="546">
        <v>1679</v>
      </c>
      <c r="E55" s="547">
        <v>8075</v>
      </c>
      <c r="F55" s="548">
        <v>30589621499</v>
      </c>
      <c r="G55" s="549" t="str">
        <f>IFERROR(IF(compras_mes78288[[#This Row],[CUIT]]="","-",VLOOKUP(compras_mes78288[[#This Row],[CUIT]],Lista_CUIT[#All],2,0)),"CUIT NO CARGADO")</f>
        <v>MAKRO SA</v>
      </c>
      <c r="H55" s="550">
        <v>43584.59</v>
      </c>
      <c r="I55" s="495">
        <f>IF(compras_mes78288[[#This Row],[NETO GRAVADO]]="","",compras_mes78288[[#This Row],[NETO GRAVADO]]*0.21)</f>
        <v>9152.7638999999981</v>
      </c>
      <c r="J55" s="495"/>
      <c r="K55" s="495"/>
      <c r="L55" s="495">
        <v>1307.54</v>
      </c>
      <c r="M55" s="495"/>
      <c r="N55" s="495">
        <v>2615.08</v>
      </c>
      <c r="O55" s="495"/>
      <c r="P55" s="494">
        <f>SUM(compras_mes78288[[#This Row],[NETO GRAVADO]:[Otros / No Grav.]])</f>
        <v>56659.973899999997</v>
      </c>
      <c r="Q55" s="549" t="str">
        <f>IFERROR(IF(compras_mes78288[[#This Row],[CUIT]]="","-",VLOOKUP(compras_mes78288[[#This Row],[CUIT]],Lista_CUIT[#All],3,0)),"CUIT NO CARGADO")</f>
        <v>Gastos Varios</v>
      </c>
      <c r="R55" s="551">
        <f>IFERROR(IF(compras_mes78288[[#This Row],[CUIT]]="","-",VLOOKUP(compras_mes78288[[#This Row],[CUIT]],Lista_CUIT[#All],4,0)),"CUIT NO CARGADO")</f>
        <v>0</v>
      </c>
    </row>
    <row r="56" spans="2:18" s="128" customFormat="1">
      <c r="B56" s="544" t="s">
        <v>2332</v>
      </c>
      <c r="C56" s="545">
        <v>1</v>
      </c>
      <c r="D56" s="546">
        <v>2188</v>
      </c>
      <c r="E56" s="547">
        <v>123910</v>
      </c>
      <c r="F56" s="548">
        <v>30548083156</v>
      </c>
      <c r="G56" s="549" t="str">
        <f>IFERROR(IF(compras_mes78288[[#This Row],[CUIT]]="","-",VLOOKUP(compras_mes78288[[#This Row],[CUIT]],Lista_CUIT[#All],2,0)),"CUIT NO CARGADO")</f>
        <v>COTO CENTRO INTEGRAL DE COMERCIALIZACION SOCIEDAD ANONIMA</v>
      </c>
      <c r="H56" s="550">
        <v>72586.19</v>
      </c>
      <c r="I56" s="495">
        <f>65120.2*0.21</f>
        <v>13675.241999999998</v>
      </c>
      <c r="J56" s="495"/>
      <c r="K56" s="495">
        <f>7465.99*0.105</f>
        <v>783.92894999999999</v>
      </c>
      <c r="L56" s="495"/>
      <c r="M56" s="495"/>
      <c r="N56" s="495"/>
      <c r="O56" s="495">
        <v>5915.95</v>
      </c>
      <c r="P56" s="494">
        <f>SUM(compras_mes78288[[#This Row],[NETO GRAVADO]:[Otros / No Grav.]])</f>
        <v>92961.310949999999</v>
      </c>
      <c r="Q56" s="549" t="str">
        <f>IFERROR(IF(compras_mes78288[[#This Row],[CUIT]]="","-",VLOOKUP(compras_mes78288[[#This Row],[CUIT]],Lista_CUIT[#All],3,0)),"CUIT NO CARGADO")</f>
        <v>Gastos Varios</v>
      </c>
      <c r="R56" s="551">
        <f>IFERROR(IF(compras_mes78288[[#This Row],[CUIT]]="","-",VLOOKUP(compras_mes78288[[#This Row],[CUIT]],Lista_CUIT[#All],4,0)),"CUIT NO CARGADO")</f>
        <v>0</v>
      </c>
    </row>
    <row r="57" spans="2:18" s="128" customFormat="1">
      <c r="B57" s="544" t="s">
        <v>2333</v>
      </c>
      <c r="C57" s="545">
        <v>1</v>
      </c>
      <c r="D57" s="546">
        <v>3</v>
      </c>
      <c r="E57" s="547">
        <v>2199</v>
      </c>
      <c r="F57" s="548">
        <v>30718018311</v>
      </c>
      <c r="G57" s="129" t="str">
        <f>IFERROR(IF(compras_mes78288[[#This Row],[CUIT]]="","-",VLOOKUP(compras_mes78288[[#This Row],[CUIT]],Lista_CUIT[#All],2,0)),"CUIT NO CARGADO")</f>
        <v>ANIMAL BROTHERS VENTA MAYORISTA Y MINORISTA DE ALIMENTOS BALANCEADOS DE SPADOTTO GABRIELA F. Y SPADO</v>
      </c>
      <c r="H57" s="550">
        <v>74330.58</v>
      </c>
      <c r="I57" s="495">
        <f>IF(compras_mes78288[[#This Row],[NETO GRAVADO]]="","",compras_mes78288[[#This Row],[NETO GRAVADO]]*0.21)</f>
        <v>15609.4218</v>
      </c>
      <c r="J57" s="495"/>
      <c r="K57" s="495"/>
      <c r="L57" s="495"/>
      <c r="M57" s="495"/>
      <c r="N57" s="495"/>
      <c r="O57" s="495"/>
      <c r="P57" s="456">
        <f>SUM(compras_mes78288[[#This Row],[NETO GRAVADO]:[Otros / No Grav.]])</f>
        <v>89940.001799999998</v>
      </c>
      <c r="Q57" s="129" t="str">
        <f>IFERROR(IF(compras_mes78288[[#This Row],[CUIT]]="","-",VLOOKUP(compras_mes78288[[#This Row],[CUIT]],Lista_CUIT[#All],3,0)),"CUIT NO CARGADO")</f>
        <v>Gastos Varios</v>
      </c>
      <c r="R57" s="553">
        <f>IFERROR(IF(compras_mes78288[[#This Row],[CUIT]]="","-",VLOOKUP(compras_mes78288[[#This Row],[CUIT]],Lista_CUIT[#All],4,0)),"CUIT NO CARGADO")</f>
        <v>0</v>
      </c>
    </row>
    <row r="58" spans="2:18" s="128" customFormat="1">
      <c r="B58" s="544" t="s">
        <v>2334</v>
      </c>
      <c r="C58" s="545">
        <v>1</v>
      </c>
      <c r="D58" s="546">
        <v>7</v>
      </c>
      <c r="E58" s="547">
        <v>2748</v>
      </c>
      <c r="F58" s="548">
        <v>20134664518</v>
      </c>
      <c r="G58" s="549" t="str">
        <f>IFERROR(IF(compras_mes78288[[#This Row],[CUIT]]="","-",VLOOKUP(compras_mes78288[[#This Row],[CUIT]],Lista_CUIT[#All],2,0)),"CUIT NO CARGADO")</f>
        <v>HOKAMA SERGIO ENRIQUE</v>
      </c>
      <c r="H58" s="550">
        <v>59612.35</v>
      </c>
      <c r="I58" s="495">
        <f>IF(compras_mes78288[[#This Row],[NETO GRAVADO]]="","",compras_mes78288[[#This Row],[NETO GRAVADO]]*0.21)</f>
        <v>12518.593499999999</v>
      </c>
      <c r="J58" s="495"/>
      <c r="K58" s="495"/>
      <c r="L58" s="495"/>
      <c r="M58" s="495"/>
      <c r="N58" s="495"/>
      <c r="O58" s="495"/>
      <c r="P58" s="494">
        <f>SUM(compras_mes78288[[#This Row],[NETO GRAVADO]:[Otros / No Grav.]])</f>
        <v>72130.943499999994</v>
      </c>
      <c r="Q58" s="549" t="str">
        <f>IFERROR(IF(compras_mes78288[[#This Row],[CUIT]]="","-",VLOOKUP(compras_mes78288[[#This Row],[CUIT]],Lista_CUIT[#All],3,0)),"CUIT NO CARGADO")</f>
        <v>Gastos Varios</v>
      </c>
      <c r="R58" s="551" t="str">
        <f>IFERROR(IF(compras_mes78288[[#This Row],[CUIT]]="","-",VLOOKUP(compras_mes78288[[#This Row],[CUIT]],Lista_CUIT[#All],4,0)),"CUIT NO CARGADO")</f>
        <v>BUENOS AIRES</v>
      </c>
    </row>
    <row r="59" spans="2:18" s="128" customFormat="1">
      <c r="B59" s="544" t="s">
        <v>2336</v>
      </c>
      <c r="C59" s="545">
        <v>1</v>
      </c>
      <c r="D59" s="546">
        <v>2084</v>
      </c>
      <c r="E59" s="547">
        <v>23352</v>
      </c>
      <c r="F59" s="548">
        <v>30548083156</v>
      </c>
      <c r="G59" s="549" t="str">
        <f>IFERROR(IF(compras_mes78288[[#This Row],[CUIT]]="","-",VLOOKUP(compras_mes78288[[#This Row],[CUIT]],Lista_CUIT[#All],2,0)),"CUIT NO CARGADO")</f>
        <v>COTO CENTRO INTEGRAL DE COMERCIALIZACION SOCIEDAD ANONIMA</v>
      </c>
      <c r="H59" s="550">
        <v>43876.01</v>
      </c>
      <c r="I59" s="495">
        <f>20635.43*0.21</f>
        <v>4333.4403000000002</v>
      </c>
      <c r="J59" s="495"/>
      <c r="K59" s="495">
        <f>23240.58*0.105</f>
        <v>2440.2609000000002</v>
      </c>
      <c r="L59" s="495"/>
      <c r="M59" s="495"/>
      <c r="N59" s="495"/>
      <c r="O59" s="495">
        <v>3066.49</v>
      </c>
      <c r="P59" s="494">
        <f>SUM(compras_mes78288[[#This Row],[NETO GRAVADO]:[Otros / No Grav.]])</f>
        <v>53716.201200000003</v>
      </c>
      <c r="Q59" s="549" t="str">
        <f>IFERROR(IF(compras_mes78288[[#This Row],[CUIT]]="","-",VLOOKUP(compras_mes78288[[#This Row],[CUIT]],Lista_CUIT[#All],3,0)),"CUIT NO CARGADO")</f>
        <v>Gastos Varios</v>
      </c>
      <c r="R59" s="551">
        <f>IFERROR(IF(compras_mes78288[[#This Row],[CUIT]]="","-",VLOOKUP(compras_mes78288[[#This Row],[CUIT]],Lista_CUIT[#All],4,0)),"CUIT NO CARGADO")</f>
        <v>0</v>
      </c>
    </row>
    <row r="60" spans="2:18" s="128" customFormat="1">
      <c r="B60" s="544" t="s">
        <v>2339</v>
      </c>
      <c r="C60" s="545">
        <v>1</v>
      </c>
      <c r="D60" s="546">
        <v>2</v>
      </c>
      <c r="E60" s="547">
        <v>5915</v>
      </c>
      <c r="F60" s="548">
        <v>30717777359</v>
      </c>
      <c r="G60" s="549" t="str">
        <f>IFERROR(IF(compras_mes78288[[#This Row],[CUIT]]="","-",VLOOKUP(compras_mes78288[[#This Row],[CUIT]],Lista_CUIT[#All],2,0)),"CUIT NO CARGADO")</f>
        <v>KADIMA STUFF S.R.L.</v>
      </c>
      <c r="H60" s="550">
        <v>63223.14</v>
      </c>
      <c r="I60" s="495">
        <f>IF(compras_mes78288[[#This Row],[NETO GRAVADO]]="","",compras_mes78288[[#This Row],[NETO GRAVADO]]*0.21)</f>
        <v>13276.859399999999</v>
      </c>
      <c r="J60" s="495"/>
      <c r="K60" s="495"/>
      <c r="L60" s="495"/>
      <c r="M60" s="495"/>
      <c r="N60" s="495"/>
      <c r="O60" s="495"/>
      <c r="P60" s="494">
        <f>SUM(compras_mes78288[[#This Row],[NETO GRAVADO]:[Otros / No Grav.]])</f>
        <v>76499.999400000001</v>
      </c>
      <c r="Q60" s="549" t="str">
        <f>IFERROR(IF(compras_mes78288[[#This Row],[CUIT]]="","-",VLOOKUP(compras_mes78288[[#This Row],[CUIT]],Lista_CUIT[#All],3,0)),"CUIT NO CARGADO")</f>
        <v>Gastos Varios</v>
      </c>
      <c r="R60" s="551">
        <f>IFERROR(IF(compras_mes78288[[#This Row],[CUIT]]="","-",VLOOKUP(compras_mes78288[[#This Row],[CUIT]],Lista_CUIT[#All],4,0)),"CUIT NO CARGADO")</f>
        <v>0</v>
      </c>
    </row>
    <row r="61" spans="2:18" s="128" customFormat="1">
      <c r="B61" s="544" t="s">
        <v>2339</v>
      </c>
      <c r="C61" s="545">
        <v>1</v>
      </c>
      <c r="D61" s="546">
        <v>2188</v>
      </c>
      <c r="E61" s="547">
        <v>124520</v>
      </c>
      <c r="F61" s="548">
        <v>30548083156</v>
      </c>
      <c r="G61" s="549" t="str">
        <f>IFERROR(IF(compras_mes78288[[#This Row],[CUIT]]="","-",VLOOKUP(compras_mes78288[[#This Row],[CUIT]],Lista_CUIT[#All],2,0)),"CUIT NO CARGADO")</f>
        <v>COTO CENTRO INTEGRAL DE COMERCIALIZACION SOCIEDAD ANONIMA</v>
      </c>
      <c r="H61" s="550">
        <v>76014.39</v>
      </c>
      <c r="I61" s="495">
        <f>59835.06*0.21</f>
        <v>12565.362599999999</v>
      </c>
      <c r="J61" s="495"/>
      <c r="K61" s="495">
        <f>16179.33*0.105</f>
        <v>1698.8296499999999</v>
      </c>
      <c r="L61" s="495"/>
      <c r="M61" s="495"/>
      <c r="N61" s="495"/>
      <c r="O61" s="495">
        <v>5917.74</v>
      </c>
      <c r="P61" s="494">
        <f>SUM(compras_mes78288[[#This Row],[NETO GRAVADO]:[Otros / No Grav.]])</f>
        <v>96196.322249999997</v>
      </c>
      <c r="Q61" s="549" t="str">
        <f>IFERROR(IF(compras_mes78288[[#This Row],[CUIT]]="","-",VLOOKUP(compras_mes78288[[#This Row],[CUIT]],Lista_CUIT[#All],3,0)),"CUIT NO CARGADO")</f>
        <v>Gastos Varios</v>
      </c>
      <c r="R61" s="551">
        <f>IFERROR(IF(compras_mes78288[[#This Row],[CUIT]]="","-",VLOOKUP(compras_mes78288[[#This Row],[CUIT]],Lista_CUIT[#All],4,0)),"CUIT NO CARGADO")</f>
        <v>0</v>
      </c>
    </row>
    <row r="62" spans="2:18" s="128" customFormat="1">
      <c r="B62" s="544" t="s">
        <v>2340</v>
      </c>
      <c r="C62" s="545">
        <v>1</v>
      </c>
      <c r="D62" s="546">
        <v>7</v>
      </c>
      <c r="E62" s="547">
        <v>2772</v>
      </c>
      <c r="F62" s="548">
        <v>20134664518</v>
      </c>
      <c r="G62" s="549" t="str">
        <f>IFERROR(IF(compras_mes78288[[#This Row],[CUIT]]="","-",VLOOKUP(compras_mes78288[[#This Row],[CUIT]],Lista_CUIT[#All],2,0)),"CUIT NO CARGADO")</f>
        <v>HOKAMA SERGIO ENRIQUE</v>
      </c>
      <c r="H62" s="550">
        <v>39372.67</v>
      </c>
      <c r="I62" s="495">
        <f>IF(compras_mes78288[[#This Row],[NETO GRAVADO]]="","",compras_mes78288[[#This Row],[NETO GRAVADO]]*0.21)</f>
        <v>8268.2606999999989</v>
      </c>
      <c r="J62" s="495"/>
      <c r="K62" s="495"/>
      <c r="L62" s="495"/>
      <c r="M62" s="495"/>
      <c r="N62" s="495"/>
      <c r="O62" s="495"/>
      <c r="P62" s="494">
        <f>SUM(compras_mes78288[[#This Row],[NETO GRAVADO]:[Otros / No Grav.]])</f>
        <v>47640.930699999997</v>
      </c>
      <c r="Q62" s="549" t="str">
        <f>IFERROR(IF(compras_mes78288[[#This Row],[CUIT]]="","-",VLOOKUP(compras_mes78288[[#This Row],[CUIT]],Lista_CUIT[#All],3,0)),"CUIT NO CARGADO")</f>
        <v>Gastos Varios</v>
      </c>
      <c r="R62" s="551" t="str">
        <f>IFERROR(IF(compras_mes78288[[#This Row],[CUIT]]="","-",VLOOKUP(compras_mes78288[[#This Row],[CUIT]],Lista_CUIT[#All],4,0)),"CUIT NO CARGADO")</f>
        <v>BUENOS AIRES</v>
      </c>
    </row>
    <row r="63" spans="2:18" s="128" customFormat="1">
      <c r="B63" s="544" t="s">
        <v>2340</v>
      </c>
      <c r="C63" s="545">
        <v>1</v>
      </c>
      <c r="D63" s="546">
        <v>2084</v>
      </c>
      <c r="E63" s="547">
        <v>23418</v>
      </c>
      <c r="F63" s="548">
        <v>30548083156</v>
      </c>
      <c r="G63" s="549" t="str">
        <f>IFERROR(IF(compras_mes78288[[#This Row],[CUIT]]="","-",VLOOKUP(compras_mes78288[[#This Row],[CUIT]],Lista_CUIT[#All],2,0)),"CUIT NO CARGADO")</f>
        <v>COTO CENTRO INTEGRAL DE COMERCIALIZACION SOCIEDAD ANONIMA</v>
      </c>
      <c r="H63" s="550">
        <v>23023.89</v>
      </c>
      <c r="I63" s="495">
        <f>IF(compras_mes78288[[#This Row],[NETO GRAVADO]]="","",compras_mes78288[[#This Row],[NETO GRAVADO]]*0.21)</f>
        <v>4835.0168999999996</v>
      </c>
      <c r="J63" s="495"/>
      <c r="K63" s="495"/>
      <c r="L63" s="495"/>
      <c r="M63" s="495"/>
      <c r="N63" s="495"/>
      <c r="O63" s="495">
        <v>2072.15</v>
      </c>
      <c r="P63" s="494">
        <f>SUM(compras_mes78288[[#This Row],[NETO GRAVADO]:[Otros / No Grav.]])</f>
        <v>29931.0569</v>
      </c>
      <c r="Q63" s="549" t="str">
        <f>IFERROR(IF(compras_mes78288[[#This Row],[CUIT]]="","-",VLOOKUP(compras_mes78288[[#This Row],[CUIT]],Lista_CUIT[#All],3,0)),"CUIT NO CARGADO")</f>
        <v>Gastos Varios</v>
      </c>
      <c r="R63" s="551">
        <f>IFERROR(IF(compras_mes78288[[#This Row],[CUIT]]="","-",VLOOKUP(compras_mes78288[[#This Row],[CUIT]],Lista_CUIT[#All],4,0)),"CUIT NO CARGADO")</f>
        <v>0</v>
      </c>
    </row>
    <row r="64" spans="2:18" s="128" customFormat="1">
      <c r="B64" s="544" t="s">
        <v>2343</v>
      </c>
      <c r="C64" s="545">
        <v>1</v>
      </c>
      <c r="D64" s="546">
        <v>1678</v>
      </c>
      <c r="E64" s="547">
        <v>42136</v>
      </c>
      <c r="F64" s="548">
        <v>30589621499</v>
      </c>
      <c r="G64" s="549" t="str">
        <f>IFERROR(IF(compras_mes78288[[#This Row],[CUIT]]="","-",VLOOKUP(compras_mes78288[[#This Row],[CUIT]],Lista_CUIT[#All],2,0)),"CUIT NO CARGADO")</f>
        <v>MAKRO SA</v>
      </c>
      <c r="H64" s="550">
        <v>54737.23</v>
      </c>
      <c r="I64" s="495">
        <f>IF(compras_mes78288[[#This Row],[NETO GRAVADO]]="","",compras_mes78288[[#This Row],[NETO GRAVADO]]*0.21)</f>
        <v>11494.818300000001</v>
      </c>
      <c r="J64" s="495"/>
      <c r="K64" s="495"/>
      <c r="L64" s="495">
        <v>1642.12</v>
      </c>
      <c r="M64" s="495"/>
      <c r="N64" s="495">
        <v>3284.23</v>
      </c>
      <c r="O64" s="495"/>
      <c r="P64" s="494">
        <f>SUM(compras_mes78288[[#This Row],[NETO GRAVADO]:[Otros / No Grav.]])</f>
        <v>71158.398300000001</v>
      </c>
      <c r="Q64" s="549" t="str">
        <f>IFERROR(IF(compras_mes78288[[#This Row],[CUIT]]="","-",VLOOKUP(compras_mes78288[[#This Row],[CUIT]],Lista_CUIT[#All],3,0)),"CUIT NO CARGADO")</f>
        <v>Gastos Varios</v>
      </c>
      <c r="R64" s="551">
        <f>IFERROR(IF(compras_mes78288[[#This Row],[CUIT]]="","-",VLOOKUP(compras_mes78288[[#This Row],[CUIT]],Lista_CUIT[#All],4,0)),"CUIT NO CARGADO")</f>
        <v>0</v>
      </c>
    </row>
    <row r="65" spans="2:18" s="128" customFormat="1">
      <c r="B65" s="544" t="s">
        <v>2345</v>
      </c>
      <c r="C65" s="545">
        <v>1</v>
      </c>
      <c r="D65" s="546">
        <v>9</v>
      </c>
      <c r="E65" s="547">
        <v>1038</v>
      </c>
      <c r="F65" s="548">
        <v>20134664518</v>
      </c>
      <c r="G65" s="549" t="str">
        <f>IFERROR(IF(compras_mes78288[[#This Row],[CUIT]]="","-",VLOOKUP(compras_mes78288[[#This Row],[CUIT]],Lista_CUIT[#All],2,0)),"CUIT NO CARGADO")</f>
        <v>HOKAMA SERGIO ENRIQUE</v>
      </c>
      <c r="H65" s="550">
        <v>46616.1</v>
      </c>
      <c r="I65" s="495">
        <f>IF(compras_mes78288[[#This Row],[NETO GRAVADO]]="","",compras_mes78288[[#This Row],[NETO GRAVADO]]*0.21)</f>
        <v>9789.3809999999994</v>
      </c>
      <c r="J65" s="495"/>
      <c r="K65" s="495"/>
      <c r="L65" s="495"/>
      <c r="M65" s="495"/>
      <c r="N65" s="495"/>
      <c r="O65" s="495"/>
      <c r="P65" s="494">
        <f>SUM(compras_mes78288[[#This Row],[NETO GRAVADO]:[Otros / No Grav.]])</f>
        <v>56405.481</v>
      </c>
      <c r="Q65" s="549" t="str">
        <f>IFERROR(IF(compras_mes78288[[#This Row],[CUIT]]="","-",VLOOKUP(compras_mes78288[[#This Row],[CUIT]],Lista_CUIT[#All],3,0)),"CUIT NO CARGADO")</f>
        <v>Gastos Varios</v>
      </c>
      <c r="R65" s="551" t="str">
        <f>IFERROR(IF(compras_mes78288[[#This Row],[CUIT]]="","-",VLOOKUP(compras_mes78288[[#This Row],[CUIT]],Lista_CUIT[#All],4,0)),"CUIT NO CARGADO")</f>
        <v>BUENOS AIRES</v>
      </c>
    </row>
    <row r="66" spans="2:18" s="128" customFormat="1">
      <c r="B66" s="544" t="s">
        <v>2346</v>
      </c>
      <c r="C66" s="545">
        <v>1</v>
      </c>
      <c r="D66" s="546">
        <v>2</v>
      </c>
      <c r="E66" s="547">
        <v>8508</v>
      </c>
      <c r="F66" s="548">
        <v>30714284963</v>
      </c>
      <c r="G66" s="129" t="str">
        <f>IFERROR(IF(compras_mes78288[[#This Row],[CUIT]]="","-",VLOOKUP(compras_mes78288[[#This Row],[CUIT]],Lista_CUIT[#All],2,0)),"CUIT NO CARGADO")</f>
        <v>ENGYMAN SRL</v>
      </c>
      <c r="H66" s="550">
        <v>132000</v>
      </c>
      <c r="I66" s="495">
        <f>IF(compras_mes78288[[#This Row],[NETO GRAVADO]]="","",compras_mes78288[[#This Row],[NETO GRAVADO]]*0.21)</f>
        <v>27720</v>
      </c>
      <c r="J66" s="495"/>
      <c r="K66" s="495"/>
      <c r="L66" s="495"/>
      <c r="M66" s="495"/>
      <c r="N66" s="495"/>
      <c r="O66" s="495"/>
      <c r="P66" s="456">
        <f>SUM(compras_mes78288[[#This Row],[NETO GRAVADO]:[Otros / No Grav.]])</f>
        <v>159720</v>
      </c>
      <c r="Q66" s="129" t="str">
        <f>IFERROR(IF(compras_mes78288[[#This Row],[CUIT]]="","-",VLOOKUP(compras_mes78288[[#This Row],[CUIT]],Lista_CUIT[#All],3,0)),"CUIT NO CARGADO")</f>
        <v>Gastos Varios</v>
      </c>
      <c r="R66" s="553">
        <f>IFERROR(IF(compras_mes78288[[#This Row],[CUIT]]="","-",VLOOKUP(compras_mes78288[[#This Row],[CUIT]],Lista_CUIT[#All],4,0)),"CUIT NO CARGADO")</f>
        <v>0</v>
      </c>
    </row>
    <row r="67" spans="2:18" s="128" customFormat="1">
      <c r="B67" s="544" t="s">
        <v>2346</v>
      </c>
      <c r="C67" s="545">
        <v>1</v>
      </c>
      <c r="D67" s="546">
        <v>2188</v>
      </c>
      <c r="E67" s="547">
        <v>125055</v>
      </c>
      <c r="F67" s="548">
        <v>30548083156</v>
      </c>
      <c r="G67" s="549" t="str">
        <f>IFERROR(IF(compras_mes78288[[#This Row],[CUIT]]="","-",VLOOKUP(compras_mes78288[[#This Row],[CUIT]],Lista_CUIT[#All],2,0)),"CUIT NO CARGADO")</f>
        <v>COTO CENTRO INTEGRAL DE COMERCIALIZACION SOCIEDAD ANONIMA</v>
      </c>
      <c r="H67" s="550">
        <v>43578.98</v>
      </c>
      <c r="I67" s="495">
        <f>31288.19*0.21</f>
        <v>6570.5198999999993</v>
      </c>
      <c r="J67" s="495"/>
      <c r="K67" s="495">
        <f>12290.79*0.105</f>
        <v>1290.53295</v>
      </c>
      <c r="L67" s="495"/>
      <c r="M67" s="495"/>
      <c r="N67" s="495"/>
      <c r="O67" s="495">
        <v>3527.23</v>
      </c>
      <c r="P67" s="494">
        <f>SUM(compras_mes78288[[#This Row],[NETO GRAVADO]:[Otros / No Grav.]])</f>
        <v>54967.262850000006</v>
      </c>
      <c r="Q67" s="549" t="str">
        <f>IFERROR(IF(compras_mes78288[[#This Row],[CUIT]]="","-",VLOOKUP(compras_mes78288[[#This Row],[CUIT]],Lista_CUIT[#All],3,0)),"CUIT NO CARGADO")</f>
        <v>Gastos Varios</v>
      </c>
      <c r="R67" s="551">
        <f>IFERROR(IF(compras_mes78288[[#This Row],[CUIT]]="","-",VLOOKUP(compras_mes78288[[#This Row],[CUIT]],Lista_CUIT[#All],4,0)),"CUIT NO CARGADO")</f>
        <v>0</v>
      </c>
    </row>
    <row r="68" spans="2:18" s="128" customFormat="1">
      <c r="B68" s="544" t="s">
        <v>2347</v>
      </c>
      <c r="C68" s="545">
        <v>1</v>
      </c>
      <c r="D68" s="546">
        <v>2188</v>
      </c>
      <c r="E68" s="547">
        <v>125115</v>
      </c>
      <c r="F68" s="548">
        <v>30548083156</v>
      </c>
      <c r="G68" s="129" t="str">
        <f>IFERROR(IF(compras_mes78288[[#This Row],[CUIT]]="","-",VLOOKUP(compras_mes78288[[#This Row],[CUIT]],Lista_CUIT[#All],2,0)),"CUIT NO CARGADO")</f>
        <v>COTO CENTRO INTEGRAL DE COMERCIALIZACION SOCIEDAD ANONIMA</v>
      </c>
      <c r="H68" s="550">
        <v>27538.41</v>
      </c>
      <c r="I68" s="495">
        <f>19071.87*0.21</f>
        <v>4005.0926999999997</v>
      </c>
      <c r="J68" s="495"/>
      <c r="K68" s="495">
        <f>8466.54*0.105</f>
        <v>888.98670000000004</v>
      </c>
      <c r="L68" s="495"/>
      <c r="M68" s="495"/>
      <c r="N68" s="495"/>
      <c r="O68" s="495">
        <v>2351.46</v>
      </c>
      <c r="P68" s="456">
        <f>SUM(compras_mes78288[[#This Row],[NETO GRAVADO]:[Otros / No Grav.]])</f>
        <v>34783.949400000005</v>
      </c>
      <c r="Q68" s="129" t="str">
        <f>IFERROR(IF(compras_mes78288[[#This Row],[CUIT]]="","-",VLOOKUP(compras_mes78288[[#This Row],[CUIT]],Lista_CUIT[#All],3,0)),"CUIT NO CARGADO")</f>
        <v>Gastos Varios</v>
      </c>
      <c r="R68" s="553">
        <f>IFERROR(IF(compras_mes78288[[#This Row],[CUIT]]="","-",VLOOKUP(compras_mes78288[[#This Row],[CUIT]],Lista_CUIT[#All],4,0)),"CUIT NO CARGADO")</f>
        <v>0</v>
      </c>
    </row>
    <row r="69" spans="2:18" s="128" customFormat="1">
      <c r="B69" s="544" t="s">
        <v>2348</v>
      </c>
      <c r="C69" s="545">
        <v>1</v>
      </c>
      <c r="D69" s="546">
        <v>2199</v>
      </c>
      <c r="E69" s="547">
        <v>30689</v>
      </c>
      <c r="F69" s="548">
        <v>30548083156</v>
      </c>
      <c r="G69" s="549" t="str">
        <f>IFERROR(IF(compras_mes78288[[#This Row],[CUIT]]="","-",VLOOKUP(compras_mes78288[[#This Row],[CUIT]],Lista_CUIT[#All],2,0)),"CUIT NO CARGADO")</f>
        <v>COTO CENTRO INTEGRAL DE COMERCIALIZACION SOCIEDAD ANONIMA</v>
      </c>
      <c r="H69" s="550">
        <v>68832.539999999994</v>
      </c>
      <c r="I69" s="495">
        <f>57436.68*0.21</f>
        <v>12061.702799999999</v>
      </c>
      <c r="J69" s="495"/>
      <c r="K69" s="495">
        <f>11395.86*0.105</f>
        <v>1196.5653</v>
      </c>
      <c r="L69" s="495"/>
      <c r="M69" s="495"/>
      <c r="N69" s="495"/>
      <c r="O69" s="495">
        <v>5994.05</v>
      </c>
      <c r="P69" s="494">
        <f>SUM(compras_mes78288[[#This Row],[NETO GRAVADO]:[Otros / No Grav.]])</f>
        <v>88084.858099999998</v>
      </c>
      <c r="Q69" s="549" t="str">
        <f>IFERROR(IF(compras_mes78288[[#This Row],[CUIT]]="","-",VLOOKUP(compras_mes78288[[#This Row],[CUIT]],Lista_CUIT[#All],3,0)),"CUIT NO CARGADO")</f>
        <v>Gastos Varios</v>
      </c>
      <c r="R69" s="551">
        <f>IFERROR(IF(compras_mes78288[[#This Row],[CUIT]]="","-",VLOOKUP(compras_mes78288[[#This Row],[CUIT]],Lista_CUIT[#All],4,0)),"CUIT NO CARGADO")</f>
        <v>0</v>
      </c>
    </row>
    <row r="70" spans="2:18" s="128" customFormat="1">
      <c r="B70" s="544" t="s">
        <v>2349</v>
      </c>
      <c r="C70" s="545">
        <v>1</v>
      </c>
      <c r="D70" s="546">
        <v>9</v>
      </c>
      <c r="E70" s="547">
        <v>139</v>
      </c>
      <c r="F70" s="548">
        <v>20214807808</v>
      </c>
      <c r="G70" s="129" t="str">
        <f>IFERROR(IF(compras_mes78288[[#This Row],[CUIT]]="","-",VLOOKUP(compras_mes78288[[#This Row],[CUIT]],Lista_CUIT[#All],2,0)),"CUIT NO CARGADO")</f>
        <v>CARLONE PABLO ADRIAN</v>
      </c>
      <c r="H70" s="550">
        <v>26363.62</v>
      </c>
      <c r="I70" s="495">
        <f>IF(compras_mes78288[[#This Row],[NETO GRAVADO]]="","",compras_mes78288[[#This Row],[NETO GRAVADO]]*0.21)</f>
        <v>5536.3601999999992</v>
      </c>
      <c r="J70" s="495"/>
      <c r="K70" s="495"/>
      <c r="L70" s="495"/>
      <c r="M70" s="495"/>
      <c r="N70" s="495"/>
      <c r="O70" s="495"/>
      <c r="P70" s="456">
        <f>SUM(compras_mes78288[[#This Row],[NETO GRAVADO]:[Otros / No Grav.]])</f>
        <v>31899.980199999998</v>
      </c>
      <c r="Q70" s="129" t="str">
        <f>IFERROR(IF(compras_mes78288[[#This Row],[CUIT]]="","-",VLOOKUP(compras_mes78288[[#This Row],[CUIT]],Lista_CUIT[#All],3,0)),"CUIT NO CARGADO")</f>
        <v>Gastos Varios</v>
      </c>
      <c r="R70" s="553">
        <f>IFERROR(IF(compras_mes78288[[#This Row],[CUIT]]="","-",VLOOKUP(compras_mes78288[[#This Row],[CUIT]],Lista_CUIT[#All],4,0)),"CUIT NO CARGADO")</f>
        <v>0</v>
      </c>
    </row>
    <row r="71" spans="2:18" s="552" customFormat="1">
      <c r="B71" s="544" t="s">
        <v>2350</v>
      </c>
      <c r="C71" s="545">
        <v>1</v>
      </c>
      <c r="D71" s="546">
        <v>7</v>
      </c>
      <c r="E71" s="547">
        <v>214</v>
      </c>
      <c r="F71" s="548">
        <v>20310102076</v>
      </c>
      <c r="G71" s="129" t="str">
        <f>IFERROR(IF(compras_mes78288[[#This Row],[CUIT]]="","-",VLOOKUP(compras_mes78288[[#This Row],[CUIT]],Lista_CUIT[#All],2,0)),"CUIT NO CARGADO")</f>
        <v>TESORIERO EZEQUIEL MATIAS</v>
      </c>
      <c r="H71" s="550">
        <v>35142.65</v>
      </c>
      <c r="I71" s="495">
        <f>IF(compras_mes78288[[#This Row],[NETO GRAVADO]]="","",compras_mes78288[[#This Row],[NETO GRAVADO]]*0.21)</f>
        <v>7379.9565000000002</v>
      </c>
      <c r="J71" s="495"/>
      <c r="K71" s="495"/>
      <c r="L71" s="495"/>
      <c r="M71" s="495"/>
      <c r="N71" s="495"/>
      <c r="O71" s="495"/>
      <c r="P71" s="456">
        <f>SUM(compras_mes78288[[#This Row],[NETO GRAVADO]:[Otros / No Grav.]])</f>
        <v>42522.606500000002</v>
      </c>
      <c r="Q71" s="129" t="str">
        <f>IFERROR(IF(compras_mes78288[[#This Row],[CUIT]]="","-",VLOOKUP(compras_mes78288[[#This Row],[CUIT]],Lista_CUIT[#All],3,0)),"CUIT NO CARGADO")</f>
        <v>Gastos Varios</v>
      </c>
      <c r="R71" s="553">
        <f>IFERROR(IF(compras_mes78288[[#This Row],[CUIT]]="","-",VLOOKUP(compras_mes78288[[#This Row],[CUIT]],Lista_CUIT[#All],4,0)),"CUIT NO CARGADO")</f>
        <v>0</v>
      </c>
    </row>
    <row r="72" spans="2:18" s="128" customFormat="1">
      <c r="B72" s="544" t="s">
        <v>2350</v>
      </c>
      <c r="C72" s="545">
        <v>1</v>
      </c>
      <c r="D72" s="546">
        <v>4</v>
      </c>
      <c r="E72" s="547">
        <v>3506</v>
      </c>
      <c r="F72" s="548">
        <v>27247017491</v>
      </c>
      <c r="G72" s="549" t="str">
        <f>IFERROR(IF(compras_mes78288[[#This Row],[CUIT]]="","-",VLOOKUP(compras_mes78288[[#This Row],[CUIT]],Lista_CUIT[#All],2,0)),"CUIT NO CARGADO")</f>
        <v>GONZALEZ PATRICIA NOEMI</v>
      </c>
      <c r="H72" s="550">
        <v>32231.43</v>
      </c>
      <c r="I72" s="495">
        <f>IF(compras_mes78288[[#This Row],[NETO GRAVADO]]="","",compras_mes78288[[#This Row],[NETO GRAVADO]]*0.21)</f>
        <v>6768.6003000000001</v>
      </c>
      <c r="J72" s="495"/>
      <c r="K72" s="495"/>
      <c r="L72" s="495"/>
      <c r="M72" s="495"/>
      <c r="N72" s="495"/>
      <c r="O72" s="495"/>
      <c r="P72" s="494">
        <f>SUM(compras_mes78288[[#This Row],[NETO GRAVADO]:[Otros / No Grav.]])</f>
        <v>39000.030299999999</v>
      </c>
      <c r="Q72" s="549" t="str">
        <f>IFERROR(IF(compras_mes78288[[#This Row],[CUIT]]="","-",VLOOKUP(compras_mes78288[[#This Row],[CUIT]],Lista_CUIT[#All],3,0)),"CUIT NO CARGADO")</f>
        <v>Gastos Varios</v>
      </c>
      <c r="R72" s="551">
        <f>IFERROR(IF(compras_mes78288[[#This Row],[CUIT]]="","-",VLOOKUP(compras_mes78288[[#This Row],[CUIT]],Lista_CUIT[#All],4,0)),"CUIT NO CARGADO")</f>
        <v>0</v>
      </c>
    </row>
    <row r="73" spans="2:18" s="128" customFormat="1">
      <c r="B73" s="544" t="s">
        <v>2352</v>
      </c>
      <c r="C73" s="545">
        <v>1</v>
      </c>
      <c r="D73" s="546">
        <v>7</v>
      </c>
      <c r="E73" s="547">
        <v>2817</v>
      </c>
      <c r="F73" s="548">
        <v>20134664518</v>
      </c>
      <c r="G73" s="549" t="str">
        <f>IFERROR(IF(compras_mes78288[[#This Row],[CUIT]]="","-",VLOOKUP(compras_mes78288[[#This Row],[CUIT]],Lista_CUIT[#All],2,0)),"CUIT NO CARGADO")</f>
        <v>HOKAMA SERGIO ENRIQUE</v>
      </c>
      <c r="H73" s="550">
        <v>30625.18</v>
      </c>
      <c r="I73" s="495">
        <f>IF(compras_mes78288[[#This Row],[NETO GRAVADO]]="","",compras_mes78288[[#This Row],[NETO GRAVADO]]*0.21)</f>
        <v>6431.2878000000001</v>
      </c>
      <c r="J73" s="495"/>
      <c r="K73" s="495"/>
      <c r="L73" s="495"/>
      <c r="M73" s="495"/>
      <c r="N73" s="495"/>
      <c r="O73" s="495"/>
      <c r="P73" s="494">
        <f>SUM(compras_mes78288[[#This Row],[NETO GRAVADO]:[Otros / No Grav.]])</f>
        <v>37056.467799999999</v>
      </c>
      <c r="Q73" s="549" t="str">
        <f>IFERROR(IF(compras_mes78288[[#This Row],[CUIT]]="","-",VLOOKUP(compras_mes78288[[#This Row],[CUIT]],Lista_CUIT[#All],3,0)),"CUIT NO CARGADO")</f>
        <v>Gastos Varios</v>
      </c>
      <c r="R73" s="551" t="str">
        <f>IFERROR(IF(compras_mes78288[[#This Row],[CUIT]]="","-",VLOOKUP(compras_mes78288[[#This Row],[CUIT]],Lista_CUIT[#All],4,0)),"CUIT NO CARGADO")</f>
        <v>BUENOS AIRES</v>
      </c>
    </row>
    <row r="74" spans="2:18" s="128" customFormat="1">
      <c r="B74" s="544" t="s">
        <v>2353</v>
      </c>
      <c r="C74" s="545">
        <v>1</v>
      </c>
      <c r="D74" s="546">
        <v>2188</v>
      </c>
      <c r="E74" s="547">
        <v>125554</v>
      </c>
      <c r="F74" s="548">
        <v>30548083156</v>
      </c>
      <c r="G74" s="549" t="str">
        <f>IFERROR(IF(compras_mes78288[[#This Row],[CUIT]]="","-",VLOOKUP(compras_mes78288[[#This Row],[CUIT]],Lista_CUIT[#All],2,0)),"CUIT NO CARGADO")</f>
        <v>COTO CENTRO INTEGRAL DE COMERCIALIZACION SOCIEDAD ANONIMA</v>
      </c>
      <c r="H74" s="550">
        <v>68252.47</v>
      </c>
      <c r="I74" s="495">
        <f>56985.37*0.21</f>
        <v>11966.9277</v>
      </c>
      <c r="J74" s="495"/>
      <c r="K74" s="495">
        <f>11267.1*0.105</f>
        <v>1183.0454999999999</v>
      </c>
      <c r="L74" s="495"/>
      <c r="M74" s="495"/>
      <c r="N74" s="495"/>
      <c r="O74" s="495">
        <v>5670.3</v>
      </c>
      <c r="P74" s="494">
        <f>SUM(compras_mes78288[[#This Row],[NETO GRAVADO]:[Otros / No Grav.]])</f>
        <v>87072.743199999997</v>
      </c>
      <c r="Q74" s="549" t="str">
        <f>IFERROR(IF(compras_mes78288[[#This Row],[CUIT]]="","-",VLOOKUP(compras_mes78288[[#This Row],[CUIT]],Lista_CUIT[#All],3,0)),"CUIT NO CARGADO")</f>
        <v>Gastos Varios</v>
      </c>
      <c r="R74" s="551">
        <f>IFERROR(IF(compras_mes78288[[#This Row],[CUIT]]="","-",VLOOKUP(compras_mes78288[[#This Row],[CUIT]],Lista_CUIT[#All],4,0)),"CUIT NO CARGADO")</f>
        <v>0</v>
      </c>
    </row>
    <row r="75" spans="2:18" s="128" customFormat="1">
      <c r="B75" s="544" t="s">
        <v>2354</v>
      </c>
      <c r="C75" s="545">
        <v>1</v>
      </c>
      <c r="D75" s="546">
        <v>2199</v>
      </c>
      <c r="E75" s="547">
        <v>30797</v>
      </c>
      <c r="F75" s="548">
        <v>30548083156</v>
      </c>
      <c r="G75" s="549" t="str">
        <f>IFERROR(IF(compras_mes78288[[#This Row],[CUIT]]="","-",VLOOKUP(compras_mes78288[[#This Row],[CUIT]],Lista_CUIT[#All],2,0)),"CUIT NO CARGADO")</f>
        <v>COTO CENTRO INTEGRAL DE COMERCIALIZACION SOCIEDAD ANONIMA</v>
      </c>
      <c r="H75" s="550">
        <v>7392.85</v>
      </c>
      <c r="I75" s="495">
        <f>2698.91*0.21</f>
        <v>566.77109999999993</v>
      </c>
      <c r="J75" s="495"/>
      <c r="K75" s="495">
        <f>4693.94*0.105</f>
        <v>492.86369999999994</v>
      </c>
      <c r="L75" s="495"/>
      <c r="M75" s="495"/>
      <c r="N75" s="495"/>
      <c r="O75" s="495">
        <v>562.39</v>
      </c>
      <c r="P75" s="494">
        <f>SUM(compras_mes78288[[#This Row],[NETO GRAVADO]:[Otros / No Grav.]])</f>
        <v>9014.8747999999996</v>
      </c>
      <c r="Q75" s="549" t="str">
        <f>IFERROR(IF(compras_mes78288[[#This Row],[CUIT]]="","-",VLOOKUP(compras_mes78288[[#This Row],[CUIT]],Lista_CUIT[#All],3,0)),"CUIT NO CARGADO")</f>
        <v>Gastos Varios</v>
      </c>
      <c r="R75" s="551">
        <f>IFERROR(IF(compras_mes78288[[#This Row],[CUIT]]="","-",VLOOKUP(compras_mes78288[[#This Row],[CUIT]],Lista_CUIT[#All],4,0)),"CUIT NO CARGADO")</f>
        <v>0</v>
      </c>
    </row>
    <row r="76" spans="2:18" s="128" customFormat="1">
      <c r="B76" s="544" t="s">
        <v>2355</v>
      </c>
      <c r="C76" s="545">
        <v>1</v>
      </c>
      <c r="D76" s="546">
        <v>3</v>
      </c>
      <c r="E76" s="547">
        <v>2538</v>
      </c>
      <c r="F76" s="548">
        <v>30714064572</v>
      </c>
      <c r="G76" s="129" t="str">
        <f>IFERROR(IF(compras_mes78288[[#This Row],[CUIT]]="","-",VLOOKUP(compras_mes78288[[#This Row],[CUIT]],Lista_CUIT[#All],2,0)),"CUIT NO CARGADO")</f>
        <v>NATURAL BOTANICS SRL</v>
      </c>
      <c r="H76" s="550">
        <v>30000</v>
      </c>
      <c r="I76" s="495">
        <f>IF(compras_mes78288[[#This Row],[NETO GRAVADO]]="","",compras_mes78288[[#This Row],[NETO GRAVADO]]*0.21)</f>
        <v>6300</v>
      </c>
      <c r="J76" s="495"/>
      <c r="K76" s="495"/>
      <c r="L76" s="495"/>
      <c r="M76" s="495"/>
      <c r="N76" s="495"/>
      <c r="O76" s="495"/>
      <c r="P76" s="456">
        <f>SUM(compras_mes78288[[#This Row],[NETO GRAVADO]:[Otros / No Grav.]])</f>
        <v>36300</v>
      </c>
      <c r="Q76" s="129" t="str">
        <f>IFERROR(IF(compras_mes78288[[#This Row],[CUIT]]="","-",VLOOKUP(compras_mes78288[[#This Row],[CUIT]],Lista_CUIT[#All],3,0)),"CUIT NO CARGADO")</f>
        <v>Gastos Varios</v>
      </c>
      <c r="R76" s="553">
        <f>IFERROR(IF(compras_mes78288[[#This Row],[CUIT]]="","-",VLOOKUP(compras_mes78288[[#This Row],[CUIT]],Lista_CUIT[#All],4,0)),"CUIT NO CARGADO")</f>
        <v>0</v>
      </c>
    </row>
    <row r="77" spans="2:18" s="128" customFormat="1">
      <c r="B77" s="544" t="s">
        <v>2355</v>
      </c>
      <c r="C77" s="545">
        <v>1</v>
      </c>
      <c r="D77" s="546">
        <v>7</v>
      </c>
      <c r="E77" s="547">
        <v>2833</v>
      </c>
      <c r="F77" s="548">
        <v>20134664518</v>
      </c>
      <c r="G77" s="549" t="str">
        <f>IFERROR(IF(compras_mes78288[[#This Row],[CUIT]]="","-",VLOOKUP(compras_mes78288[[#This Row],[CUIT]],Lista_CUIT[#All],2,0)),"CUIT NO CARGADO")</f>
        <v>HOKAMA SERGIO ENRIQUE</v>
      </c>
      <c r="H77" s="550">
        <v>10891.2</v>
      </c>
      <c r="I77" s="495">
        <f>IF(compras_mes78288[[#This Row],[NETO GRAVADO]]="","",compras_mes78288[[#This Row],[NETO GRAVADO]]*0.21)</f>
        <v>2287.152</v>
      </c>
      <c r="J77" s="495"/>
      <c r="K77" s="495"/>
      <c r="L77" s="495"/>
      <c r="M77" s="495"/>
      <c r="N77" s="495"/>
      <c r="O77" s="495"/>
      <c r="P77" s="494">
        <f>SUM(compras_mes78288[[#This Row],[NETO GRAVADO]:[Otros / No Grav.]])</f>
        <v>13178.352000000001</v>
      </c>
      <c r="Q77" s="549" t="str">
        <f>IFERROR(IF(compras_mes78288[[#This Row],[CUIT]]="","-",VLOOKUP(compras_mes78288[[#This Row],[CUIT]],Lista_CUIT[#All],3,0)),"CUIT NO CARGADO")</f>
        <v>Gastos Varios</v>
      </c>
      <c r="R77" s="551" t="str">
        <f>IFERROR(IF(compras_mes78288[[#This Row],[CUIT]]="","-",VLOOKUP(compras_mes78288[[#This Row],[CUIT]],Lista_CUIT[#All],4,0)),"CUIT NO CARGADO")</f>
        <v>BUENOS AIRES</v>
      </c>
    </row>
    <row r="78" spans="2:18" s="128" customFormat="1">
      <c r="B78" s="544" t="s">
        <v>2356</v>
      </c>
      <c r="C78" s="545">
        <v>1</v>
      </c>
      <c r="D78" s="546">
        <v>3</v>
      </c>
      <c r="E78" s="547">
        <v>763</v>
      </c>
      <c r="F78" s="548">
        <v>20373500241</v>
      </c>
      <c r="G78" s="129" t="str">
        <f>IFERROR(IF(compras_mes78288[[#This Row],[CUIT]]="","-",VLOOKUP(compras_mes78288[[#This Row],[CUIT]],Lista_CUIT[#All],2,0)),"CUIT NO CARGADO")</f>
        <v>MAÑA LEONARDO ISAAC</v>
      </c>
      <c r="H78" s="550">
        <v>22000</v>
      </c>
      <c r="I78" s="495">
        <f>IF(compras_mes78288[[#This Row],[NETO GRAVADO]]="","",compras_mes78288[[#This Row],[NETO GRAVADO]]*0.21)</f>
        <v>4620</v>
      </c>
      <c r="J78" s="495"/>
      <c r="K78" s="495"/>
      <c r="L78" s="495"/>
      <c r="M78" s="495"/>
      <c r="N78" s="495"/>
      <c r="O78" s="495"/>
      <c r="P78" s="456">
        <f>SUM(compras_mes78288[[#This Row],[NETO GRAVADO]:[Otros / No Grav.]])</f>
        <v>26620</v>
      </c>
      <c r="Q78" s="129" t="str">
        <f>IFERROR(IF(compras_mes78288[[#This Row],[CUIT]]="","-",VLOOKUP(compras_mes78288[[#This Row],[CUIT]],Lista_CUIT[#All],3,0)),"CUIT NO CARGADO")</f>
        <v>Gastos Varios</v>
      </c>
      <c r="R78" s="553">
        <f>IFERROR(IF(compras_mes78288[[#This Row],[CUIT]]="","-",VLOOKUP(compras_mes78288[[#This Row],[CUIT]],Lista_CUIT[#All],4,0)),"CUIT NO CARGADO")</f>
        <v>0</v>
      </c>
    </row>
    <row r="79" spans="2:18" s="128" customFormat="1">
      <c r="B79" s="544" t="s">
        <v>2356</v>
      </c>
      <c r="C79" s="545">
        <v>1</v>
      </c>
      <c r="D79" s="546">
        <v>8</v>
      </c>
      <c r="E79" s="547">
        <v>1676</v>
      </c>
      <c r="F79" s="548">
        <v>20277381908</v>
      </c>
      <c r="G79" s="129" t="str">
        <f>IFERROR(IF(compras_mes78288[[#This Row],[CUIT]]="","-",VLOOKUP(compras_mes78288[[#This Row],[CUIT]],Lista_CUIT[#All],2,0)),"CUIT NO CARGADO")</f>
        <v>ALONSO RODRIGO JAVIER</v>
      </c>
      <c r="H79" s="550">
        <v>1652.89</v>
      </c>
      <c r="I79" s="495">
        <f>IF(compras_mes78288[[#This Row],[NETO GRAVADO]]="","",compras_mes78288[[#This Row],[NETO GRAVADO]]*0.21)</f>
        <v>347.1069</v>
      </c>
      <c r="J79" s="495"/>
      <c r="K79" s="495"/>
      <c r="L79" s="495"/>
      <c r="M79" s="495"/>
      <c r="N79" s="495"/>
      <c r="O79" s="495"/>
      <c r="P79" s="456">
        <f>SUM(compras_mes78288[[#This Row],[NETO GRAVADO]:[Otros / No Grav.]])</f>
        <v>1999.9969000000001</v>
      </c>
      <c r="Q79" s="129" t="str">
        <f>IFERROR(IF(compras_mes78288[[#This Row],[CUIT]]="","-",VLOOKUP(compras_mes78288[[#This Row],[CUIT]],Lista_CUIT[#All],3,0)),"CUIT NO CARGADO")</f>
        <v>Gastos Varios</v>
      </c>
      <c r="R79" s="553">
        <f>IFERROR(IF(compras_mes78288[[#This Row],[CUIT]]="","-",VLOOKUP(compras_mes78288[[#This Row],[CUIT]],Lista_CUIT[#All],4,0)),"CUIT NO CARGADO")</f>
        <v>0</v>
      </c>
    </row>
    <row r="80" spans="2:18" s="128" customFormat="1">
      <c r="B80" s="544" t="s">
        <v>2356</v>
      </c>
      <c r="C80" s="545">
        <v>1</v>
      </c>
      <c r="D80" s="546">
        <v>3</v>
      </c>
      <c r="E80" s="547">
        <v>5272</v>
      </c>
      <c r="F80" s="548">
        <v>30716992663</v>
      </c>
      <c r="G80" s="129" t="str">
        <f>IFERROR(IF(compras_mes78288[[#This Row],[CUIT]]="","-",VLOOKUP(compras_mes78288[[#This Row],[CUIT]],Lista_CUIT[#All],2,0)),"CUIT NO CARGADO")</f>
        <v>TORONTO NATURAL S.R.L</v>
      </c>
      <c r="H80" s="550">
        <v>23553.72</v>
      </c>
      <c r="I80" s="495">
        <f>IF(compras_mes78288[[#This Row],[NETO GRAVADO]]="","",compras_mes78288[[#This Row],[NETO GRAVADO]]*0.21)</f>
        <v>4946.2812000000004</v>
      </c>
      <c r="J80" s="495"/>
      <c r="K80" s="495"/>
      <c r="L80" s="495"/>
      <c r="M80" s="495"/>
      <c r="N80" s="495"/>
      <c r="O80" s="495"/>
      <c r="P80" s="456">
        <f>SUM(compras_mes78288[[#This Row],[NETO GRAVADO]:[Otros / No Grav.]])</f>
        <v>28500.001200000002</v>
      </c>
      <c r="Q80" s="129" t="str">
        <f>IFERROR(IF(compras_mes78288[[#This Row],[CUIT]]="","-",VLOOKUP(compras_mes78288[[#This Row],[CUIT]],Lista_CUIT[#All],3,0)),"CUIT NO CARGADO")</f>
        <v>Gastos Varios</v>
      </c>
      <c r="R80" s="553">
        <f>IFERROR(IF(compras_mes78288[[#This Row],[CUIT]]="","-",VLOOKUP(compras_mes78288[[#This Row],[CUIT]],Lista_CUIT[#All],4,0)),"CUIT NO CARGADO")</f>
        <v>0</v>
      </c>
    </row>
    <row r="81" spans="2:18" s="128" customFormat="1">
      <c r="B81" s="544" t="s">
        <v>2356</v>
      </c>
      <c r="C81" s="545">
        <v>1</v>
      </c>
      <c r="D81" s="546">
        <v>1677</v>
      </c>
      <c r="E81" s="547">
        <v>48806</v>
      </c>
      <c r="F81" s="548">
        <v>30589621499</v>
      </c>
      <c r="G81" s="549" t="str">
        <f>IFERROR(IF(compras_mes78288[[#This Row],[CUIT]]="","-",VLOOKUP(compras_mes78288[[#This Row],[CUIT]],Lista_CUIT[#All],2,0)),"CUIT NO CARGADO")</f>
        <v>MAKRO SA</v>
      </c>
      <c r="H81" s="550">
        <v>176991.41</v>
      </c>
      <c r="I81" s="495">
        <f>176115.95*0.21</f>
        <v>36984.349500000004</v>
      </c>
      <c r="J81" s="495"/>
      <c r="K81" s="495">
        <f>875.46*0.105</f>
        <v>91.923299999999998</v>
      </c>
      <c r="L81" s="495">
        <v>5296.61</v>
      </c>
      <c r="M81" s="495"/>
      <c r="N81" s="495">
        <v>10619.48</v>
      </c>
      <c r="O81" s="495"/>
      <c r="P81" s="494">
        <f>SUM(compras_mes78288[[#This Row],[NETO GRAVADO]:[Otros / No Grav.]])</f>
        <v>229983.77280000001</v>
      </c>
      <c r="Q81" s="549" t="str">
        <f>IFERROR(IF(compras_mes78288[[#This Row],[CUIT]]="","-",VLOOKUP(compras_mes78288[[#This Row],[CUIT]],Lista_CUIT[#All],3,0)),"CUIT NO CARGADO")</f>
        <v>Gastos Varios</v>
      </c>
      <c r="R81" s="551">
        <f>IFERROR(IF(compras_mes78288[[#This Row],[CUIT]]="","-",VLOOKUP(compras_mes78288[[#This Row],[CUIT]],Lista_CUIT[#All],4,0)),"CUIT NO CARGADO")</f>
        <v>0</v>
      </c>
    </row>
    <row r="82" spans="2:18" s="128" customFormat="1">
      <c r="B82" s="544" t="s">
        <v>2356</v>
      </c>
      <c r="C82" s="545">
        <v>1</v>
      </c>
      <c r="D82" s="546">
        <v>27</v>
      </c>
      <c r="E82" s="547">
        <v>2688596</v>
      </c>
      <c r="F82" s="548">
        <v>30703088534</v>
      </c>
      <c r="G82" s="549" t="str">
        <f>IFERROR(IF(compras_mes78288[[#This Row],[CUIT]]="","-",VLOOKUP(compras_mes78288[[#This Row],[CUIT]],Lista_CUIT[#All],2,0)),"CUIT NO CARGADO")</f>
        <v>MERCADO LIBRE SRL</v>
      </c>
      <c r="H82" s="550">
        <v>1062050.75</v>
      </c>
      <c r="I82" s="495">
        <f>IF(compras_mes78288[[#This Row],[NETO GRAVADO]]="","",compras_mes78288[[#This Row],[NETO GRAVADO]]*0.21)</f>
        <v>223030.6575</v>
      </c>
      <c r="J82" s="495"/>
      <c r="K82" s="495"/>
      <c r="L82" s="495"/>
      <c r="M82" s="495"/>
      <c r="N82" s="495"/>
      <c r="O82" s="495">
        <v>106205.11</v>
      </c>
      <c r="P82" s="494">
        <f>SUM(compras_mes78288[[#This Row],[NETO GRAVADO]:[Otros / No Grav.]])</f>
        <v>1391286.5175000001</v>
      </c>
      <c r="Q82" s="549" t="str">
        <f>IFERROR(IF(compras_mes78288[[#This Row],[CUIT]]="","-",VLOOKUP(compras_mes78288[[#This Row],[CUIT]],Lista_CUIT[#All],3,0)),"CUIT NO CARGADO")</f>
        <v>Gastos Varios</v>
      </c>
      <c r="R82" s="551" t="str">
        <f>IFERROR(IF(compras_mes78288[[#This Row],[CUIT]]="","-",VLOOKUP(compras_mes78288[[#This Row],[CUIT]],Lista_CUIT[#All],4,0)),"CUIT NO CARGADO")</f>
        <v>CABA</v>
      </c>
    </row>
    <row r="83" spans="2:18" s="128" customFormat="1">
      <c r="B83" s="544" t="s">
        <v>2357</v>
      </c>
      <c r="C83" s="545">
        <v>1</v>
      </c>
      <c r="D83" s="546">
        <v>8</v>
      </c>
      <c r="E83" s="547">
        <v>1684</v>
      </c>
      <c r="F83" s="548">
        <v>20277381908</v>
      </c>
      <c r="G83" s="549" t="str">
        <f>IFERROR(IF(compras_mes78288[[#This Row],[CUIT]]="","-",VLOOKUP(compras_mes78288[[#This Row],[CUIT]],Lista_CUIT[#All],2,0)),"CUIT NO CARGADO")</f>
        <v>ALONSO RODRIGO JAVIER</v>
      </c>
      <c r="H83" s="550">
        <v>18347.11</v>
      </c>
      <c r="I83" s="495">
        <f>IF(compras_mes78288[[#This Row],[NETO GRAVADO]]="","",compras_mes78288[[#This Row],[NETO GRAVADO]]*0.21)</f>
        <v>3852.8930999999998</v>
      </c>
      <c r="J83" s="495"/>
      <c r="K83" s="495"/>
      <c r="L83" s="495"/>
      <c r="M83" s="495"/>
      <c r="N83" s="495"/>
      <c r="O83" s="495"/>
      <c r="P83" s="494">
        <f>SUM(compras_mes78288[[#This Row],[NETO GRAVADO]:[Otros / No Grav.]])</f>
        <v>22200.003100000002</v>
      </c>
      <c r="Q83" s="549" t="str">
        <f>IFERROR(IF(compras_mes78288[[#This Row],[CUIT]]="","-",VLOOKUP(compras_mes78288[[#This Row],[CUIT]],Lista_CUIT[#All],3,0)),"CUIT NO CARGADO")</f>
        <v>Gastos Varios</v>
      </c>
      <c r="R83" s="551">
        <f>IFERROR(IF(compras_mes78288[[#This Row],[CUIT]]="","-",VLOOKUP(compras_mes78288[[#This Row],[CUIT]],Lista_CUIT[#All],4,0)),"CUIT NO CARGADO")</f>
        <v>0</v>
      </c>
    </row>
    <row r="84" spans="2:18" s="128" customFormat="1">
      <c r="B84" s="569" t="s">
        <v>2357</v>
      </c>
      <c r="C84" s="570">
        <v>81</v>
      </c>
      <c r="D84" s="571">
        <v>1</v>
      </c>
      <c r="E84" s="572">
        <v>910</v>
      </c>
      <c r="F84" s="573">
        <v>20323945897</v>
      </c>
      <c r="G84" s="172" t="str">
        <f>IFERROR(IF(compras_mes78288[[#This Row],[CUIT]]="","-",VLOOKUP(compras_mes78288[[#This Row],[CUIT]],Lista_CUIT[#All],2,0)),"CUIT NO CARGADO")</f>
        <v>CORREA CARLOS OSVALDO</v>
      </c>
      <c r="H84" s="574">
        <v>3305.76</v>
      </c>
      <c r="I84" s="575">
        <f>IF(compras_mes78288[[#This Row],[NETO GRAVADO]]="","",compras_mes78288[[#This Row],[NETO GRAVADO]]*0.21)</f>
        <v>694.20960000000002</v>
      </c>
      <c r="J84" s="575"/>
      <c r="K84" s="575"/>
      <c r="L84" s="575"/>
      <c r="M84" s="575"/>
      <c r="N84" s="575"/>
      <c r="O84" s="575"/>
      <c r="P84" s="175">
        <f>SUM(compras_mes78288[[#This Row],[NETO GRAVADO]:[Otros / No Grav.]])</f>
        <v>3999.9696000000004</v>
      </c>
      <c r="Q84" s="172" t="str">
        <f>IFERROR(IF(compras_mes78288[[#This Row],[CUIT]]="","-",VLOOKUP(compras_mes78288[[#This Row],[CUIT]],Lista_CUIT[#All],3,0)),"CUIT NO CARGADO")</f>
        <v>Gastos Varios</v>
      </c>
      <c r="R84" s="176">
        <f>IFERROR(IF(compras_mes78288[[#This Row],[CUIT]]="","-",VLOOKUP(compras_mes78288[[#This Row],[CUIT]],Lista_CUIT[#All],4,0)),"CUIT NO CARGADO")</f>
        <v>0</v>
      </c>
    </row>
    <row r="85" spans="2:18" s="128" customFormat="1">
      <c r="B85" s="544" t="s">
        <v>2337</v>
      </c>
      <c r="C85" s="545">
        <v>1</v>
      </c>
      <c r="D85" s="546">
        <v>414</v>
      </c>
      <c r="E85" s="547">
        <v>26</v>
      </c>
      <c r="F85" s="548">
        <v>30687725766</v>
      </c>
      <c r="G85" s="549" t="str">
        <f>IFERROR(IF(compras_mes78288[[#This Row],[CUIT]]="","-",VLOOKUP(compras_mes78288[[#This Row],[CUIT]],Lista_CUIT[#All],2,0)),"CUIT NO CARGADO")</f>
        <v>MAZALOSA S A</v>
      </c>
      <c r="H85" s="550">
        <v>4793.43</v>
      </c>
      <c r="I85" s="495">
        <f>IF(compras_mes78288[[#This Row],[NETO GRAVADO]]="","",compras_mes78288[[#This Row],[NETO GRAVADO]]*0.21)</f>
        <v>1006.6203</v>
      </c>
      <c r="J85" s="495"/>
      <c r="K85" s="495"/>
      <c r="L85" s="495"/>
      <c r="M85" s="495"/>
      <c r="N85" s="495"/>
      <c r="O85" s="495"/>
      <c r="P85" s="494">
        <f>SUM(compras_mes78288[[#This Row],[NETO GRAVADO]:[Otros / No Grav.]])</f>
        <v>5800.0503000000008</v>
      </c>
      <c r="Q85" s="549" t="str">
        <f>IFERROR(IF(compras_mes78288[[#This Row],[CUIT]]="","-",VLOOKUP(compras_mes78288[[#This Row],[CUIT]],Lista_CUIT[#All],3,0)),"CUIT NO CARGADO")</f>
        <v>Gastos Varios</v>
      </c>
      <c r="R85" s="551">
        <f>IFERROR(IF(compras_mes78288[[#This Row],[CUIT]]="","-",VLOOKUP(compras_mes78288[[#This Row],[CUIT]],Lista_CUIT[#All],4,0)),"CUIT NO CARGADO")</f>
        <v>0</v>
      </c>
    </row>
    <row r="86" spans="2:18" s="128" customFormat="1">
      <c r="B86" s="544" t="s">
        <v>2337</v>
      </c>
      <c r="C86" s="545">
        <v>1</v>
      </c>
      <c r="D86" s="546">
        <v>412</v>
      </c>
      <c r="E86" s="547">
        <v>118</v>
      </c>
      <c r="F86" s="548">
        <v>30687725766</v>
      </c>
      <c r="G86" s="549" t="str">
        <f>IFERROR(IF(compras_mes78288[[#This Row],[CUIT]]="","-",VLOOKUP(compras_mes78288[[#This Row],[CUIT]],Lista_CUIT[#All],2,0)),"CUIT NO CARGADO")</f>
        <v>MAZALOSA S A</v>
      </c>
      <c r="H86" s="550">
        <v>68413.52</v>
      </c>
      <c r="I86" s="495">
        <f>IF(compras_mes78288[[#This Row],[NETO GRAVADO]]="","",compras_mes78288[[#This Row],[NETO GRAVADO]]*0.21)</f>
        <v>14366.8392</v>
      </c>
      <c r="J86" s="495"/>
      <c r="K86" s="495"/>
      <c r="L86" s="495"/>
      <c r="M86" s="495"/>
      <c r="N86" s="495"/>
      <c r="O86" s="495"/>
      <c r="P86" s="494">
        <f>SUM(compras_mes78288[[#This Row],[NETO GRAVADO]:[Otros / No Grav.]])</f>
        <v>82780.359200000006</v>
      </c>
      <c r="Q86" s="549" t="str">
        <f>IFERROR(IF(compras_mes78288[[#This Row],[CUIT]]="","-",VLOOKUP(compras_mes78288[[#This Row],[CUIT]],Lista_CUIT[#All],3,0)),"CUIT NO CARGADO")</f>
        <v>Gastos Varios</v>
      </c>
      <c r="R86" s="551">
        <f>IFERROR(IF(compras_mes78288[[#This Row],[CUIT]]="","-",VLOOKUP(compras_mes78288[[#This Row],[CUIT]],Lista_CUIT[#All],4,0)),"CUIT NO CARGADO")</f>
        <v>0</v>
      </c>
    </row>
    <row r="87" spans="2:18" s="128" customFormat="1">
      <c r="B87" s="544" t="s">
        <v>2353</v>
      </c>
      <c r="C87" s="545">
        <v>1</v>
      </c>
      <c r="D87" s="546">
        <v>11</v>
      </c>
      <c r="E87" s="547">
        <v>221</v>
      </c>
      <c r="F87" s="548">
        <v>30717197409</v>
      </c>
      <c r="G87" s="549" t="str">
        <f>IFERROR(IF(compras_mes78288[[#This Row],[CUIT]]="","-",VLOOKUP(compras_mes78288[[#This Row],[CUIT]],Lista_CUIT[#All],2,0)),"CUIT NO CARGADO")</f>
        <v>KIRICOCHO S.R.L.</v>
      </c>
      <c r="H87" s="550">
        <v>19338.84</v>
      </c>
      <c r="I87" s="495">
        <f>IF(compras_mes78288[[#This Row],[NETO GRAVADO]]="","",compras_mes78288[[#This Row],[NETO GRAVADO]]*0.21)</f>
        <v>4061.1563999999998</v>
      </c>
      <c r="J87" s="495"/>
      <c r="K87" s="495"/>
      <c r="L87" s="495"/>
      <c r="M87" s="495"/>
      <c r="N87" s="495"/>
      <c r="O87" s="495"/>
      <c r="P87" s="494">
        <f>SUM(compras_mes78288[[#This Row],[NETO GRAVADO]:[Otros / No Grav.]])</f>
        <v>23399.9964</v>
      </c>
      <c r="Q87" s="549" t="str">
        <f>IFERROR(IF(compras_mes78288[[#This Row],[CUIT]]="","-",VLOOKUP(compras_mes78288[[#This Row],[CUIT]],Lista_CUIT[#All],3,0)),"CUIT NO CARGADO")</f>
        <v>Gastos Varios</v>
      </c>
      <c r="R87" s="551">
        <f>IFERROR(IF(compras_mes78288[[#This Row],[CUIT]]="","-",VLOOKUP(compras_mes78288[[#This Row],[CUIT]],Lista_CUIT[#All],4,0)),"CUIT NO CARGADO")</f>
        <v>0</v>
      </c>
    </row>
    <row r="88" spans="2:18" s="128" customFormat="1">
      <c r="B88" s="544" t="s">
        <v>2357</v>
      </c>
      <c r="C88" s="545">
        <v>1</v>
      </c>
      <c r="D88" s="546">
        <v>51</v>
      </c>
      <c r="E88" s="547">
        <v>111</v>
      </c>
      <c r="F88" s="548">
        <v>30677372717</v>
      </c>
      <c r="G88" s="549" t="str">
        <f>IFERROR(IF(compras_mes78288[[#This Row],[CUIT]]="","-",VLOOKUP(compras_mes78288[[#This Row],[CUIT]],Lista_CUIT[#All],2,0)),"CUIT NO CARGADO")</f>
        <v>HIJOS DE ADOLFO KIRCHUK SRL</v>
      </c>
      <c r="H88" s="550">
        <v>12388.43</v>
      </c>
      <c r="I88" s="495">
        <f>IF(compras_mes78288[[#This Row],[NETO GRAVADO]]="","",compras_mes78288[[#This Row],[NETO GRAVADO]]*0.21)</f>
        <v>2601.5702999999999</v>
      </c>
      <c r="J88" s="495"/>
      <c r="K88" s="495"/>
      <c r="L88" s="495"/>
      <c r="M88" s="495"/>
      <c r="N88" s="495"/>
      <c r="O88" s="495"/>
      <c r="P88" s="494">
        <f>SUM(compras_mes78288[[#This Row],[NETO GRAVADO]:[Otros / No Grav.]])</f>
        <v>14990.0003</v>
      </c>
      <c r="Q88" s="549" t="str">
        <f>IFERROR(IF(compras_mes78288[[#This Row],[CUIT]]="","-",VLOOKUP(compras_mes78288[[#This Row],[CUIT]],Lista_CUIT[#All],3,0)),"CUIT NO CARGADO")</f>
        <v>Gastos Varios</v>
      </c>
      <c r="R88" s="551">
        <f>IFERROR(IF(compras_mes78288[[#This Row],[CUIT]]="","-",VLOOKUP(compras_mes78288[[#This Row],[CUIT]],Lista_CUIT[#All],4,0)),"CUIT NO CARGADO")</f>
        <v>0</v>
      </c>
    </row>
    <row r="89" spans="2:18" s="128" customFormat="1">
      <c r="B89" s="544" t="s">
        <v>2335</v>
      </c>
      <c r="C89" s="545">
        <v>1</v>
      </c>
      <c r="D89" s="546">
        <v>1</v>
      </c>
      <c r="E89" s="547">
        <v>205</v>
      </c>
      <c r="F89" s="548">
        <v>30716352451</v>
      </c>
      <c r="G89" s="549" t="str">
        <f>IFERROR(IF(compras_mes78288[[#This Row],[CUIT]]="","-",VLOOKUP(compras_mes78288[[#This Row],[CUIT]],Lista_CUIT[#All],2,0)),"CUIT NO CARGADO")</f>
        <v>NUCLEOGAMER S.R.L</v>
      </c>
      <c r="H89" s="550">
        <v>275080</v>
      </c>
      <c r="I89" s="495"/>
      <c r="J89" s="495"/>
      <c r="K89" s="495">
        <f>compras_mes78288[[#This Row],[NETO GRAVADO]]*0.105</f>
        <v>28883.399999999998</v>
      </c>
      <c r="L89" s="495"/>
      <c r="M89" s="495"/>
      <c r="N89" s="495"/>
      <c r="O89" s="495"/>
      <c r="P89" s="494">
        <f>SUM(compras_mes78288[[#This Row],[NETO GRAVADO]:[Otros / No Grav.]])</f>
        <v>303963.40000000002</v>
      </c>
      <c r="Q89" s="129" t="s">
        <v>79</v>
      </c>
      <c r="R89" s="551">
        <f>IFERROR(IF(compras_mes78288[[#This Row],[CUIT]]="","-",VLOOKUP(compras_mes78288[[#This Row],[CUIT]],Lista_CUIT[#All],4,0)),"CUIT NO CARGADO")</f>
        <v>0</v>
      </c>
    </row>
    <row r="90" spans="2:18" s="128" customFormat="1">
      <c r="B90" s="544" t="s">
        <v>2345</v>
      </c>
      <c r="C90" s="545">
        <v>1</v>
      </c>
      <c r="D90" s="546">
        <v>3</v>
      </c>
      <c r="E90" s="547">
        <v>9245</v>
      </c>
      <c r="F90" s="548">
        <v>27412102431</v>
      </c>
      <c r="G90" s="549" t="str">
        <f>IFERROR(IF(compras_mes78288[[#This Row],[CUIT]]="","-",VLOOKUP(compras_mes78288[[#This Row],[CUIT]],Lista_CUIT[#All],2,0)),"CUIT NO CARGADO")</f>
        <v>ALVEZ ARIANA SOL</v>
      </c>
      <c r="H90" s="550">
        <v>67933.86</v>
      </c>
      <c r="I90" s="495">
        <f>IF(compras_mes78288[[#This Row],[NETO GRAVADO]]="","",compras_mes78288[[#This Row],[NETO GRAVADO]]*0.21)</f>
        <v>14266.1106</v>
      </c>
      <c r="J90" s="495"/>
      <c r="K90" s="495"/>
      <c r="L90" s="495"/>
      <c r="M90" s="495"/>
      <c r="N90" s="495"/>
      <c r="O90" s="495"/>
      <c r="P90" s="494">
        <f>SUM(compras_mes78288[[#This Row],[NETO GRAVADO]:[Otros / No Grav.]])</f>
        <v>82199.970600000001</v>
      </c>
      <c r="Q90" s="129" t="s">
        <v>79</v>
      </c>
      <c r="R90" s="551">
        <f>IFERROR(IF(compras_mes78288[[#This Row],[CUIT]]="","-",VLOOKUP(compras_mes78288[[#This Row],[CUIT]],Lista_CUIT[#All],4,0)),"CUIT NO CARGADO")</f>
        <v>0</v>
      </c>
    </row>
    <row r="91" spans="2:18" s="128" customFormat="1">
      <c r="B91" s="544" t="s">
        <v>2351</v>
      </c>
      <c r="C91" s="545">
        <v>1</v>
      </c>
      <c r="D91" s="546">
        <v>5</v>
      </c>
      <c r="E91" s="547">
        <v>2601</v>
      </c>
      <c r="F91" s="548">
        <v>30711651779</v>
      </c>
      <c r="G91" s="549" t="str">
        <f>IFERROR(IF(compras_mes78288[[#This Row],[CUIT]]="","-",VLOOKUP(compras_mes78288[[#This Row],[CUIT]],Lista_CUIT[#All],2,0)),"CUIT NO CARGADO")</f>
        <v>INFOSOL BUENOS AIRES S.R.L.</v>
      </c>
      <c r="H91" s="550">
        <v>6694.21</v>
      </c>
      <c r="I91" s="495">
        <f>IF(compras_mes78288[[#This Row],[NETO GRAVADO]]="","",compras_mes78288[[#This Row],[NETO GRAVADO]]*0.21)</f>
        <v>1405.7840999999999</v>
      </c>
      <c r="J91" s="495"/>
      <c r="K91" s="495"/>
      <c r="L91" s="495"/>
      <c r="M91" s="495"/>
      <c r="N91" s="495"/>
      <c r="O91" s="495"/>
      <c r="P91" s="494">
        <f>SUM(compras_mes78288[[#This Row],[NETO GRAVADO]:[Otros / No Grav.]])</f>
        <v>8099.9940999999999</v>
      </c>
      <c r="Q91" s="129" t="s">
        <v>79</v>
      </c>
      <c r="R91" s="551">
        <f>IFERROR(IF(compras_mes78288[[#This Row],[CUIT]]="","-",VLOOKUP(compras_mes78288[[#This Row],[CUIT]],Lista_CUIT[#All],4,0)),"CUIT NO CARGADO")</f>
        <v>0</v>
      </c>
    </row>
    <row r="92" spans="2:18" s="128" customFormat="1">
      <c r="B92" s="544" t="s">
        <v>2357</v>
      </c>
      <c r="C92" s="545">
        <v>1</v>
      </c>
      <c r="D92" s="546">
        <v>6</v>
      </c>
      <c r="E92" s="547">
        <v>26429</v>
      </c>
      <c r="F92" s="548">
        <v>30709457523</v>
      </c>
      <c r="G92" s="549" t="str">
        <f>IFERROR(IF(compras_mes78288[[#This Row],[CUIT]]="","-",VLOOKUP(compras_mes78288[[#This Row],[CUIT]],Lista_CUIT[#All],2,0)),"CUIT NO CARGADO")</f>
        <v>TENDEX SA</v>
      </c>
      <c r="H92" s="550">
        <v>53804.52</v>
      </c>
      <c r="I92" s="495"/>
      <c r="J92" s="495"/>
      <c r="K92" s="495">
        <f>compras_mes78288[[#This Row],[NETO GRAVADO]]*0.105</f>
        <v>5649.4745999999996</v>
      </c>
      <c r="L92" s="495"/>
      <c r="M92" s="495"/>
      <c r="N92" s="495"/>
      <c r="O92" s="495"/>
      <c r="P92" s="494">
        <f>SUM(compras_mes78288[[#This Row],[NETO GRAVADO]:[Otros / No Grav.]])</f>
        <v>59453.994599999998</v>
      </c>
      <c r="Q92" s="129" t="s">
        <v>79</v>
      </c>
      <c r="R92" s="551">
        <f>IFERROR(IF(compras_mes78288[[#This Row],[CUIT]]="","-",VLOOKUP(compras_mes78288[[#This Row],[CUIT]],Lista_CUIT[#All],4,0)),"CUIT NO CARGADO")</f>
        <v>0</v>
      </c>
    </row>
    <row r="93" spans="2:18" s="128" customFormat="1">
      <c r="B93" s="544" t="s">
        <v>2344</v>
      </c>
      <c r="C93" s="545">
        <v>1</v>
      </c>
      <c r="D93" s="546">
        <v>3</v>
      </c>
      <c r="E93" s="547">
        <v>972</v>
      </c>
      <c r="F93" s="548">
        <v>27057614051</v>
      </c>
      <c r="G93" s="549" t="str">
        <f>IFERROR(IF(compras_mes78288[[#This Row],[CUIT]]="","-",VLOOKUP(compras_mes78288[[#This Row],[CUIT]],Lista_CUIT[#All],2,0)),"CUIT NO CARGADO")</f>
        <v>JAZIN BEATRIZ</v>
      </c>
      <c r="H93" s="550">
        <v>91520</v>
      </c>
      <c r="I93" s="495">
        <f>IF(compras_mes78288[[#This Row],[NETO GRAVADO]]="","",compras_mes78288[[#This Row],[NETO GRAVADO]]*0.21)</f>
        <v>19219.2</v>
      </c>
      <c r="J93" s="495"/>
      <c r="K93" s="495"/>
      <c r="L93" s="495"/>
      <c r="M93" s="495"/>
      <c r="N93" s="495"/>
      <c r="O93" s="495"/>
      <c r="P93" s="494">
        <f>SUM(compras_mes78288[[#This Row],[NETO GRAVADO]:[Otros / No Grav.]])</f>
        <v>110739.2</v>
      </c>
      <c r="Q93" s="549" t="str">
        <f>IFERROR(IF(compras_mes78288[[#This Row],[CUIT]]="","-",VLOOKUP(compras_mes78288[[#This Row],[CUIT]],Lista_CUIT[#All],3,0)),"CUIT NO CARGADO")</f>
        <v>Honorarios Legales</v>
      </c>
      <c r="R93" s="551">
        <f>IFERROR(IF(compras_mes78288[[#This Row],[CUIT]]="","-",VLOOKUP(compras_mes78288[[#This Row],[CUIT]],Lista_CUIT[#All],4,0)),"CUIT NO CARGADO")</f>
        <v>0</v>
      </c>
    </row>
    <row r="94" spans="2:18" s="128" customFormat="1">
      <c r="B94" s="544" t="s">
        <v>2329</v>
      </c>
      <c r="C94" s="545">
        <v>1</v>
      </c>
      <c r="D94" s="546">
        <v>2</v>
      </c>
      <c r="E94" s="547">
        <v>4703</v>
      </c>
      <c r="F94" s="548">
        <v>30717202305</v>
      </c>
      <c r="G94" s="129" t="str">
        <f>IFERROR(IF(compras_mes78288[[#This Row],[CUIT]]="","-",VLOOKUP(compras_mes78288[[#This Row],[CUIT]],Lista_CUIT[#All],2,0)),"CUIT NO CARGADO")</f>
        <v>LIBRERIA EL COLEGIO AVELLANEDA S.R.L.</v>
      </c>
      <c r="H94" s="550">
        <v>54545.46</v>
      </c>
      <c r="I94" s="495">
        <f>IF(compras_mes78288[[#This Row],[NETO GRAVADO]]="","",compras_mes78288[[#This Row],[NETO GRAVADO]]*0.21)</f>
        <v>11454.5466</v>
      </c>
      <c r="J94" s="495"/>
      <c r="K94" s="495"/>
      <c r="L94" s="495"/>
      <c r="M94" s="495"/>
      <c r="N94" s="495"/>
      <c r="O94" s="495"/>
      <c r="P94" s="456">
        <f>SUM(compras_mes78288[[#This Row],[NETO GRAVADO]:[Otros / No Grav.]])</f>
        <v>66000.006599999993</v>
      </c>
      <c r="Q94" s="129" t="str">
        <f>IFERROR(IF(compras_mes78288[[#This Row],[CUIT]]="","-",VLOOKUP(compras_mes78288[[#This Row],[CUIT]],Lista_CUIT[#All],3,0)),"CUIT NO CARGADO")</f>
        <v>LIBRERÍA</v>
      </c>
      <c r="R94" s="553">
        <f>IFERROR(IF(compras_mes78288[[#This Row],[CUIT]]="","-",VLOOKUP(compras_mes78288[[#This Row],[CUIT]],Lista_CUIT[#All],4,0)),"CUIT NO CARGADO")</f>
        <v>0</v>
      </c>
    </row>
    <row r="95" spans="2:18" s="128" customFormat="1">
      <c r="B95" s="544" t="s">
        <v>2329</v>
      </c>
      <c r="C95" s="545">
        <v>1</v>
      </c>
      <c r="D95" s="546">
        <v>2</v>
      </c>
      <c r="E95" s="547">
        <v>4704</v>
      </c>
      <c r="F95" s="548">
        <v>30717202305</v>
      </c>
      <c r="G95" s="549" t="str">
        <f>IFERROR(IF(compras_mes78288[[#This Row],[CUIT]]="","-",VLOOKUP(compras_mes78288[[#This Row],[CUIT]],Lista_CUIT[#All],2,0)),"CUIT NO CARGADO")</f>
        <v>LIBRERIA EL COLEGIO AVELLANEDA S.R.L.</v>
      </c>
      <c r="H95" s="550">
        <v>54545.46</v>
      </c>
      <c r="I95" s="495">
        <f>IF(compras_mes78288[[#This Row],[NETO GRAVADO]]="","",compras_mes78288[[#This Row],[NETO GRAVADO]]*0.21)</f>
        <v>11454.5466</v>
      </c>
      <c r="J95" s="495"/>
      <c r="K95" s="495"/>
      <c r="L95" s="495"/>
      <c r="M95" s="495"/>
      <c r="N95" s="495"/>
      <c r="O95" s="495"/>
      <c r="P95" s="494">
        <f>SUM(compras_mes78288[[#This Row],[NETO GRAVADO]:[Otros / No Grav.]])</f>
        <v>66000.006599999993</v>
      </c>
      <c r="Q95" s="549" t="str">
        <f>IFERROR(IF(compras_mes78288[[#This Row],[CUIT]]="","-",VLOOKUP(compras_mes78288[[#This Row],[CUIT]],Lista_CUIT[#All],3,0)),"CUIT NO CARGADO")</f>
        <v>LIBRERÍA</v>
      </c>
      <c r="R95" s="551">
        <f>IFERROR(IF(compras_mes78288[[#This Row],[CUIT]]="","-",VLOOKUP(compras_mes78288[[#This Row],[CUIT]],Lista_CUIT[#All],4,0)),"CUIT NO CARGADO")</f>
        <v>0</v>
      </c>
    </row>
    <row r="96" spans="2:18" s="128" customFormat="1">
      <c r="B96" s="544" t="s">
        <v>2329</v>
      </c>
      <c r="C96" s="545">
        <v>1</v>
      </c>
      <c r="D96" s="546">
        <v>2</v>
      </c>
      <c r="E96" s="547">
        <v>4705</v>
      </c>
      <c r="F96" s="548">
        <v>30717202305</v>
      </c>
      <c r="G96" s="129" t="str">
        <f>IFERROR(IF(compras_mes78288[[#This Row],[CUIT]]="","-",VLOOKUP(compras_mes78288[[#This Row],[CUIT]],Lista_CUIT[#All],2,0)),"CUIT NO CARGADO")</f>
        <v>LIBRERIA EL COLEGIO AVELLANEDA S.R.L.</v>
      </c>
      <c r="H96" s="550">
        <v>54545.46</v>
      </c>
      <c r="I96" s="495">
        <f>IF(compras_mes78288[[#This Row],[NETO GRAVADO]]="","",compras_mes78288[[#This Row],[NETO GRAVADO]]*0.21)</f>
        <v>11454.5466</v>
      </c>
      <c r="J96" s="495"/>
      <c r="K96" s="495"/>
      <c r="L96" s="495"/>
      <c r="M96" s="495"/>
      <c r="N96" s="495"/>
      <c r="O96" s="495"/>
      <c r="P96" s="456">
        <f>SUM(compras_mes78288[[#This Row],[NETO GRAVADO]:[Otros / No Grav.]])</f>
        <v>66000.006599999993</v>
      </c>
      <c r="Q96" s="129" t="str">
        <f>IFERROR(IF(compras_mes78288[[#This Row],[CUIT]]="","-",VLOOKUP(compras_mes78288[[#This Row],[CUIT]],Lista_CUIT[#All],3,0)),"CUIT NO CARGADO")</f>
        <v>LIBRERÍA</v>
      </c>
      <c r="R96" s="553">
        <f>IFERROR(IF(compras_mes78288[[#This Row],[CUIT]]="","-",VLOOKUP(compras_mes78288[[#This Row],[CUIT]],Lista_CUIT[#All],4,0)),"CUIT NO CARGADO")</f>
        <v>0</v>
      </c>
    </row>
    <row r="97" spans="2:18" s="128" customFormat="1">
      <c r="B97" s="544" t="s">
        <v>2329</v>
      </c>
      <c r="C97" s="545">
        <v>1</v>
      </c>
      <c r="D97" s="546">
        <v>2</v>
      </c>
      <c r="E97" s="547">
        <v>4706</v>
      </c>
      <c r="F97" s="548">
        <v>30717202305</v>
      </c>
      <c r="G97" s="129" t="str">
        <f>IFERROR(IF(compras_mes78288[[#This Row],[CUIT]]="","-",VLOOKUP(compras_mes78288[[#This Row],[CUIT]],Lista_CUIT[#All],2,0)),"CUIT NO CARGADO")</f>
        <v>LIBRERIA EL COLEGIO AVELLANEDA S.R.L.</v>
      </c>
      <c r="H97" s="550">
        <v>54545.46</v>
      </c>
      <c r="I97" s="495">
        <f>IF(compras_mes78288[[#This Row],[NETO GRAVADO]]="","",compras_mes78288[[#This Row],[NETO GRAVADO]]*0.21)</f>
        <v>11454.5466</v>
      </c>
      <c r="J97" s="495"/>
      <c r="K97" s="495"/>
      <c r="L97" s="495"/>
      <c r="M97" s="495"/>
      <c r="N97" s="495"/>
      <c r="O97" s="495"/>
      <c r="P97" s="456">
        <f>SUM(compras_mes78288[[#This Row],[NETO GRAVADO]:[Otros / No Grav.]])</f>
        <v>66000.006599999993</v>
      </c>
      <c r="Q97" s="129" t="str">
        <f>IFERROR(IF(compras_mes78288[[#This Row],[CUIT]]="","-",VLOOKUP(compras_mes78288[[#This Row],[CUIT]],Lista_CUIT[#All],3,0)),"CUIT NO CARGADO")</f>
        <v>LIBRERÍA</v>
      </c>
      <c r="R97" s="553">
        <f>IFERROR(IF(compras_mes78288[[#This Row],[CUIT]]="","-",VLOOKUP(compras_mes78288[[#This Row],[CUIT]],Lista_CUIT[#All],4,0)),"CUIT NO CARGADO")</f>
        <v>0</v>
      </c>
    </row>
    <row r="98" spans="2:18" s="128" customFormat="1">
      <c r="B98" s="544" t="s">
        <v>2329</v>
      </c>
      <c r="C98" s="545">
        <v>1</v>
      </c>
      <c r="D98" s="546">
        <v>2</v>
      </c>
      <c r="E98" s="547">
        <v>4707</v>
      </c>
      <c r="F98" s="548">
        <v>30717202305</v>
      </c>
      <c r="G98" s="549" t="str">
        <f>IFERROR(IF(compras_mes78288[[#This Row],[CUIT]]="","-",VLOOKUP(compras_mes78288[[#This Row],[CUIT]],Lista_CUIT[#All],2,0)),"CUIT NO CARGADO")</f>
        <v>LIBRERIA EL COLEGIO AVELLANEDA S.R.L.</v>
      </c>
      <c r="H98" s="550">
        <v>54545.46</v>
      </c>
      <c r="I98" s="495">
        <f>IF(compras_mes78288[[#This Row],[NETO GRAVADO]]="","",compras_mes78288[[#This Row],[NETO GRAVADO]]*0.21)</f>
        <v>11454.5466</v>
      </c>
      <c r="J98" s="495"/>
      <c r="K98" s="495"/>
      <c r="L98" s="495"/>
      <c r="M98" s="495"/>
      <c r="N98" s="495"/>
      <c r="O98" s="495"/>
      <c r="P98" s="494">
        <f>SUM(compras_mes78288[[#This Row],[NETO GRAVADO]:[Otros / No Grav.]])</f>
        <v>66000.006599999993</v>
      </c>
      <c r="Q98" s="549" t="str">
        <f>IFERROR(IF(compras_mes78288[[#This Row],[CUIT]]="","-",VLOOKUP(compras_mes78288[[#This Row],[CUIT]],Lista_CUIT[#All],3,0)),"CUIT NO CARGADO")</f>
        <v>LIBRERÍA</v>
      </c>
      <c r="R98" s="551">
        <f>IFERROR(IF(compras_mes78288[[#This Row],[CUIT]]="","-",VLOOKUP(compras_mes78288[[#This Row],[CUIT]],Lista_CUIT[#All],4,0)),"CUIT NO CARGADO")</f>
        <v>0</v>
      </c>
    </row>
    <row r="99" spans="2:18" s="128" customFormat="1">
      <c r="B99" s="544" t="s">
        <v>2337</v>
      </c>
      <c r="C99" s="545">
        <v>1</v>
      </c>
      <c r="D99" s="546">
        <v>4</v>
      </c>
      <c r="E99" s="547">
        <v>10085</v>
      </c>
      <c r="F99" s="548">
        <v>30694547903</v>
      </c>
      <c r="G99" s="129" t="str">
        <f>IFERROR(IF(compras_mes78288[[#This Row],[CUIT]]="","-",VLOOKUP(compras_mes78288[[#This Row],[CUIT]],Lista_CUIT[#All],2,0)),"CUIT NO CARGADO")</f>
        <v>MULTICAJAS S A</v>
      </c>
      <c r="H99" s="550">
        <v>691200</v>
      </c>
      <c r="I99" s="495">
        <f>IF(compras_mes78288[[#This Row],[NETO GRAVADO]]="","",compras_mes78288[[#This Row],[NETO GRAVADO]]*0.21)</f>
        <v>145152</v>
      </c>
      <c r="J99" s="495"/>
      <c r="K99" s="495"/>
      <c r="L99" s="495"/>
      <c r="M99" s="495"/>
      <c r="N99" s="495"/>
      <c r="O99" s="495"/>
      <c r="P99" s="456">
        <f>SUM(compras_mes78288[[#This Row],[NETO GRAVADO]:[Otros / No Grav.]])</f>
        <v>836352</v>
      </c>
      <c r="Q99" s="129" t="str">
        <f>IFERROR(IF(compras_mes78288[[#This Row],[CUIT]]="","-",VLOOKUP(compras_mes78288[[#This Row],[CUIT]],Lista_CUIT[#All],3,0)),"CUIT NO CARGADO")</f>
        <v>LIBRERÍA</v>
      </c>
      <c r="R99" s="553">
        <f>IFERROR(IF(compras_mes78288[[#This Row],[CUIT]]="","-",VLOOKUP(compras_mes78288[[#This Row],[CUIT]],Lista_CUIT[#All],4,0)),"CUIT NO CARGADO")</f>
        <v>0</v>
      </c>
    </row>
    <row r="100" spans="2:18" s="128" customFormat="1">
      <c r="B100" s="544" t="s">
        <v>2338</v>
      </c>
      <c r="C100" s="545">
        <v>1</v>
      </c>
      <c r="D100" s="546">
        <v>4</v>
      </c>
      <c r="E100" s="547">
        <v>14981</v>
      </c>
      <c r="F100" s="548">
        <v>20183053478</v>
      </c>
      <c r="G100" s="549" t="str">
        <f>IFERROR(IF(compras_mes78288[[#This Row],[CUIT]]="","-",VLOOKUP(compras_mes78288[[#This Row],[CUIT]],Lista_CUIT[#All],2,0)),"CUIT NO CARGADO")</f>
        <v>TRIVIGNO ADRIAN</v>
      </c>
      <c r="H100" s="550">
        <v>94254.25</v>
      </c>
      <c r="I100" s="495">
        <f>IF(compras_mes78288[[#This Row],[NETO GRAVADO]]="","",compras_mes78288[[#This Row],[NETO GRAVADO]]*0.21)</f>
        <v>19793.392499999998</v>
      </c>
      <c r="J100" s="495"/>
      <c r="K100" s="495"/>
      <c r="L100" s="495"/>
      <c r="M100" s="495"/>
      <c r="N100" s="495"/>
      <c r="O100" s="495"/>
      <c r="P100" s="494">
        <f>SUM(compras_mes78288[[#This Row],[NETO GRAVADO]:[Otros / No Grav.]])</f>
        <v>114047.6425</v>
      </c>
      <c r="Q100" s="549" t="str">
        <f>IFERROR(IF(compras_mes78288[[#This Row],[CUIT]]="","-",VLOOKUP(compras_mes78288[[#This Row],[CUIT]],Lista_CUIT[#All],3,0)),"CUIT NO CARGADO")</f>
        <v>LIBRERÍA</v>
      </c>
      <c r="R100" s="551">
        <f>IFERROR(IF(compras_mes78288[[#This Row],[CUIT]]="","-",VLOOKUP(compras_mes78288[[#This Row],[CUIT]],Lista_CUIT[#All],4,0)),"CUIT NO CARGADO")</f>
        <v>0</v>
      </c>
    </row>
    <row r="101" spans="2:18" s="128" customFormat="1">
      <c r="B101" s="544" t="s">
        <v>2345</v>
      </c>
      <c r="C101" s="545">
        <v>1</v>
      </c>
      <c r="D101" s="546">
        <v>28</v>
      </c>
      <c r="E101" s="547">
        <v>6169</v>
      </c>
      <c r="F101" s="548">
        <v>30707838260</v>
      </c>
      <c r="G101" s="549" t="str">
        <f>IFERROR(IF(compras_mes78288[[#This Row],[CUIT]]="","-",VLOOKUP(compras_mes78288[[#This Row],[CUIT]],Lista_CUIT[#All],2,0)),"CUIT NO CARGADO")</f>
        <v>EL INSUMO S.R.L.</v>
      </c>
      <c r="H101" s="550">
        <v>43966.94</v>
      </c>
      <c r="I101" s="495">
        <f>IF(compras_mes78288[[#This Row],[NETO GRAVADO]]="","",compras_mes78288[[#This Row],[NETO GRAVADO]]*0.21)</f>
        <v>9233.0573999999997</v>
      </c>
      <c r="J101" s="495"/>
      <c r="K101" s="495"/>
      <c r="L101" s="495"/>
      <c r="M101" s="495"/>
      <c r="N101" s="495">
        <v>2638.02</v>
      </c>
      <c r="O101" s="495"/>
      <c r="P101" s="494">
        <f>SUM(compras_mes78288[[#This Row],[NETO GRAVADO]:[Otros / No Grav.]])</f>
        <v>55838.017399999997</v>
      </c>
      <c r="Q101" s="549" t="str">
        <f>IFERROR(IF(compras_mes78288[[#This Row],[CUIT]]="","-",VLOOKUP(compras_mes78288[[#This Row],[CUIT]],Lista_CUIT[#All],3,0)),"CUIT NO CARGADO")</f>
        <v>LIBRERÍA</v>
      </c>
      <c r="R101" s="551">
        <f>IFERROR(IF(compras_mes78288[[#This Row],[CUIT]]="","-",VLOOKUP(compras_mes78288[[#This Row],[CUIT]],Lista_CUIT[#All],4,0)),"CUIT NO CARGADO")</f>
        <v>0</v>
      </c>
    </row>
    <row r="102" spans="2:18" s="128" customFormat="1">
      <c r="B102" s="544" t="s">
        <v>2346</v>
      </c>
      <c r="C102" s="545">
        <v>1</v>
      </c>
      <c r="D102" s="546">
        <v>28</v>
      </c>
      <c r="E102" s="547">
        <v>6177</v>
      </c>
      <c r="F102" s="548">
        <v>30707838260</v>
      </c>
      <c r="G102" s="549" t="str">
        <f>IFERROR(IF(compras_mes78288[[#This Row],[CUIT]]="","-",VLOOKUP(compras_mes78288[[#This Row],[CUIT]],Lista_CUIT[#All],2,0)),"CUIT NO CARGADO")</f>
        <v>EL INSUMO S.R.L.</v>
      </c>
      <c r="H102" s="550">
        <v>44950.41</v>
      </c>
      <c r="I102" s="495">
        <f>IF(compras_mes78288[[#This Row],[NETO GRAVADO]]="","",compras_mes78288[[#This Row],[NETO GRAVADO]]*0.21)</f>
        <v>9439.5861000000004</v>
      </c>
      <c r="J102" s="495"/>
      <c r="K102" s="495"/>
      <c r="L102" s="495"/>
      <c r="M102" s="495"/>
      <c r="N102" s="495">
        <v>2697.02</v>
      </c>
      <c r="O102" s="495"/>
      <c r="P102" s="494">
        <f>SUM(compras_mes78288[[#This Row],[NETO GRAVADO]:[Otros / No Grav.]])</f>
        <v>57087.016100000001</v>
      </c>
      <c r="Q102" s="549" t="str">
        <f>IFERROR(IF(compras_mes78288[[#This Row],[CUIT]]="","-",VLOOKUP(compras_mes78288[[#This Row],[CUIT]],Lista_CUIT[#All],3,0)),"CUIT NO CARGADO")</f>
        <v>LIBRERÍA</v>
      </c>
      <c r="R102" s="551">
        <f>IFERROR(IF(compras_mes78288[[#This Row],[CUIT]]="","-",VLOOKUP(compras_mes78288[[#This Row],[CUIT]],Lista_CUIT[#All],4,0)),"CUIT NO CARGADO")</f>
        <v>0</v>
      </c>
    </row>
    <row r="103" spans="2:18" s="128" customFormat="1">
      <c r="B103" s="544" t="s">
        <v>2349</v>
      </c>
      <c r="C103" s="545">
        <v>1</v>
      </c>
      <c r="D103" s="546">
        <v>4</v>
      </c>
      <c r="E103" s="547">
        <v>10132</v>
      </c>
      <c r="F103" s="548">
        <v>30694547903</v>
      </c>
      <c r="G103" s="549" t="str">
        <f>IFERROR(IF(compras_mes78288[[#This Row],[CUIT]]="","-",VLOOKUP(compras_mes78288[[#This Row],[CUIT]],Lista_CUIT[#All],2,0)),"CUIT NO CARGADO")</f>
        <v>MULTICAJAS S A</v>
      </c>
      <c r="H103" s="550">
        <v>794223</v>
      </c>
      <c r="I103" s="495">
        <f>IF(compras_mes78288[[#This Row],[NETO GRAVADO]]="","",compras_mes78288[[#This Row],[NETO GRAVADO]]*0.21)</f>
        <v>166786.82999999999</v>
      </c>
      <c r="J103" s="495"/>
      <c r="K103" s="495"/>
      <c r="L103" s="495"/>
      <c r="M103" s="495"/>
      <c r="N103" s="495"/>
      <c r="O103" s="495"/>
      <c r="P103" s="494">
        <f>SUM(compras_mes78288[[#This Row],[NETO GRAVADO]:[Otros / No Grav.]])</f>
        <v>961009.83</v>
      </c>
      <c r="Q103" s="549" t="str">
        <f>IFERROR(IF(compras_mes78288[[#This Row],[CUIT]]="","-",VLOOKUP(compras_mes78288[[#This Row],[CUIT]],Lista_CUIT[#All],3,0)),"CUIT NO CARGADO")</f>
        <v>LIBRERÍA</v>
      </c>
      <c r="R103" s="551">
        <f>IFERROR(IF(compras_mes78288[[#This Row],[CUIT]]="","-",VLOOKUP(compras_mes78288[[#This Row],[CUIT]],Lista_CUIT[#All],4,0)),"CUIT NO CARGADO")</f>
        <v>0</v>
      </c>
    </row>
    <row r="104" spans="2:18" s="128" customFormat="1">
      <c r="B104" s="544" t="s">
        <v>2332</v>
      </c>
      <c r="C104" s="545">
        <v>1</v>
      </c>
      <c r="D104" s="546">
        <v>1</v>
      </c>
      <c r="E104" s="547">
        <v>5</v>
      </c>
      <c r="F104" s="548">
        <v>30717504824</v>
      </c>
      <c r="G104" s="549" t="str">
        <f>IFERROR(IF(compras_mes78288[[#This Row],[CUIT]]="","-",VLOOKUP(compras_mes78288[[#This Row],[CUIT]],Lista_CUIT[#All],2,0)),"CUIT NO CARGADO")</f>
        <v>FIDEICOMISO MAMBA</v>
      </c>
      <c r="H104" s="550">
        <v>2367963.81</v>
      </c>
      <c r="I104" s="495"/>
      <c r="J104" s="495"/>
      <c r="K104" s="495">
        <f>compras_mes78288[[#This Row],[NETO GRAVADO]]*0.105</f>
        <v>248636.20004999998</v>
      </c>
      <c r="L104" s="495"/>
      <c r="M104" s="495"/>
      <c r="N104" s="495"/>
      <c r="O104" s="495"/>
      <c r="P104" s="494">
        <f>SUM(compras_mes78288[[#This Row],[NETO GRAVADO]:[Otros / No Grav.]])</f>
        <v>2616600.0100500002</v>
      </c>
      <c r="Q104" s="549" t="str">
        <f>IFERROR(IF(compras_mes78288[[#This Row],[CUIT]]="","-",VLOOKUP(compras_mes78288[[#This Row],[CUIT]],Lista_CUIT[#All],3,0)),"CUIT NO CARGADO")</f>
        <v>MANTENIMIENTO</v>
      </c>
      <c r="R104" s="551">
        <f>IFERROR(IF(compras_mes78288[[#This Row],[CUIT]]="","-",VLOOKUP(compras_mes78288[[#This Row],[CUIT]],Lista_CUIT[#All],4,0)),"CUIT NO CARGADO")</f>
        <v>0</v>
      </c>
    </row>
    <row r="105" spans="2:18" s="128" customFormat="1">
      <c r="B105" s="544" t="s">
        <v>2353</v>
      </c>
      <c r="C105" s="545">
        <v>3</v>
      </c>
      <c r="D105" s="546">
        <v>359</v>
      </c>
      <c r="E105" s="547">
        <v>4383</v>
      </c>
      <c r="F105" s="548">
        <v>30646512952</v>
      </c>
      <c r="G105" s="549" t="str">
        <f>IFERROR(IF(compras_mes78288[[#This Row],[CUIT]]="","-",VLOOKUP(compras_mes78288[[#This Row],[CUIT]],Lista_CUIT[#All],2,0)),"CUIT NO CARGADO")</f>
        <v xml:space="preserve">PINTURERIA REX </v>
      </c>
      <c r="H105" s="550">
        <v>-13843.19</v>
      </c>
      <c r="I105" s="495">
        <f>IF(compras_mes78288[[#This Row],[NETO GRAVADO]]="","",compras_mes78288[[#This Row],[NETO GRAVADO]]*0.21)</f>
        <v>-2907.0699</v>
      </c>
      <c r="J105" s="495"/>
      <c r="K105" s="495"/>
      <c r="L105" s="495"/>
      <c r="M105" s="495"/>
      <c r="N105" s="495"/>
      <c r="O105" s="495"/>
      <c r="P105" s="494">
        <f>SUM(compras_mes78288[[#This Row],[NETO GRAVADO]:[Otros / No Grav.]])</f>
        <v>-16750.259900000001</v>
      </c>
      <c r="Q105" s="549" t="str">
        <f>IFERROR(IF(compras_mes78288[[#This Row],[CUIT]]="","-",VLOOKUP(compras_mes78288[[#This Row],[CUIT]],Lista_CUIT[#All],3,0)),"CUIT NO CARGADO")</f>
        <v>Mantenimiento Locales</v>
      </c>
      <c r="R105" s="551">
        <f>IFERROR(IF(compras_mes78288[[#This Row],[CUIT]]="","-",VLOOKUP(compras_mes78288[[#This Row],[CUIT]],Lista_CUIT[#All],4,0)),"CUIT NO CARGADO")</f>
        <v>0</v>
      </c>
    </row>
    <row r="106" spans="2:18" s="128" customFormat="1">
      <c r="B106" s="544" t="s">
        <v>2353</v>
      </c>
      <c r="C106" s="545">
        <v>1</v>
      </c>
      <c r="D106" s="546">
        <v>359</v>
      </c>
      <c r="E106" s="547">
        <v>19412</v>
      </c>
      <c r="F106" s="548">
        <v>30646512952</v>
      </c>
      <c r="G106" s="549" t="str">
        <f>IFERROR(IF(compras_mes78288[[#This Row],[CUIT]]="","-",VLOOKUP(compras_mes78288[[#This Row],[CUIT]],Lista_CUIT[#All],2,0)),"CUIT NO CARGADO")</f>
        <v xml:space="preserve">PINTURERIA REX </v>
      </c>
      <c r="H106" s="550">
        <v>69215.95</v>
      </c>
      <c r="I106" s="495">
        <f>IF(compras_mes78288[[#This Row],[NETO GRAVADO]]="","",compras_mes78288[[#This Row],[NETO GRAVADO]]*0.21)</f>
        <v>14535.349499999998</v>
      </c>
      <c r="J106" s="495"/>
      <c r="K106" s="495"/>
      <c r="L106" s="495"/>
      <c r="M106" s="495"/>
      <c r="N106" s="495">
        <v>4152.96</v>
      </c>
      <c r="O106" s="495"/>
      <c r="P106" s="494">
        <f>SUM(compras_mes78288[[#This Row],[NETO GRAVADO]:[Otros / No Grav.]])</f>
        <v>87904.2595</v>
      </c>
      <c r="Q106" s="549" t="str">
        <f>IFERROR(IF(compras_mes78288[[#This Row],[CUIT]]="","-",VLOOKUP(compras_mes78288[[#This Row],[CUIT]],Lista_CUIT[#All],3,0)),"CUIT NO CARGADO")</f>
        <v>Mantenimiento Locales</v>
      </c>
      <c r="R106" s="551">
        <f>IFERROR(IF(compras_mes78288[[#This Row],[CUIT]]="","-",VLOOKUP(compras_mes78288[[#This Row],[CUIT]],Lista_CUIT[#All],4,0)),"CUIT NO CARGADO")</f>
        <v>0</v>
      </c>
    </row>
    <row r="107" spans="2:18" s="128" customFormat="1">
      <c r="B107" s="569" t="s">
        <v>2342</v>
      </c>
      <c r="C107" s="570">
        <v>81</v>
      </c>
      <c r="D107" s="571">
        <v>17</v>
      </c>
      <c r="E107" s="572">
        <v>15960</v>
      </c>
      <c r="F107" s="573">
        <v>30708422300</v>
      </c>
      <c r="G107" s="172" t="str">
        <f>IFERROR(IF(compras_mes78288[[#This Row],[CUIT]]="","-",VLOOKUP(compras_mes78288[[#This Row],[CUIT]],Lista_CUIT[#All],2,0)),"CUIT NO CARGADO")</f>
        <v>A G M MOTOS S R L</v>
      </c>
      <c r="H107" s="574">
        <v>12644.62</v>
      </c>
      <c r="I107" s="575">
        <f>IF(compras_mes78288[[#This Row],[NETO GRAVADO]]="","",compras_mes78288[[#This Row],[NETO GRAVADO]]*0.21)</f>
        <v>2655.3702000000003</v>
      </c>
      <c r="J107" s="575"/>
      <c r="K107" s="575"/>
      <c r="L107" s="575"/>
      <c r="M107" s="575"/>
      <c r="N107" s="575"/>
      <c r="O107" s="575">
        <v>1517.36</v>
      </c>
      <c r="P107" s="175">
        <f>SUM(compras_mes78288[[#This Row],[NETO GRAVADO]:[Otros / No Grav.]])</f>
        <v>16817.350200000001</v>
      </c>
      <c r="Q107" s="172" t="str">
        <f>IFERROR(IF(compras_mes78288[[#This Row],[CUIT]]="","-",VLOOKUP(compras_mes78288[[#This Row],[CUIT]],Lista_CUIT[#All],3,0)),"CUIT NO CARGADO")</f>
        <v>Mantenimiento Rodado</v>
      </c>
      <c r="R107" s="176">
        <f>IFERROR(IF(compras_mes78288[[#This Row],[CUIT]]="","-",VLOOKUP(compras_mes78288[[#This Row],[CUIT]],Lista_CUIT[#All],4,0)),"CUIT NO CARGADO")</f>
        <v>0</v>
      </c>
    </row>
    <row r="108" spans="2:18" s="128" customFormat="1">
      <c r="B108" s="544" t="s">
        <v>2342</v>
      </c>
      <c r="C108" s="545">
        <v>1</v>
      </c>
      <c r="D108" s="546">
        <v>3</v>
      </c>
      <c r="E108" s="547">
        <v>318097</v>
      </c>
      <c r="F108" s="548">
        <v>30709131865</v>
      </c>
      <c r="G108" s="549" t="str">
        <f>IFERROR(IF(compras_mes78288[[#This Row],[CUIT]]="","-",VLOOKUP(compras_mes78288[[#This Row],[CUIT]],Lista_CUIT[#All],2,0)),"CUIT NO CARGADO")</f>
        <v>EMPRENDIMIENTOS SATELITALES SA</v>
      </c>
      <c r="H108" s="550">
        <v>3474</v>
      </c>
      <c r="I108" s="495">
        <f>IF(compras_mes78288[[#This Row],[NETO GRAVADO]]="","",compras_mes78288[[#This Row],[NETO GRAVADO]]*0.21)</f>
        <v>729.54</v>
      </c>
      <c r="J108" s="495"/>
      <c r="K108" s="495"/>
      <c r="L108" s="495"/>
      <c r="M108" s="495"/>
      <c r="N108" s="495"/>
      <c r="O108" s="495"/>
      <c r="P108" s="494">
        <f>SUM(compras_mes78288[[#This Row],[NETO GRAVADO]:[Otros / No Grav.]])</f>
        <v>4203.54</v>
      </c>
      <c r="Q108" s="549" t="str">
        <f>IFERROR(IF(compras_mes78288[[#This Row],[CUIT]]="","-",VLOOKUP(compras_mes78288[[#This Row],[CUIT]],Lista_CUIT[#All],3,0)),"CUIT NO CARGADO")</f>
        <v>Mantenimiento Rodado</v>
      </c>
      <c r="R108" s="551">
        <f>IFERROR(IF(compras_mes78288[[#This Row],[CUIT]]="","-",VLOOKUP(compras_mes78288[[#This Row],[CUIT]],Lista_CUIT[#All],4,0)),"CUIT NO CARGADO")</f>
        <v>0</v>
      </c>
    </row>
    <row r="109" spans="2:18" s="128" customFormat="1">
      <c r="B109" s="544" t="s">
        <v>2344</v>
      </c>
      <c r="C109" s="545">
        <v>1</v>
      </c>
      <c r="D109" s="546">
        <v>3</v>
      </c>
      <c r="E109" s="547">
        <v>48976</v>
      </c>
      <c r="F109" s="548">
        <v>30714930490</v>
      </c>
      <c r="G109" s="129" t="str">
        <f>IFERROR(IF(compras_mes78288[[#This Row],[CUIT]]="","-",VLOOKUP(compras_mes78288[[#This Row],[CUIT]],Lista_CUIT[#All],2,0)),"CUIT NO CARGADO")</f>
        <v>APPLUS SANTA MARIA DEL BUEN AYRE SA</v>
      </c>
      <c r="H109" s="550">
        <v>27943</v>
      </c>
      <c r="I109" s="495">
        <f>IF(compras_mes78288[[#This Row],[NETO GRAVADO]]="","",compras_mes78288[[#This Row],[NETO GRAVADO]]*0.21)</f>
        <v>5868.03</v>
      </c>
      <c r="J109" s="495"/>
      <c r="K109" s="495"/>
      <c r="L109" s="495"/>
      <c r="M109" s="495"/>
      <c r="N109" s="495"/>
      <c r="O109" s="495"/>
      <c r="P109" s="456">
        <f>SUM(compras_mes78288[[#This Row],[NETO GRAVADO]:[Otros / No Grav.]])</f>
        <v>33811.03</v>
      </c>
      <c r="Q109" s="129" t="str">
        <f>IFERROR(IF(compras_mes78288[[#This Row],[CUIT]]="","-",VLOOKUP(compras_mes78288[[#This Row],[CUIT]],Lista_CUIT[#All],3,0)),"CUIT NO CARGADO")</f>
        <v>Mantenimiento Rodado</v>
      </c>
      <c r="R109" s="553">
        <f>IFERROR(IF(compras_mes78288[[#This Row],[CUIT]]="","-",VLOOKUP(compras_mes78288[[#This Row],[CUIT]],Lista_CUIT[#All],4,0)),"CUIT NO CARGADO")</f>
        <v>0</v>
      </c>
    </row>
    <row r="110" spans="2:18" s="128" customFormat="1">
      <c r="B110" s="544" t="s">
        <v>2332</v>
      </c>
      <c r="C110" s="545">
        <v>1</v>
      </c>
      <c r="D110" s="546">
        <v>10</v>
      </c>
      <c r="E110" s="547">
        <v>17526</v>
      </c>
      <c r="F110" s="548">
        <v>30702073657</v>
      </c>
      <c r="G110" s="549" t="str">
        <f>IFERROR(IF(compras_mes78288[[#This Row],[CUIT]]="","-",VLOOKUP(compras_mes78288[[#This Row],[CUIT]],Lista_CUIT[#All],2,0)),"CUIT NO CARGADO")</f>
        <v>MICROELECTRONICA COMPONENTES S.R.L.</v>
      </c>
      <c r="H110" s="550">
        <v>1539</v>
      </c>
      <c r="I110" s="495"/>
      <c r="J110" s="495"/>
      <c r="K110" s="495">
        <f>compras_mes78288[[#This Row],[NETO GRAVADO]]*0.105</f>
        <v>161.595</v>
      </c>
      <c r="L110" s="495"/>
      <c r="M110" s="495"/>
      <c r="N110" s="495"/>
      <c r="O110" s="495"/>
      <c r="P110" s="494">
        <f>SUM(compras_mes78288[[#This Row],[NETO GRAVADO]:[Otros / No Grav.]])</f>
        <v>1700.595</v>
      </c>
      <c r="Q110" s="549" t="str">
        <f>IFERROR(IF(compras_mes78288[[#This Row],[CUIT]]="","-",VLOOKUP(compras_mes78288[[#This Row],[CUIT]],Lista_CUIT[#All],3,0)),"CUIT NO CARGADO")</f>
        <v>Materia Prima</v>
      </c>
      <c r="R110" s="551">
        <f>IFERROR(IF(compras_mes78288[[#This Row],[CUIT]]="","-",VLOOKUP(compras_mes78288[[#This Row],[CUIT]],Lista_CUIT[#All],4,0)),"CUIT NO CARGADO")</f>
        <v>0</v>
      </c>
    </row>
    <row r="111" spans="2:18" s="128" customFormat="1">
      <c r="B111" s="544" t="s">
        <v>2338</v>
      </c>
      <c r="C111" s="545">
        <v>1</v>
      </c>
      <c r="D111" s="546">
        <v>4</v>
      </c>
      <c r="E111" s="547">
        <v>65</v>
      </c>
      <c r="F111" s="548">
        <v>20308004865</v>
      </c>
      <c r="G111" s="129" t="str">
        <f>IFERROR(IF(compras_mes78288[[#This Row],[CUIT]]="","-",VLOOKUP(compras_mes78288[[#This Row],[CUIT]],Lista_CUIT[#All],2,0)),"CUIT NO CARGADO")</f>
        <v>VEGA GUSTAVO RAUL</v>
      </c>
      <c r="H111" s="550">
        <v>1380200</v>
      </c>
      <c r="I111" s="495">
        <f>IF(compras_mes78288[[#This Row],[NETO GRAVADO]]="","",compras_mes78288[[#This Row],[NETO GRAVADO]]*0.21)</f>
        <v>289842</v>
      </c>
      <c r="J111" s="495"/>
      <c r="K111" s="495"/>
      <c r="L111" s="495"/>
      <c r="M111" s="495"/>
      <c r="N111" s="495"/>
      <c r="O111" s="495"/>
      <c r="P111" s="456">
        <f>SUM(compras_mes78288[[#This Row],[NETO GRAVADO]:[Otros / No Grav.]])</f>
        <v>1670042</v>
      </c>
      <c r="Q111" s="129" t="str">
        <f>IFERROR(IF(compras_mes78288[[#This Row],[CUIT]]="","-",VLOOKUP(compras_mes78288[[#This Row],[CUIT]],Lista_CUIT[#All],3,0)),"CUIT NO CARGADO")</f>
        <v>Materia Prima</v>
      </c>
      <c r="R111" s="553">
        <f>IFERROR(IF(compras_mes78288[[#This Row],[CUIT]]="","-",VLOOKUP(compras_mes78288[[#This Row],[CUIT]],Lista_CUIT[#All],4,0)),"CUIT NO CARGADO")</f>
        <v>0</v>
      </c>
    </row>
    <row r="112" spans="2:18" s="128" customFormat="1">
      <c r="B112" s="544" t="s">
        <v>2342</v>
      </c>
      <c r="C112" s="545">
        <v>1</v>
      </c>
      <c r="D112" s="546">
        <v>4</v>
      </c>
      <c r="E112" s="547">
        <v>46734</v>
      </c>
      <c r="F112" s="548">
        <v>30709863076</v>
      </c>
      <c r="G112" s="549" t="str">
        <f>IFERROR(IF(compras_mes78288[[#This Row],[CUIT]]="","-",VLOOKUP(compras_mes78288[[#This Row],[CUIT]],Lista_CUIT[#All],2,0)),"CUIT NO CARGADO")</f>
        <v>INDUSTRIAS PLASTICOS SALTA S.R.L.</v>
      </c>
      <c r="H112" s="550">
        <v>3723965</v>
      </c>
      <c r="I112" s="495">
        <f>IF(compras_mes78288[[#This Row],[NETO GRAVADO]]="","",compras_mes78288[[#This Row],[NETO GRAVADO]]*0.21)</f>
        <v>782032.65</v>
      </c>
      <c r="J112" s="495"/>
      <c r="K112" s="495"/>
      <c r="L112" s="495"/>
      <c r="M112" s="495"/>
      <c r="N112" s="495"/>
      <c r="O112" s="495"/>
      <c r="P112" s="494">
        <f>SUM(compras_mes78288[[#This Row],[NETO GRAVADO]:[Otros / No Grav.]])</f>
        <v>4505997.6500000004</v>
      </c>
      <c r="Q112" s="549" t="str">
        <f>IFERROR(IF(compras_mes78288[[#This Row],[CUIT]]="","-",VLOOKUP(compras_mes78288[[#This Row],[CUIT]],Lista_CUIT[#All],3,0)),"CUIT NO CARGADO")</f>
        <v>Materia Prima</v>
      </c>
      <c r="R112" s="551">
        <f>IFERROR(IF(compras_mes78288[[#This Row],[CUIT]]="","-",VLOOKUP(compras_mes78288[[#This Row],[CUIT]],Lista_CUIT[#All],4,0)),"CUIT NO CARGADO")</f>
        <v>0</v>
      </c>
    </row>
    <row r="113" spans="2:18" s="128" customFormat="1">
      <c r="B113" s="544" t="s">
        <v>2352</v>
      </c>
      <c r="C113" s="545">
        <v>1</v>
      </c>
      <c r="D113" s="546">
        <v>4</v>
      </c>
      <c r="E113" s="547">
        <v>46848</v>
      </c>
      <c r="F113" s="548">
        <v>30709863076</v>
      </c>
      <c r="G113" s="129" t="str">
        <f>IFERROR(IF(compras_mes78288[[#This Row],[CUIT]]="","-",VLOOKUP(compras_mes78288[[#This Row],[CUIT]],Lista_CUIT[#All],2,0)),"CUIT NO CARGADO")</f>
        <v>INDUSTRIAS PLASTICOS SALTA S.R.L.</v>
      </c>
      <c r="H113" s="550">
        <v>127024.79</v>
      </c>
      <c r="I113" s="495">
        <f>IF(compras_mes78288[[#This Row],[NETO GRAVADO]]="","",compras_mes78288[[#This Row],[NETO GRAVADO]]*0.21)</f>
        <v>26675.205899999997</v>
      </c>
      <c r="J113" s="495"/>
      <c r="K113" s="495"/>
      <c r="L113" s="495"/>
      <c r="M113" s="495"/>
      <c r="N113" s="495"/>
      <c r="O113" s="495"/>
      <c r="P113" s="456">
        <f>SUM(compras_mes78288[[#This Row],[NETO GRAVADO]:[Otros / No Grav.]])</f>
        <v>153699.99589999998</v>
      </c>
      <c r="Q113" s="129" t="str">
        <f>IFERROR(IF(compras_mes78288[[#This Row],[CUIT]]="","-",VLOOKUP(compras_mes78288[[#This Row],[CUIT]],Lista_CUIT[#All],3,0)),"CUIT NO CARGADO")</f>
        <v>Materia Prima</v>
      </c>
      <c r="R113" s="553">
        <f>IFERROR(IF(compras_mes78288[[#This Row],[CUIT]]="","-",VLOOKUP(compras_mes78288[[#This Row],[CUIT]],Lista_CUIT[#All],4,0)),"CUIT NO CARGADO")</f>
        <v>0</v>
      </c>
    </row>
    <row r="114" spans="2:18" s="128" customFormat="1">
      <c r="B114" s="544" t="s">
        <v>2328</v>
      </c>
      <c r="C114" s="545">
        <v>1</v>
      </c>
      <c r="D114" s="546">
        <v>6</v>
      </c>
      <c r="E114" s="547">
        <v>9741</v>
      </c>
      <c r="F114" s="548">
        <v>30707603123</v>
      </c>
      <c r="G114" s="549" t="str">
        <f>IFERROR(IF(compras_mes78288[[#This Row],[CUIT]]="","-",VLOOKUP(compras_mes78288[[#This Row],[CUIT]],Lista_CUIT[#All],2,0)),"CUIT NO CARGADO")</f>
        <v>BI-ORIENT S.A.</v>
      </c>
      <c r="H114" s="550">
        <v>1251800</v>
      </c>
      <c r="I114" s="495">
        <f>IF(compras_mes78288[[#This Row],[NETO GRAVADO]]="","",compras_mes78288[[#This Row],[NETO GRAVADO]]*0.21)</f>
        <v>262878</v>
      </c>
      <c r="J114" s="495"/>
      <c r="K114" s="495"/>
      <c r="L114" s="495"/>
      <c r="M114" s="495"/>
      <c r="N114" s="495"/>
      <c r="O114" s="495"/>
      <c r="P114" s="494">
        <f>SUM(compras_mes78288[[#This Row],[NETO GRAVADO]:[Otros / No Grav.]])</f>
        <v>1514678</v>
      </c>
      <c r="Q114" s="549" t="str">
        <f>IFERROR(IF(compras_mes78288[[#This Row],[CUIT]]="","-",VLOOKUP(compras_mes78288[[#This Row],[CUIT]],Lista_CUIT[#All],3,0)),"CUIT NO CARGADO")</f>
        <v>Material de Empaque</v>
      </c>
      <c r="R114" s="551">
        <f>IFERROR(IF(compras_mes78288[[#This Row],[CUIT]]="","-",VLOOKUP(compras_mes78288[[#This Row],[CUIT]],Lista_CUIT[#All],4,0)),"CUIT NO CARGADO")</f>
        <v>0</v>
      </c>
    </row>
    <row r="115" spans="2:18" s="128" customFormat="1">
      <c r="B115" s="544" t="s">
        <v>2343</v>
      </c>
      <c r="C115" s="545">
        <v>1</v>
      </c>
      <c r="D115" s="546">
        <v>3</v>
      </c>
      <c r="E115" s="547">
        <v>2340</v>
      </c>
      <c r="F115" s="548">
        <v>30715434276</v>
      </c>
      <c r="G115" s="549" t="str">
        <f>IFERROR(IF(compras_mes78288[[#This Row],[CUIT]]="","-",VLOOKUP(compras_mes78288[[#This Row],[CUIT]],Lista_CUIT[#All],2,0)),"CUIT NO CARGADO")</f>
        <v>BRUAYAFA S.A.</v>
      </c>
      <c r="H115" s="550">
        <v>700500</v>
      </c>
      <c r="I115" s="495">
        <f>IF(compras_mes78288[[#This Row],[NETO GRAVADO]]="","",compras_mes78288[[#This Row],[NETO GRAVADO]]*0.21)</f>
        <v>147105</v>
      </c>
      <c r="J115" s="495"/>
      <c r="K115" s="495"/>
      <c r="L115" s="495"/>
      <c r="M115" s="495"/>
      <c r="N115" s="495"/>
      <c r="O115" s="495"/>
      <c r="P115" s="494">
        <f>SUM(compras_mes78288[[#This Row],[NETO GRAVADO]:[Otros / No Grav.]])</f>
        <v>847605</v>
      </c>
      <c r="Q115" s="549" t="str">
        <f>IFERROR(IF(compras_mes78288[[#This Row],[CUIT]]="","-",VLOOKUP(compras_mes78288[[#This Row],[CUIT]],Lista_CUIT[#All],3,0)),"CUIT NO CARGADO")</f>
        <v>Material de Empaque</v>
      </c>
      <c r="R115" s="551">
        <f>IFERROR(IF(compras_mes78288[[#This Row],[CUIT]]="","-",VLOOKUP(compras_mes78288[[#This Row],[CUIT]],Lista_CUIT[#All],4,0)),"CUIT NO CARGADO")</f>
        <v>0</v>
      </c>
    </row>
    <row r="116" spans="2:18" s="128" customFormat="1">
      <c r="B116" s="544" t="s">
        <v>2353</v>
      </c>
      <c r="C116" s="545">
        <v>1</v>
      </c>
      <c r="D116" s="546">
        <v>7</v>
      </c>
      <c r="E116" s="547">
        <v>45948</v>
      </c>
      <c r="F116" s="548">
        <v>30624066827</v>
      </c>
      <c r="G116" s="549" t="str">
        <f>IFERROR(IF(compras_mes78288[[#This Row],[CUIT]]="","-",VLOOKUP(compras_mes78288[[#This Row],[CUIT]],Lista_CUIT[#All],2,0)),"CUIT NO CARGADO")</f>
        <v>HECTOR HALABE Y OTROS</v>
      </c>
      <c r="H116" s="550">
        <v>34631.4</v>
      </c>
      <c r="I116" s="495">
        <f>IF(compras_mes78288[[#This Row],[NETO GRAVADO]]="","",compras_mes78288[[#This Row],[NETO GRAVADO]]*0.21)</f>
        <v>7272.5940000000001</v>
      </c>
      <c r="J116" s="495"/>
      <c r="K116" s="495"/>
      <c r="L116" s="495"/>
      <c r="M116" s="495"/>
      <c r="N116" s="495"/>
      <c r="O116" s="495"/>
      <c r="P116" s="494">
        <f>SUM(compras_mes78288[[#This Row],[NETO GRAVADO]:[Otros / No Grav.]])</f>
        <v>41903.993999999999</v>
      </c>
      <c r="Q116" s="549" t="str">
        <f>IFERROR(IF(compras_mes78288[[#This Row],[CUIT]]="","-",VLOOKUP(compras_mes78288[[#This Row],[CUIT]],Lista_CUIT[#All],3,0)),"CUIT NO CARGADO")</f>
        <v>Material de Empaque</v>
      </c>
      <c r="R116" s="551">
        <f>IFERROR(IF(compras_mes78288[[#This Row],[CUIT]]="","-",VLOOKUP(compras_mes78288[[#This Row],[CUIT]],Lista_CUIT[#All],4,0)),"CUIT NO CARGADO")</f>
        <v>0</v>
      </c>
    </row>
    <row r="117" spans="2:18" s="128" customFormat="1">
      <c r="B117" s="544" t="s">
        <v>2357</v>
      </c>
      <c r="C117" s="545">
        <v>1</v>
      </c>
      <c r="D117" s="546">
        <v>6</v>
      </c>
      <c r="E117" s="547">
        <v>4945</v>
      </c>
      <c r="F117" s="548">
        <v>20232507978</v>
      </c>
      <c r="G117" s="549" t="str">
        <f>IFERROR(IF(compras_mes78288[[#This Row],[CUIT]]="","-",VLOOKUP(compras_mes78288[[#This Row],[CUIT]],Lista_CUIT[#All],2,0)),"CUIT NO CARGADO")</f>
        <v>RUA DIEGO ADRIAN</v>
      </c>
      <c r="H117" s="550">
        <v>305785.13</v>
      </c>
      <c r="I117" s="495">
        <f>IF(compras_mes78288[[#This Row],[NETO GRAVADO]]="","",compras_mes78288[[#This Row],[NETO GRAVADO]]*0.21)</f>
        <v>64214.8773</v>
      </c>
      <c r="J117" s="495"/>
      <c r="K117" s="495"/>
      <c r="L117" s="495"/>
      <c r="M117" s="495"/>
      <c r="N117" s="495"/>
      <c r="O117" s="495"/>
      <c r="P117" s="494">
        <f>SUM(compras_mes78288[[#This Row],[NETO GRAVADO]:[Otros / No Grav.]])</f>
        <v>370000.0073</v>
      </c>
      <c r="Q117" s="549" t="str">
        <f>IFERROR(IF(compras_mes78288[[#This Row],[CUIT]]="","-",VLOOKUP(compras_mes78288[[#This Row],[CUIT]],Lista_CUIT[#All],3,0)),"CUIT NO CARGADO")</f>
        <v>Material de Empaque</v>
      </c>
      <c r="R117" s="551">
        <f>IFERROR(IF(compras_mes78288[[#This Row],[CUIT]]="","-",VLOOKUP(compras_mes78288[[#This Row],[CUIT]],Lista_CUIT[#All],4,0)),"CUIT NO CARGADO")</f>
        <v>0</v>
      </c>
    </row>
    <row r="118" spans="2:18" s="128" customFormat="1">
      <c r="B118" s="544" t="s">
        <v>2330</v>
      </c>
      <c r="C118" s="545">
        <v>1</v>
      </c>
      <c r="D118" s="546">
        <v>629</v>
      </c>
      <c r="E118" s="547">
        <v>5249797</v>
      </c>
      <c r="F118" s="548">
        <v>30663498513</v>
      </c>
      <c r="G118" s="549" t="str">
        <f>IFERROR(IF(compras_mes78288[[#This Row],[CUIT]]="","-",VLOOKUP(compras_mes78288[[#This Row],[CUIT]],Lista_CUIT[#All],2,0)),"CUIT NO CARGADO")</f>
        <v>GRUPO CONCES. DEL OESTE SA</v>
      </c>
      <c r="H118" s="550">
        <v>14628.11</v>
      </c>
      <c r="I118" s="495">
        <f>IF(compras_mes78288[[#This Row],[NETO GRAVADO]]="","",compras_mes78288[[#This Row],[NETO GRAVADO]]*0.21)</f>
        <v>3071.9031</v>
      </c>
      <c r="J118" s="495"/>
      <c r="K118" s="495"/>
      <c r="L118" s="495"/>
      <c r="M118" s="495"/>
      <c r="N118" s="495"/>
      <c r="O118" s="495"/>
      <c r="P118" s="494">
        <f>SUM(compras_mes78288[[#This Row],[NETO GRAVADO]:[Otros / No Grav.]])</f>
        <v>17700.0131</v>
      </c>
      <c r="Q118" s="549" t="str">
        <f>IFERROR(IF(compras_mes78288[[#This Row],[CUIT]]="","-",VLOOKUP(compras_mes78288[[#This Row],[CUIT]],Lista_CUIT[#All],3,0)),"CUIT NO CARGADO")</f>
        <v>Peajes</v>
      </c>
      <c r="R118" s="551">
        <f>IFERROR(IF(compras_mes78288[[#This Row],[CUIT]]="","-",VLOOKUP(compras_mes78288[[#This Row],[CUIT]],Lista_CUIT[#All],4,0)),"CUIT NO CARGADO")</f>
        <v>0</v>
      </c>
    </row>
    <row r="119" spans="2:18" s="128" customFormat="1">
      <c r="B119" s="544" t="s">
        <v>2330</v>
      </c>
      <c r="C119" s="545">
        <v>1</v>
      </c>
      <c r="D119" s="546">
        <v>711</v>
      </c>
      <c r="E119" s="547">
        <v>5871025</v>
      </c>
      <c r="F119" s="548">
        <v>30677237119</v>
      </c>
      <c r="G119" s="549" t="str">
        <f>IFERROR(IF(compras_mes78288[[#This Row],[CUIT]]="","-",VLOOKUP(compras_mes78288[[#This Row],[CUIT]],Lista_CUIT[#All],2,0)),"CUIT NO CARGADO")</f>
        <v>AUTOPISTAS DEL SOL S A</v>
      </c>
      <c r="H119" s="550">
        <v>14545.42</v>
      </c>
      <c r="I119" s="495">
        <f>IF(compras_mes78288[[#This Row],[NETO GRAVADO]]="","",compras_mes78288[[#This Row],[NETO GRAVADO]]*0.21)</f>
        <v>3054.5382</v>
      </c>
      <c r="J119" s="495"/>
      <c r="K119" s="495"/>
      <c r="L119" s="495"/>
      <c r="M119" s="495"/>
      <c r="N119" s="495"/>
      <c r="O119" s="495">
        <v>436.36</v>
      </c>
      <c r="P119" s="494">
        <f>SUM(compras_mes78288[[#This Row],[NETO GRAVADO]:[Otros / No Grav.]])</f>
        <v>18036.318200000002</v>
      </c>
      <c r="Q119" s="549" t="str">
        <f>IFERROR(IF(compras_mes78288[[#This Row],[CUIT]]="","-",VLOOKUP(compras_mes78288[[#This Row],[CUIT]],Lista_CUIT[#All],3,0)),"CUIT NO CARGADO")</f>
        <v>Peajes</v>
      </c>
      <c r="R119" s="551">
        <f>IFERROR(IF(compras_mes78288[[#This Row],[CUIT]]="","-",VLOOKUP(compras_mes78288[[#This Row],[CUIT]],Lista_CUIT[#All],4,0)),"CUIT NO CARGADO")</f>
        <v>0</v>
      </c>
    </row>
    <row r="120" spans="2:18" s="128" customFormat="1">
      <c r="B120" s="544" t="s">
        <v>2332</v>
      </c>
      <c r="C120" s="545">
        <v>1</v>
      </c>
      <c r="D120" s="546">
        <v>700</v>
      </c>
      <c r="E120" s="547">
        <v>1773355</v>
      </c>
      <c r="F120" s="548">
        <v>30715804812</v>
      </c>
      <c r="G120" s="549" t="str">
        <f>IFERROR(IF(compras_mes78288[[#This Row],[CUIT]]="","-",VLOOKUP(compras_mes78288[[#This Row],[CUIT]],Lista_CUIT[#All],2,0)),"CUIT NO CARGADO")</f>
        <v>CORREDORES VIALES SOCIEDAD ANONIMA</v>
      </c>
      <c r="H120" s="550">
        <v>1487.6</v>
      </c>
      <c r="I120" s="495">
        <f>IF(compras_mes78288[[#This Row],[NETO GRAVADO]]="","",compras_mes78288[[#This Row],[NETO GRAVADO]]*0.21)</f>
        <v>312.39599999999996</v>
      </c>
      <c r="J120" s="495"/>
      <c r="K120" s="495"/>
      <c r="L120" s="495"/>
      <c r="M120" s="495"/>
      <c r="N120" s="495"/>
      <c r="O120" s="555"/>
      <c r="P120" s="494">
        <f>SUM(compras_mes78288[[#This Row],[NETO GRAVADO]:[Otros / No Grav.]])</f>
        <v>1799.9959999999999</v>
      </c>
      <c r="Q120" s="549" t="str">
        <f>IFERROR(IF(compras_mes78288[[#This Row],[CUIT]]="","-",VLOOKUP(compras_mes78288[[#This Row],[CUIT]],Lista_CUIT[#All],3,0)),"CUIT NO CARGADO")</f>
        <v>Peajes</v>
      </c>
      <c r="R120" s="551">
        <f>IFERROR(IF(compras_mes78288[[#This Row],[CUIT]]="","-",VLOOKUP(compras_mes78288[[#This Row],[CUIT]],Lista_CUIT[#All],4,0)),"CUIT NO CARGADO")</f>
        <v>0</v>
      </c>
    </row>
    <row r="121" spans="2:18" s="128" customFormat="1">
      <c r="B121" s="544" t="s">
        <v>2336</v>
      </c>
      <c r="C121" s="545">
        <v>1</v>
      </c>
      <c r="D121" s="546">
        <v>5015</v>
      </c>
      <c r="E121" s="547">
        <v>623274</v>
      </c>
      <c r="F121" s="548">
        <v>30574876474</v>
      </c>
      <c r="G121" s="549" t="str">
        <f>IFERROR(IF(compras_mes78288[[#This Row],[CUIT]]="","-",VLOOKUP(compras_mes78288[[#This Row],[CUIT]],Lista_CUIT[#All],2,0)),"CUIT NO CARGADO")</f>
        <v>AUTOPISTAS URBANAS S A</v>
      </c>
      <c r="H121" s="550">
        <v>99252.4</v>
      </c>
      <c r="I121" s="495">
        <f>IF(compras_mes78288[[#This Row],[NETO GRAVADO]]="","",compras_mes78288[[#This Row],[NETO GRAVADO]]*0.21)</f>
        <v>20843.003999999997</v>
      </c>
      <c r="J121" s="495"/>
      <c r="K121" s="495"/>
      <c r="L121" s="495"/>
      <c r="M121" s="495"/>
      <c r="N121" s="495"/>
      <c r="O121" s="495">
        <v>12902.81</v>
      </c>
      <c r="P121" s="494">
        <f>SUM(compras_mes78288[[#This Row],[NETO GRAVADO]:[Otros / No Grav.]])</f>
        <v>132998.21400000001</v>
      </c>
      <c r="Q121" s="549" t="str">
        <f>IFERROR(IF(compras_mes78288[[#This Row],[CUIT]]="","-",VLOOKUP(compras_mes78288[[#This Row],[CUIT]],Lista_CUIT[#All],3,0)),"CUIT NO CARGADO")</f>
        <v>Peajes</v>
      </c>
      <c r="R121" s="551">
        <f>IFERROR(IF(compras_mes78288[[#This Row],[CUIT]]="","-",VLOOKUP(compras_mes78288[[#This Row],[CUIT]],Lista_CUIT[#All],4,0)),"CUIT NO CARGADO")</f>
        <v>0</v>
      </c>
    </row>
    <row r="122" spans="2:18" s="128" customFormat="1">
      <c r="B122" s="544" t="s">
        <v>2342</v>
      </c>
      <c r="C122" s="545">
        <v>1</v>
      </c>
      <c r="D122" s="546">
        <v>503</v>
      </c>
      <c r="E122" s="547">
        <v>1385255</v>
      </c>
      <c r="F122" s="548">
        <v>30639935872</v>
      </c>
      <c r="G122" s="129" t="str">
        <f>IFERROR(IF(compras_mes78288[[#This Row],[CUIT]]="","-",VLOOKUP(compras_mes78288[[#This Row],[CUIT]],Lista_CUIT[#All],2,0)),"CUIT NO CARGADO")</f>
        <v>CAMINOS DEL RIO URUGUAY S A DE CONSTRUCCIONES Y CONCESIONES VIALES</v>
      </c>
      <c r="H122" s="550">
        <v>3347.11</v>
      </c>
      <c r="I122" s="495">
        <f>IF(compras_mes78288[[#This Row],[NETO GRAVADO]]="","",compras_mes78288[[#This Row],[NETO GRAVADO]]*0.21)</f>
        <v>702.8931</v>
      </c>
      <c r="J122" s="495"/>
      <c r="K122" s="495"/>
      <c r="L122" s="495"/>
      <c r="M122" s="495"/>
      <c r="N122" s="495">
        <v>200.83</v>
      </c>
      <c r="O122" s="495"/>
      <c r="P122" s="456">
        <f>SUM(compras_mes78288[[#This Row],[NETO GRAVADO]:[Otros / No Grav.]])</f>
        <v>4250.8330999999998</v>
      </c>
      <c r="Q122" s="129" t="str">
        <f>IFERROR(IF(compras_mes78288[[#This Row],[CUIT]]="","-",VLOOKUP(compras_mes78288[[#This Row],[CUIT]],Lista_CUIT[#All],3,0)),"CUIT NO CARGADO")</f>
        <v>Peajes</v>
      </c>
      <c r="R122" s="553">
        <f>IFERROR(IF(compras_mes78288[[#This Row],[CUIT]]="","-",VLOOKUP(compras_mes78288[[#This Row],[CUIT]],Lista_CUIT[#All],4,0)),"CUIT NO CARGADO")</f>
        <v>0</v>
      </c>
    </row>
    <row r="123" spans="2:18" s="128" customFormat="1">
      <c r="B123" s="544" t="s">
        <v>2343</v>
      </c>
      <c r="C123" s="545">
        <v>1</v>
      </c>
      <c r="D123" s="546">
        <v>5015</v>
      </c>
      <c r="E123" s="547">
        <v>624766</v>
      </c>
      <c r="F123" s="548">
        <v>30574876474</v>
      </c>
      <c r="G123" s="549" t="str">
        <f>IFERROR(IF(compras_mes78288[[#This Row],[CUIT]]="","-",VLOOKUP(compras_mes78288[[#This Row],[CUIT]],Lista_CUIT[#All],2,0)),"CUIT NO CARGADO")</f>
        <v>AUTOPISTAS URBANAS S A</v>
      </c>
      <c r="H123" s="550">
        <v>84328.12</v>
      </c>
      <c r="I123" s="495">
        <f>IF(compras_mes78288[[#This Row],[NETO GRAVADO]]="","",compras_mes78288[[#This Row],[NETO GRAVADO]]*0.21)</f>
        <v>17708.905199999997</v>
      </c>
      <c r="J123" s="495"/>
      <c r="K123" s="495"/>
      <c r="L123" s="556"/>
      <c r="M123" s="495"/>
      <c r="N123" s="495"/>
      <c r="O123" s="495">
        <v>10962.62</v>
      </c>
      <c r="P123" s="494">
        <f>SUM(compras_mes78288[[#This Row],[NETO GRAVADO]:[Otros / No Grav.]])</f>
        <v>112999.64519999998</v>
      </c>
      <c r="Q123" s="549" t="str">
        <f>IFERROR(IF(compras_mes78288[[#This Row],[CUIT]]="","-",VLOOKUP(compras_mes78288[[#This Row],[CUIT]],Lista_CUIT[#All],3,0)),"CUIT NO CARGADO")</f>
        <v>Peajes</v>
      </c>
      <c r="R123" s="551">
        <f>IFERROR(IF(compras_mes78288[[#This Row],[CUIT]]="","-",VLOOKUP(compras_mes78288[[#This Row],[CUIT]],Lista_CUIT[#All],4,0)),"CUIT NO CARGADO")</f>
        <v>0</v>
      </c>
    </row>
    <row r="124" spans="2:18" s="128" customFormat="1">
      <c r="B124" s="544" t="s">
        <v>2346</v>
      </c>
      <c r="C124" s="545">
        <v>1</v>
      </c>
      <c r="D124" s="546">
        <v>629</v>
      </c>
      <c r="E124" s="547">
        <v>5287649</v>
      </c>
      <c r="F124" s="548">
        <v>30663498513</v>
      </c>
      <c r="G124" s="129" t="str">
        <f>IFERROR(IF(compras_mes78288[[#This Row],[CUIT]]="","-",VLOOKUP(compras_mes78288[[#This Row],[CUIT]],Lista_CUIT[#All],2,0)),"CUIT NO CARGADO")</f>
        <v>GRUPO CONCES. DEL OESTE SA</v>
      </c>
      <c r="H124" s="550">
        <v>29604.3</v>
      </c>
      <c r="I124" s="495">
        <f>IF(compras_mes78288[[#This Row],[NETO GRAVADO]]="","",compras_mes78288[[#This Row],[NETO GRAVADO]]*0.21)</f>
        <v>6216.9029999999993</v>
      </c>
      <c r="J124" s="495"/>
      <c r="K124" s="495"/>
      <c r="L124" s="495"/>
      <c r="M124" s="495"/>
      <c r="N124" s="495"/>
      <c r="O124" s="495"/>
      <c r="P124" s="456">
        <f>SUM(compras_mes78288[[#This Row],[NETO GRAVADO]:[Otros / No Grav.]])</f>
        <v>35821.203000000001</v>
      </c>
      <c r="Q124" s="129" t="str">
        <f>IFERROR(IF(compras_mes78288[[#This Row],[CUIT]]="","-",VLOOKUP(compras_mes78288[[#This Row],[CUIT]],Lista_CUIT[#All],3,0)),"CUIT NO CARGADO")</f>
        <v>Peajes</v>
      </c>
      <c r="R124" s="553">
        <f>IFERROR(IF(compras_mes78288[[#This Row],[CUIT]]="","-",VLOOKUP(compras_mes78288[[#This Row],[CUIT]],Lista_CUIT[#All],4,0)),"CUIT NO CARGADO")</f>
        <v>0</v>
      </c>
    </row>
    <row r="125" spans="2:18" s="128" customFormat="1">
      <c r="B125" s="544" t="s">
        <v>2346</v>
      </c>
      <c r="C125" s="545">
        <v>1</v>
      </c>
      <c r="D125" s="546">
        <v>711</v>
      </c>
      <c r="E125" s="547">
        <v>5926623</v>
      </c>
      <c r="F125" s="548">
        <v>30677237119</v>
      </c>
      <c r="G125" s="549" t="str">
        <f>IFERROR(IF(compras_mes78288[[#This Row],[CUIT]]="","-",VLOOKUP(compras_mes78288[[#This Row],[CUIT]],Lista_CUIT[#All],2,0)),"CUIT NO CARGADO")</f>
        <v>AUTOPISTAS DEL SOL S A</v>
      </c>
      <c r="H125" s="550">
        <v>10176.84</v>
      </c>
      <c r="I125" s="495">
        <f>IF(compras_mes78288[[#This Row],[NETO GRAVADO]]="","",compras_mes78288[[#This Row],[NETO GRAVADO]]*0.21)</f>
        <v>2137.1363999999999</v>
      </c>
      <c r="J125" s="495"/>
      <c r="K125" s="495"/>
      <c r="L125" s="495"/>
      <c r="M125" s="495"/>
      <c r="N125" s="495"/>
      <c r="O125" s="495">
        <v>305.31</v>
      </c>
      <c r="P125" s="494">
        <f>SUM(compras_mes78288[[#This Row],[NETO GRAVADO]:[Otros / No Grav.]])</f>
        <v>12619.286399999999</v>
      </c>
      <c r="Q125" s="549" t="str">
        <f>IFERROR(IF(compras_mes78288[[#This Row],[CUIT]]="","-",VLOOKUP(compras_mes78288[[#This Row],[CUIT]],Lista_CUIT[#All],3,0)),"CUIT NO CARGADO")</f>
        <v>Peajes</v>
      </c>
      <c r="R125" s="551">
        <f>IFERROR(IF(compras_mes78288[[#This Row],[CUIT]]="","-",VLOOKUP(compras_mes78288[[#This Row],[CUIT]],Lista_CUIT[#All],4,0)),"CUIT NO CARGADO")</f>
        <v>0</v>
      </c>
    </row>
    <row r="126" spans="2:18" s="128" customFormat="1">
      <c r="B126" s="544" t="s">
        <v>2349</v>
      </c>
      <c r="C126" s="545">
        <v>1</v>
      </c>
      <c r="D126" s="546">
        <v>700</v>
      </c>
      <c r="E126" s="547">
        <v>1804042</v>
      </c>
      <c r="F126" s="548">
        <v>30715804812</v>
      </c>
      <c r="G126" s="549" t="str">
        <f>IFERROR(IF(compras_mes78288[[#This Row],[CUIT]]="","-",VLOOKUP(compras_mes78288[[#This Row],[CUIT]],Lista_CUIT[#All],2,0)),"CUIT NO CARGADO")</f>
        <v>CORREDORES VIALES SOCIEDAD ANONIMA</v>
      </c>
      <c r="H126" s="550">
        <v>1376.14</v>
      </c>
      <c r="I126" s="495">
        <f>IF(compras_mes78288[[#This Row],[NETO GRAVADO]]="","",compras_mes78288[[#This Row],[NETO GRAVADO]]*0.21)</f>
        <v>288.98939999999999</v>
      </c>
      <c r="J126" s="495"/>
      <c r="K126" s="495"/>
      <c r="L126" s="495"/>
      <c r="M126" s="495"/>
      <c r="N126" s="495"/>
      <c r="O126" s="495"/>
      <c r="P126" s="494">
        <f>SUM(compras_mes78288[[#This Row],[NETO GRAVADO]:[Otros / No Grav.]])</f>
        <v>1665.1294</v>
      </c>
      <c r="Q126" s="549" t="str">
        <f>IFERROR(IF(compras_mes78288[[#This Row],[CUIT]]="","-",VLOOKUP(compras_mes78288[[#This Row],[CUIT]],Lista_CUIT[#All],3,0)),"CUIT NO CARGADO")</f>
        <v>Peajes</v>
      </c>
      <c r="R126" s="551">
        <f>IFERROR(IF(compras_mes78288[[#This Row],[CUIT]]="","-",VLOOKUP(compras_mes78288[[#This Row],[CUIT]],Lista_CUIT[#All],4,0)),"CUIT NO CARGADO")</f>
        <v>0</v>
      </c>
    </row>
    <row r="127" spans="2:18" s="128" customFormat="1">
      <c r="B127" s="544" t="s">
        <v>2350</v>
      </c>
      <c r="C127" s="545">
        <v>1</v>
      </c>
      <c r="D127" s="546">
        <v>5015</v>
      </c>
      <c r="E127" s="547">
        <v>628257</v>
      </c>
      <c r="F127" s="548">
        <v>30574876474</v>
      </c>
      <c r="G127" s="129" t="str">
        <f>IFERROR(IF(compras_mes78288[[#This Row],[CUIT]]="","-",VLOOKUP(compras_mes78288[[#This Row],[CUIT]],Lista_CUIT[#All],2,0)),"CUIT NO CARGADO")</f>
        <v>AUTOPISTAS URBANAS S A</v>
      </c>
      <c r="H127" s="550">
        <v>81532.12</v>
      </c>
      <c r="I127" s="495">
        <f>IF(compras_mes78288[[#This Row],[NETO GRAVADO]]="","",compras_mes78288[[#This Row],[NETO GRAVADO]]*0.21)</f>
        <v>17121.745199999998</v>
      </c>
      <c r="J127" s="495"/>
      <c r="K127" s="495"/>
      <c r="L127" s="495"/>
      <c r="M127" s="495"/>
      <c r="N127" s="495"/>
      <c r="O127" s="495">
        <v>10599.16</v>
      </c>
      <c r="P127" s="456">
        <f>SUM(compras_mes78288[[#This Row],[NETO GRAVADO]:[Otros / No Grav.]])</f>
        <v>109253.0252</v>
      </c>
      <c r="Q127" s="129" t="str">
        <f>IFERROR(IF(compras_mes78288[[#This Row],[CUIT]]="","-",VLOOKUP(compras_mes78288[[#This Row],[CUIT]],Lista_CUIT[#All],3,0)),"CUIT NO CARGADO")</f>
        <v>Peajes</v>
      </c>
      <c r="R127" s="553">
        <f>IFERROR(IF(compras_mes78288[[#This Row],[CUIT]]="","-",VLOOKUP(compras_mes78288[[#This Row],[CUIT]],Lista_CUIT[#All],4,0)),"CUIT NO CARGADO")</f>
        <v>0</v>
      </c>
    </row>
    <row r="128" spans="2:18" s="128" customFormat="1">
      <c r="B128" s="544" t="s">
        <v>2356</v>
      </c>
      <c r="C128" s="545">
        <v>1</v>
      </c>
      <c r="D128" s="546">
        <v>503</v>
      </c>
      <c r="E128" s="547">
        <v>1415840</v>
      </c>
      <c r="F128" s="548">
        <v>30639935872</v>
      </c>
      <c r="G128" s="549" t="str">
        <f>IFERROR(IF(compras_mes78288[[#This Row],[CUIT]]="","-",VLOOKUP(compras_mes78288[[#This Row],[CUIT]],Lista_CUIT[#All],2,0)),"CUIT NO CARGADO")</f>
        <v>CAMINOS DEL RIO URUGUAY S A DE CONSTRUCCIONES Y CONCESIONES VIALES</v>
      </c>
      <c r="H128" s="550">
        <v>2396.6999999999998</v>
      </c>
      <c r="I128" s="495">
        <f>IF(compras_mes78288[[#This Row],[NETO GRAVADO]]="","",compras_mes78288[[#This Row],[NETO GRAVADO]]*0.21)</f>
        <v>503.30699999999996</v>
      </c>
      <c r="J128" s="495"/>
      <c r="K128" s="495"/>
      <c r="L128" s="495"/>
      <c r="M128" s="495"/>
      <c r="N128" s="495">
        <v>143.80000000000001</v>
      </c>
      <c r="O128" s="495"/>
      <c r="P128" s="494">
        <f>SUM(compras_mes78288[[#This Row],[NETO GRAVADO]:[Otros / No Grav.]])</f>
        <v>3043.8069999999998</v>
      </c>
      <c r="Q128" s="549" t="str">
        <f>IFERROR(IF(compras_mes78288[[#This Row],[CUIT]]="","-",VLOOKUP(compras_mes78288[[#This Row],[CUIT]],Lista_CUIT[#All],3,0)),"CUIT NO CARGADO")</f>
        <v>Peajes</v>
      </c>
      <c r="R128" s="551">
        <f>IFERROR(IF(compras_mes78288[[#This Row],[CUIT]]="","-",VLOOKUP(compras_mes78288[[#This Row],[CUIT]],Lista_CUIT[#All],4,0)),"CUIT NO CARGADO")</f>
        <v>0</v>
      </c>
    </row>
    <row r="129" spans="2:18" s="128" customFormat="1">
      <c r="B129" s="544" t="s">
        <v>2357</v>
      </c>
      <c r="C129" s="545">
        <v>1</v>
      </c>
      <c r="D129" s="546">
        <v>104</v>
      </c>
      <c r="E129" s="547">
        <v>6302143</v>
      </c>
      <c r="F129" s="548">
        <v>30715804812</v>
      </c>
      <c r="G129" s="549" t="str">
        <f>IFERROR(IF(compras_mes78288[[#This Row],[CUIT]]="","-",VLOOKUP(compras_mes78288[[#This Row],[CUIT]],Lista_CUIT[#All],2,0)),"CUIT NO CARGADO")</f>
        <v>CORREDORES VIALES SOCIEDAD ANONIMA</v>
      </c>
      <c r="H129" s="550">
        <v>1529.04</v>
      </c>
      <c r="I129" s="495">
        <f>IF(compras_mes78288[[#This Row],[NETO GRAVADO]]="","",compras_mes78288[[#This Row],[NETO GRAVADO]]*0.21)</f>
        <v>321.09839999999997</v>
      </c>
      <c r="J129" s="495"/>
      <c r="K129" s="495"/>
      <c r="L129" s="495"/>
      <c r="M129" s="495"/>
      <c r="N129" s="495">
        <v>91.74</v>
      </c>
      <c r="O129" s="495"/>
      <c r="P129" s="494">
        <f>SUM(compras_mes78288[[#This Row],[NETO GRAVADO]:[Otros / No Grav.]])</f>
        <v>1941.8783999999998</v>
      </c>
      <c r="Q129" s="549" t="str">
        <f>IFERROR(IF(compras_mes78288[[#This Row],[CUIT]]="","-",VLOOKUP(compras_mes78288[[#This Row],[CUIT]],Lista_CUIT[#All],3,0)),"CUIT NO CARGADO")</f>
        <v>Peajes</v>
      </c>
      <c r="R129" s="551">
        <f>IFERROR(IF(compras_mes78288[[#This Row],[CUIT]]="","-",VLOOKUP(compras_mes78288[[#This Row],[CUIT]],Lista_CUIT[#All],4,0)),"CUIT NO CARGADO")</f>
        <v>0</v>
      </c>
    </row>
    <row r="130" spans="2:18" s="128" customFormat="1">
      <c r="B130" s="544" t="s">
        <v>2358</v>
      </c>
      <c r="C130" s="545">
        <v>1</v>
      </c>
      <c r="D130" s="546">
        <v>5015</v>
      </c>
      <c r="E130" s="547">
        <v>630643</v>
      </c>
      <c r="F130" s="548">
        <v>30574876474</v>
      </c>
      <c r="G130" s="129" t="str">
        <f>IFERROR(IF(compras_mes78288[[#This Row],[CUIT]]="","-",VLOOKUP(compras_mes78288[[#This Row],[CUIT]],Lista_CUIT[#All],2,0)),"CUIT NO CARGADO")</f>
        <v>AUTOPISTAS URBANAS S A</v>
      </c>
      <c r="H130" s="550">
        <v>151329.79</v>
      </c>
      <c r="I130" s="495">
        <f>IF(compras_mes78288[[#This Row],[NETO GRAVADO]]="","",compras_mes78288[[#This Row],[NETO GRAVADO]]*0.21)</f>
        <v>31779.2559</v>
      </c>
      <c r="J130" s="495"/>
      <c r="K130" s="495"/>
      <c r="L130" s="495"/>
      <c r="M130" s="495"/>
      <c r="N130" s="495"/>
      <c r="O130" s="495">
        <v>19672.84</v>
      </c>
      <c r="P130" s="456">
        <f>SUM(compras_mes78288[[#This Row],[NETO GRAVADO]:[Otros / No Grav.]])</f>
        <v>202781.88589999999</v>
      </c>
      <c r="Q130" s="129" t="str">
        <f>IFERROR(IF(compras_mes78288[[#This Row],[CUIT]]="","-",VLOOKUP(compras_mes78288[[#This Row],[CUIT]],Lista_CUIT[#All],3,0)),"CUIT NO CARGADO")</f>
        <v>Peajes</v>
      </c>
      <c r="R130" s="553">
        <f>IFERROR(IF(compras_mes78288[[#This Row],[CUIT]]="","-",VLOOKUP(compras_mes78288[[#This Row],[CUIT]],Lista_CUIT[#All],4,0)),"CUIT NO CARGADO")</f>
        <v>0</v>
      </c>
    </row>
    <row r="131" spans="2:18" s="128" customFormat="1">
      <c r="B131" s="544" t="s">
        <v>2358</v>
      </c>
      <c r="C131" s="545">
        <v>1</v>
      </c>
      <c r="D131" s="546">
        <v>50</v>
      </c>
      <c r="E131" s="547">
        <v>3711416</v>
      </c>
      <c r="F131" s="548">
        <v>30714112836</v>
      </c>
      <c r="G131" s="549" t="str">
        <f>IFERROR(IF(compras_mes78288[[#This Row],[CUIT]]="","-",VLOOKUP(compras_mes78288[[#This Row],[CUIT]],Lista_CUIT[#All],2,0)),"CUIT NO CARGADO")</f>
        <v>AUTOPISTAS DE BS AS</v>
      </c>
      <c r="H131" s="550">
        <v>26623.97</v>
      </c>
      <c r="I131" s="495">
        <f>IF(compras_mes78288[[#This Row],[NETO GRAVADO]]="","",compras_mes78288[[#This Row],[NETO GRAVADO]]*0.21)</f>
        <v>5591.0337</v>
      </c>
      <c r="J131" s="495"/>
      <c r="K131" s="495"/>
      <c r="L131" s="495">
        <v>798.72</v>
      </c>
      <c r="M131" s="495"/>
      <c r="N131" s="495"/>
      <c r="O131" s="495"/>
      <c r="P131" s="494">
        <f>SUM(compras_mes78288[[#This Row],[NETO GRAVADO]:[Otros / No Grav.]])</f>
        <v>33013.723700000002</v>
      </c>
      <c r="Q131" s="549" t="str">
        <f>IFERROR(IF(compras_mes78288[[#This Row],[CUIT]]="","-",VLOOKUP(compras_mes78288[[#This Row],[CUIT]],Lista_CUIT[#All],3,0)),"CUIT NO CARGADO")</f>
        <v>Peajes</v>
      </c>
      <c r="R131" s="551">
        <f>IFERROR(IF(compras_mes78288[[#This Row],[CUIT]]="","-",VLOOKUP(compras_mes78288[[#This Row],[CUIT]],Lista_CUIT[#All],4,0)),"CUIT NO CARGADO")</f>
        <v>0</v>
      </c>
    </row>
    <row r="132" spans="2:18" s="128" customFormat="1">
      <c r="B132" s="544" t="s">
        <v>2328</v>
      </c>
      <c r="C132" s="545">
        <v>1</v>
      </c>
      <c r="D132" s="546">
        <v>2</v>
      </c>
      <c r="E132" s="547">
        <v>3726</v>
      </c>
      <c r="F132" s="548">
        <v>30629863571</v>
      </c>
      <c r="G132" s="549" t="str">
        <f>IFERROR(IF(compras_mes78288[[#This Row],[CUIT]]="","-",VLOOKUP(compras_mes78288[[#This Row],[CUIT]],Lista_CUIT[#All],2,0)),"CUIT NO CARGADO")</f>
        <v>TECNIMAR S R L</v>
      </c>
      <c r="H132" s="550">
        <v>3555254.33</v>
      </c>
      <c r="I132" s="495">
        <f>IF(compras_mes78288[[#This Row],[NETO GRAVADO]]="","",compras_mes78288[[#This Row],[NETO GRAVADO]]*0.21)</f>
        <v>746603.40929999994</v>
      </c>
      <c r="J132" s="495"/>
      <c r="K132" s="495"/>
      <c r="L132" s="495"/>
      <c r="M132" s="495"/>
      <c r="N132" s="495"/>
      <c r="O132" s="495"/>
      <c r="P132" s="494">
        <f>SUM(compras_mes78288[[#This Row],[NETO GRAVADO]:[Otros / No Grav.]])</f>
        <v>4301857.7392999995</v>
      </c>
      <c r="Q132" s="549" t="str">
        <f>IFERROR(IF(compras_mes78288[[#This Row],[CUIT]]="","-",VLOOKUP(compras_mes78288[[#This Row],[CUIT]],Lista_CUIT[#All],3,0)),"CUIT NO CARGADO")</f>
        <v>Productos Venta</v>
      </c>
      <c r="R132" s="551">
        <f>IFERROR(IF(compras_mes78288[[#This Row],[CUIT]]="","-",VLOOKUP(compras_mes78288[[#This Row],[CUIT]],Lista_CUIT[#All],4,0)),"CUIT NO CARGADO")</f>
        <v>0</v>
      </c>
    </row>
    <row r="133" spans="2:18" s="128" customFormat="1">
      <c r="B133" s="544" t="s">
        <v>2329</v>
      </c>
      <c r="C133" s="545">
        <v>1</v>
      </c>
      <c r="D133" s="546">
        <v>1</v>
      </c>
      <c r="E133" s="547">
        <v>102</v>
      </c>
      <c r="F133" s="548">
        <v>20263486464</v>
      </c>
      <c r="G133" s="549" t="str">
        <f>IFERROR(IF(compras_mes78288[[#This Row],[CUIT]]="","-",VLOOKUP(compras_mes78288[[#This Row],[CUIT]],Lista_CUIT[#All],2,0)),"CUIT NO CARGADO")</f>
        <v>ROMANO SEBASTIAN ANTONIO</v>
      </c>
      <c r="H133" s="550">
        <v>192000</v>
      </c>
      <c r="I133" s="495">
        <f>IF(compras_mes78288[[#This Row],[NETO GRAVADO]]="","",compras_mes78288[[#This Row],[NETO GRAVADO]]*0.21)</f>
        <v>40320</v>
      </c>
      <c r="J133" s="495"/>
      <c r="K133" s="495"/>
      <c r="L133" s="495"/>
      <c r="M133" s="495"/>
      <c r="N133" s="495"/>
      <c r="O133" s="495"/>
      <c r="P133" s="494">
        <f>SUM(compras_mes78288[[#This Row],[NETO GRAVADO]:[Otros / No Grav.]])</f>
        <v>232320</v>
      </c>
      <c r="Q133" s="549" t="str">
        <f>IFERROR(IF(compras_mes78288[[#This Row],[CUIT]]="","-",VLOOKUP(compras_mes78288[[#This Row],[CUIT]],Lista_CUIT[#All],3,0)),"CUIT NO CARGADO")</f>
        <v>Productos Venta</v>
      </c>
      <c r="R133" s="551">
        <f>IFERROR(IF(compras_mes78288[[#This Row],[CUIT]]="","-",VLOOKUP(compras_mes78288[[#This Row],[CUIT]],Lista_CUIT[#All],4,0)),"CUIT NO CARGADO")</f>
        <v>0</v>
      </c>
    </row>
    <row r="134" spans="2:18" s="128" customFormat="1">
      <c r="B134" s="544" t="s">
        <v>2329</v>
      </c>
      <c r="C134" s="545">
        <v>3</v>
      </c>
      <c r="D134" s="546">
        <v>6</v>
      </c>
      <c r="E134" s="547">
        <v>476</v>
      </c>
      <c r="F134" s="548">
        <v>30574603788</v>
      </c>
      <c r="G134" s="549" t="str">
        <f>IFERROR(IF(compras_mes78288[[#This Row],[CUIT]]="","-",VLOOKUP(compras_mes78288[[#This Row],[CUIT]],Lista_CUIT[#All],2,0)),"CUIT NO CARGADO")</f>
        <v>CODAC SRL</v>
      </c>
      <c r="H134" s="550">
        <v>-451440</v>
      </c>
      <c r="I134" s="495">
        <f>IF(compras_mes78288[[#This Row],[NETO GRAVADO]]="","",compras_mes78288[[#This Row],[NETO GRAVADO]]*0.21)</f>
        <v>-94802.4</v>
      </c>
      <c r="J134" s="495"/>
      <c r="K134" s="495"/>
      <c r="L134" s="495"/>
      <c r="M134" s="495"/>
      <c r="N134" s="495"/>
      <c r="O134" s="495"/>
      <c r="P134" s="494">
        <f>SUM(compras_mes78288[[#This Row],[NETO GRAVADO]:[Otros / No Grav.]])</f>
        <v>-546242.4</v>
      </c>
      <c r="Q134" s="549" t="str">
        <f>IFERROR(IF(compras_mes78288[[#This Row],[CUIT]]="","-",VLOOKUP(compras_mes78288[[#This Row],[CUIT]],Lista_CUIT[#All],3,0)),"CUIT NO CARGADO")</f>
        <v>Productos Venta</v>
      </c>
      <c r="R134" s="551" t="str">
        <f>IFERROR(IF(compras_mes78288[[#This Row],[CUIT]]="","-",VLOOKUP(compras_mes78288[[#This Row],[CUIT]],Lista_CUIT[#All],4,0)),"CUIT NO CARGADO")</f>
        <v>BUENOS AIRES</v>
      </c>
    </row>
    <row r="135" spans="2:18" s="128" customFormat="1">
      <c r="B135" s="544" t="s">
        <v>2329</v>
      </c>
      <c r="C135" s="545">
        <v>1</v>
      </c>
      <c r="D135" s="546">
        <v>6</v>
      </c>
      <c r="E135" s="547">
        <v>3173</v>
      </c>
      <c r="F135" s="548">
        <v>30574603788</v>
      </c>
      <c r="G135" s="549" t="str">
        <f>IFERROR(IF(compras_mes78288[[#This Row],[CUIT]]="","-",VLOOKUP(compras_mes78288[[#This Row],[CUIT]],Lista_CUIT[#All],2,0)),"CUIT NO CARGADO")</f>
        <v>CODAC SRL</v>
      </c>
      <c r="H135" s="550">
        <v>4969740</v>
      </c>
      <c r="I135" s="495">
        <f>IF(compras_mes78288[[#This Row],[NETO GRAVADO]]="","",compras_mes78288[[#This Row],[NETO GRAVADO]]*0.21)</f>
        <v>1043645.3999999999</v>
      </c>
      <c r="J135" s="495"/>
      <c r="K135" s="495"/>
      <c r="L135" s="495"/>
      <c r="M135" s="495"/>
      <c r="N135" s="495"/>
      <c r="O135" s="495"/>
      <c r="P135" s="494">
        <f>SUM(compras_mes78288[[#This Row],[NETO GRAVADO]:[Otros / No Grav.]])</f>
        <v>6013385.4000000004</v>
      </c>
      <c r="Q135" s="549" t="str">
        <f>IFERROR(IF(compras_mes78288[[#This Row],[CUIT]]="","-",VLOOKUP(compras_mes78288[[#This Row],[CUIT]],Lista_CUIT[#All],3,0)),"CUIT NO CARGADO")</f>
        <v>Productos Venta</v>
      </c>
      <c r="R135" s="551" t="str">
        <f>IFERROR(IF(compras_mes78288[[#This Row],[CUIT]]="","-",VLOOKUP(compras_mes78288[[#This Row],[CUIT]],Lista_CUIT[#All],4,0)),"CUIT NO CARGADO")</f>
        <v>BUENOS AIRES</v>
      </c>
    </row>
    <row r="136" spans="2:18" s="128" customFormat="1">
      <c r="B136" s="544" t="s">
        <v>2330</v>
      </c>
      <c r="C136" s="545">
        <v>3</v>
      </c>
      <c r="D136" s="546">
        <v>4</v>
      </c>
      <c r="E136" s="547">
        <v>114</v>
      </c>
      <c r="F136" s="548">
        <v>30715946250</v>
      </c>
      <c r="G136" s="549" t="str">
        <f>IFERROR(IF(compras_mes78288[[#This Row],[CUIT]]="","-",VLOOKUP(compras_mes78288[[#This Row],[CUIT]],Lista_CUIT[#All],2,0)),"CUIT NO CARGADO")</f>
        <v>GLOBAL AESTHETICS PRODUCTS AND SERVICES SRL</v>
      </c>
      <c r="H136" s="550">
        <v>-194454.72</v>
      </c>
      <c r="I136" s="495">
        <f>IF(compras_mes78288[[#This Row],[NETO GRAVADO]]="","",compras_mes78288[[#This Row],[NETO GRAVADO]]*0.21)</f>
        <v>-40835.491199999997</v>
      </c>
      <c r="J136" s="495"/>
      <c r="K136" s="495"/>
      <c r="L136" s="495"/>
      <c r="M136" s="495"/>
      <c r="N136" s="495"/>
      <c r="O136" s="495"/>
      <c r="P136" s="494">
        <f>SUM(compras_mes78288[[#This Row],[NETO GRAVADO]:[Otros / No Grav.]])</f>
        <v>-235290.21119999999</v>
      </c>
      <c r="Q136" s="549" t="str">
        <f>IFERROR(IF(compras_mes78288[[#This Row],[CUIT]]="","-",VLOOKUP(compras_mes78288[[#This Row],[CUIT]],Lista_CUIT[#All],3,0)),"CUIT NO CARGADO")</f>
        <v>Productos Venta</v>
      </c>
      <c r="R136" s="551">
        <f>IFERROR(IF(compras_mes78288[[#This Row],[CUIT]]="","-",VLOOKUP(compras_mes78288[[#This Row],[CUIT]],Lista_CUIT[#All],4,0)),"CUIT NO CARGADO")</f>
        <v>0</v>
      </c>
    </row>
    <row r="137" spans="2:18" s="128" customFormat="1">
      <c r="B137" s="544" t="s">
        <v>2330</v>
      </c>
      <c r="C137" s="545">
        <v>1</v>
      </c>
      <c r="D137" s="546">
        <v>2</v>
      </c>
      <c r="E137" s="547">
        <v>3729</v>
      </c>
      <c r="F137" s="548">
        <v>30629863571</v>
      </c>
      <c r="G137" s="549" t="str">
        <f>IFERROR(IF(compras_mes78288[[#This Row],[CUIT]]="","-",VLOOKUP(compras_mes78288[[#This Row],[CUIT]],Lista_CUIT[#All],2,0)),"CUIT NO CARGADO")</f>
        <v>TECNIMAR S R L</v>
      </c>
      <c r="H137" s="550">
        <v>4554714</v>
      </c>
      <c r="I137" s="495">
        <f>IF(compras_mes78288[[#This Row],[NETO GRAVADO]]="","",compras_mes78288[[#This Row],[NETO GRAVADO]]*0.21)</f>
        <v>956489.94</v>
      </c>
      <c r="J137" s="495"/>
      <c r="K137" s="495"/>
      <c r="L137" s="495"/>
      <c r="M137" s="495"/>
      <c r="N137" s="495"/>
      <c r="O137" s="495"/>
      <c r="P137" s="494">
        <f>SUM(compras_mes78288[[#This Row],[NETO GRAVADO]:[Otros / No Grav.]])</f>
        <v>5511203.9399999995</v>
      </c>
      <c r="Q137" s="549" t="str">
        <f>IFERROR(IF(compras_mes78288[[#This Row],[CUIT]]="","-",VLOOKUP(compras_mes78288[[#This Row],[CUIT]],Lista_CUIT[#All],3,0)),"CUIT NO CARGADO")</f>
        <v>Productos Venta</v>
      </c>
      <c r="R137" s="551">
        <f>IFERROR(IF(compras_mes78288[[#This Row],[CUIT]]="","-",VLOOKUP(compras_mes78288[[#This Row],[CUIT]],Lista_CUIT[#All],4,0)),"CUIT NO CARGADO")</f>
        <v>0</v>
      </c>
    </row>
    <row r="138" spans="2:18" s="128" customFormat="1">
      <c r="B138" s="544" t="s">
        <v>2331</v>
      </c>
      <c r="C138" s="545">
        <v>1</v>
      </c>
      <c r="D138" s="546">
        <v>2</v>
      </c>
      <c r="E138" s="547">
        <v>3732</v>
      </c>
      <c r="F138" s="548">
        <v>30629863571</v>
      </c>
      <c r="G138" s="549" t="str">
        <f>IFERROR(IF(compras_mes78288[[#This Row],[CUIT]]="","-",VLOOKUP(compras_mes78288[[#This Row],[CUIT]],Lista_CUIT[#All],2,0)),"CUIT NO CARGADO")</f>
        <v>TECNIMAR S R L</v>
      </c>
      <c r="H138" s="550">
        <v>2344228.2400000002</v>
      </c>
      <c r="I138" s="495">
        <f>IF(compras_mes78288[[#This Row],[NETO GRAVADO]]="","",compras_mes78288[[#This Row],[NETO GRAVADO]]*0.21)</f>
        <v>492287.93040000001</v>
      </c>
      <c r="J138" s="495"/>
      <c r="K138" s="495"/>
      <c r="L138" s="495"/>
      <c r="M138" s="495"/>
      <c r="N138" s="495"/>
      <c r="O138" s="495"/>
      <c r="P138" s="494">
        <f>SUM(compras_mes78288[[#This Row],[NETO GRAVADO]:[Otros / No Grav.]])</f>
        <v>2836516.1704000002</v>
      </c>
      <c r="Q138" s="549" t="str">
        <f>IFERROR(IF(compras_mes78288[[#This Row],[CUIT]]="","-",VLOOKUP(compras_mes78288[[#This Row],[CUIT]],Lista_CUIT[#All],3,0)),"CUIT NO CARGADO")</f>
        <v>Productos Venta</v>
      </c>
      <c r="R138" s="551">
        <f>IFERROR(IF(compras_mes78288[[#This Row],[CUIT]]="","-",VLOOKUP(compras_mes78288[[#This Row],[CUIT]],Lista_CUIT[#All],4,0)),"CUIT NO CARGADO")</f>
        <v>0</v>
      </c>
    </row>
    <row r="139" spans="2:18" s="128" customFormat="1">
      <c r="B139" s="544" t="s">
        <v>2331</v>
      </c>
      <c r="C139" s="545">
        <v>1</v>
      </c>
      <c r="D139" s="546">
        <v>3</v>
      </c>
      <c r="E139" s="547">
        <v>6860</v>
      </c>
      <c r="F139" s="548">
        <v>30708006420</v>
      </c>
      <c r="G139" s="549" t="str">
        <f>IFERROR(IF(compras_mes78288[[#This Row],[CUIT]]="","-",VLOOKUP(compras_mes78288[[#This Row],[CUIT]],Lista_CUIT[#All],2,0)),"CUIT NO CARGADO")</f>
        <v>MEDILEA S.A.</v>
      </c>
      <c r="H139" s="550">
        <v>226000</v>
      </c>
      <c r="I139" s="495">
        <f>IF(compras_mes78288[[#This Row],[NETO GRAVADO]]="","",compras_mes78288[[#This Row],[NETO GRAVADO]]*0.21)</f>
        <v>47460</v>
      </c>
      <c r="J139" s="495"/>
      <c r="K139" s="495"/>
      <c r="L139" s="495"/>
      <c r="M139" s="495"/>
      <c r="N139" s="495"/>
      <c r="O139" s="495"/>
      <c r="P139" s="494">
        <f>SUM(compras_mes78288[[#This Row],[NETO GRAVADO]:[Otros / No Grav.]])</f>
        <v>273460</v>
      </c>
      <c r="Q139" s="549" t="str">
        <f>IFERROR(IF(compras_mes78288[[#This Row],[CUIT]]="","-",VLOOKUP(compras_mes78288[[#This Row],[CUIT]],Lista_CUIT[#All],3,0)),"CUIT NO CARGADO")</f>
        <v>Productos Venta</v>
      </c>
      <c r="R139" s="551">
        <f>IFERROR(IF(compras_mes78288[[#This Row],[CUIT]]="","-",VLOOKUP(compras_mes78288[[#This Row],[CUIT]],Lista_CUIT[#All],4,0)),"CUIT NO CARGADO")</f>
        <v>0</v>
      </c>
    </row>
    <row r="140" spans="2:18" s="128" customFormat="1">
      <c r="B140" s="544" t="s">
        <v>2335</v>
      </c>
      <c r="C140" s="545">
        <v>1</v>
      </c>
      <c r="D140" s="546">
        <v>6</v>
      </c>
      <c r="E140" s="547">
        <v>3183</v>
      </c>
      <c r="F140" s="548">
        <v>30574603788</v>
      </c>
      <c r="G140" s="129" t="str">
        <f>IFERROR(IF(compras_mes78288[[#This Row],[CUIT]]="","-",VLOOKUP(compras_mes78288[[#This Row],[CUIT]],Lista_CUIT[#All],2,0)),"CUIT NO CARGADO")</f>
        <v>CODAC SRL</v>
      </c>
      <c r="H140" s="550">
        <v>3089250</v>
      </c>
      <c r="I140" s="495">
        <f>IF(compras_mes78288[[#This Row],[NETO GRAVADO]]="","",compras_mes78288[[#This Row],[NETO GRAVADO]]*0.21)</f>
        <v>648742.5</v>
      </c>
      <c r="J140" s="495"/>
      <c r="K140" s="495"/>
      <c r="L140" s="495"/>
      <c r="M140" s="495"/>
      <c r="N140" s="495"/>
      <c r="O140" s="495"/>
      <c r="P140" s="456">
        <f>SUM(compras_mes78288[[#This Row],[NETO GRAVADO]:[Otros / No Grav.]])</f>
        <v>3737992.5</v>
      </c>
      <c r="Q140" s="129" t="str">
        <f>IFERROR(IF(compras_mes78288[[#This Row],[CUIT]]="","-",VLOOKUP(compras_mes78288[[#This Row],[CUIT]],Lista_CUIT[#All],3,0)),"CUIT NO CARGADO")</f>
        <v>Productos Venta</v>
      </c>
      <c r="R140" s="553" t="str">
        <f>IFERROR(IF(compras_mes78288[[#This Row],[CUIT]]="","-",VLOOKUP(compras_mes78288[[#This Row],[CUIT]],Lista_CUIT[#All],4,0)),"CUIT NO CARGADO")</f>
        <v>BUENOS AIRES</v>
      </c>
    </row>
    <row r="141" spans="2:18" s="128" customFormat="1">
      <c r="B141" s="544" t="s">
        <v>2338</v>
      </c>
      <c r="C141" s="545">
        <v>1</v>
      </c>
      <c r="D141" s="546">
        <v>1</v>
      </c>
      <c r="E141" s="547">
        <v>14</v>
      </c>
      <c r="F141" s="548">
        <v>30718189388</v>
      </c>
      <c r="G141" s="549" t="str">
        <f>IFERROR(IF(compras_mes78288[[#This Row],[CUIT]]="","-",VLOOKUP(compras_mes78288[[#This Row],[CUIT]],Lista_CUIT[#All],2,0)),"CUIT NO CARGADO")</f>
        <v>PICALI Y ASOCIADOS S.R.L.</v>
      </c>
      <c r="H141" s="550">
        <v>2675000</v>
      </c>
      <c r="I141" s="495">
        <f>IF(compras_mes78288[[#This Row],[NETO GRAVADO]]="","",compras_mes78288[[#This Row],[NETO GRAVADO]]*0.21)</f>
        <v>561750</v>
      </c>
      <c r="J141" s="495"/>
      <c r="K141" s="495"/>
      <c r="L141" s="495"/>
      <c r="M141" s="495"/>
      <c r="N141" s="495"/>
      <c r="O141" s="495"/>
      <c r="P141" s="494">
        <f>SUM(compras_mes78288[[#This Row],[NETO GRAVADO]:[Otros / No Grav.]])</f>
        <v>3236750</v>
      </c>
      <c r="Q141" s="549" t="str">
        <f>IFERROR(IF(compras_mes78288[[#This Row],[CUIT]]="","-",VLOOKUP(compras_mes78288[[#This Row],[CUIT]],Lista_CUIT[#All],3,0)),"CUIT NO CARGADO")</f>
        <v>Productos Venta</v>
      </c>
      <c r="R141" s="551">
        <f>IFERROR(IF(compras_mes78288[[#This Row],[CUIT]]="","-",VLOOKUP(compras_mes78288[[#This Row],[CUIT]],Lista_CUIT[#All],4,0)),"CUIT NO CARGADO")</f>
        <v>0</v>
      </c>
    </row>
    <row r="142" spans="2:18" s="128" customFormat="1">
      <c r="B142" s="544" t="s">
        <v>2338</v>
      </c>
      <c r="C142" s="545">
        <v>1</v>
      </c>
      <c r="D142" s="546">
        <v>6</v>
      </c>
      <c r="E142" s="547">
        <v>3184</v>
      </c>
      <c r="F142" s="548">
        <v>30574603788</v>
      </c>
      <c r="G142" s="549" t="str">
        <f>IFERROR(IF(compras_mes78288[[#This Row],[CUIT]]="","-",VLOOKUP(compras_mes78288[[#This Row],[CUIT]],Lista_CUIT[#All],2,0)),"CUIT NO CARGADO")</f>
        <v>CODAC SRL</v>
      </c>
      <c r="H142" s="550">
        <v>1604400</v>
      </c>
      <c r="I142" s="495">
        <f>IF(compras_mes78288[[#This Row],[NETO GRAVADO]]="","",compras_mes78288[[#This Row],[NETO GRAVADO]]*0.21)</f>
        <v>336924</v>
      </c>
      <c r="J142" s="495"/>
      <c r="K142" s="495"/>
      <c r="L142" s="495"/>
      <c r="M142" s="495"/>
      <c r="N142" s="495"/>
      <c r="O142" s="495"/>
      <c r="P142" s="494">
        <f>SUM(compras_mes78288[[#This Row],[NETO GRAVADO]:[Otros / No Grav.]])</f>
        <v>1941324</v>
      </c>
      <c r="Q142" s="549" t="str">
        <f>IFERROR(IF(compras_mes78288[[#This Row],[CUIT]]="","-",VLOOKUP(compras_mes78288[[#This Row],[CUIT]],Lista_CUIT[#All],3,0)),"CUIT NO CARGADO")</f>
        <v>Productos Venta</v>
      </c>
      <c r="R142" s="551" t="str">
        <f>IFERROR(IF(compras_mes78288[[#This Row],[CUIT]]="","-",VLOOKUP(compras_mes78288[[#This Row],[CUIT]],Lista_CUIT[#All],4,0)),"CUIT NO CARGADO")</f>
        <v>BUENOS AIRES</v>
      </c>
    </row>
    <row r="143" spans="2:18" s="128" customFormat="1">
      <c r="B143" s="544" t="s">
        <v>2338</v>
      </c>
      <c r="C143" s="545">
        <v>1</v>
      </c>
      <c r="D143" s="546">
        <v>2</v>
      </c>
      <c r="E143" s="547">
        <v>3737</v>
      </c>
      <c r="F143" s="548">
        <v>30629863571</v>
      </c>
      <c r="G143" s="549" t="str">
        <f>IFERROR(IF(compras_mes78288[[#This Row],[CUIT]]="","-",VLOOKUP(compras_mes78288[[#This Row],[CUIT]],Lista_CUIT[#All],2,0)),"CUIT NO CARGADO")</f>
        <v>TECNIMAR S R L</v>
      </c>
      <c r="H143" s="550">
        <v>908104.48</v>
      </c>
      <c r="I143" s="495">
        <f>IF(compras_mes78288[[#This Row],[NETO GRAVADO]]="","",compras_mes78288[[#This Row],[NETO GRAVADO]]*0.21)</f>
        <v>190701.94079999998</v>
      </c>
      <c r="J143" s="495"/>
      <c r="K143" s="495"/>
      <c r="L143" s="495"/>
      <c r="M143" s="495"/>
      <c r="N143" s="495"/>
      <c r="O143" s="495"/>
      <c r="P143" s="494">
        <f>SUM(compras_mes78288[[#This Row],[NETO GRAVADO]:[Otros / No Grav.]])</f>
        <v>1098806.4208</v>
      </c>
      <c r="Q143" s="549" t="str">
        <f>IFERROR(IF(compras_mes78288[[#This Row],[CUIT]]="","-",VLOOKUP(compras_mes78288[[#This Row],[CUIT]],Lista_CUIT[#All],3,0)),"CUIT NO CARGADO")</f>
        <v>Productos Venta</v>
      </c>
      <c r="R143" s="551">
        <f>IFERROR(IF(compras_mes78288[[#This Row],[CUIT]]="","-",VLOOKUP(compras_mes78288[[#This Row],[CUIT]],Lista_CUIT[#All],4,0)),"CUIT NO CARGADO")</f>
        <v>0</v>
      </c>
    </row>
    <row r="144" spans="2:18" s="128" customFormat="1">
      <c r="B144" s="544" t="s">
        <v>2342</v>
      </c>
      <c r="C144" s="545">
        <v>1</v>
      </c>
      <c r="D144" s="546">
        <v>2</v>
      </c>
      <c r="E144" s="547">
        <v>3738</v>
      </c>
      <c r="F144" s="548">
        <v>30629863571</v>
      </c>
      <c r="G144" s="549" t="str">
        <f>IFERROR(IF(compras_mes78288[[#This Row],[CUIT]]="","-",VLOOKUP(compras_mes78288[[#This Row],[CUIT]],Lista_CUIT[#All],2,0)),"CUIT NO CARGADO")</f>
        <v>TECNIMAR S R L</v>
      </c>
      <c r="H144" s="550">
        <v>1178977.1399999999</v>
      </c>
      <c r="I144" s="495">
        <f>IF(compras_mes78288[[#This Row],[NETO GRAVADO]]="","",compras_mes78288[[#This Row],[NETO GRAVADO]]*0.21)</f>
        <v>247585.19939999998</v>
      </c>
      <c r="J144" s="495"/>
      <c r="K144" s="495"/>
      <c r="L144" s="495"/>
      <c r="M144" s="495"/>
      <c r="N144" s="495"/>
      <c r="O144" s="495"/>
      <c r="P144" s="494">
        <f>SUM(compras_mes78288[[#This Row],[NETO GRAVADO]:[Otros / No Grav.]])</f>
        <v>1426562.3393999999</v>
      </c>
      <c r="Q144" s="549" t="str">
        <f>IFERROR(IF(compras_mes78288[[#This Row],[CUIT]]="","-",VLOOKUP(compras_mes78288[[#This Row],[CUIT]],Lista_CUIT[#All],3,0)),"CUIT NO CARGADO")</f>
        <v>Productos Venta</v>
      </c>
      <c r="R144" s="551">
        <f>IFERROR(IF(compras_mes78288[[#This Row],[CUIT]]="","-",VLOOKUP(compras_mes78288[[#This Row],[CUIT]],Lista_CUIT[#All],4,0)),"CUIT NO CARGADO")</f>
        <v>0</v>
      </c>
    </row>
    <row r="145" spans="1:18" s="128" customFormat="1">
      <c r="B145" s="544" t="s">
        <v>2343</v>
      </c>
      <c r="C145" s="545">
        <v>1</v>
      </c>
      <c r="D145" s="546">
        <v>6</v>
      </c>
      <c r="E145" s="547">
        <v>3191</v>
      </c>
      <c r="F145" s="548">
        <v>30574603788</v>
      </c>
      <c r="G145" s="549" t="str">
        <f>IFERROR(IF(compras_mes78288[[#This Row],[CUIT]]="","-",VLOOKUP(compras_mes78288[[#This Row],[CUIT]],Lista_CUIT[#All],2,0)),"CUIT NO CARGADO")</f>
        <v>CODAC SRL</v>
      </c>
      <c r="H145" s="550">
        <v>3160000</v>
      </c>
      <c r="I145" s="495">
        <f>IF(compras_mes78288[[#This Row],[NETO GRAVADO]]="","",compras_mes78288[[#This Row],[NETO GRAVADO]]*0.21)</f>
        <v>663600</v>
      </c>
      <c r="J145" s="495"/>
      <c r="K145" s="495"/>
      <c r="L145" s="556"/>
      <c r="M145" s="495"/>
      <c r="N145" s="495"/>
      <c r="O145" s="495"/>
      <c r="P145" s="494">
        <f>SUM(compras_mes78288[[#This Row],[NETO GRAVADO]:[Otros / No Grav.]])</f>
        <v>3823600</v>
      </c>
      <c r="Q145" s="549" t="str">
        <f>IFERROR(IF(compras_mes78288[[#This Row],[CUIT]]="","-",VLOOKUP(compras_mes78288[[#This Row],[CUIT]],Lista_CUIT[#All],3,0)),"CUIT NO CARGADO")</f>
        <v>Productos Venta</v>
      </c>
      <c r="R145" s="551" t="str">
        <f>IFERROR(IF(compras_mes78288[[#This Row],[CUIT]]="","-",VLOOKUP(compras_mes78288[[#This Row],[CUIT]],Lista_CUIT[#All],4,0)),"CUIT NO CARGADO")</f>
        <v>BUENOS AIRES</v>
      </c>
    </row>
    <row r="146" spans="1:18" s="128" customFormat="1">
      <c r="B146" s="544" t="s">
        <v>2343</v>
      </c>
      <c r="C146" s="545">
        <v>1</v>
      </c>
      <c r="D146" s="546">
        <v>2</v>
      </c>
      <c r="E146" s="547">
        <v>3739</v>
      </c>
      <c r="F146" s="548">
        <v>30629863571</v>
      </c>
      <c r="G146" s="129" t="str">
        <f>IFERROR(IF(compras_mes78288[[#This Row],[CUIT]]="","-",VLOOKUP(compras_mes78288[[#This Row],[CUIT]],Lista_CUIT[#All],2,0)),"CUIT NO CARGADO")</f>
        <v>TECNIMAR S R L</v>
      </c>
      <c r="H146" s="550">
        <v>1487750</v>
      </c>
      <c r="I146" s="495">
        <f>IF(compras_mes78288[[#This Row],[NETO GRAVADO]]="","",compras_mes78288[[#This Row],[NETO GRAVADO]]*0.21)</f>
        <v>312427.5</v>
      </c>
      <c r="J146" s="495"/>
      <c r="K146" s="495"/>
      <c r="L146" s="495"/>
      <c r="M146" s="495"/>
      <c r="N146" s="495"/>
      <c r="O146" s="495"/>
      <c r="P146" s="456">
        <f>SUM(compras_mes78288[[#This Row],[NETO GRAVADO]:[Otros / No Grav.]])</f>
        <v>1800177.5</v>
      </c>
      <c r="Q146" s="129" t="str">
        <f>IFERROR(IF(compras_mes78288[[#This Row],[CUIT]]="","-",VLOOKUP(compras_mes78288[[#This Row],[CUIT]],Lista_CUIT[#All],3,0)),"CUIT NO CARGADO")</f>
        <v>Productos Venta</v>
      </c>
      <c r="R146" s="553">
        <f>IFERROR(IF(compras_mes78288[[#This Row],[CUIT]]="","-",VLOOKUP(compras_mes78288[[#This Row],[CUIT]],Lista_CUIT[#All],4,0)),"CUIT NO CARGADO")</f>
        <v>0</v>
      </c>
    </row>
    <row r="147" spans="1:18" s="128" customFormat="1">
      <c r="B147" s="544" t="s">
        <v>2344</v>
      </c>
      <c r="C147" s="545">
        <v>1</v>
      </c>
      <c r="D147" s="546">
        <v>2</v>
      </c>
      <c r="E147" s="547">
        <v>3740</v>
      </c>
      <c r="F147" s="548">
        <v>30629863571</v>
      </c>
      <c r="G147" s="129" t="str">
        <f>IFERROR(IF(compras_mes78288[[#This Row],[CUIT]]="","-",VLOOKUP(compras_mes78288[[#This Row],[CUIT]],Lista_CUIT[#All],2,0)),"CUIT NO CARGADO")</f>
        <v>TECNIMAR S R L</v>
      </c>
      <c r="H147" s="550">
        <v>3662685.1</v>
      </c>
      <c r="I147" s="495">
        <f>IF(compras_mes78288[[#This Row],[NETO GRAVADO]]="","",compras_mes78288[[#This Row],[NETO GRAVADO]]*0.21)</f>
        <v>769163.87100000004</v>
      </c>
      <c r="J147" s="495"/>
      <c r="K147" s="495"/>
      <c r="L147" s="495"/>
      <c r="M147" s="495"/>
      <c r="N147" s="495"/>
      <c r="O147" s="495"/>
      <c r="P147" s="456">
        <f>SUM(compras_mes78288[[#This Row],[NETO GRAVADO]:[Otros / No Grav.]])</f>
        <v>4431848.9709999999</v>
      </c>
      <c r="Q147" s="129" t="str">
        <f>IFERROR(IF(compras_mes78288[[#This Row],[CUIT]]="","-",VLOOKUP(compras_mes78288[[#This Row],[CUIT]],Lista_CUIT[#All],3,0)),"CUIT NO CARGADO")</f>
        <v>Productos Venta</v>
      </c>
      <c r="R147" s="553">
        <f>IFERROR(IF(compras_mes78288[[#This Row],[CUIT]]="","-",VLOOKUP(compras_mes78288[[#This Row],[CUIT]],Lista_CUIT[#All],4,0)),"CUIT NO CARGADO")</f>
        <v>0</v>
      </c>
    </row>
    <row r="148" spans="1:18" s="128" customFormat="1">
      <c r="B148" s="544" t="s">
        <v>2344</v>
      </c>
      <c r="C148" s="545">
        <v>1</v>
      </c>
      <c r="D148" s="546">
        <v>3</v>
      </c>
      <c r="E148" s="547">
        <v>6876</v>
      </c>
      <c r="F148" s="548">
        <v>30708006420</v>
      </c>
      <c r="G148" s="549" t="str">
        <f>IFERROR(IF(compras_mes78288[[#This Row],[CUIT]]="","-",VLOOKUP(compras_mes78288[[#This Row],[CUIT]],Lista_CUIT[#All],2,0)),"CUIT NO CARGADO")</f>
        <v>MEDILEA S.A.</v>
      </c>
      <c r="H148" s="550">
        <v>1170000</v>
      </c>
      <c r="I148" s="495">
        <f>IF(compras_mes78288[[#This Row],[NETO GRAVADO]]="","",compras_mes78288[[#This Row],[NETO GRAVADO]]*0.21)</f>
        <v>245700</v>
      </c>
      <c r="J148" s="495"/>
      <c r="K148" s="495"/>
      <c r="L148" s="495"/>
      <c r="M148" s="495"/>
      <c r="N148" s="495"/>
      <c r="O148" s="495"/>
      <c r="P148" s="494">
        <f>SUM(compras_mes78288[[#This Row],[NETO GRAVADO]:[Otros / No Grav.]])</f>
        <v>1415700</v>
      </c>
      <c r="Q148" s="549" t="str">
        <f>IFERROR(IF(compras_mes78288[[#This Row],[CUIT]]="","-",VLOOKUP(compras_mes78288[[#This Row],[CUIT]],Lista_CUIT[#All],3,0)),"CUIT NO CARGADO")</f>
        <v>Productos Venta</v>
      </c>
      <c r="R148" s="551">
        <f>IFERROR(IF(compras_mes78288[[#This Row],[CUIT]]="","-",VLOOKUP(compras_mes78288[[#This Row],[CUIT]],Lista_CUIT[#All],4,0)),"CUIT NO CARGADO")</f>
        <v>0</v>
      </c>
    </row>
    <row r="149" spans="1:18" s="128" customFormat="1">
      <c r="B149" s="544" t="s">
        <v>2345</v>
      </c>
      <c r="C149" s="545">
        <v>1</v>
      </c>
      <c r="D149" s="546">
        <v>2</v>
      </c>
      <c r="E149" s="547">
        <v>3743</v>
      </c>
      <c r="F149" s="548">
        <v>30629863571</v>
      </c>
      <c r="G149" s="129" t="str">
        <f>IFERROR(IF(compras_mes78288[[#This Row],[CUIT]]="","-",VLOOKUP(compras_mes78288[[#This Row],[CUIT]],Lista_CUIT[#All],2,0)),"CUIT NO CARGADO")</f>
        <v>TECNIMAR S R L</v>
      </c>
      <c r="H149" s="550">
        <v>832290</v>
      </c>
      <c r="I149" s="495">
        <f>IF(compras_mes78288[[#This Row],[NETO GRAVADO]]="","",compras_mes78288[[#This Row],[NETO GRAVADO]]*0.21)</f>
        <v>174780.9</v>
      </c>
      <c r="J149" s="495"/>
      <c r="K149" s="495"/>
      <c r="L149" s="495"/>
      <c r="M149" s="495"/>
      <c r="N149" s="495"/>
      <c r="O149" s="495"/>
      <c r="P149" s="456">
        <f>SUM(compras_mes78288[[#This Row],[NETO GRAVADO]:[Otros / No Grav.]])</f>
        <v>1007070.9</v>
      </c>
      <c r="Q149" s="129" t="str">
        <f>IFERROR(IF(compras_mes78288[[#This Row],[CUIT]]="","-",VLOOKUP(compras_mes78288[[#This Row],[CUIT]],Lista_CUIT[#All],3,0)),"CUIT NO CARGADO")</f>
        <v>Productos Venta</v>
      </c>
      <c r="R149" s="553">
        <f>IFERROR(IF(compras_mes78288[[#This Row],[CUIT]]="","-",VLOOKUP(compras_mes78288[[#This Row],[CUIT]],Lista_CUIT[#All],4,0)),"CUIT NO CARGADO")</f>
        <v>0</v>
      </c>
    </row>
    <row r="150" spans="1:18" s="566" customFormat="1">
      <c r="A150" s="128"/>
      <c r="B150" s="544" t="s">
        <v>2350</v>
      </c>
      <c r="C150" s="545">
        <v>1</v>
      </c>
      <c r="D150" s="546">
        <v>3</v>
      </c>
      <c r="E150" s="547">
        <v>6879</v>
      </c>
      <c r="F150" s="548">
        <v>30708006420</v>
      </c>
      <c r="G150" s="549" t="str">
        <f>IFERROR(IF(compras_mes78288[[#This Row],[CUIT]]="","-",VLOOKUP(compras_mes78288[[#This Row],[CUIT]],Lista_CUIT[#All],2,0)),"CUIT NO CARGADO")</f>
        <v>MEDILEA S.A.</v>
      </c>
      <c r="H150" s="550">
        <v>272000</v>
      </c>
      <c r="I150" s="495">
        <f>IF(compras_mes78288[[#This Row],[NETO GRAVADO]]="","",compras_mes78288[[#This Row],[NETO GRAVADO]]*0.21)</f>
        <v>57120</v>
      </c>
      <c r="J150" s="495"/>
      <c r="K150" s="495"/>
      <c r="L150" s="495"/>
      <c r="M150" s="495"/>
      <c r="N150" s="495"/>
      <c r="O150" s="495"/>
      <c r="P150" s="494">
        <f>SUM(compras_mes78288[[#This Row],[NETO GRAVADO]:[Otros / No Grav.]])</f>
        <v>329120</v>
      </c>
      <c r="Q150" s="549" t="str">
        <f>IFERROR(IF(compras_mes78288[[#This Row],[CUIT]]="","-",VLOOKUP(compras_mes78288[[#This Row],[CUIT]],Lista_CUIT[#All],3,0)),"CUIT NO CARGADO")</f>
        <v>Productos Venta</v>
      </c>
      <c r="R150" s="551">
        <f>IFERROR(IF(compras_mes78288[[#This Row],[CUIT]]="","-",VLOOKUP(compras_mes78288[[#This Row],[CUIT]],Lista_CUIT[#All],4,0)),"CUIT NO CARGADO")</f>
        <v>0</v>
      </c>
    </row>
    <row r="151" spans="1:18" s="128" customFormat="1">
      <c r="B151" s="544" t="s">
        <v>2351</v>
      </c>
      <c r="C151" s="545">
        <v>1</v>
      </c>
      <c r="D151" s="546">
        <v>6</v>
      </c>
      <c r="E151" s="547">
        <v>3201</v>
      </c>
      <c r="F151" s="548">
        <v>30574603788</v>
      </c>
      <c r="G151" s="129" t="str">
        <f>IFERROR(IF(compras_mes78288[[#This Row],[CUIT]]="","-",VLOOKUP(compras_mes78288[[#This Row],[CUIT]],Lista_CUIT[#All],2,0)),"CUIT NO CARGADO")</f>
        <v>CODAC SRL</v>
      </c>
      <c r="H151" s="550">
        <v>595720</v>
      </c>
      <c r="I151" s="495">
        <f>IF(compras_mes78288[[#This Row],[NETO GRAVADO]]="","",compras_mes78288[[#This Row],[NETO GRAVADO]]*0.21)</f>
        <v>125101.2</v>
      </c>
      <c r="J151" s="495"/>
      <c r="K151" s="495"/>
      <c r="L151" s="495"/>
      <c r="M151" s="495"/>
      <c r="N151" s="495"/>
      <c r="O151" s="495"/>
      <c r="P151" s="456">
        <f>SUM(compras_mes78288[[#This Row],[NETO GRAVADO]:[Otros / No Grav.]])</f>
        <v>720821.2</v>
      </c>
      <c r="Q151" s="129" t="str">
        <f>IFERROR(IF(compras_mes78288[[#This Row],[CUIT]]="","-",VLOOKUP(compras_mes78288[[#This Row],[CUIT]],Lista_CUIT[#All],3,0)),"CUIT NO CARGADO")</f>
        <v>Productos Venta</v>
      </c>
      <c r="R151" s="553" t="str">
        <f>IFERROR(IF(compras_mes78288[[#This Row],[CUIT]]="","-",VLOOKUP(compras_mes78288[[#This Row],[CUIT]],Lista_CUIT[#All],4,0)),"CUIT NO CARGADO")</f>
        <v>BUENOS AIRES</v>
      </c>
    </row>
    <row r="152" spans="1:18" s="128" customFormat="1">
      <c r="B152" s="544" t="s">
        <v>2353</v>
      </c>
      <c r="C152" s="545">
        <v>1</v>
      </c>
      <c r="D152" s="546">
        <v>3</v>
      </c>
      <c r="E152" s="547">
        <v>6882</v>
      </c>
      <c r="F152" s="548">
        <v>30708006420</v>
      </c>
      <c r="G152" s="549" t="str">
        <f>IFERROR(IF(compras_mes78288[[#This Row],[CUIT]]="","-",VLOOKUP(compras_mes78288[[#This Row],[CUIT]],Lista_CUIT[#All],2,0)),"CUIT NO CARGADO")</f>
        <v>MEDILEA S.A.</v>
      </c>
      <c r="H152" s="550">
        <v>1500000</v>
      </c>
      <c r="I152" s="495">
        <f>IF(compras_mes78288[[#This Row],[NETO GRAVADO]]="","",compras_mes78288[[#This Row],[NETO GRAVADO]]*0.21)</f>
        <v>315000</v>
      </c>
      <c r="J152" s="495"/>
      <c r="K152" s="495"/>
      <c r="L152" s="495"/>
      <c r="M152" s="495"/>
      <c r="N152" s="495"/>
      <c r="O152" s="495"/>
      <c r="P152" s="494">
        <f>SUM(compras_mes78288[[#This Row],[NETO GRAVADO]:[Otros / No Grav.]])</f>
        <v>1815000</v>
      </c>
      <c r="Q152" s="549" t="str">
        <f>IFERROR(IF(compras_mes78288[[#This Row],[CUIT]]="","-",VLOOKUP(compras_mes78288[[#This Row],[CUIT]],Lista_CUIT[#All],3,0)),"CUIT NO CARGADO")</f>
        <v>Productos Venta</v>
      </c>
      <c r="R152" s="551">
        <f>IFERROR(IF(compras_mes78288[[#This Row],[CUIT]]="","-",VLOOKUP(compras_mes78288[[#This Row],[CUIT]],Lista_CUIT[#All],4,0)),"CUIT NO CARGADO")</f>
        <v>0</v>
      </c>
    </row>
    <row r="153" spans="1:18" s="128" customFormat="1">
      <c r="B153" s="544" t="s">
        <v>2356</v>
      </c>
      <c r="C153" s="545">
        <v>1</v>
      </c>
      <c r="D153" s="546">
        <v>4</v>
      </c>
      <c r="E153" s="547">
        <v>2475</v>
      </c>
      <c r="F153" s="548">
        <v>30715946250</v>
      </c>
      <c r="G153" s="549" t="str">
        <f>IFERROR(IF(compras_mes78288[[#This Row],[CUIT]]="","-",VLOOKUP(compras_mes78288[[#This Row],[CUIT]],Lista_CUIT[#All],2,0)),"CUIT NO CARGADO")</f>
        <v>GLOBAL AESTHETICS PRODUCTS AND SERVICES SRL</v>
      </c>
      <c r="H153" s="550">
        <v>6508020</v>
      </c>
      <c r="I153" s="495">
        <f>IF(compras_mes78288[[#This Row],[NETO GRAVADO]]="","",compras_mes78288[[#This Row],[NETO GRAVADO]]*0.21)</f>
        <v>1366684.2</v>
      </c>
      <c r="J153" s="495"/>
      <c r="K153" s="495"/>
      <c r="L153" s="495"/>
      <c r="M153" s="495"/>
      <c r="N153" s="495"/>
      <c r="O153" s="495"/>
      <c r="P153" s="494">
        <f>SUM(compras_mes78288[[#This Row],[NETO GRAVADO]:[Otros / No Grav.]])</f>
        <v>7874704.2000000002</v>
      </c>
      <c r="Q153" s="549" t="str">
        <f>IFERROR(IF(compras_mes78288[[#This Row],[CUIT]]="","-",VLOOKUP(compras_mes78288[[#This Row],[CUIT]],Lista_CUIT[#All],3,0)),"CUIT NO CARGADO")</f>
        <v>Productos Venta</v>
      </c>
      <c r="R153" s="551">
        <f>IFERROR(IF(compras_mes78288[[#This Row],[CUIT]]="","-",VLOOKUP(compras_mes78288[[#This Row],[CUIT]],Lista_CUIT[#All],4,0)),"CUIT NO CARGADO")</f>
        <v>0</v>
      </c>
    </row>
    <row r="154" spans="1:18" s="128" customFormat="1">
      <c r="B154" s="544" t="s">
        <v>2358</v>
      </c>
      <c r="C154" s="545">
        <v>1</v>
      </c>
      <c r="D154" s="546">
        <v>2</v>
      </c>
      <c r="E154" s="547">
        <v>3748</v>
      </c>
      <c r="F154" s="548">
        <v>30629863571</v>
      </c>
      <c r="G154" s="549" t="str">
        <f>IFERROR(IF(compras_mes78288[[#This Row],[CUIT]]="","-",VLOOKUP(compras_mes78288[[#This Row],[CUIT]],Lista_CUIT[#All],2,0)),"CUIT NO CARGADO")</f>
        <v>TECNIMAR S R L</v>
      </c>
      <c r="H154" s="550">
        <v>1894853.24</v>
      </c>
      <c r="I154" s="495">
        <f>IF(compras_mes78288[[#This Row],[NETO GRAVADO]]="","",compras_mes78288[[#This Row],[NETO GRAVADO]]*0.21)</f>
        <v>397919.18040000001</v>
      </c>
      <c r="J154" s="495"/>
      <c r="K154" s="495"/>
      <c r="L154" s="495"/>
      <c r="M154" s="495"/>
      <c r="N154" s="495"/>
      <c r="O154" s="495"/>
      <c r="P154" s="494">
        <f>SUM(compras_mes78288[[#This Row],[NETO GRAVADO]:[Otros / No Grav.]])</f>
        <v>2292772.4204000002</v>
      </c>
      <c r="Q154" s="549" t="str">
        <f>IFERROR(IF(compras_mes78288[[#This Row],[CUIT]]="","-",VLOOKUP(compras_mes78288[[#This Row],[CUIT]],Lista_CUIT[#All],3,0)),"CUIT NO CARGADO")</f>
        <v>Productos Venta</v>
      </c>
      <c r="R154" s="551">
        <f>IFERROR(IF(compras_mes78288[[#This Row],[CUIT]]="","-",VLOOKUP(compras_mes78288[[#This Row],[CUIT]],Lista_CUIT[#All],4,0)),"CUIT NO CARGADO")</f>
        <v>0</v>
      </c>
    </row>
    <row r="155" spans="1:18" s="128" customFormat="1">
      <c r="B155" s="544" t="s">
        <v>2330</v>
      </c>
      <c r="C155" s="545">
        <v>1</v>
      </c>
      <c r="D155" s="546">
        <v>3</v>
      </c>
      <c r="E155" s="547">
        <v>23547</v>
      </c>
      <c r="F155" s="548">
        <v>33707953549</v>
      </c>
      <c r="G155" s="549" t="str">
        <f>IFERROR(IF(compras_mes78288[[#This Row],[CUIT]]="","-",VLOOKUP(compras_mes78288[[#This Row],[CUIT]],Lista_CUIT[#All],2,0)),"CUIT NO CARGADO")</f>
        <v>TELESMART</v>
      </c>
      <c r="H155" s="550">
        <v>19500</v>
      </c>
      <c r="I155" s="495">
        <f>IF(compras_mes78288[[#This Row],[NETO GRAVADO]]="","",compras_mes78288[[#This Row],[NETO GRAVADO]]*0.21)</f>
        <v>4095</v>
      </c>
      <c r="J155" s="495"/>
      <c r="K155" s="495"/>
      <c r="L155" s="495"/>
      <c r="M155" s="495"/>
      <c r="N155" s="495"/>
      <c r="O155" s="495"/>
      <c r="P155" s="494">
        <f>SUM(compras_mes78288[[#This Row],[NETO GRAVADO]:[Otros / No Grav.]])</f>
        <v>23595</v>
      </c>
      <c r="Q155" s="549" t="str">
        <f>IFERROR(IF(compras_mes78288[[#This Row],[CUIT]]="","-",VLOOKUP(compras_mes78288[[#This Row],[CUIT]],Lista_CUIT[#All],3,0)),"CUIT NO CARGADO")</f>
        <v>Servicios Gas, Luz, etc.</v>
      </c>
      <c r="R155" s="551">
        <f>IFERROR(IF(compras_mes78288[[#This Row],[CUIT]]="","-",VLOOKUP(compras_mes78288[[#This Row],[CUIT]],Lista_CUIT[#All],4,0)),"CUIT NO CARGADO")</f>
        <v>0</v>
      </c>
    </row>
    <row r="156" spans="1:18" s="128" customFormat="1">
      <c r="B156" s="544" t="s">
        <v>2330</v>
      </c>
      <c r="C156" s="545">
        <v>1</v>
      </c>
      <c r="D156" s="546">
        <v>3099</v>
      </c>
      <c r="E156" s="547">
        <v>192881</v>
      </c>
      <c r="F156" s="548">
        <v>30678814357</v>
      </c>
      <c r="G156" s="549" t="str">
        <f>IFERROR(IF(compras_mes78288[[#This Row],[CUIT]]="","-",VLOOKUP(compras_mes78288[[#This Row],[CUIT]],Lista_CUIT[#All],2,0)),"CUIT NO CARGADO")</f>
        <v>TELEFONICA MOVILES ARG</v>
      </c>
      <c r="H156" s="550">
        <v>113288</v>
      </c>
      <c r="I156" s="495"/>
      <c r="J156" s="495">
        <f>compras_mes78288[[#This Row],[NETO GRAVADO]]*0.27</f>
        <v>30587.760000000002</v>
      </c>
      <c r="K156" s="495"/>
      <c r="L156" s="495">
        <v>3398.64</v>
      </c>
      <c r="M156" s="495"/>
      <c r="N156" s="495">
        <v>6797.28</v>
      </c>
      <c r="O156" s="495"/>
      <c r="P156" s="494">
        <f>SUM(compras_mes78288[[#This Row],[NETO GRAVADO]:[Otros / No Grav.]])</f>
        <v>154071.68000000002</v>
      </c>
      <c r="Q156" s="549" t="str">
        <f>IFERROR(IF(compras_mes78288[[#This Row],[CUIT]]="","-",VLOOKUP(compras_mes78288[[#This Row],[CUIT]],Lista_CUIT[#All],3,0)),"CUIT NO CARGADO")</f>
        <v>Servicios Gas, Luz, etc.</v>
      </c>
      <c r="R156" s="551">
        <f>IFERROR(IF(compras_mes78288[[#This Row],[CUIT]]="","-",VLOOKUP(compras_mes78288[[#This Row],[CUIT]],Lista_CUIT[#All],4,0)),"CUIT NO CARGADO")</f>
        <v>0</v>
      </c>
    </row>
    <row r="157" spans="1:18" s="128" customFormat="1">
      <c r="B157" s="544" t="s">
        <v>2332</v>
      </c>
      <c r="C157" s="545">
        <v>1</v>
      </c>
      <c r="D157" s="546">
        <v>63</v>
      </c>
      <c r="E157" s="547">
        <v>2897240</v>
      </c>
      <c r="F157" s="548">
        <v>30640897267</v>
      </c>
      <c r="G157" s="549" t="str">
        <f>IFERROR(IF(compras_mes78288[[#This Row],[CUIT]]="","-",VLOOKUP(compras_mes78288[[#This Row],[CUIT]],Lista_CUIT[#All],2,0)),"CUIT NO CARGADO")</f>
        <v>TELECENTRO S.A.</v>
      </c>
      <c r="H157" s="550">
        <v>47172.73</v>
      </c>
      <c r="I157" s="495">
        <f>IF(compras_mes78288[[#This Row],[NETO GRAVADO]]="","",compras_mes78288[[#This Row],[NETO GRAVADO]]*0.21)</f>
        <v>9906.2733000000007</v>
      </c>
      <c r="J157" s="495"/>
      <c r="K157" s="495"/>
      <c r="L157" s="495">
        <v>1415.18</v>
      </c>
      <c r="M157" s="495"/>
      <c r="N157" s="495">
        <v>2830.36</v>
      </c>
      <c r="O157" s="495"/>
      <c r="P157" s="494">
        <f>SUM(compras_mes78288[[#This Row],[NETO GRAVADO]:[Otros / No Grav.]])</f>
        <v>61324.543300000005</v>
      </c>
      <c r="Q157" s="549" t="str">
        <f>IFERROR(IF(compras_mes78288[[#This Row],[CUIT]]="","-",VLOOKUP(compras_mes78288[[#This Row],[CUIT]],Lista_CUIT[#All],3,0)),"CUIT NO CARGADO")</f>
        <v>Servicios Gas, Luz, etc.</v>
      </c>
      <c r="R157" s="551">
        <f>IFERROR(IF(compras_mes78288[[#This Row],[CUIT]]="","-",VLOOKUP(compras_mes78288[[#This Row],[CUIT]],Lista_CUIT[#All],4,0)),"CUIT NO CARGADO")</f>
        <v>0</v>
      </c>
    </row>
    <row r="158" spans="1:18" s="128" customFormat="1">
      <c r="B158" s="544" t="s">
        <v>2332</v>
      </c>
      <c r="C158" s="545">
        <v>1</v>
      </c>
      <c r="D158" s="546">
        <v>63</v>
      </c>
      <c r="E158" s="547">
        <v>2898102</v>
      </c>
      <c r="F158" s="548">
        <v>30640897267</v>
      </c>
      <c r="G158" s="549" t="str">
        <f>IFERROR(IF(compras_mes78288[[#This Row],[CUIT]]="","-",VLOOKUP(compras_mes78288[[#This Row],[CUIT]],Lista_CUIT[#All],2,0)),"CUIT NO CARGADO")</f>
        <v>TELECENTRO S.A.</v>
      </c>
      <c r="H158" s="550">
        <v>47172.73</v>
      </c>
      <c r="I158" s="495">
        <f>IF(compras_mes78288[[#This Row],[NETO GRAVADO]]="","",compras_mes78288[[#This Row],[NETO GRAVADO]]*0.21)</f>
        <v>9906.2733000000007</v>
      </c>
      <c r="J158" s="495"/>
      <c r="K158" s="495"/>
      <c r="L158" s="495">
        <v>1415.18</v>
      </c>
      <c r="M158" s="495"/>
      <c r="N158" s="495">
        <v>2830.36</v>
      </c>
      <c r="O158" s="495"/>
      <c r="P158" s="494">
        <f>SUM(compras_mes78288[[#This Row],[NETO GRAVADO]:[Otros / No Grav.]])</f>
        <v>61324.543300000005</v>
      </c>
      <c r="Q158" s="549" t="str">
        <f>IFERROR(IF(compras_mes78288[[#This Row],[CUIT]]="","-",VLOOKUP(compras_mes78288[[#This Row],[CUIT]],Lista_CUIT[#All],3,0)),"CUIT NO CARGADO")</f>
        <v>Servicios Gas, Luz, etc.</v>
      </c>
      <c r="R158" s="551">
        <f>IFERROR(IF(compras_mes78288[[#This Row],[CUIT]]="","-",VLOOKUP(compras_mes78288[[#This Row],[CUIT]],Lista_CUIT[#All],4,0)),"CUIT NO CARGADO")</f>
        <v>0</v>
      </c>
    </row>
    <row r="159" spans="1:18" s="128" customFormat="1">
      <c r="B159" s="544" t="s">
        <v>2336</v>
      </c>
      <c r="C159" s="545">
        <v>1</v>
      </c>
      <c r="D159" s="546">
        <v>3101</v>
      </c>
      <c r="E159" s="547">
        <v>139079</v>
      </c>
      <c r="F159" s="548">
        <v>30678814357</v>
      </c>
      <c r="G159" s="549" t="str">
        <f>IFERROR(IF(compras_mes78288[[#This Row],[CUIT]]="","-",VLOOKUP(compras_mes78288[[#This Row],[CUIT]],Lista_CUIT[#All],2,0)),"CUIT NO CARGADO")</f>
        <v>TELEFONICA MOVILES ARG</v>
      </c>
      <c r="H159" s="550">
        <v>33433.699999999997</v>
      </c>
      <c r="I159" s="495"/>
      <c r="J159" s="495">
        <f>compras_mes78288[[#This Row],[NETO GRAVADO]]*0.27</f>
        <v>9027.0990000000002</v>
      </c>
      <c r="K159" s="495"/>
      <c r="L159" s="495">
        <v>1003.01</v>
      </c>
      <c r="M159" s="495"/>
      <c r="N159" s="495">
        <v>2006.02</v>
      </c>
      <c r="O159" s="495"/>
      <c r="P159" s="494">
        <f>SUM(compras_mes78288[[#This Row],[NETO GRAVADO]:[Otros / No Grav.]])</f>
        <v>45469.828999999998</v>
      </c>
      <c r="Q159" s="549" t="str">
        <f>IFERROR(IF(compras_mes78288[[#This Row],[CUIT]]="","-",VLOOKUP(compras_mes78288[[#This Row],[CUIT]],Lista_CUIT[#All],3,0)),"CUIT NO CARGADO")</f>
        <v>Servicios Gas, Luz, etc.</v>
      </c>
      <c r="R159" s="551">
        <f>IFERROR(IF(compras_mes78288[[#This Row],[CUIT]]="","-",VLOOKUP(compras_mes78288[[#This Row],[CUIT]],Lista_CUIT[#All],4,0)),"CUIT NO CARGADO")</f>
        <v>0</v>
      </c>
    </row>
    <row r="160" spans="1:18" s="128" customFormat="1">
      <c r="B160" s="544" t="s">
        <v>2337</v>
      </c>
      <c r="C160" s="545">
        <v>1</v>
      </c>
      <c r="D160" s="546">
        <v>6364</v>
      </c>
      <c r="E160" s="547">
        <v>8443829</v>
      </c>
      <c r="F160" s="548">
        <v>30639453738</v>
      </c>
      <c r="G160" s="549" t="str">
        <f>IFERROR(IF(compras_mes78288[[#This Row],[CUIT]]="","-",VLOOKUP(compras_mes78288[[#This Row],[CUIT]],Lista_CUIT[#All],2,0)),"CUIT NO CARGADO")</f>
        <v>TELECOM ARG SA</v>
      </c>
      <c r="H160" s="550">
        <v>212356.21</v>
      </c>
      <c r="I160" s="495">
        <f>211482.25*0.21</f>
        <v>44411.272499999999</v>
      </c>
      <c r="J160" s="495">
        <f>873.96*0.27</f>
        <v>235.96920000000003</v>
      </c>
      <c r="K160" s="495"/>
      <c r="L160" s="495"/>
      <c r="M160" s="495"/>
      <c r="N160" s="495">
        <v>11809.62</v>
      </c>
      <c r="O160" s="495">
        <v>6439.14</v>
      </c>
      <c r="P160" s="494">
        <f>SUM(compras_mes78288[[#This Row],[NETO GRAVADO]:[Otros / No Grav.]])</f>
        <v>275252.21169999999</v>
      </c>
      <c r="Q160" s="549" t="str">
        <f>IFERROR(IF(compras_mes78288[[#This Row],[CUIT]]="","-",VLOOKUP(compras_mes78288[[#This Row],[CUIT]],Lista_CUIT[#All],3,0)),"CUIT NO CARGADO")</f>
        <v>Servicios Gas, Luz, etc.</v>
      </c>
      <c r="R160" s="551">
        <f>IFERROR(IF(compras_mes78288[[#This Row],[CUIT]]="","-",VLOOKUP(compras_mes78288[[#This Row],[CUIT]],Lista_CUIT[#All],4,0)),"CUIT NO CARGADO")</f>
        <v>0</v>
      </c>
    </row>
    <row r="161" spans="2:20" s="128" customFormat="1">
      <c r="B161" s="544" t="s">
        <v>2344</v>
      </c>
      <c r="C161" s="545">
        <v>1</v>
      </c>
      <c r="D161" s="546">
        <v>4264</v>
      </c>
      <c r="E161" s="547">
        <v>4006247</v>
      </c>
      <c r="F161" s="548">
        <v>30639453738</v>
      </c>
      <c r="G161" s="549" t="str">
        <f>IFERROR(IF(compras_mes78288[[#This Row],[CUIT]]="","-",VLOOKUP(compras_mes78288[[#This Row],[CUIT]],Lista_CUIT[#All],2,0)),"CUIT NO CARGADO")</f>
        <v>TELECOM ARG SA</v>
      </c>
      <c r="H161" s="550">
        <v>71900</v>
      </c>
      <c r="I161" s="495">
        <f>IF(compras_mes78288[[#This Row],[NETO GRAVADO]]="","",compras_mes78288[[#This Row],[NETO GRAVADO]]*0.21)</f>
        <v>15099</v>
      </c>
      <c r="J161" s="495"/>
      <c r="K161" s="495"/>
      <c r="L161" s="495"/>
      <c r="M161" s="495"/>
      <c r="N161" s="495">
        <v>6471</v>
      </c>
      <c r="O161" s="495"/>
      <c r="P161" s="494">
        <f>SUM(compras_mes78288[[#This Row],[NETO GRAVADO]:[Otros / No Grav.]])</f>
        <v>93470</v>
      </c>
      <c r="Q161" s="549" t="str">
        <f>IFERROR(IF(compras_mes78288[[#This Row],[CUIT]]="","-",VLOOKUP(compras_mes78288[[#This Row],[CUIT]],Lista_CUIT[#All],3,0)),"CUIT NO CARGADO")</f>
        <v>Servicios Gas, Luz, etc.</v>
      </c>
      <c r="R161" s="551">
        <f>IFERROR(IF(compras_mes78288[[#This Row],[CUIT]]="","-",VLOOKUP(compras_mes78288[[#This Row],[CUIT]],Lista_CUIT[#All],4,0)),"CUIT NO CARGADO")</f>
        <v>0</v>
      </c>
    </row>
    <row r="162" spans="2:20" s="128" customFormat="1">
      <c r="B162" s="544" t="s">
        <v>2344</v>
      </c>
      <c r="C162" s="545">
        <v>1</v>
      </c>
      <c r="D162" s="546">
        <v>4264</v>
      </c>
      <c r="E162" s="547">
        <v>4013136</v>
      </c>
      <c r="F162" s="548">
        <v>30639453738</v>
      </c>
      <c r="G162" s="549" t="str">
        <f>IFERROR(IF(compras_mes78288[[#This Row],[CUIT]]="","-",VLOOKUP(compras_mes78288[[#This Row],[CUIT]],Lista_CUIT[#All],2,0)),"CUIT NO CARGADO")</f>
        <v>TELECOM ARG SA</v>
      </c>
      <c r="H162" s="550">
        <v>53400</v>
      </c>
      <c r="I162" s="495">
        <f>IF(compras_mes78288[[#This Row],[NETO GRAVADO]]="","",compras_mes78288[[#This Row],[NETO GRAVADO]]*0.21)</f>
        <v>11214</v>
      </c>
      <c r="J162" s="495"/>
      <c r="K162" s="495"/>
      <c r="L162" s="495"/>
      <c r="M162" s="495"/>
      <c r="N162" s="495">
        <v>1602</v>
      </c>
      <c r="O162" s="495"/>
      <c r="P162" s="494">
        <f>SUM(compras_mes78288[[#This Row],[NETO GRAVADO]:[Otros / No Grav.]])</f>
        <v>66216</v>
      </c>
      <c r="Q162" s="549" t="str">
        <f>IFERROR(IF(compras_mes78288[[#This Row],[CUIT]]="","-",VLOOKUP(compras_mes78288[[#This Row],[CUIT]],Lista_CUIT[#All],3,0)),"CUIT NO CARGADO")</f>
        <v>Servicios Gas, Luz, etc.</v>
      </c>
      <c r="R162" s="551">
        <f>IFERROR(IF(compras_mes78288[[#This Row],[CUIT]]="","-",VLOOKUP(compras_mes78288[[#This Row],[CUIT]],Lista_CUIT[#All],4,0)),"CUIT NO CARGADO")</f>
        <v>0</v>
      </c>
    </row>
    <row r="163" spans="2:20" s="128" customFormat="1">
      <c r="B163" s="544" t="s">
        <v>2344</v>
      </c>
      <c r="C163" s="545">
        <v>1</v>
      </c>
      <c r="D163" s="546">
        <v>4264</v>
      </c>
      <c r="E163" s="547">
        <v>4055959</v>
      </c>
      <c r="F163" s="548">
        <v>30639453738</v>
      </c>
      <c r="G163" s="129" t="str">
        <f>IFERROR(IF(compras_mes78288[[#This Row],[CUIT]]="","-",VLOOKUP(compras_mes78288[[#This Row],[CUIT]],Lista_CUIT[#All],2,0)),"CUIT NO CARGADO")</f>
        <v>TELECOM ARG SA</v>
      </c>
      <c r="H163" s="550">
        <v>143800</v>
      </c>
      <c r="I163" s="495">
        <f>IF(compras_mes78288[[#This Row],[NETO GRAVADO]]="","",compras_mes78288[[#This Row],[NETO GRAVADO]]*0.21)</f>
        <v>30198</v>
      </c>
      <c r="J163" s="495"/>
      <c r="K163" s="495"/>
      <c r="L163" s="495"/>
      <c r="M163" s="495"/>
      <c r="N163" s="495">
        <v>12942</v>
      </c>
      <c r="O163" s="495"/>
      <c r="P163" s="456">
        <f>SUM(compras_mes78288[[#This Row],[NETO GRAVADO]:[Otros / No Grav.]])</f>
        <v>186940</v>
      </c>
      <c r="Q163" s="129" t="str">
        <f>IFERROR(IF(compras_mes78288[[#This Row],[CUIT]]="","-",VLOOKUP(compras_mes78288[[#This Row],[CUIT]],Lista_CUIT[#All],3,0)),"CUIT NO CARGADO")</f>
        <v>Servicios Gas, Luz, etc.</v>
      </c>
      <c r="R163" s="553">
        <f>IFERROR(IF(compras_mes78288[[#This Row],[CUIT]]="","-",VLOOKUP(compras_mes78288[[#This Row],[CUIT]],Lista_CUIT[#All],4,0)),"CUIT NO CARGADO")</f>
        <v>0</v>
      </c>
    </row>
    <row r="164" spans="2:20" s="128" customFormat="1">
      <c r="B164" s="544" t="s">
        <v>2349</v>
      </c>
      <c r="C164" s="545">
        <v>1</v>
      </c>
      <c r="D164" s="546">
        <v>5</v>
      </c>
      <c r="E164" s="547">
        <v>3081546</v>
      </c>
      <c r="F164" s="548">
        <v>30702652975</v>
      </c>
      <c r="G164" s="549" t="str">
        <f>IFERROR(IF(compras_mes78288[[#This Row],[CUIT]]="","-",VLOOKUP(compras_mes78288[[#This Row],[CUIT]],Lista_CUIT[#All],2,0)),"CUIT NO CARGADO")</f>
        <v>NSS SA</v>
      </c>
      <c r="H164" s="550">
        <v>29078.14</v>
      </c>
      <c r="I164" s="495">
        <f>IF(compras_mes78288[[#This Row],[NETO GRAVADO]]="","",compras_mes78288[[#This Row],[NETO GRAVADO]]*0.21)</f>
        <v>6106.4093999999996</v>
      </c>
      <c r="J164" s="495"/>
      <c r="K164" s="495"/>
      <c r="L164" s="495"/>
      <c r="M164" s="495"/>
      <c r="N164" s="495">
        <v>1744.69</v>
      </c>
      <c r="O164" s="495"/>
      <c r="P164" s="494">
        <f>SUM(compras_mes78288[[#This Row],[NETO GRAVADO]:[Otros / No Grav.]])</f>
        <v>36929.239399999999</v>
      </c>
      <c r="Q164" s="549" t="str">
        <f>IFERROR(IF(compras_mes78288[[#This Row],[CUIT]]="","-",VLOOKUP(compras_mes78288[[#This Row],[CUIT]],Lista_CUIT[#All],3,0)),"CUIT NO CARGADO")</f>
        <v>Servicios Gas, Luz, etc.</v>
      </c>
      <c r="R164" s="551">
        <f>IFERROR(IF(compras_mes78288[[#This Row],[CUIT]]="","-",VLOOKUP(compras_mes78288[[#This Row],[CUIT]],Lista_CUIT[#All],4,0)),"CUIT NO CARGADO")</f>
        <v>0</v>
      </c>
    </row>
    <row r="165" spans="2:20" s="128" customFormat="1">
      <c r="B165" s="544" t="s">
        <v>2357</v>
      </c>
      <c r="C165" s="545">
        <v>1</v>
      </c>
      <c r="D165" s="546">
        <v>4</v>
      </c>
      <c r="E165" s="547">
        <v>352</v>
      </c>
      <c r="F165" s="548">
        <v>33708975309</v>
      </c>
      <c r="G165" s="549" t="str">
        <f>IFERROR(IF(compras_mes78288[[#This Row],[CUIT]]="","-",VLOOKUP(compras_mes78288[[#This Row],[CUIT]],Lista_CUIT[#All],2,0)),"CUIT NO CARGADO")</f>
        <v>TELEFONIA QUILMES SA</v>
      </c>
      <c r="H165" s="550">
        <v>2396.69</v>
      </c>
      <c r="I165" s="495">
        <f>IF(compras_mes78288[[#This Row],[NETO GRAVADO]]="","",compras_mes78288[[#This Row],[NETO GRAVADO]]*0.21)</f>
        <v>503.30489999999998</v>
      </c>
      <c r="J165" s="495"/>
      <c r="K165" s="495"/>
      <c r="L165" s="495"/>
      <c r="M165" s="495"/>
      <c r="N165" s="495"/>
      <c r="O165" s="495"/>
      <c r="P165" s="494">
        <f>SUM(compras_mes78288[[#This Row],[NETO GRAVADO]:[Otros / No Grav.]])</f>
        <v>2899.9949000000001</v>
      </c>
      <c r="Q165" s="549" t="str">
        <f>IFERROR(IF(compras_mes78288[[#This Row],[CUIT]]="","-",VLOOKUP(compras_mes78288[[#This Row],[CUIT]],Lista_CUIT[#All],3,0)),"CUIT NO CARGADO")</f>
        <v>Servicios Gas, Luz, etc.</v>
      </c>
      <c r="R165" s="551">
        <f>IFERROR(IF(compras_mes78288[[#This Row],[CUIT]]="","-",VLOOKUP(compras_mes78288[[#This Row],[CUIT]],Lista_CUIT[#All],4,0)),"CUIT NO CARGADO")</f>
        <v>0</v>
      </c>
    </row>
    <row r="166" spans="2:20">
      <c r="B166" s="96" t="s">
        <v>103</v>
      </c>
      <c r="C166" s="96"/>
      <c r="D166" s="96"/>
      <c r="E166" s="96"/>
      <c r="F166" s="96"/>
      <c r="G166" s="97"/>
      <c r="H166" s="98">
        <f>SUBTOTAL(109,compras_mes78288[NETO GRAVADO])</f>
        <v>65874796.899999991</v>
      </c>
      <c r="I166" s="98">
        <f>SUBTOTAL(109,compras_mes78288[IVA 21 %])</f>
        <v>13192853.150399998</v>
      </c>
      <c r="J166" s="98">
        <f>SUBTOTAL(109,compras_mes78288[IVA 27%])</f>
        <v>39850.828200000004</v>
      </c>
      <c r="K166" s="98">
        <f>SUBTOTAL(109,compras_mes78288[IVA 10,5%])</f>
        <v>304929.55499999993</v>
      </c>
      <c r="L166" s="98">
        <f>SUBTOTAL(109,compras_mes78288[PERC. IVA])</f>
        <v>16863.859999999997</v>
      </c>
      <c r="M166" s="98">
        <f>SUBTOTAL(109,compras_mes78288[PERC IIBB 
BS AS])</f>
        <v>0</v>
      </c>
      <c r="N166" s="98">
        <f>SUBTOTAL(109,compras_mes78288[PERC. IIBB CABA])</f>
        <v>103173.38</v>
      </c>
      <c r="O166" s="98">
        <f>SUBTOTAL(109,compras_mes78288[Otros / No Grav.])</f>
        <v>1133714.8400000003</v>
      </c>
      <c r="P166" s="98">
        <f>SUBTOTAL(109,compras_mes78288[TOTAL])</f>
        <v>80666182.513600022</v>
      </c>
      <c r="Q166" s="97"/>
      <c r="R166" s="96"/>
    </row>
    <row r="167" spans="2:20">
      <c r="B167" s="40"/>
      <c r="C167" s="41"/>
      <c r="D167" s="42"/>
      <c r="E167" s="43"/>
      <c r="F167" s="44"/>
      <c r="G167" s="45"/>
      <c r="H167" s="46"/>
      <c r="I167" s="47"/>
      <c r="J167" s="47"/>
      <c r="K167" s="47"/>
      <c r="L167" s="47"/>
      <c r="M167" s="47"/>
      <c r="N167" s="47"/>
      <c r="O167" s="47"/>
      <c r="P167" s="48"/>
      <c r="Q167" s="45"/>
      <c r="R167" s="49"/>
    </row>
    <row r="168" spans="2:20">
      <c r="B168" s="40"/>
      <c r="C168" s="41"/>
      <c r="D168" s="42"/>
      <c r="E168" s="43"/>
      <c r="F168" s="44"/>
      <c r="G168" s="45"/>
      <c r="H168" s="46"/>
      <c r="I168" s="47"/>
      <c r="J168" s="47"/>
      <c r="K168" s="47"/>
      <c r="L168" s="47"/>
      <c r="M168" s="47"/>
      <c r="N168" s="47"/>
      <c r="O168" s="47"/>
      <c r="P168" s="48"/>
      <c r="Q168" s="45"/>
      <c r="R168" s="49"/>
    </row>
    <row r="169" spans="2:20">
      <c r="B169" s="40"/>
      <c r="C169" s="41"/>
      <c r="D169" s="42"/>
      <c r="E169" s="43"/>
      <c r="F169" s="44"/>
      <c r="G169" s="45"/>
      <c r="H169" s="46"/>
      <c r="I169" s="47"/>
      <c r="J169" s="47"/>
      <c r="K169" s="47"/>
      <c r="L169" s="47"/>
      <c r="M169" s="47"/>
      <c r="N169" s="47"/>
      <c r="O169" s="47"/>
      <c r="P169" s="48"/>
      <c r="Q169" s="45"/>
      <c r="R169" s="49"/>
    </row>
    <row r="170" spans="2:20">
      <c r="B170" s="40"/>
      <c r="C170" s="41"/>
      <c r="D170" s="42"/>
      <c r="E170" s="43"/>
      <c r="F170" s="44"/>
      <c r="G170" s="45"/>
      <c r="H170" s="46"/>
      <c r="I170" s="47"/>
      <c r="J170" s="47"/>
      <c r="K170" s="47"/>
      <c r="L170" s="47"/>
    </row>
    <row r="171" spans="2:20" ht="21">
      <c r="D171" s="712" t="s">
        <v>15</v>
      </c>
      <c r="E171" s="712"/>
      <c r="F171" s="712"/>
      <c r="G171" s="712"/>
      <c r="H171" s="712"/>
      <c r="I171" s="712"/>
      <c r="J171" s="712"/>
      <c r="K171" s="712"/>
      <c r="L171" s="712"/>
    </row>
    <row r="172" spans="2:20" ht="15.75">
      <c r="D172" s="73" t="s">
        <v>0</v>
      </c>
      <c r="E172" s="74" t="s">
        <v>26</v>
      </c>
      <c r="F172" s="74" t="s">
        <v>16</v>
      </c>
      <c r="G172" s="74" t="s">
        <v>5</v>
      </c>
      <c r="H172" s="74" t="s">
        <v>17</v>
      </c>
      <c r="I172" s="74" t="s">
        <v>7</v>
      </c>
      <c r="J172" s="75" t="s">
        <v>18</v>
      </c>
      <c r="K172" s="75" t="s">
        <v>19</v>
      </c>
      <c r="L172" s="76" t="s">
        <v>20</v>
      </c>
    </row>
    <row r="173" spans="2:20">
      <c r="D173" s="50"/>
      <c r="E173" s="180"/>
      <c r="F173" s="186"/>
      <c r="G173" s="81"/>
      <c r="H173" s="81">
        <f>extracto_banco_mes78691[[#This Row],[NETO]]*0.21</f>
        <v>0</v>
      </c>
      <c r="I173" s="81"/>
      <c r="J173" s="81"/>
      <c r="K173" s="81"/>
      <c r="L173" s="81"/>
    </row>
    <row r="174" spans="2:20">
      <c r="D174" s="50"/>
      <c r="E174" s="180"/>
      <c r="F174" s="186"/>
      <c r="G174" s="81"/>
      <c r="H174" s="81">
        <f>extracto_banco_mes78691[[#This Row],[NETO]]*0.21</f>
        <v>0</v>
      </c>
      <c r="I174" s="81"/>
      <c r="J174" s="81"/>
      <c r="K174" s="81"/>
      <c r="L174" s="81"/>
      <c r="S174">
        <v>5</v>
      </c>
      <c r="T174">
        <v>5</v>
      </c>
    </row>
    <row r="175" spans="2:20">
      <c r="D175" s="50"/>
      <c r="E175" s="180"/>
      <c r="F175" s="186"/>
      <c r="G175" s="81"/>
      <c r="H175" s="81">
        <f>extracto_banco_mes78691[[#This Row],[NETO]]*0.21</f>
        <v>0</v>
      </c>
      <c r="I175" s="81"/>
      <c r="J175" s="81"/>
      <c r="K175" s="81"/>
      <c r="L175" s="81"/>
      <c r="S175">
        <v>14</v>
      </c>
      <c r="T175">
        <v>14</v>
      </c>
    </row>
    <row r="176" spans="2:20">
      <c r="D176" s="50"/>
      <c r="E176" s="180"/>
      <c r="F176" s="186"/>
      <c r="G176" s="81"/>
      <c r="H176" s="81">
        <f>extracto_banco_mes78691[[#This Row],[NETO]]*0.21</f>
        <v>0</v>
      </c>
      <c r="I176" s="81"/>
      <c r="J176" s="81"/>
      <c r="K176" s="81"/>
      <c r="L176" s="81"/>
      <c r="S176">
        <v>26</v>
      </c>
      <c r="T176">
        <v>26</v>
      </c>
    </row>
    <row r="177" spans="4:20">
      <c r="D177" s="50"/>
      <c r="E177" s="180"/>
      <c r="F177" s="186"/>
      <c r="G177" s="81"/>
      <c r="H177" s="81">
        <f>extracto_banco_mes78691[[#This Row],[NETO]]*0.21</f>
        <v>0</v>
      </c>
      <c r="I177" s="81"/>
      <c r="J177" s="81"/>
      <c r="K177" s="81"/>
      <c r="L177" s="81"/>
      <c r="S177">
        <v>65</v>
      </c>
      <c r="T177">
        <v>65</v>
      </c>
    </row>
    <row r="178" spans="4:20">
      <c r="D178" s="50"/>
      <c r="E178" s="180"/>
      <c r="F178" s="186"/>
      <c r="G178" s="81"/>
      <c r="H178" s="81">
        <f>extracto_banco_mes78691[[#This Row],[NETO]]*0.21</f>
        <v>0</v>
      </c>
      <c r="I178" s="81"/>
      <c r="J178" s="81"/>
      <c r="K178" s="81"/>
      <c r="L178" s="81"/>
      <c r="S178">
        <v>102</v>
      </c>
      <c r="T178">
        <v>102</v>
      </c>
    </row>
    <row r="179" spans="4:20">
      <c r="D179" s="50"/>
      <c r="E179" s="180"/>
      <c r="F179" s="186"/>
      <c r="G179" s="81"/>
      <c r="H179" s="81">
        <f>extracto_banco_mes78691[[#This Row],[NETO]]*0.21</f>
        <v>0</v>
      </c>
      <c r="I179" s="81"/>
      <c r="J179" s="81"/>
      <c r="K179" s="81"/>
      <c r="L179" s="81"/>
      <c r="S179">
        <v>111</v>
      </c>
      <c r="T179">
        <v>111</v>
      </c>
    </row>
    <row r="180" spans="4:20">
      <c r="D180" s="82" t="s">
        <v>103</v>
      </c>
      <c r="E180" s="80"/>
      <c r="F180" s="80"/>
      <c r="G180" s="83">
        <f>SUBTOTAL(109,extracto_banco_mes78691[NETO])</f>
        <v>0</v>
      </c>
      <c r="H180" s="83">
        <f>SUBTOTAL(109,extracto_banco_mes78691[IVA 21%])</f>
        <v>0</v>
      </c>
      <c r="I180" s="83">
        <f>SUBTOTAL(109,extracto_banco_mes78691[IVA 10,5%])</f>
        <v>0</v>
      </c>
      <c r="J180" s="83">
        <f>SUBTOTAL(109,extracto_banco_mes78691[RET IIBB CABA])</f>
        <v>0</v>
      </c>
      <c r="K180" s="83">
        <f>SUBTOTAL(109,extracto_banco_mes78691[PERC IVA])</f>
        <v>0</v>
      </c>
      <c r="L180" s="83">
        <f>SUBTOTAL(109,extracto_banco_mes78691[PERC IIBB])</f>
        <v>0</v>
      </c>
      <c r="S180">
        <v>111</v>
      </c>
      <c r="T180">
        <v>111</v>
      </c>
    </row>
    <row r="181" spans="4:20">
      <c r="S181">
        <v>114</v>
      </c>
      <c r="T181">
        <v>114</v>
      </c>
    </row>
    <row r="182" spans="4:20">
      <c r="S182">
        <v>118</v>
      </c>
      <c r="T182">
        <v>118</v>
      </c>
    </row>
    <row r="183" spans="4:20">
      <c r="S183">
        <v>124</v>
      </c>
      <c r="T183">
        <v>124</v>
      </c>
    </row>
    <row r="184" spans="4:20" ht="21">
      <c r="D184" s="712" t="s">
        <v>25</v>
      </c>
      <c r="E184" s="712"/>
      <c r="F184" s="712"/>
      <c r="G184" s="712"/>
      <c r="H184" s="712"/>
      <c r="I184" s="712"/>
      <c r="J184" s="712"/>
      <c r="K184" s="712"/>
      <c r="S184">
        <v>139</v>
      </c>
      <c r="T184">
        <v>139</v>
      </c>
    </row>
    <row r="185" spans="4:20">
      <c r="D185" s="51" t="s">
        <v>0</v>
      </c>
      <c r="E185" s="51" t="s">
        <v>2</v>
      </c>
      <c r="F185" s="51" t="s">
        <v>74</v>
      </c>
      <c r="G185" s="51" t="s">
        <v>3</v>
      </c>
      <c r="H185" s="51" t="s">
        <v>4</v>
      </c>
      <c r="I185" s="52" t="s">
        <v>10</v>
      </c>
      <c r="J185" s="51" t="s">
        <v>13</v>
      </c>
      <c r="K185" s="51" t="s">
        <v>38</v>
      </c>
      <c r="S185">
        <v>205</v>
      </c>
      <c r="T185">
        <v>205</v>
      </c>
    </row>
    <row r="186" spans="4:20">
      <c r="D186" s="239"/>
      <c r="E186" s="248"/>
      <c r="F186" s="248"/>
      <c r="G186" s="249"/>
      <c r="H186" s="53" t="str">
        <f>IFERROR(IF(factura_c_mes78389[[#This Row],[CUIT]]="","-",VLOOKUP(factura_c_mes78389[[#This Row],[CUIT]],Lista_CUIT[#All],2,0)),"CUIT NO CARGADO")</f>
        <v>-</v>
      </c>
      <c r="I186" s="251"/>
      <c r="J186" s="679" t="str">
        <f>IFERROR(IF(factura_c_mes78389[[#This Row],[CUIT]]="","-",VLOOKUP(factura_c_mes78389[[#This Row],[CUIT]],Lista_CUIT[#All],3,0)),"CUIT NO CARGADO")</f>
        <v>-</v>
      </c>
      <c r="K186" s="54" t="str">
        <f>IFERROR(IF(factura_c_mes78389[[#This Row],[CUIT]]="","-",VLOOKUP(factura_c_mes78389[[#This Row],[CUIT]],Lista_CUIT[#All],4,0)),"CUIT NO CARGADO")</f>
        <v>-</v>
      </c>
      <c r="S186">
        <v>476</v>
      </c>
      <c r="T186">
        <v>476</v>
      </c>
    </row>
    <row r="187" spans="4:20" ht="17.25" customHeight="1">
      <c r="D187" s="239">
        <v>45476</v>
      </c>
      <c r="E187" s="248">
        <v>2</v>
      </c>
      <c r="F187" s="248">
        <v>4360</v>
      </c>
      <c r="G187" s="249">
        <v>20136536320</v>
      </c>
      <c r="H187" s="250" t="str">
        <f>IFERROR(IF(factura_c_mes78389[[#This Row],[CUIT]]="","-",VLOOKUP(factura_c_mes78389[[#This Row],[CUIT]],Lista_CUIT[#All],2,0)),"CUIT NO CARGADO")</f>
        <v>FONTENLA ERNESTO MARIO</v>
      </c>
      <c r="I187" s="251">
        <v>600</v>
      </c>
      <c r="J187" s="687" t="str">
        <f>IFERROR(IF(factura_c_mes78389[[#This Row],[CUIT]]="","-",VLOOKUP(factura_c_mes78389[[#This Row],[CUIT]],Lista_CUIT[#All],3,0)),"CUIT NO CARGADO")</f>
        <v>Gastos Varios</v>
      </c>
      <c r="K187" s="252" t="str">
        <f>IFERROR(IF(factura_c_mes78389[[#This Row],[CUIT]]="","-",VLOOKUP(factura_c_mes78389[[#This Row],[CUIT]],Lista_CUIT[#All],4,0)),"CUIT NO CARGADO")</f>
        <v>CABA</v>
      </c>
      <c r="S187">
        <v>521</v>
      </c>
      <c r="T187">
        <v>521</v>
      </c>
    </row>
    <row r="188" spans="4:20">
      <c r="D188" s="239">
        <v>45478</v>
      </c>
      <c r="E188" s="248">
        <v>2</v>
      </c>
      <c r="F188" s="248">
        <v>4363</v>
      </c>
      <c r="G188" s="249">
        <v>20136536320</v>
      </c>
      <c r="H188" s="250" t="str">
        <f>IFERROR(IF(factura_c_mes78389[[#This Row],[CUIT]]="","-",VLOOKUP(factura_c_mes78389[[#This Row],[CUIT]],Lista_CUIT[#All],2,0)),"CUIT NO CARGADO")</f>
        <v>FONTENLA ERNESTO MARIO</v>
      </c>
      <c r="I188" s="251">
        <v>4000</v>
      </c>
      <c r="J188" s="687" t="str">
        <f>IFERROR(IF(factura_c_mes78389[[#This Row],[CUIT]]="","-",VLOOKUP(factura_c_mes78389[[#This Row],[CUIT]],Lista_CUIT[#All],3,0)),"CUIT NO CARGADO")</f>
        <v>Gastos Varios</v>
      </c>
      <c r="K188" s="252" t="str">
        <f>IFERROR(IF(factura_c_mes78389[[#This Row],[CUIT]]="","-",VLOOKUP(factura_c_mes78389[[#This Row],[CUIT]],Lista_CUIT[#All],4,0)),"CUIT NO CARGADO")</f>
        <v>CABA</v>
      </c>
      <c r="S188">
        <v>748</v>
      </c>
      <c r="T188">
        <v>748</v>
      </c>
    </row>
    <row r="189" spans="4:20">
      <c r="D189" s="239">
        <v>45485</v>
      </c>
      <c r="E189" s="248">
        <v>2</v>
      </c>
      <c r="F189" s="248">
        <v>4378</v>
      </c>
      <c r="G189" s="249">
        <v>20136536320</v>
      </c>
      <c r="H189" s="250" t="str">
        <f>IFERROR(IF(factura_c_mes78389[[#This Row],[CUIT]]="","-",VLOOKUP(factura_c_mes78389[[#This Row],[CUIT]],Lista_CUIT[#All],2,0)),"CUIT NO CARGADO")</f>
        <v>FONTENLA ERNESTO MARIO</v>
      </c>
      <c r="I189" s="251">
        <v>4080</v>
      </c>
      <c r="J189" s="687" t="str">
        <f>IFERROR(IF(factura_c_mes78389[[#This Row],[CUIT]]="","-",VLOOKUP(factura_c_mes78389[[#This Row],[CUIT]],Lista_CUIT[#All],3,0)),"CUIT NO CARGADO")</f>
        <v>Gastos Varios</v>
      </c>
      <c r="K189" s="252" t="str">
        <f>IFERROR(IF(factura_c_mes78389[[#This Row],[CUIT]]="","-",VLOOKUP(factura_c_mes78389[[#This Row],[CUIT]],Lista_CUIT[#All],4,0)),"CUIT NO CARGADO")</f>
        <v>CABA</v>
      </c>
      <c r="S189">
        <v>763</v>
      </c>
      <c r="T189">
        <v>763</v>
      </c>
    </row>
    <row r="190" spans="4:20">
      <c r="D190" s="239">
        <v>45488</v>
      </c>
      <c r="E190" s="248">
        <v>3</v>
      </c>
      <c r="F190" s="248">
        <v>1196</v>
      </c>
      <c r="G190" s="249">
        <v>20173025557</v>
      </c>
      <c r="H190" s="250" t="str">
        <f>IFERROR(IF(factura_c_mes78389[[#This Row],[CUIT]]="","-",VLOOKUP(factura_c_mes78389[[#This Row],[CUIT]],Lista_CUIT[#All],2,0)),"CUIT NO CARGADO")</f>
        <v>MARAUDA HECTOR</v>
      </c>
      <c r="I190" s="251">
        <v>5000</v>
      </c>
      <c r="J190" s="687" t="str">
        <f>IFERROR(IF(factura_c_mes78389[[#This Row],[CUIT]]="","-",VLOOKUP(factura_c_mes78389[[#This Row],[CUIT]],Lista_CUIT[#All],3,0)),"CUIT NO CARGADO")</f>
        <v>Gastos Varios</v>
      </c>
      <c r="K190" s="252">
        <f>IFERROR(IF(factura_c_mes78389[[#This Row],[CUIT]]="","-",VLOOKUP(factura_c_mes78389[[#This Row],[CUIT]],Lista_CUIT[#All],4,0)),"CUIT NO CARGADO")</f>
        <v>0</v>
      </c>
      <c r="S190">
        <v>972</v>
      </c>
      <c r="T190">
        <v>972</v>
      </c>
    </row>
    <row r="191" spans="4:20">
      <c r="D191" s="239">
        <v>45498</v>
      </c>
      <c r="E191" s="248">
        <v>10</v>
      </c>
      <c r="F191" s="248">
        <v>206</v>
      </c>
      <c r="G191" s="249">
        <v>20302234389</v>
      </c>
      <c r="H191" s="250" t="str">
        <f>IFERROR(IF(factura_c_mes78389[[#This Row],[CUIT]]="","-",VLOOKUP(factura_c_mes78389[[#This Row],[CUIT]],Lista_CUIT[#All],2,0)),"CUIT NO CARGADO")</f>
        <v>VIGORELLI GUILLERMO DANIEL</v>
      </c>
      <c r="I191" s="251">
        <v>144000</v>
      </c>
      <c r="J191" s="687" t="str">
        <f>IFERROR(IF(factura_c_mes78389[[#This Row],[CUIT]]="","-",VLOOKUP(factura_c_mes78389[[#This Row],[CUIT]],Lista_CUIT[#All],3,0)),"CUIT NO CARGADO")</f>
        <v>Gastos Varios</v>
      </c>
      <c r="K191" s="252">
        <f>IFERROR(IF(factura_c_mes78389[[#This Row],[CUIT]]="","-",VLOOKUP(factura_c_mes78389[[#This Row],[CUIT]],Lista_CUIT[#All],4,0)),"CUIT NO CARGADO")</f>
        <v>0</v>
      </c>
      <c r="S191">
        <v>990</v>
      </c>
      <c r="T191">
        <v>990</v>
      </c>
    </row>
    <row r="192" spans="4:20">
      <c r="D192" s="239">
        <v>45503</v>
      </c>
      <c r="E192" s="248">
        <v>2</v>
      </c>
      <c r="F192" s="248">
        <v>1490</v>
      </c>
      <c r="G192" s="249">
        <v>23277121859</v>
      </c>
      <c r="H192" s="250" t="str">
        <f>IFERROR(IF(factura_c_mes78389[[#This Row],[CUIT]]="","-",VLOOKUP(factura_c_mes78389[[#This Row],[CUIT]],Lista_CUIT[#All],2,0)),"CUIT NO CARGADO")</f>
        <v>BARCELONAMOTOS</v>
      </c>
      <c r="I192" s="251">
        <v>53800</v>
      </c>
      <c r="J192" s="687" t="str">
        <f>IFERROR(IF(factura_c_mes78389[[#This Row],[CUIT]]="","-",VLOOKUP(factura_c_mes78389[[#This Row],[CUIT]],Lista_CUIT[#All],3,0)),"CUIT NO CARGADO")</f>
        <v>Gastos Varios</v>
      </c>
      <c r="K192" s="252">
        <f>IFERROR(IF(factura_c_mes78389[[#This Row],[CUIT]]="","-",VLOOKUP(factura_c_mes78389[[#This Row],[CUIT]],Lista_CUIT[#All],4,0)),"CUIT NO CARGADO")</f>
        <v>0</v>
      </c>
      <c r="S192">
        <v>992</v>
      </c>
      <c r="T192">
        <v>992</v>
      </c>
    </row>
    <row r="193" spans="2:20">
      <c r="D193" s="239">
        <v>45491</v>
      </c>
      <c r="E193" s="248">
        <v>1</v>
      </c>
      <c r="F193" s="248">
        <v>1</v>
      </c>
      <c r="G193" s="249">
        <v>27309116343</v>
      </c>
      <c r="H193" s="250" t="str">
        <f>IFERROR(IF(factura_c_mes78389[[#This Row],[CUIT]]="","-",VLOOKUP(factura_c_mes78389[[#This Row],[CUIT]],Lista_CUIT[#All],2,0)),"CUIT NO CARGADO")</f>
        <v>FERNANDEZ DANIELA NATALIA</v>
      </c>
      <c r="I193" s="251">
        <v>72000</v>
      </c>
      <c r="J193" s="687" t="str">
        <f>IFERROR(IF(factura_c_mes78389[[#This Row],[CUIT]]="","-",VLOOKUP(factura_c_mes78389[[#This Row],[CUIT]],Lista_CUIT[#All],3,0)),"CUIT NO CARGADO")</f>
        <v>Honorarios Administrativos</v>
      </c>
      <c r="K193" s="252">
        <f>IFERROR(IF(factura_c_mes78389[[#This Row],[CUIT]]="","-",VLOOKUP(factura_c_mes78389[[#This Row],[CUIT]],Lista_CUIT[#All],4,0)),"CUIT NO CARGADO")</f>
        <v>0</v>
      </c>
      <c r="S193">
        <v>1038</v>
      </c>
      <c r="T193">
        <v>1038</v>
      </c>
    </row>
    <row r="194" spans="2:20">
      <c r="D194" s="239">
        <v>45497</v>
      </c>
      <c r="E194" s="248">
        <v>1</v>
      </c>
      <c r="F194" s="248">
        <v>2</v>
      </c>
      <c r="G194" s="249">
        <v>27309116343</v>
      </c>
      <c r="H194" s="250" t="str">
        <f>IFERROR(IF(factura_c_mes78389[[#This Row],[CUIT]]="","-",VLOOKUP(factura_c_mes78389[[#This Row],[CUIT]],Lista_CUIT[#All],2,0)),"CUIT NO CARGADO")</f>
        <v>FERNANDEZ DANIELA NATALIA</v>
      </c>
      <c r="I194" s="251">
        <v>72000</v>
      </c>
      <c r="J194" s="687" t="str">
        <f>IFERROR(IF(factura_c_mes78389[[#This Row],[CUIT]]="","-",VLOOKUP(factura_c_mes78389[[#This Row],[CUIT]],Lista_CUIT[#All],3,0)),"CUIT NO CARGADO")</f>
        <v>Honorarios Administrativos</v>
      </c>
      <c r="K194" s="252">
        <f>IFERROR(IF(factura_c_mes78389[[#This Row],[CUIT]]="","-",VLOOKUP(factura_c_mes78389[[#This Row],[CUIT]],Lista_CUIT[#All],4,0)),"CUIT NO CARGADO")</f>
        <v>0</v>
      </c>
      <c r="S194">
        <v>1676</v>
      </c>
      <c r="T194">
        <v>1676</v>
      </c>
    </row>
    <row r="195" spans="2:20">
      <c r="D195" s="239">
        <v>45503</v>
      </c>
      <c r="E195" s="248">
        <v>1</v>
      </c>
      <c r="F195" s="248">
        <v>3</v>
      </c>
      <c r="G195" s="249">
        <v>27309116343</v>
      </c>
      <c r="H195" s="250" t="str">
        <f>IFERROR(IF(factura_c_mes78389[[#This Row],[CUIT]]="","-",VLOOKUP(factura_c_mes78389[[#This Row],[CUIT]],Lista_CUIT[#All],2,0)),"CUIT NO CARGADO")</f>
        <v>FERNANDEZ DANIELA NATALIA</v>
      </c>
      <c r="I195" s="251">
        <v>72000</v>
      </c>
      <c r="J195" s="687" t="str">
        <f>IFERROR(IF(factura_c_mes78389[[#This Row],[CUIT]]="","-",VLOOKUP(factura_c_mes78389[[#This Row],[CUIT]],Lista_CUIT[#All],3,0)),"CUIT NO CARGADO")</f>
        <v>Honorarios Administrativos</v>
      </c>
      <c r="K195" s="252">
        <f>IFERROR(IF(factura_c_mes78389[[#This Row],[CUIT]]="","-",VLOOKUP(factura_c_mes78389[[#This Row],[CUIT]],Lista_CUIT[#All],4,0)),"CUIT NO CARGADO")</f>
        <v>0</v>
      </c>
      <c r="S195">
        <v>1684</v>
      </c>
      <c r="T195">
        <v>1684</v>
      </c>
    </row>
    <row r="196" spans="2:20">
      <c r="D196" s="239">
        <v>45476</v>
      </c>
      <c r="E196" s="248">
        <v>3</v>
      </c>
      <c r="F196" s="248">
        <v>859</v>
      </c>
      <c r="G196" s="249">
        <v>20086277523</v>
      </c>
      <c r="H196" s="250" t="str">
        <f>IFERROR(IF(factura_c_mes78389[[#This Row],[CUIT]]="","-",VLOOKUP(factura_c_mes78389[[#This Row],[CUIT]],Lista_CUIT[#All],2,0)),"CUIT NO CARGADO")</f>
        <v>BOTINDARI JUAN CARLOS</v>
      </c>
      <c r="I196" s="251">
        <v>220000</v>
      </c>
      <c r="J196" s="687" t="str">
        <f>IFERROR(IF(factura_c_mes78389[[#This Row],[CUIT]]="","-",VLOOKUP(factura_c_mes78389[[#This Row],[CUIT]],Lista_CUIT[#All],3,0)),"CUIT NO CARGADO")</f>
        <v>Honorarios Contables</v>
      </c>
      <c r="K196" s="252">
        <f>IFERROR(IF(factura_c_mes78389[[#This Row],[CUIT]]="","-",VLOOKUP(factura_c_mes78389[[#This Row],[CUIT]],Lista_CUIT[#All],4,0)),"CUIT NO CARGADO")</f>
        <v>0</v>
      </c>
      <c r="S196">
        <v>1714</v>
      </c>
      <c r="T196">
        <v>1714</v>
      </c>
    </row>
    <row r="197" spans="2:20">
      <c r="D197" s="239">
        <v>45478</v>
      </c>
      <c r="E197" s="248">
        <v>2</v>
      </c>
      <c r="F197" s="248">
        <v>299</v>
      </c>
      <c r="G197" s="249">
        <v>23319210954</v>
      </c>
      <c r="H197" s="250" t="str">
        <f>IFERROR(IF(factura_c_mes78389[[#This Row],[CUIT]]="","-",VLOOKUP(factura_c_mes78389[[#This Row],[CUIT]],Lista_CUIT[#All],2,0)),"CUIT NO CARGADO")</f>
        <v>CAFFARATTI ROMINA PAOLA</v>
      </c>
      <c r="I197" s="251">
        <v>176000</v>
      </c>
      <c r="J197" s="687" t="str">
        <f>IFERROR(IF(factura_c_mes78389[[#This Row],[CUIT]]="","-",VLOOKUP(factura_c_mes78389[[#This Row],[CUIT]],Lista_CUIT[#All],3,0)),"CUIT NO CARGADO")</f>
        <v>Honorarios Contables</v>
      </c>
      <c r="K197" s="252">
        <f>IFERROR(IF(factura_c_mes78389[[#This Row],[CUIT]]="","-",VLOOKUP(factura_c_mes78389[[#This Row],[CUIT]],Lista_CUIT[#All],4,0)),"CUIT NO CARGADO")</f>
        <v>0</v>
      </c>
      <c r="S197">
        <v>1734</v>
      </c>
      <c r="T197">
        <v>1734</v>
      </c>
    </row>
    <row r="198" spans="2:20">
      <c r="D198" s="239">
        <v>45484</v>
      </c>
      <c r="E198" s="248">
        <v>1</v>
      </c>
      <c r="F198" s="248">
        <v>109</v>
      </c>
      <c r="G198" s="249">
        <v>20389908569</v>
      </c>
      <c r="H198" s="250" t="str">
        <f>IFERROR(IF(factura_c_mes78389[[#This Row],[CUIT]]="","-",VLOOKUP(factura_c_mes78389[[#This Row],[CUIT]],Lista_CUIT[#All],2,0)),"CUIT NO CARGADO")</f>
        <v>BOTINDARI JUAN IGNACIO</v>
      </c>
      <c r="I198" s="251">
        <v>600000</v>
      </c>
      <c r="J198" s="687" t="str">
        <f>IFERROR(IF(factura_c_mes78389[[#This Row],[CUIT]]="","-",VLOOKUP(factura_c_mes78389[[#This Row],[CUIT]],Lista_CUIT[#All],3,0)),"CUIT NO CARGADO")</f>
        <v>Honorarios Contables</v>
      </c>
      <c r="K198" s="252">
        <f>IFERROR(IF(factura_c_mes78389[[#This Row],[CUIT]]="","-",VLOOKUP(factura_c_mes78389[[#This Row],[CUIT]],Lista_CUIT[#All],4,0)),"CUIT NO CARGADO")</f>
        <v>0</v>
      </c>
      <c r="S198">
        <v>2199</v>
      </c>
      <c r="T198">
        <v>2199</v>
      </c>
    </row>
    <row r="199" spans="2:20">
      <c r="D199" s="239">
        <v>45475</v>
      </c>
      <c r="E199" s="248">
        <v>3</v>
      </c>
      <c r="F199" s="248">
        <v>486</v>
      </c>
      <c r="G199" s="249">
        <v>20210551574</v>
      </c>
      <c r="H199" s="250" t="str">
        <f>IFERROR(IF(factura_c_mes78389[[#This Row],[CUIT]]="","-",VLOOKUP(factura_c_mes78389[[#This Row],[CUIT]],Lista_CUIT[#All],2,0)),"CUIT NO CARGADO")</f>
        <v>REUS JORGE DIEGO</v>
      </c>
      <c r="I199" s="251">
        <v>217000</v>
      </c>
      <c r="J199" s="687" t="str">
        <f>IFERROR(IF(factura_c_mes78389[[#This Row],[CUIT]]="","-",VLOOKUP(factura_c_mes78389[[#This Row],[CUIT]],Lista_CUIT[#All],3,0)),"CUIT NO CARGADO")</f>
        <v>Honorarios Legales</v>
      </c>
      <c r="K199" s="252">
        <f>IFERROR(IF(factura_c_mes78389[[#This Row],[CUIT]]="","-",VLOOKUP(factura_c_mes78389[[#This Row],[CUIT]],Lista_CUIT[#All],4,0)),"CUIT NO CARGADO")</f>
        <v>0</v>
      </c>
      <c r="S199">
        <v>2279</v>
      </c>
      <c r="T199">
        <v>2279</v>
      </c>
    </row>
    <row r="200" spans="2:20">
      <c r="D200" s="239">
        <v>45490</v>
      </c>
      <c r="E200" s="248">
        <v>4</v>
      </c>
      <c r="F200" s="248">
        <v>846</v>
      </c>
      <c r="G200" s="249">
        <v>20148722081</v>
      </c>
      <c r="H200" s="250" t="str">
        <f>IFERROR(IF(factura_c_mes78389[[#This Row],[CUIT]]="","-",VLOOKUP(factura_c_mes78389[[#This Row],[CUIT]],Lista_CUIT[#All],2,0)),"CUIT NO CARGADO")</f>
        <v>VAZQUEZ EDUARDO HUGO</v>
      </c>
      <c r="I200" s="251">
        <v>150000</v>
      </c>
      <c r="J200" s="687" t="str">
        <f>IFERROR(IF(factura_c_mes78389[[#This Row],[CUIT]]="","-",VLOOKUP(factura_c_mes78389[[#This Row],[CUIT]],Lista_CUIT[#All],3,0)),"CUIT NO CARGADO")</f>
        <v>Honorarios Legales</v>
      </c>
      <c r="K200" s="252">
        <f>IFERROR(IF(factura_c_mes78389[[#This Row],[CUIT]]="","-",VLOOKUP(factura_c_mes78389[[#This Row],[CUIT]],Lista_CUIT[#All],4,0)),"CUIT NO CARGADO")</f>
        <v>0</v>
      </c>
      <c r="S200">
        <v>2340</v>
      </c>
      <c r="T200">
        <v>2340</v>
      </c>
    </row>
    <row r="201" spans="2:20">
      <c r="D201" s="239">
        <v>45497</v>
      </c>
      <c r="E201" s="248">
        <v>2</v>
      </c>
      <c r="F201" s="248">
        <v>238</v>
      </c>
      <c r="G201" s="249">
        <v>27065444777</v>
      </c>
      <c r="H201" s="250" t="str">
        <f>IFERROR(IF(factura_c_mes78389[[#This Row],[CUIT]]="","-",VLOOKUP(factura_c_mes78389[[#This Row],[CUIT]],Lista_CUIT[#All],2,0)),"CUIT NO CARGADO")</f>
        <v>CARNEVALE MABEL HAYDEE</v>
      </c>
      <c r="I201" s="251">
        <v>70000</v>
      </c>
      <c r="J201" s="687" t="str">
        <f>IFERROR(IF(factura_c_mes78389[[#This Row],[CUIT]]="","-",VLOOKUP(factura_c_mes78389[[#This Row],[CUIT]],Lista_CUIT[#All],3,0)),"CUIT NO CARGADO")</f>
        <v>Honorarios Profesionales</v>
      </c>
      <c r="K201" s="252">
        <f>IFERROR(IF(factura_c_mes78389[[#This Row],[CUIT]]="","-",VLOOKUP(factura_c_mes78389[[#This Row],[CUIT]],Lista_CUIT[#All],4,0)),"CUIT NO CARGADO")</f>
        <v>0</v>
      </c>
      <c r="S201">
        <v>2475</v>
      </c>
      <c r="T201">
        <v>2475</v>
      </c>
    </row>
    <row r="202" spans="2:20">
      <c r="D202" s="239">
        <v>45503</v>
      </c>
      <c r="E202" s="248">
        <v>1</v>
      </c>
      <c r="F202" s="248">
        <v>52</v>
      </c>
      <c r="G202" s="249">
        <v>20176922363</v>
      </c>
      <c r="H202" s="250" t="str">
        <f>IFERROR(IF(factura_c_mes78389[[#This Row],[CUIT]]="","-",VLOOKUP(factura_c_mes78389[[#This Row],[CUIT]],Lista_CUIT[#All],2,0)),"CUIT NO CARGADO")</f>
        <v>CASTILLO JUAN RAMON</v>
      </c>
      <c r="I202" s="251">
        <v>1200000</v>
      </c>
      <c r="J202" s="687" t="str">
        <f>IFERROR(IF(factura_c_mes78389[[#This Row],[CUIT]]="","-",VLOOKUP(factura_c_mes78389[[#This Row],[CUIT]],Lista_CUIT[#All],3,0)),"CUIT NO CARGADO")</f>
        <v>Honorarios Profesionales</v>
      </c>
      <c r="K202" s="252">
        <f>IFERROR(IF(factura_c_mes78389[[#This Row],[CUIT]]="","-",VLOOKUP(factura_c_mes78389[[#This Row],[CUIT]],Lista_CUIT[#All],4,0)),"CUIT NO CARGADO")</f>
        <v>0</v>
      </c>
      <c r="S202">
        <v>2538</v>
      </c>
      <c r="T202">
        <v>2538</v>
      </c>
    </row>
    <row r="203" spans="2:20">
      <c r="D203" s="239">
        <v>45503</v>
      </c>
      <c r="E203" s="248">
        <v>1</v>
      </c>
      <c r="F203" s="248">
        <v>53</v>
      </c>
      <c r="G203" s="249">
        <v>20176922363</v>
      </c>
      <c r="H203" s="250" t="str">
        <f>IFERROR(IF(factura_c_mes78389[[#This Row],[CUIT]]="","-",VLOOKUP(factura_c_mes78389[[#This Row],[CUIT]],Lista_CUIT[#All],2,0)),"CUIT NO CARGADO")</f>
        <v>CASTILLO JUAN RAMON</v>
      </c>
      <c r="I203" s="251">
        <v>700000</v>
      </c>
      <c r="J203" s="687" t="str">
        <f>IFERROR(IF(factura_c_mes78389[[#This Row],[CUIT]]="","-",VLOOKUP(factura_c_mes78389[[#This Row],[CUIT]],Lista_CUIT[#All],3,0)),"CUIT NO CARGADO")</f>
        <v>Honorarios Profesionales</v>
      </c>
      <c r="K203" s="252">
        <f>IFERROR(IF(factura_c_mes78389[[#This Row],[CUIT]]="","-",VLOOKUP(factura_c_mes78389[[#This Row],[CUIT]],Lista_CUIT[#All],4,0)),"CUIT NO CARGADO")</f>
        <v>0</v>
      </c>
      <c r="S203">
        <v>2601</v>
      </c>
      <c r="T203">
        <v>2601</v>
      </c>
    </row>
    <row r="204" spans="2:20">
      <c r="D204" s="239">
        <v>45502</v>
      </c>
      <c r="E204" s="248">
        <v>8</v>
      </c>
      <c r="F204" s="248">
        <v>626</v>
      </c>
      <c r="G204" s="249">
        <v>27409592487</v>
      </c>
      <c r="H204" s="250" t="str">
        <f>IFERROR(IF(factura_c_mes78389[[#This Row],[CUIT]]="","-",VLOOKUP(factura_c_mes78389[[#This Row],[CUIT]],Lista_CUIT[#All],2,0)),"CUIT NO CARGADO")</f>
        <v>BAUDONE ANTONELLA AGOSTINA</v>
      </c>
      <c r="I204" s="251">
        <v>119600</v>
      </c>
      <c r="J204" s="687" t="str">
        <f>IFERROR(IF(factura_c_mes78389[[#This Row],[CUIT]]="","-",VLOOKUP(factura_c_mes78389[[#This Row],[CUIT]],Lista_CUIT[#All],3,0)),"CUIT NO CARGADO")</f>
        <v>Material de Empaque</v>
      </c>
      <c r="K204" s="252">
        <f>IFERROR(IF(factura_c_mes78389[[#This Row],[CUIT]]="","-",VLOOKUP(factura_c_mes78389[[#This Row],[CUIT]],Lista_CUIT[#All],4,0)),"CUIT NO CARGADO")</f>
        <v>0</v>
      </c>
      <c r="S204">
        <v>2748</v>
      </c>
      <c r="T204">
        <v>2748</v>
      </c>
    </row>
    <row r="205" spans="2:20">
      <c r="D205" s="55" t="s">
        <v>103</v>
      </c>
      <c r="E205" s="55"/>
      <c r="F205" s="55"/>
      <c r="G205" s="55"/>
      <c r="H205" s="57"/>
      <c r="I205" s="58">
        <f>SUBTOTAL(109,factura_c_mes78389[TOTAL])</f>
        <v>3880080</v>
      </c>
      <c r="J205" s="55"/>
      <c r="K205" s="55"/>
      <c r="S205">
        <v>2772</v>
      </c>
      <c r="T205">
        <v>2772</v>
      </c>
    </row>
    <row r="206" spans="2:20">
      <c r="B206" s="56"/>
      <c r="C206" s="56"/>
      <c r="L206" s="56"/>
      <c r="M206" s="56"/>
      <c r="N206" s="56"/>
      <c r="O206" s="56"/>
      <c r="P206" s="56"/>
      <c r="Q206" s="123"/>
      <c r="R206" s="56"/>
      <c r="S206">
        <v>2817</v>
      </c>
      <c r="T206">
        <v>2817</v>
      </c>
    </row>
    <row r="207" spans="2:20">
      <c r="S207">
        <v>2833</v>
      </c>
      <c r="T207">
        <v>2833</v>
      </c>
    </row>
    <row r="208" spans="2:20">
      <c r="S208">
        <v>3173</v>
      </c>
      <c r="T208">
        <v>3173</v>
      </c>
    </row>
    <row r="209" spans="2:20">
      <c r="S209">
        <v>3183</v>
      </c>
      <c r="T209">
        <v>3183</v>
      </c>
    </row>
    <row r="210" spans="2:20">
      <c r="S210">
        <v>3184</v>
      </c>
      <c r="T210">
        <v>3184</v>
      </c>
    </row>
    <row r="211" spans="2:20" ht="26.25">
      <c r="B211" s="720" t="s">
        <v>29</v>
      </c>
      <c r="C211" s="720"/>
      <c r="D211" s="720"/>
      <c r="E211" s="720"/>
      <c r="F211" s="720"/>
      <c r="G211" s="720"/>
      <c r="H211" s="720"/>
      <c r="I211" s="720"/>
      <c r="J211" s="720"/>
      <c r="K211" s="716">
        <f>N1</f>
        <v>45108</v>
      </c>
      <c r="L211" s="716"/>
      <c r="M211" s="716"/>
      <c r="S211">
        <v>3191</v>
      </c>
      <c r="T211">
        <v>3191</v>
      </c>
    </row>
    <row r="212" spans="2:20">
      <c r="S212">
        <v>3201</v>
      </c>
      <c r="T212">
        <v>3201</v>
      </c>
    </row>
    <row r="213" spans="2:20">
      <c r="S213">
        <v>3276</v>
      </c>
      <c r="T213">
        <v>3276</v>
      </c>
    </row>
    <row r="214" spans="2:20" ht="21">
      <c r="B214" s="713" t="s">
        <v>1711</v>
      </c>
      <c r="C214" s="713"/>
      <c r="S214">
        <v>3341</v>
      </c>
      <c r="T214">
        <v>3341</v>
      </c>
    </row>
    <row r="215" spans="2:20" ht="15.75">
      <c r="B215" s="60" t="s">
        <v>0</v>
      </c>
      <c r="C215" s="61" t="s">
        <v>1</v>
      </c>
      <c r="D215" s="61" t="s">
        <v>21</v>
      </c>
      <c r="E215" s="61" t="s">
        <v>22</v>
      </c>
      <c r="F215" s="61" t="s">
        <v>3</v>
      </c>
      <c r="G215" s="61" t="s">
        <v>4</v>
      </c>
      <c r="H215" s="61" t="s">
        <v>23</v>
      </c>
      <c r="I215" s="61" t="s">
        <v>17</v>
      </c>
      <c r="J215" s="61" t="s">
        <v>7</v>
      </c>
      <c r="K215" s="61" t="s">
        <v>24</v>
      </c>
      <c r="L215" s="61" t="s">
        <v>10</v>
      </c>
      <c r="M215" s="62" t="s">
        <v>38</v>
      </c>
      <c r="S215">
        <v>3506</v>
      </c>
      <c r="T215">
        <v>3506</v>
      </c>
    </row>
    <row r="216" spans="2:20">
      <c r="B216" s="40"/>
      <c r="C216" s="41"/>
      <c r="D216" s="42"/>
      <c r="E216" s="43"/>
      <c r="F216" s="44"/>
      <c r="G216" s="1" t="str">
        <f>IFERROR(IF(ventas_b_mes78590[[#This Row],[CUIT]]="","-",VLOOKUP(ventas_b_mes78590[[#This Row],[CUIT]],Lista_CUIT[#All],2,0)),"CUIT NO CARGADO")</f>
        <v>-</v>
      </c>
      <c r="H216" s="64"/>
      <c r="I216" s="64"/>
      <c r="J216" s="64"/>
      <c r="K216" s="64"/>
      <c r="L216" s="64">
        <f>SUM(ventas_b_mes78590[[#This Row],[IMPORTE NETO]:[EXENTO]])</f>
        <v>0</v>
      </c>
      <c r="M216" s="59"/>
      <c r="S216">
        <v>3726</v>
      </c>
      <c r="T216">
        <v>3726</v>
      </c>
    </row>
    <row r="217" spans="2:20">
      <c r="B217" s="40"/>
      <c r="C217" s="41"/>
      <c r="D217" s="42"/>
      <c r="E217" s="43"/>
      <c r="F217" s="44"/>
      <c r="G217" s="1" t="str">
        <f>IFERROR(IF(ventas_b_mes78590[[#This Row],[CUIT]]="","-",VLOOKUP(ventas_b_mes78590[[#This Row],[CUIT]],Lista_CUIT[#All],2,0)),"CUIT NO CARGADO")</f>
        <v>-</v>
      </c>
      <c r="H217" s="64"/>
      <c r="I217" s="64"/>
      <c r="J217" s="64"/>
      <c r="K217" s="64"/>
      <c r="L217" s="64">
        <f>SUM(ventas_b_mes78590[[#This Row],[IMPORTE NETO]:[EXENTO]])</f>
        <v>0</v>
      </c>
      <c r="M217" s="59"/>
      <c r="S217">
        <v>3729</v>
      </c>
      <c r="T217">
        <v>3729</v>
      </c>
    </row>
    <row r="218" spans="2:20">
      <c r="B218" s="40"/>
      <c r="C218" s="41"/>
      <c r="D218" s="42"/>
      <c r="E218" s="43"/>
      <c r="F218" s="44"/>
      <c r="G218" s="1" t="str">
        <f>IFERROR(IF(ventas_b_mes78590[[#This Row],[CUIT]]="","-",VLOOKUP(ventas_b_mes78590[[#This Row],[CUIT]],Lista_CUIT[#All],2,0)),"CUIT NO CARGADO")</f>
        <v>-</v>
      </c>
      <c r="H218" s="64"/>
      <c r="I218" s="64"/>
      <c r="J218" s="64"/>
      <c r="K218" s="64"/>
      <c r="L218" s="64">
        <f>SUM(ventas_b_mes78590[[#This Row],[IMPORTE NETO]:[EXENTO]])</f>
        <v>0</v>
      </c>
      <c r="M218" s="59"/>
      <c r="S218">
        <v>3732</v>
      </c>
      <c r="T218">
        <v>3732</v>
      </c>
    </row>
    <row r="219" spans="2:20">
      <c r="B219" s="40"/>
      <c r="C219" s="41"/>
      <c r="D219" s="42"/>
      <c r="E219" s="43"/>
      <c r="F219" s="44"/>
      <c r="G219" s="1" t="str">
        <f>IFERROR(IF(ventas_b_mes78590[[#This Row],[CUIT]]="","-",VLOOKUP(ventas_b_mes78590[[#This Row],[CUIT]],Lista_CUIT[#All],2,0)),"CUIT NO CARGADO")</f>
        <v>-</v>
      </c>
      <c r="H219" s="64"/>
      <c r="I219" s="64"/>
      <c r="J219" s="64"/>
      <c r="K219" s="64"/>
      <c r="L219" s="64">
        <f>SUM(ventas_b_mes78590[[#This Row],[IMPORTE NETO]:[EXENTO]])</f>
        <v>0</v>
      </c>
      <c r="M219" s="59"/>
      <c r="S219">
        <v>3737</v>
      </c>
      <c r="T219">
        <v>3737</v>
      </c>
    </row>
    <row r="220" spans="2:20">
      <c r="B220" s="40"/>
      <c r="C220" s="41"/>
      <c r="D220" s="42"/>
      <c r="E220" s="43"/>
      <c r="F220" s="44"/>
      <c r="G220" s="1" t="str">
        <f>IFERROR(IF(ventas_b_mes78590[[#This Row],[CUIT]]="","-",VLOOKUP(ventas_b_mes78590[[#This Row],[CUIT]],Lista_CUIT[#All],2,0)),"CUIT NO CARGADO")</f>
        <v>-</v>
      </c>
      <c r="H220" s="64"/>
      <c r="I220" s="64"/>
      <c r="J220" s="64"/>
      <c r="K220" s="64"/>
      <c r="L220" s="64">
        <f>SUM(ventas_b_mes78590[[#This Row],[IMPORTE NETO]:[EXENTO]])</f>
        <v>0</v>
      </c>
      <c r="M220" s="59"/>
      <c r="S220">
        <v>3738</v>
      </c>
      <c r="T220">
        <v>3738</v>
      </c>
    </row>
    <row r="221" spans="2:20">
      <c r="B221" s="40"/>
      <c r="C221" s="41"/>
      <c r="D221" s="42"/>
      <c r="E221" s="43"/>
      <c r="F221" s="44"/>
      <c r="G221" s="1" t="str">
        <f>IFERROR(IF(ventas_b_mes78590[[#This Row],[CUIT]]="","-",VLOOKUP(ventas_b_mes78590[[#This Row],[CUIT]],Lista_CUIT[#All],2,0)),"CUIT NO CARGADO")</f>
        <v>-</v>
      </c>
      <c r="H221" s="64"/>
      <c r="I221" s="64"/>
      <c r="J221" s="64"/>
      <c r="K221" s="64"/>
      <c r="L221" s="64">
        <f>SUM(ventas_b_mes78590[[#This Row],[IMPORTE NETO]:[EXENTO]])</f>
        <v>0</v>
      </c>
      <c r="M221" s="59"/>
      <c r="S221">
        <v>3739</v>
      </c>
      <c r="T221">
        <v>3739</v>
      </c>
    </row>
    <row r="222" spans="2:20">
      <c r="B222" s="40"/>
      <c r="C222" s="41"/>
      <c r="D222" s="42"/>
      <c r="E222" s="43"/>
      <c r="F222" s="44"/>
      <c r="G222" s="1" t="str">
        <f>IFERROR(IF(ventas_b_mes78590[[#This Row],[CUIT]]="","-",VLOOKUP(ventas_b_mes78590[[#This Row],[CUIT]],Lista_CUIT[#All],2,0)),"CUIT NO CARGADO")</f>
        <v>-</v>
      </c>
      <c r="H222" s="64"/>
      <c r="I222" s="140"/>
      <c r="J222" s="141"/>
      <c r="K222" s="141"/>
      <c r="L222" s="141">
        <f>SUM(ventas_b_mes78590[[#This Row],[IMPORTE NETO]:[EXENTO]])</f>
        <v>0</v>
      </c>
      <c r="M222" s="59"/>
      <c r="S222">
        <v>3740</v>
      </c>
      <c r="T222">
        <v>3740</v>
      </c>
    </row>
    <row r="223" spans="2:20">
      <c r="B223" s="66" t="s">
        <v>103</v>
      </c>
      <c r="C223" s="67"/>
      <c r="D223" s="67"/>
      <c r="E223" s="67"/>
      <c r="F223" s="67"/>
      <c r="G223" s="67"/>
      <c r="H223" s="77">
        <f>SUBTOTAL(109,ventas_b_mes78590[IMPORTE NETO])</f>
        <v>0</v>
      </c>
      <c r="I223" s="77">
        <f>SUBTOTAL(109,ventas_b_mes78590[IVA 21%])</f>
        <v>0</v>
      </c>
      <c r="J223" s="78">
        <f>SUBTOTAL(109,ventas_b_mes78590[IVA 10,5%])</f>
        <v>0</v>
      </c>
      <c r="K223" s="78">
        <f>SUBTOTAL(109,ventas_b_mes78590[EXENTO])</f>
        <v>0</v>
      </c>
      <c r="L223" s="78">
        <f>SUBTOTAL(109,ventas_b_mes78590[TOTAL])</f>
        <v>0</v>
      </c>
      <c r="M223" s="68">
        <f>SUBTOTAL(103,ventas_b_mes78590[Provincia])</f>
        <v>0</v>
      </c>
      <c r="S223">
        <v>3743</v>
      </c>
      <c r="T223">
        <v>3743</v>
      </c>
    </row>
    <row r="224" spans="2:20">
      <c r="S224">
        <v>4383</v>
      </c>
      <c r="T224">
        <v>3748</v>
      </c>
    </row>
    <row r="225" spans="3:20">
      <c r="S225">
        <v>4703</v>
      </c>
      <c r="T225">
        <v>4383</v>
      </c>
    </row>
    <row r="226" spans="3:20">
      <c r="S226">
        <v>4704</v>
      </c>
      <c r="T226">
        <v>4703</v>
      </c>
    </row>
    <row r="227" spans="3:20">
      <c r="S227">
        <v>4705</v>
      </c>
      <c r="T227">
        <v>4704</v>
      </c>
    </row>
    <row r="228" spans="3:20">
      <c r="S228">
        <v>4706</v>
      </c>
      <c r="T228">
        <v>4705</v>
      </c>
    </row>
    <row r="229" spans="3:20" ht="15.75" thickBot="1">
      <c r="S229">
        <v>4707</v>
      </c>
      <c r="T229">
        <v>4706</v>
      </c>
    </row>
    <row r="230" spans="3:20" ht="15.75" thickTop="1">
      <c r="C230" s="726" t="s">
        <v>66</v>
      </c>
      <c r="D230" s="726"/>
      <c r="E230" s="726"/>
      <c r="F230" s="726"/>
      <c r="G230" s="726"/>
      <c r="H230" s="32"/>
      <c r="I230" s="32"/>
      <c r="J230" s="32"/>
      <c r="S230">
        <v>4945</v>
      </c>
      <c r="T230">
        <v>4707</v>
      </c>
    </row>
    <row r="231" spans="3:20" ht="15.75">
      <c r="C231" s="114" t="s">
        <v>67</v>
      </c>
      <c r="D231" s="115" t="s">
        <v>68</v>
      </c>
      <c r="E231" s="115" t="s">
        <v>105</v>
      </c>
      <c r="F231" s="115" t="s">
        <v>3</v>
      </c>
      <c r="G231" s="115" t="s">
        <v>4</v>
      </c>
      <c r="H231" s="116" t="s">
        <v>69</v>
      </c>
      <c r="I231" s="116" t="s">
        <v>70</v>
      </c>
      <c r="J231" s="116" t="s">
        <v>71</v>
      </c>
      <c r="K231" s="116" t="s">
        <v>72</v>
      </c>
      <c r="L231" s="116" t="s">
        <v>73</v>
      </c>
      <c r="S231">
        <v>5037</v>
      </c>
      <c r="T231">
        <v>4945</v>
      </c>
    </row>
    <row r="232" spans="3:20">
      <c r="C232" s="117"/>
      <c r="D232" s="118"/>
      <c r="E232" s="118"/>
      <c r="F232" s="119"/>
      <c r="G232" s="53" t="str">
        <f>IFERROR(IF(Retenciones_mes78792[[#This Row],[CUIT]]="","-",VLOOKUP(Retenciones_mes78792[[#This Row],[CUIT]],Lista_CUIT[#All],2,0)),"CUIT NO CARGADO")</f>
        <v>-</v>
      </c>
      <c r="H232" s="120"/>
      <c r="I232" s="120"/>
      <c r="J232" s="120"/>
      <c r="K232" s="120"/>
      <c r="L232" s="120"/>
      <c r="S232">
        <v>5056</v>
      </c>
      <c r="T232">
        <v>5037</v>
      </c>
    </row>
    <row r="233" spans="3:20">
      <c r="C233" s="117"/>
      <c r="D233" s="118"/>
      <c r="E233" s="118"/>
      <c r="F233" s="119"/>
      <c r="G233" s="53" t="str">
        <f>IFERROR(IF(Retenciones_mes78792[[#This Row],[CUIT]]="","-",VLOOKUP(Retenciones_mes78792[[#This Row],[CUIT]],Lista_CUIT[#All],2,0)),"CUIT NO CARGADO")</f>
        <v>-</v>
      </c>
      <c r="H233" s="120"/>
      <c r="I233" s="120"/>
      <c r="J233" s="120"/>
      <c r="K233" s="120"/>
      <c r="L233" s="120"/>
      <c r="S233">
        <v>5272</v>
      </c>
      <c r="T233">
        <v>5056</v>
      </c>
    </row>
    <row r="234" spans="3:20">
      <c r="C234" s="117"/>
      <c r="D234" s="118"/>
      <c r="E234" s="118"/>
      <c r="F234" s="119"/>
      <c r="G234" s="53" t="str">
        <f>IFERROR(IF(Retenciones_mes78792[[#This Row],[CUIT]]="","-",VLOOKUP(Retenciones_mes78792[[#This Row],[CUIT]],Lista_CUIT[#All],2,0)),"CUIT NO CARGADO")</f>
        <v>-</v>
      </c>
      <c r="H234" s="120"/>
      <c r="I234" s="120"/>
      <c r="J234" s="120"/>
      <c r="K234" s="120"/>
      <c r="L234" s="120"/>
      <c r="S234">
        <v>5915</v>
      </c>
      <c r="T234">
        <v>5272</v>
      </c>
    </row>
    <row r="235" spans="3:20">
      <c r="C235" s="117"/>
      <c r="D235" s="118"/>
      <c r="E235" s="118"/>
      <c r="F235" s="119"/>
      <c r="G235" s="53" t="str">
        <f>IFERROR(IF(Retenciones_mes78792[[#This Row],[CUIT]]="","-",VLOOKUP(Retenciones_mes78792[[#This Row],[CUIT]],Lista_CUIT[#All],2,0)),"CUIT NO CARGADO")</f>
        <v>-</v>
      </c>
      <c r="H235" s="120"/>
      <c r="I235" s="120"/>
      <c r="J235" s="120"/>
      <c r="K235" s="120"/>
      <c r="L235" s="120"/>
      <c r="S235">
        <v>5992</v>
      </c>
      <c r="T235">
        <v>5915</v>
      </c>
    </row>
    <row r="236" spans="3:20">
      <c r="D236" s="118"/>
      <c r="E236" s="118"/>
      <c r="G236" s="53" t="str">
        <f>IFERROR(IF(Retenciones_mes78792[[#This Row],[CUIT]]="","-",VLOOKUP(Retenciones_mes78792[[#This Row],[CUIT]],Lista_CUIT[#All],2,0)),"CUIT NO CARGADO")</f>
        <v>-</v>
      </c>
      <c r="S236">
        <v>5992</v>
      </c>
      <c r="T236">
        <v>5992</v>
      </c>
    </row>
    <row r="237" spans="3:20">
      <c r="C237" s="33"/>
      <c r="S237">
        <v>6169</v>
      </c>
      <c r="T237">
        <v>6169</v>
      </c>
    </row>
    <row r="238" spans="3:20">
      <c r="S238">
        <v>6177</v>
      </c>
      <c r="T238">
        <v>6177</v>
      </c>
    </row>
    <row r="239" spans="3:20">
      <c r="S239">
        <v>6177</v>
      </c>
      <c r="T239">
        <v>6804</v>
      </c>
    </row>
    <row r="240" spans="3:20">
      <c r="S240">
        <v>6804</v>
      </c>
      <c r="T240">
        <v>6860</v>
      </c>
    </row>
    <row r="241" spans="19:20">
      <c r="S241">
        <v>6860</v>
      </c>
      <c r="T241">
        <v>6876</v>
      </c>
    </row>
    <row r="242" spans="19:20">
      <c r="S242">
        <v>6876</v>
      </c>
      <c r="T242">
        <v>6879</v>
      </c>
    </row>
    <row r="243" spans="19:20">
      <c r="S243">
        <v>6879</v>
      </c>
      <c r="T243">
        <v>6882</v>
      </c>
    </row>
    <row r="244" spans="19:20">
      <c r="S244">
        <v>6882</v>
      </c>
      <c r="T244">
        <v>8075</v>
      </c>
    </row>
    <row r="245" spans="19:20">
      <c r="S245">
        <v>8075</v>
      </c>
      <c r="T245">
        <v>8508</v>
      </c>
    </row>
    <row r="246" spans="19:20">
      <c r="S246">
        <v>8508</v>
      </c>
      <c r="T246">
        <v>9245</v>
      </c>
    </row>
    <row r="247" spans="19:20">
      <c r="S247">
        <v>9245</v>
      </c>
      <c r="T247">
        <v>9741</v>
      </c>
    </row>
    <row r="248" spans="19:20">
      <c r="S248">
        <v>9741</v>
      </c>
      <c r="T248">
        <v>10085</v>
      </c>
    </row>
    <row r="249" spans="19:20">
      <c r="S249">
        <v>10085</v>
      </c>
      <c r="T249">
        <v>10132</v>
      </c>
    </row>
    <row r="250" spans="19:20">
      <c r="S250">
        <v>10132</v>
      </c>
      <c r="T250">
        <v>11111</v>
      </c>
    </row>
    <row r="251" spans="19:20">
      <c r="S251">
        <v>13141</v>
      </c>
      <c r="T251">
        <v>13141</v>
      </c>
    </row>
    <row r="252" spans="19:20">
      <c r="S252">
        <v>13230</v>
      </c>
      <c r="T252">
        <v>13230</v>
      </c>
    </row>
    <row r="253" spans="19:20">
      <c r="S253">
        <v>13297</v>
      </c>
      <c r="T253">
        <v>13297</v>
      </c>
    </row>
    <row r="254" spans="19:20">
      <c r="S254">
        <v>14981</v>
      </c>
      <c r="T254">
        <v>14981</v>
      </c>
    </row>
    <row r="255" spans="19:20">
      <c r="S255">
        <v>16566</v>
      </c>
      <c r="T255">
        <v>16566</v>
      </c>
    </row>
    <row r="256" spans="19:20">
      <c r="S256">
        <v>17526</v>
      </c>
      <c r="T256">
        <v>17526</v>
      </c>
    </row>
    <row r="257" spans="19:20">
      <c r="S257">
        <v>19412</v>
      </c>
      <c r="T257">
        <v>19412</v>
      </c>
    </row>
    <row r="258" spans="19:20">
      <c r="S258">
        <v>22084</v>
      </c>
      <c r="T258">
        <v>22084</v>
      </c>
    </row>
    <row r="259" spans="19:20">
      <c r="S259">
        <v>22262</v>
      </c>
      <c r="T259">
        <v>22262</v>
      </c>
    </row>
    <row r="260" spans="19:20">
      <c r="S260">
        <v>23352</v>
      </c>
      <c r="T260">
        <v>23352</v>
      </c>
    </row>
    <row r="261" spans="19:20">
      <c r="S261">
        <v>23418</v>
      </c>
      <c r="T261">
        <v>23418</v>
      </c>
    </row>
    <row r="262" spans="19:20">
      <c r="S262">
        <v>23547</v>
      </c>
      <c r="T262">
        <v>23547</v>
      </c>
    </row>
    <row r="263" spans="19:20">
      <c r="S263">
        <v>25240</v>
      </c>
      <c r="T263">
        <v>25240</v>
      </c>
    </row>
    <row r="264" spans="19:20">
      <c r="S264">
        <v>25716</v>
      </c>
      <c r="T264">
        <v>25716</v>
      </c>
    </row>
    <row r="265" spans="19:20">
      <c r="S265">
        <v>26429</v>
      </c>
      <c r="T265">
        <v>26429</v>
      </c>
    </row>
    <row r="266" spans="19:20">
      <c r="S266">
        <v>27257</v>
      </c>
      <c r="T266">
        <v>27257</v>
      </c>
    </row>
    <row r="267" spans="19:20">
      <c r="S267">
        <v>30312</v>
      </c>
      <c r="T267">
        <v>30312</v>
      </c>
    </row>
    <row r="268" spans="19:20">
      <c r="S268">
        <v>30689</v>
      </c>
      <c r="T268">
        <v>30689</v>
      </c>
    </row>
    <row r="269" spans="19:20">
      <c r="S269">
        <v>30797</v>
      </c>
      <c r="T269">
        <v>30797</v>
      </c>
    </row>
    <row r="270" spans="19:20">
      <c r="S270">
        <v>31187</v>
      </c>
      <c r="T270">
        <v>31187</v>
      </c>
    </row>
    <row r="271" spans="19:20">
      <c r="S271">
        <v>34748</v>
      </c>
      <c r="T271">
        <v>34748</v>
      </c>
    </row>
    <row r="272" spans="19:20">
      <c r="S272">
        <v>42136</v>
      </c>
      <c r="T272">
        <v>42136</v>
      </c>
    </row>
    <row r="273" spans="19:20">
      <c r="S273">
        <v>45417</v>
      </c>
      <c r="T273">
        <v>45417</v>
      </c>
    </row>
    <row r="274" spans="19:20">
      <c r="S274">
        <v>45948</v>
      </c>
      <c r="T274">
        <v>45948</v>
      </c>
    </row>
    <row r="275" spans="19:20">
      <c r="S275">
        <v>46734</v>
      </c>
      <c r="T275">
        <v>46734</v>
      </c>
    </row>
    <row r="276" spans="19:20">
      <c r="S276">
        <v>46848</v>
      </c>
      <c r="T276">
        <v>46848</v>
      </c>
    </row>
    <row r="277" spans="19:20">
      <c r="S277">
        <v>48806</v>
      </c>
      <c r="T277">
        <v>48806</v>
      </c>
    </row>
    <row r="278" spans="19:20">
      <c r="S278">
        <v>48976</v>
      </c>
      <c r="T278">
        <v>48976</v>
      </c>
    </row>
    <row r="279" spans="19:20">
      <c r="S279">
        <v>49382</v>
      </c>
      <c r="T279">
        <v>49382</v>
      </c>
    </row>
    <row r="280" spans="19:20">
      <c r="S280">
        <v>49567</v>
      </c>
      <c r="T280">
        <v>49567</v>
      </c>
    </row>
    <row r="281" spans="19:20">
      <c r="S281">
        <v>49741</v>
      </c>
      <c r="T281">
        <v>49741</v>
      </c>
    </row>
    <row r="282" spans="19:20">
      <c r="S282">
        <v>49842</v>
      </c>
      <c r="T282">
        <v>49842</v>
      </c>
    </row>
    <row r="283" spans="19:20">
      <c r="S283">
        <v>59750</v>
      </c>
      <c r="T283">
        <v>59750</v>
      </c>
    </row>
    <row r="284" spans="19:20">
      <c r="S284">
        <v>117652</v>
      </c>
      <c r="T284">
        <v>117652</v>
      </c>
    </row>
    <row r="285" spans="19:20">
      <c r="S285">
        <v>123910</v>
      </c>
      <c r="T285">
        <v>123910</v>
      </c>
    </row>
    <row r="286" spans="19:20">
      <c r="S286">
        <v>124520</v>
      </c>
      <c r="T286">
        <v>124520</v>
      </c>
    </row>
    <row r="287" spans="19:20">
      <c r="S287">
        <v>125055</v>
      </c>
      <c r="T287">
        <v>125055</v>
      </c>
    </row>
    <row r="288" spans="19:20">
      <c r="S288">
        <v>125115</v>
      </c>
      <c r="T288">
        <v>125115</v>
      </c>
    </row>
    <row r="289" spans="19:20">
      <c r="S289">
        <v>125554</v>
      </c>
      <c r="T289">
        <v>125554</v>
      </c>
    </row>
    <row r="290" spans="19:20">
      <c r="S290">
        <v>138711</v>
      </c>
      <c r="T290">
        <v>138711</v>
      </c>
    </row>
    <row r="291" spans="19:20">
      <c r="S291">
        <v>139079</v>
      </c>
      <c r="T291">
        <v>139079</v>
      </c>
    </row>
    <row r="292" spans="19:20">
      <c r="S292">
        <v>188343</v>
      </c>
      <c r="T292">
        <v>188343</v>
      </c>
    </row>
    <row r="293" spans="19:20">
      <c r="S293">
        <v>192881</v>
      </c>
      <c r="T293">
        <v>192881</v>
      </c>
    </row>
    <row r="294" spans="19:20">
      <c r="S294">
        <v>192881</v>
      </c>
      <c r="T294">
        <v>304982</v>
      </c>
    </row>
    <row r="295" spans="19:20">
      <c r="S295">
        <v>304982</v>
      </c>
      <c r="T295">
        <v>305252</v>
      </c>
    </row>
    <row r="296" spans="19:20">
      <c r="S296">
        <v>305252</v>
      </c>
      <c r="T296">
        <v>318097</v>
      </c>
    </row>
    <row r="297" spans="19:20">
      <c r="S297">
        <v>318097</v>
      </c>
      <c r="T297">
        <v>327940</v>
      </c>
    </row>
    <row r="298" spans="19:20">
      <c r="S298">
        <v>327940</v>
      </c>
      <c r="T298">
        <v>463233</v>
      </c>
    </row>
    <row r="299" spans="19:20">
      <c r="S299">
        <v>463233</v>
      </c>
      <c r="T299">
        <v>562801</v>
      </c>
    </row>
    <row r="300" spans="19:20">
      <c r="S300">
        <v>562801</v>
      </c>
      <c r="T300">
        <v>623274</v>
      </c>
    </row>
    <row r="301" spans="19:20">
      <c r="S301">
        <v>623274</v>
      </c>
      <c r="T301">
        <v>624766</v>
      </c>
    </row>
    <row r="302" spans="19:20">
      <c r="S302">
        <v>624766</v>
      </c>
      <c r="T302">
        <v>628257</v>
      </c>
    </row>
    <row r="303" spans="19:20">
      <c r="S303">
        <v>628257</v>
      </c>
      <c r="T303">
        <v>630643</v>
      </c>
    </row>
    <row r="304" spans="19:20">
      <c r="S304">
        <v>630643</v>
      </c>
      <c r="T304">
        <v>693597</v>
      </c>
    </row>
    <row r="305" spans="19:20">
      <c r="S305">
        <v>693597</v>
      </c>
      <c r="T305">
        <v>716566</v>
      </c>
    </row>
    <row r="306" spans="19:20">
      <c r="S306">
        <v>716566</v>
      </c>
      <c r="T306">
        <v>739004</v>
      </c>
    </row>
    <row r="307" spans="19:20">
      <c r="S307">
        <v>739004</v>
      </c>
      <c r="T307">
        <v>897240</v>
      </c>
    </row>
    <row r="308" spans="19:20">
      <c r="S308">
        <v>897240</v>
      </c>
      <c r="T308">
        <v>898102</v>
      </c>
    </row>
    <row r="309" spans="19:20">
      <c r="S309">
        <v>898102</v>
      </c>
      <c r="T309">
        <v>1014170</v>
      </c>
    </row>
    <row r="310" spans="19:20">
      <c r="S310">
        <v>1014170</v>
      </c>
      <c r="T310">
        <v>1355360</v>
      </c>
    </row>
    <row r="311" spans="19:20">
      <c r="S311">
        <v>1355360</v>
      </c>
      <c r="T311">
        <v>1385255</v>
      </c>
    </row>
    <row r="312" spans="19:20">
      <c r="S312">
        <v>1385255</v>
      </c>
      <c r="T312">
        <v>1390779</v>
      </c>
    </row>
    <row r="313" spans="19:20">
      <c r="S313">
        <v>1390779</v>
      </c>
      <c r="T313">
        <v>1415840</v>
      </c>
    </row>
    <row r="314" spans="19:20">
      <c r="S314">
        <v>1415840</v>
      </c>
      <c r="T314">
        <v>1773355</v>
      </c>
    </row>
    <row r="315" spans="19:20">
      <c r="S315">
        <v>1773355</v>
      </c>
      <c r="T315">
        <v>1804042</v>
      </c>
    </row>
    <row r="316" spans="19:20">
      <c r="S316">
        <v>1804042</v>
      </c>
      <c r="T316">
        <v>2688596</v>
      </c>
    </row>
    <row r="317" spans="19:20">
      <c r="S317">
        <v>2688596</v>
      </c>
      <c r="T317">
        <v>2897240</v>
      </c>
    </row>
    <row r="318" spans="19:20">
      <c r="S318">
        <v>2897240</v>
      </c>
      <c r="T318">
        <v>2898102</v>
      </c>
    </row>
    <row r="319" spans="19:20">
      <c r="S319">
        <v>2898102</v>
      </c>
      <c r="T319">
        <v>3081546</v>
      </c>
    </row>
    <row r="320" spans="19:20">
      <c r="S320">
        <v>3081546</v>
      </c>
      <c r="T320">
        <v>3081546</v>
      </c>
    </row>
    <row r="321" spans="19:20">
      <c r="S321">
        <v>3081546</v>
      </c>
      <c r="T321">
        <v>3698401</v>
      </c>
    </row>
    <row r="322" spans="19:20">
      <c r="S322">
        <v>3698401</v>
      </c>
      <c r="T322">
        <v>3711416</v>
      </c>
    </row>
    <row r="323" spans="19:20">
      <c r="S323">
        <v>3711416</v>
      </c>
      <c r="T323">
        <v>3724684</v>
      </c>
    </row>
    <row r="324" spans="19:20">
      <c r="S324">
        <v>3724684</v>
      </c>
      <c r="T324">
        <v>4006247</v>
      </c>
    </row>
    <row r="325" spans="19:20">
      <c r="S325">
        <v>4006247</v>
      </c>
      <c r="T325">
        <v>4013136</v>
      </c>
    </row>
    <row r="326" spans="19:20">
      <c r="S326">
        <v>4006247</v>
      </c>
      <c r="T326">
        <v>4055959</v>
      </c>
    </row>
    <row r="327" spans="19:20">
      <c r="S327">
        <v>4013136</v>
      </c>
      <c r="T327">
        <v>5249797</v>
      </c>
    </row>
    <row r="328" spans="19:20">
      <c r="S328">
        <v>4055959</v>
      </c>
      <c r="T328">
        <v>5287649</v>
      </c>
    </row>
    <row r="329" spans="19:20">
      <c r="S329">
        <v>5249797</v>
      </c>
      <c r="T329">
        <v>5871025</v>
      </c>
    </row>
    <row r="330" spans="19:20">
      <c r="S330">
        <v>5287649</v>
      </c>
      <c r="T330">
        <v>5926623</v>
      </c>
    </row>
    <row r="331" spans="19:20">
      <c r="S331">
        <v>5871025</v>
      </c>
      <c r="T331">
        <v>6302143</v>
      </c>
    </row>
    <row r="332" spans="19:20">
      <c r="S332">
        <v>5926623</v>
      </c>
      <c r="T332">
        <v>8443829</v>
      </c>
    </row>
    <row r="333" spans="19:20">
      <c r="S333">
        <v>6302143</v>
      </c>
      <c r="T333">
        <v>16896501</v>
      </c>
    </row>
    <row r="334" spans="19:20">
      <c r="S334">
        <v>8443829</v>
      </c>
      <c r="T334">
        <v>16908328</v>
      </c>
    </row>
    <row r="335" spans="19:20">
      <c r="S335">
        <v>16896501</v>
      </c>
      <c r="T335">
        <v>16917644</v>
      </c>
    </row>
    <row r="336" spans="19:20">
      <c r="S336">
        <v>16908328</v>
      </c>
      <c r="T336">
        <v>16918180</v>
      </c>
    </row>
    <row r="337" spans="19:20">
      <c r="S337">
        <v>16917644</v>
      </c>
      <c r="T337">
        <v>28074089</v>
      </c>
    </row>
    <row r="338" spans="19:20">
      <c r="S338">
        <v>16918180</v>
      </c>
      <c r="T338">
        <v>28575959</v>
      </c>
    </row>
    <row r="339" spans="19:20">
      <c r="S339">
        <v>28074089</v>
      </c>
      <c r="T339">
        <v>32205546</v>
      </c>
    </row>
    <row r="340" spans="19:20">
      <c r="S340">
        <v>28575959</v>
      </c>
      <c r="T340">
        <v>44557530</v>
      </c>
    </row>
    <row r="341" spans="19:20">
      <c r="S341">
        <v>44557530</v>
      </c>
      <c r="T341">
        <v>87536790</v>
      </c>
    </row>
    <row r="342" spans="19:20">
      <c r="S342">
        <v>87536790</v>
      </c>
    </row>
  </sheetData>
  <mergeCells count="19">
    <mergeCell ref="D184:K184"/>
    <mergeCell ref="B211:J211"/>
    <mergeCell ref="K211:M211"/>
    <mergeCell ref="B214:C214"/>
    <mergeCell ref="C230:G230"/>
    <mergeCell ref="D171:L171"/>
    <mergeCell ref="B1:F1"/>
    <mergeCell ref="G1:M1"/>
    <mergeCell ref="N1:R1"/>
    <mergeCell ref="B3:E3"/>
    <mergeCell ref="G3:H3"/>
    <mergeCell ref="J3:K3"/>
    <mergeCell ref="M3:N3"/>
    <mergeCell ref="P3:R3"/>
    <mergeCell ref="B4:E4"/>
    <mergeCell ref="G4:H4"/>
    <mergeCell ref="J4:K4"/>
    <mergeCell ref="M4:N4"/>
    <mergeCell ref="P4:R4"/>
  </mergeCells>
  <phoneticPr fontId="38" type="noConversion"/>
  <dataValidations count="10">
    <dataValidation type="whole" allowBlank="1" showInputMessage="1" showErrorMessage="1" sqref="D216:D222 D9:D165 E186:E204">
      <formula1>1</formula1>
      <formula2>9999</formula2>
    </dataValidation>
    <dataValidation type="whole" allowBlank="1" showInputMessage="1" showErrorMessage="1" sqref="E216:E222 E9:E165 F186:F204">
      <formula1>1</formula1>
      <formula2>99999999</formula2>
    </dataValidation>
    <dataValidation type="whole" allowBlank="1" showInputMessage="1" showErrorMessage="1" sqref="F216:F222 F9:F165 G186:G204">
      <formula1>20000000000</formula1>
      <formula2>33999999999</formula2>
    </dataValidation>
    <dataValidation type="date" allowBlank="1" showInputMessage="1" showErrorMessage="1" sqref="B167:B170 B216:B222 D173:D179 B9:B165 D186:D204">
      <formula1>40179</formula1>
      <formula2>TODAY()</formula2>
    </dataValidation>
    <dataValidation type="whole" allowBlank="1" showInputMessage="1" showErrorMessage="1" sqref="C167:C170 C9:C165">
      <formula1>1</formula1>
      <formula2>3</formula2>
    </dataValidation>
    <dataValidation type="whole" allowBlank="1" showInputMessage="1" showErrorMessage="1" sqref="C216:C222">
      <formula1>6</formula1>
      <formula2>8</formula2>
    </dataValidation>
    <dataValidation type="custom" allowBlank="1" showInputMessage="1" showErrorMessage="1" sqref="H216:L222">
      <formula1>IF($C216=8,H216&lt;0,H216&gt;=0)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79 H90:K90 M90:O90 M80:O81 H80:K81 H82:O89 H91:O165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0">
      <formula1>IF($C80=3,L90&lt;0,L90&gt;=0)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2">
      <formula1>IF($C81=3,L92&lt;0,L92&gt;=0)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theme="9" tint="0.79998168889431442"/>
  </sheetPr>
  <dimension ref="A1:XEX239"/>
  <sheetViews>
    <sheetView showGridLines="0" topLeftCell="D19" zoomScaleNormal="100" workbookViewId="0">
      <selection activeCell="H36" sqref="H32:H36"/>
    </sheetView>
  </sheetViews>
  <sheetFormatPr baseColWidth="10" defaultColWidth="0" defaultRowHeight="15"/>
  <cols>
    <col min="1" max="1" width="1.7109375" customWidth="1"/>
    <col min="2" max="2" width="13.5703125" customWidth="1"/>
    <col min="3" max="3" width="14" customWidth="1"/>
    <col min="4" max="4" width="13.28515625" customWidth="1"/>
    <col min="5" max="5" width="14.5703125" customWidth="1"/>
    <col min="6" max="6" width="23.140625" customWidth="1"/>
    <col min="7" max="8" width="20" customWidth="1"/>
    <col min="9" max="9" width="15.5703125" customWidth="1"/>
    <col min="10" max="10" width="25.140625" customWidth="1"/>
    <col min="11" max="11" width="12.7109375" customWidth="1"/>
    <col min="12" max="12" width="14.42578125" customWidth="1"/>
    <col min="13" max="13" width="18.5703125" customWidth="1"/>
    <col min="14" max="14" width="16.140625" customWidth="1"/>
    <col min="15" max="15" width="16.28515625" customWidth="1"/>
    <col min="16" max="16" width="19.28515625" customWidth="1"/>
    <col min="17" max="17" width="25.7109375" style="433" customWidth="1"/>
    <col min="18" max="18" width="16.42578125" customWidth="1"/>
    <col min="19" max="19" width="13.140625" customWidth="1"/>
    <col min="20" max="20" width="20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8" width="11.5703125" hidden="1"/>
    <col min="16379" max="16379" width="29.42578125" customWidth="1"/>
    <col min="16380" max="16380" width="11" customWidth="1"/>
    <col min="16381" max="16381" width="27" customWidth="1"/>
    <col min="16382" max="16382" width="21.7109375" customWidth="1"/>
    <col min="16383" max="16383" width="28.28515625" customWidth="1"/>
    <col min="16384" max="16384" width="30.85546875" customWidth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EDATE('Ene-24'!N1,7)</f>
        <v>45139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SUM(compras_mes8[[#Totals],[NETO GRAVADO]])+extracto_banco_mes8[[#Totals],[NETO]]</f>
        <v>97718146.339999989</v>
      </c>
      <c r="C4" s="718"/>
      <c r="D4" s="718"/>
      <c r="E4" s="718"/>
      <c r="F4" s="39"/>
      <c r="G4" s="719">
        <f>compras_mes8[[#Totals],[IVA 21 %]]+compras_mes8[[#Totals],[IVA 27%]]+compras_mes8[[#Totals],[IVA 10,5%]]+extracto_banco_mes8[[#Totals],[IVA 21%]]+extracto_banco_mes8[[#Totals],[IVA 10,5%]]</f>
        <v>20025854.047649994</v>
      </c>
      <c r="H4" s="719"/>
      <c r="I4" s="39"/>
      <c r="J4" s="725">
        <f>venta_a_mes8[[#Totals],[IMPORTE NETO]]+ventas_b_mes8[[#Totals],[IMPORTE NETO]]</f>
        <v>0</v>
      </c>
      <c r="K4" s="725"/>
      <c r="L4" s="39"/>
      <c r="M4" s="725">
        <f>venta_a_mes8[[#Totals],[IVA 21%]]+venta_a_mes8[[#Totals],[IVA 10,5%]]+ventas_b_mes8[[#Totals],[IVA 21%]]+ventas_b_mes8[[#Totals],[IVA 10,5%]]</f>
        <v>0</v>
      </c>
      <c r="N4" s="725"/>
      <c r="O4" s="39"/>
      <c r="P4" s="721">
        <f>G4-M4</f>
        <v>20025854.047649994</v>
      </c>
      <c r="Q4" s="722"/>
      <c r="R4" s="722"/>
    </row>
    <row r="5" spans="1:26" ht="24" customHeight="1">
      <c r="H5" s="128"/>
      <c r="M5" s="263"/>
    </row>
    <row r="6" spans="1:26" ht="16.5" customHeight="1">
      <c r="F6" s="128"/>
      <c r="H6" s="568"/>
      <c r="I6" s="128"/>
      <c r="J6" s="128"/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5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434" t="s">
        <v>11</v>
      </c>
      <c r="R8" s="84" t="s">
        <v>38</v>
      </c>
    </row>
    <row r="9" spans="1:26">
      <c r="B9" s="239"/>
      <c r="C9" s="41"/>
      <c r="D9" s="241"/>
      <c r="E9" s="257"/>
      <c r="F9" s="242"/>
      <c r="G9" s="243" t="str">
        <f>IFERROR(IF(compras_mes8[[#This Row],[CUIT]]="","-",VLOOKUP(compras_mes8[[#This Row],[CUIT]],Lista_CUIT[#All],2,0)),"CUIT NO CARGADO")</f>
        <v>-</v>
      </c>
      <c r="H9" s="244"/>
      <c r="I9" s="245" t="str">
        <f>IF(compras_mes8[[#This Row],[NETO GRAVADO]]="","",compras_mes8[[#This Row],[NETO GRAVADO]]*0.21)</f>
        <v/>
      </c>
      <c r="J9" s="245"/>
      <c r="K9" s="245"/>
      <c r="L9" s="245"/>
      <c r="M9" s="245"/>
      <c r="N9" s="245"/>
      <c r="O9" s="245"/>
      <c r="P9" s="246">
        <f>SUM(compras_mes8[[#This Row],[NETO GRAVADO]:[Otros / No Grav.]])</f>
        <v>0</v>
      </c>
      <c r="Q9" s="243" t="str">
        <f>IFERROR(IF(compras_mes8[[#This Row],[CUIT]]="","-",VLOOKUP(compras_mes8[[#This Row],[CUIT]],Lista_CUIT[#All],3,0)),"CUIT NO CARGADO")</f>
        <v>-</v>
      </c>
      <c r="R9" s="247" t="str">
        <f>IFERROR(IF(compras_mes8[[#This Row],[CUIT]]="","-",VLOOKUP(compras_mes8[[#This Row],[CUIT]],Lista_CUIT[#All],4,0)),"CUIT NO CARGADO")</f>
        <v>-</v>
      </c>
      <c r="T9" s="33"/>
    </row>
    <row r="10" spans="1:26">
      <c r="B10" s="239"/>
      <c r="C10" s="240"/>
      <c r="D10" s="241"/>
      <c r="E10" s="257"/>
      <c r="F10" s="242"/>
      <c r="G10" s="243" t="str">
        <f>IFERROR(IF(compras_mes8[[#This Row],[CUIT]]="","-",VLOOKUP(compras_mes8[[#This Row],[CUIT]],Lista_CUIT[#All],2,0)),"CUIT NO CARGADO")</f>
        <v>-</v>
      </c>
      <c r="H10" s="244"/>
      <c r="I10" s="245" t="str">
        <f>IF(compras_mes8[[#This Row],[NETO GRAVADO]]="","",compras_mes8[[#This Row],[NETO GRAVADO]]*0.21)</f>
        <v/>
      </c>
      <c r="J10" s="245"/>
      <c r="K10" s="245"/>
      <c r="L10" s="245"/>
      <c r="M10" s="245"/>
      <c r="N10" s="245"/>
      <c r="O10" s="245"/>
      <c r="P10" s="246">
        <f>SUM(compras_mes8[[#This Row],[NETO GRAVADO]:[Otros / No Grav.]])</f>
        <v>0</v>
      </c>
      <c r="Q10" s="243" t="str">
        <f>IFERROR(IF(compras_mes8[[#This Row],[CUIT]]="","-",VLOOKUP(compras_mes8[[#This Row],[CUIT]],Lista_CUIT[#All],3,0)),"CUIT NO CARGADO")</f>
        <v>-</v>
      </c>
      <c r="R10" s="247" t="str">
        <f>IFERROR(IF(compras_mes8[[#This Row],[CUIT]]="","-",VLOOKUP(compras_mes8[[#This Row],[CUIT]],Lista_CUIT[#All],4,0)),"CUIT NO CARGADO")</f>
        <v>-</v>
      </c>
      <c r="T10" s="33"/>
    </row>
    <row r="11" spans="1:26">
      <c r="B11" s="239" t="s">
        <v>2361</v>
      </c>
      <c r="C11" s="240">
        <v>1</v>
      </c>
      <c r="D11" s="241">
        <v>1</v>
      </c>
      <c r="E11" s="257">
        <v>531</v>
      </c>
      <c r="F11" s="242">
        <v>20131206144</v>
      </c>
      <c r="G11" s="243" t="str">
        <f>IFERROR(IF(compras_mes8[[#This Row],[CUIT]]="","-",VLOOKUP(compras_mes8[[#This Row],[CUIT]],Lista_CUIT[#All],2,0)),"CUIT NO CARGADO")</f>
        <v>CHAMORRO MANUEL</v>
      </c>
      <c r="H11" s="244">
        <v>707700</v>
      </c>
      <c r="I11" s="245">
        <f>IF(compras_mes8[[#This Row],[NETO GRAVADO]]="","",compras_mes8[[#This Row],[NETO GRAVADO]]*0.21)</f>
        <v>148617</v>
      </c>
      <c r="J11" s="245"/>
      <c r="K11" s="245"/>
      <c r="L11" s="245"/>
      <c r="M11" s="245"/>
      <c r="N11" s="245"/>
      <c r="O11" s="245"/>
      <c r="P11" s="246">
        <f>SUM(compras_mes8[[#This Row],[NETO GRAVADO]:[Otros / No Grav.]])</f>
        <v>856317</v>
      </c>
      <c r="Q11" s="243" t="str">
        <f>IFERROR(IF(compras_mes8[[#This Row],[CUIT]]="","-",VLOOKUP(compras_mes8[[#This Row],[CUIT]],Lista_CUIT[#All],3,0)),"CUIT NO CARGADO")</f>
        <v>Alquiler</v>
      </c>
      <c r="R11" s="247">
        <f>IFERROR(IF(compras_mes8[[#This Row],[CUIT]]="","-",VLOOKUP(compras_mes8[[#This Row],[CUIT]],Lista_CUIT[#All],4,0)),"CUIT NO CARGADO")</f>
        <v>0</v>
      </c>
      <c r="T11" s="33"/>
    </row>
    <row r="12" spans="1:26">
      <c r="B12" s="239" t="s">
        <v>2362</v>
      </c>
      <c r="C12" s="240">
        <v>1</v>
      </c>
      <c r="D12" s="241">
        <v>1</v>
      </c>
      <c r="E12" s="257">
        <v>128</v>
      </c>
      <c r="F12" s="242">
        <v>30716010313</v>
      </c>
      <c r="G12" s="243" t="str">
        <f>IFERROR(IF(compras_mes8[[#This Row],[CUIT]]="","-",VLOOKUP(compras_mes8[[#This Row],[CUIT]],Lista_CUIT[#All],2,0)),"CUIT NO CARGADO")</f>
        <v>H UNO 1469 S.A.</v>
      </c>
      <c r="H12" s="244">
        <v>46000</v>
      </c>
      <c r="I12" s="245">
        <f>IF(compras_mes8[[#This Row],[NETO GRAVADO]]="","",compras_mes8[[#This Row],[NETO GRAVADO]]*0.21)</f>
        <v>9660</v>
      </c>
      <c r="J12" s="245"/>
      <c r="K12" s="245"/>
      <c r="L12" s="245"/>
      <c r="M12" s="245"/>
      <c r="N12" s="245"/>
      <c r="O12" s="245"/>
      <c r="P12" s="494">
        <f>SUM(compras_mes8[[#This Row],[NETO GRAVADO]:[Otros / No Grav.]])</f>
        <v>55660</v>
      </c>
      <c r="Q12" s="243" t="str">
        <f>IFERROR(IF(compras_mes8[[#This Row],[CUIT]]="","-",VLOOKUP(compras_mes8[[#This Row],[CUIT]],Lista_CUIT[#All],3,0)),"CUIT NO CARGADO")</f>
        <v>Alquiler</v>
      </c>
      <c r="R12" s="247">
        <f>IFERROR(IF(compras_mes8[[#This Row],[CUIT]]="","-",VLOOKUP(compras_mes8[[#This Row],[CUIT]],Lista_CUIT[#All],4,0)),"CUIT NO CARGADO")</f>
        <v>0</v>
      </c>
      <c r="T12" s="33"/>
    </row>
    <row r="13" spans="1:26">
      <c r="B13" s="239" t="s">
        <v>2362</v>
      </c>
      <c r="C13" s="240">
        <v>1</v>
      </c>
      <c r="D13" s="241">
        <v>2</v>
      </c>
      <c r="E13" s="257">
        <v>270</v>
      </c>
      <c r="F13" s="242">
        <v>27309896063</v>
      </c>
      <c r="G13" s="243" t="str">
        <f>IFERROR(IF(compras_mes8[[#This Row],[CUIT]]="","-",VLOOKUP(compras_mes8[[#This Row],[CUIT]],Lista_CUIT[#All],2,0)),"CUIT NO CARGADO")</f>
        <v>BATTELLINI MARIA SOLEDAD</v>
      </c>
      <c r="H13" s="244">
        <v>550000</v>
      </c>
      <c r="I13" s="245">
        <f>IF(compras_mes8[[#This Row],[NETO GRAVADO]]="","",compras_mes8[[#This Row],[NETO GRAVADO]]*0.21)</f>
        <v>115500</v>
      </c>
      <c r="J13" s="245"/>
      <c r="K13" s="245"/>
      <c r="L13" s="245"/>
      <c r="M13" s="245"/>
      <c r="N13" s="245"/>
      <c r="O13" s="245"/>
      <c r="P13" s="494">
        <f>SUM(compras_mes8[[#This Row],[NETO GRAVADO]:[Otros / No Grav.]])</f>
        <v>665500</v>
      </c>
      <c r="Q13" s="243" t="str">
        <f>IFERROR(IF(compras_mes8[[#This Row],[CUIT]]="","-",VLOOKUP(compras_mes8[[#This Row],[CUIT]],Lista_CUIT[#All],3,0)),"CUIT NO CARGADO")</f>
        <v>Alquiler</v>
      </c>
      <c r="R13" s="247">
        <f>IFERROR(IF(compras_mes8[[#This Row],[CUIT]]="","-",VLOOKUP(compras_mes8[[#This Row],[CUIT]],Lista_CUIT[#All],4,0)),"CUIT NO CARGADO")</f>
        <v>0</v>
      </c>
      <c r="T13" s="33"/>
    </row>
    <row r="14" spans="1:26">
      <c r="B14" s="239" t="s">
        <v>2363</v>
      </c>
      <c r="C14" s="240">
        <v>1</v>
      </c>
      <c r="D14" s="241">
        <v>7498</v>
      </c>
      <c r="E14" s="257">
        <v>41213</v>
      </c>
      <c r="F14" s="242">
        <v>30678774495</v>
      </c>
      <c r="G14" s="243" t="str">
        <f>IFERROR(IF(compras_mes8[[#This Row],[CUIT]]="","-",VLOOKUP(compras_mes8[[#This Row],[CUIT]],Lista_CUIT[#All],2,0)),"CUIT NO CARGADO")</f>
        <v>OPER. DE EST. DE SERV. SA</v>
      </c>
      <c r="H14" s="244">
        <v>25164.74</v>
      </c>
      <c r="I14" s="245">
        <f>IF(compras_mes8[[#This Row],[NETO GRAVADO]]="","",compras_mes8[[#This Row],[NETO GRAVADO]]*0.21)</f>
        <v>5284.5954000000002</v>
      </c>
      <c r="J14" s="245"/>
      <c r="K14" s="245"/>
      <c r="L14" s="245"/>
      <c r="M14" s="245"/>
      <c r="N14" s="245"/>
      <c r="O14" s="245">
        <v>5144.63</v>
      </c>
      <c r="P14" s="494">
        <f>SUM(compras_mes8[[#This Row],[NETO GRAVADO]:[Otros / No Grav.]])</f>
        <v>35593.965400000001</v>
      </c>
      <c r="Q14" s="243" t="str">
        <f>IFERROR(IF(compras_mes8[[#This Row],[CUIT]]="","-",VLOOKUP(compras_mes8[[#This Row],[CUIT]],Lista_CUIT[#All],3,0)),"CUIT NO CARGADO")</f>
        <v>Combustible</v>
      </c>
      <c r="R14" s="247">
        <f>IFERROR(IF(compras_mes8[[#This Row],[CUIT]]="","-",VLOOKUP(compras_mes8[[#This Row],[CUIT]],Lista_CUIT[#All],4,0)),"CUIT NO CARGADO")</f>
        <v>0</v>
      </c>
      <c r="T14" s="33"/>
    </row>
    <row r="15" spans="1:26">
      <c r="B15" s="239" t="s">
        <v>2363</v>
      </c>
      <c r="C15" s="240">
        <v>1</v>
      </c>
      <c r="D15" s="241">
        <v>7320</v>
      </c>
      <c r="E15" s="257">
        <v>38438</v>
      </c>
      <c r="F15" s="242">
        <v>30678774495</v>
      </c>
      <c r="G15" s="243" t="str">
        <f>IFERROR(IF(compras_mes8[[#This Row],[CUIT]]="","-",VLOOKUP(compras_mes8[[#This Row],[CUIT]],Lista_CUIT[#All],2,0)),"CUIT NO CARGADO")</f>
        <v>OPER. DE EST. DE SERV. SA</v>
      </c>
      <c r="H15" s="244">
        <v>38473.64</v>
      </c>
      <c r="I15" s="245">
        <f>IF(compras_mes8[[#This Row],[NETO GRAVADO]]="","",compras_mes8[[#This Row],[NETO GRAVADO]]*0.21)</f>
        <v>8079.4643999999998</v>
      </c>
      <c r="J15" s="245"/>
      <c r="K15" s="245"/>
      <c r="L15" s="245"/>
      <c r="M15" s="245"/>
      <c r="N15" s="245"/>
      <c r="O15" s="245">
        <v>6951.88</v>
      </c>
      <c r="P15" s="494">
        <f>SUM(compras_mes8[[#This Row],[NETO GRAVADO]:[Otros / No Grav.]])</f>
        <v>53504.984399999994</v>
      </c>
      <c r="Q15" s="243" t="str">
        <f>IFERROR(IF(compras_mes8[[#This Row],[CUIT]]="","-",VLOOKUP(compras_mes8[[#This Row],[CUIT]],Lista_CUIT[#All],3,0)),"CUIT NO CARGADO")</f>
        <v>Combustible</v>
      </c>
      <c r="R15" s="247">
        <f>IFERROR(IF(compras_mes8[[#This Row],[CUIT]]="","-",VLOOKUP(compras_mes8[[#This Row],[CUIT]],Lista_CUIT[#All],4,0)),"CUIT NO CARGADO")</f>
        <v>0</v>
      </c>
      <c r="T15" s="33"/>
    </row>
    <row r="16" spans="1:26">
      <c r="B16" s="239" t="s">
        <v>2363</v>
      </c>
      <c r="C16" s="240">
        <v>81</v>
      </c>
      <c r="D16" s="241">
        <v>12</v>
      </c>
      <c r="E16" s="257">
        <v>50008</v>
      </c>
      <c r="F16" s="242">
        <v>30696131003</v>
      </c>
      <c r="G16" s="243" t="str">
        <f>IFERROR(IF(compras_mes8[[#This Row],[CUIT]]="","-",VLOOKUP(compras_mes8[[#This Row],[CUIT]],Lista_CUIT[#All],2,0)),"CUIT NO CARGADO")</f>
        <v>Petrolfe S.A.</v>
      </c>
      <c r="H16" s="244">
        <v>130518.48</v>
      </c>
      <c r="I16" s="245">
        <f>IF(compras_mes8[[#This Row],[NETO GRAVADO]]="","",compras_mes8[[#This Row],[NETO GRAVADO]]*0.21)</f>
        <v>27408.880799999999</v>
      </c>
      <c r="J16" s="245"/>
      <c r="K16" s="245"/>
      <c r="L16" s="245"/>
      <c r="M16" s="245"/>
      <c r="N16" s="245"/>
      <c r="O16" s="245">
        <v>54176.06</v>
      </c>
      <c r="P16" s="246">
        <f>SUM(compras_mes8[[#This Row],[NETO GRAVADO]:[Otros / No Grav.]])</f>
        <v>212103.42079999999</v>
      </c>
      <c r="Q16" s="243" t="str">
        <f>IFERROR(IF(compras_mes8[[#This Row],[CUIT]]="","-",VLOOKUP(compras_mes8[[#This Row],[CUIT]],Lista_CUIT[#All],3,0)),"CUIT NO CARGADO")</f>
        <v>Combustible</v>
      </c>
      <c r="R16" s="247">
        <f>IFERROR(IF(compras_mes8[[#This Row],[CUIT]]="","-",VLOOKUP(compras_mes8[[#This Row],[CUIT]],Lista_CUIT[#All],4,0)),"CUIT NO CARGADO")</f>
        <v>0</v>
      </c>
      <c r="T16" s="33"/>
    </row>
    <row r="17" spans="2:20">
      <c r="B17" s="239" t="s">
        <v>2364</v>
      </c>
      <c r="C17" s="240">
        <v>1</v>
      </c>
      <c r="D17" s="241">
        <v>8896</v>
      </c>
      <c r="E17" s="257">
        <v>21617</v>
      </c>
      <c r="F17" s="242">
        <v>30678774495</v>
      </c>
      <c r="G17" s="243" t="str">
        <f>IFERROR(IF(compras_mes8[[#This Row],[CUIT]]="","-",VLOOKUP(compras_mes8[[#This Row],[CUIT]],Lista_CUIT[#All],2,0)),"CUIT NO CARGADO")</f>
        <v>OPER. DE EST. DE SERV. SA</v>
      </c>
      <c r="H17" s="244">
        <v>17407.439999999999</v>
      </c>
      <c r="I17" s="245">
        <f>IF(compras_mes8[[#This Row],[NETO GRAVADO]]="","",compras_mes8[[#This Row],[NETO GRAVADO]]*0.21)</f>
        <v>3655.5623999999998</v>
      </c>
      <c r="J17" s="245"/>
      <c r="K17" s="245"/>
      <c r="L17" s="245"/>
      <c r="M17" s="245"/>
      <c r="N17" s="245"/>
      <c r="O17" s="245">
        <v>916.74</v>
      </c>
      <c r="P17" s="494">
        <f>SUM(compras_mes8[[#This Row],[NETO GRAVADO]:[Otros / No Grav.]])</f>
        <v>21979.742399999999</v>
      </c>
      <c r="Q17" s="243" t="str">
        <f>IFERROR(IF(compras_mes8[[#This Row],[CUIT]]="","-",VLOOKUP(compras_mes8[[#This Row],[CUIT]],Lista_CUIT[#All],3,0)),"CUIT NO CARGADO")</f>
        <v>Combustible</v>
      </c>
      <c r="R17" s="247">
        <f>IFERROR(IF(compras_mes8[[#This Row],[CUIT]]="","-",VLOOKUP(compras_mes8[[#This Row],[CUIT]],Lista_CUIT[#All],4,0)),"CUIT NO CARGADO")</f>
        <v>0</v>
      </c>
      <c r="T17" s="33"/>
    </row>
    <row r="18" spans="2:20">
      <c r="B18" s="239" t="s">
        <v>2364</v>
      </c>
      <c r="C18" s="240">
        <v>81</v>
      </c>
      <c r="D18" s="241">
        <v>110</v>
      </c>
      <c r="E18" s="257">
        <v>61769</v>
      </c>
      <c r="F18" s="242">
        <v>30671637689</v>
      </c>
      <c r="G18" s="243" t="str">
        <f>IFERROR(IF(compras_mes8[[#This Row],[CUIT]]="","-",VLOOKUP(compras_mes8[[#This Row],[CUIT]],Lista_CUIT[#All],2,0)),"CUIT NO CARGADO")</f>
        <v>GRUPO NORTE SRL</v>
      </c>
      <c r="H18" s="244">
        <v>24569</v>
      </c>
      <c r="I18" s="245">
        <f>IF(compras_mes8[[#This Row],[NETO GRAVADO]]="","",compras_mes8[[#This Row],[NETO GRAVADO]]*0.21)</f>
        <v>5159.49</v>
      </c>
      <c r="J18" s="245"/>
      <c r="K18" s="245"/>
      <c r="L18" s="245"/>
      <c r="M18" s="245"/>
      <c r="N18" s="245"/>
      <c r="O18" s="245">
        <v>546.70000000000005</v>
      </c>
      <c r="P18" s="246">
        <f>SUM(compras_mes8[[#This Row],[NETO GRAVADO]:[Otros / No Grav.]])</f>
        <v>30275.19</v>
      </c>
      <c r="Q18" s="243" t="str">
        <f>IFERROR(IF(compras_mes8[[#This Row],[CUIT]]="","-",VLOOKUP(compras_mes8[[#This Row],[CUIT]],Lista_CUIT[#All],3,0)),"CUIT NO CARGADO")</f>
        <v>Combustible</v>
      </c>
      <c r="R18" s="247">
        <f>IFERROR(IF(compras_mes8[[#This Row],[CUIT]]="","-",VLOOKUP(compras_mes8[[#This Row],[CUIT]],Lista_CUIT[#All],4,0)),"CUIT NO CARGADO")</f>
        <v>0</v>
      </c>
      <c r="T18" s="33"/>
    </row>
    <row r="19" spans="2:20">
      <c r="B19" s="239" t="s">
        <v>2369</v>
      </c>
      <c r="C19" s="240">
        <v>81</v>
      </c>
      <c r="D19" s="241">
        <v>18</v>
      </c>
      <c r="E19" s="257">
        <v>32143</v>
      </c>
      <c r="F19" s="242">
        <v>30515800219</v>
      </c>
      <c r="G19" s="243" t="str">
        <f>IFERROR(IF(compras_mes8[[#This Row],[CUIT]]="","-",VLOOKUP(compras_mes8[[#This Row],[CUIT]],Lista_CUIT[#All],2,0)),"CUIT NO CARGADO")</f>
        <v>INCAT SRL</v>
      </c>
      <c r="H19" s="244">
        <v>31029.24</v>
      </c>
      <c r="I19" s="245">
        <f>IF(compras_mes8[[#This Row],[NETO GRAVADO]]="","",compras_mes8[[#This Row],[NETO GRAVADO]]*0.21)</f>
        <v>6516.1404000000002</v>
      </c>
      <c r="J19" s="245"/>
      <c r="K19" s="245"/>
      <c r="L19" s="245"/>
      <c r="M19" s="245"/>
      <c r="N19" s="245"/>
      <c r="O19" s="245">
        <v>12909.12</v>
      </c>
      <c r="P19" s="246">
        <f>SUM(compras_mes8[[#This Row],[NETO GRAVADO]:[Otros / No Grav.]])</f>
        <v>50454.500400000004</v>
      </c>
      <c r="Q19" s="243" t="str">
        <f>IFERROR(IF(compras_mes8[[#This Row],[CUIT]]="","-",VLOOKUP(compras_mes8[[#This Row],[CUIT]],Lista_CUIT[#All],3,0)),"CUIT NO CARGADO")</f>
        <v>Combustible</v>
      </c>
      <c r="R19" s="247" t="str">
        <f>IFERROR(IF(compras_mes8[[#This Row],[CUIT]]="","-",VLOOKUP(compras_mes8[[#This Row],[CUIT]],Lista_CUIT[#All],4,0)),"CUIT NO CARGADO")</f>
        <v>CABA</v>
      </c>
      <c r="T19" s="33"/>
    </row>
    <row r="20" spans="2:20">
      <c r="B20" s="239" t="s">
        <v>2370</v>
      </c>
      <c r="C20" s="240">
        <v>1</v>
      </c>
      <c r="D20" s="241">
        <v>8898</v>
      </c>
      <c r="E20" s="257">
        <v>19182</v>
      </c>
      <c r="F20" s="242">
        <v>30678774495</v>
      </c>
      <c r="G20" s="243" t="str">
        <f>IFERROR(IF(compras_mes8[[#This Row],[CUIT]]="","-",VLOOKUP(compras_mes8[[#This Row],[CUIT]],Lista_CUIT[#All],2,0)),"CUIT NO CARGADO")</f>
        <v>OPER. DE EST. DE SERV. SA</v>
      </c>
      <c r="H20" s="244">
        <v>15548.49</v>
      </c>
      <c r="I20" s="245">
        <f>IF(compras_mes8[[#This Row],[NETO GRAVADO]]="","",compras_mes8[[#This Row],[NETO GRAVADO]]*0.21)</f>
        <v>3265.1828999999998</v>
      </c>
      <c r="J20" s="245"/>
      <c r="K20" s="245"/>
      <c r="L20" s="245"/>
      <c r="M20" s="245"/>
      <c r="N20" s="245"/>
      <c r="O20" s="245">
        <v>818.83</v>
      </c>
      <c r="P20" s="494">
        <f>SUM(compras_mes8[[#This Row],[NETO GRAVADO]:[Otros / No Grav.]])</f>
        <v>19632.502899999999</v>
      </c>
      <c r="Q20" s="243" t="str">
        <f>IFERROR(IF(compras_mes8[[#This Row],[CUIT]]="","-",VLOOKUP(compras_mes8[[#This Row],[CUIT]],Lista_CUIT[#All],3,0)),"CUIT NO CARGADO")</f>
        <v>Combustible</v>
      </c>
      <c r="R20" s="247">
        <f>IFERROR(IF(compras_mes8[[#This Row],[CUIT]]="","-",VLOOKUP(compras_mes8[[#This Row],[CUIT]],Lista_CUIT[#All],4,0)),"CUIT NO CARGADO")</f>
        <v>0</v>
      </c>
      <c r="T20" s="33"/>
    </row>
    <row r="21" spans="2:20">
      <c r="B21" s="239" t="s">
        <v>2370</v>
      </c>
      <c r="C21" s="240">
        <v>81</v>
      </c>
      <c r="D21" s="241">
        <v>12</v>
      </c>
      <c r="E21" s="257">
        <v>50172</v>
      </c>
      <c r="F21" s="242">
        <v>30696131003</v>
      </c>
      <c r="G21" s="243" t="str">
        <f>IFERROR(IF(compras_mes8[[#This Row],[CUIT]]="","-",VLOOKUP(compras_mes8[[#This Row],[CUIT]],Lista_CUIT[#All],2,0)),"CUIT NO CARGADO")</f>
        <v>Petrolfe S.A.</v>
      </c>
      <c r="H21" s="244">
        <v>178920.9</v>
      </c>
      <c r="I21" s="245">
        <f>IF(compras_mes8[[#This Row],[NETO GRAVADO]]="","",compras_mes8[[#This Row],[NETO GRAVADO]]*0.21)</f>
        <v>37573.388999999996</v>
      </c>
      <c r="J21" s="245"/>
      <c r="K21" s="245"/>
      <c r="L21" s="245"/>
      <c r="M21" s="245"/>
      <c r="N21" s="245"/>
      <c r="O21" s="245">
        <v>57107.74</v>
      </c>
      <c r="P21" s="246">
        <f>SUM(compras_mes8[[#This Row],[NETO GRAVADO]:[Otros / No Grav.]])</f>
        <v>273602.02899999998</v>
      </c>
      <c r="Q21" s="243" t="str">
        <f>IFERROR(IF(compras_mes8[[#This Row],[CUIT]]="","-",VLOOKUP(compras_mes8[[#This Row],[CUIT]],Lista_CUIT[#All],3,0)),"CUIT NO CARGADO")</f>
        <v>Combustible</v>
      </c>
      <c r="R21" s="247">
        <f>IFERROR(IF(compras_mes8[[#This Row],[CUIT]]="","-",VLOOKUP(compras_mes8[[#This Row],[CUIT]],Lista_CUIT[#All],4,0)),"CUIT NO CARGADO")</f>
        <v>0</v>
      </c>
      <c r="T21" s="33"/>
    </row>
    <row r="22" spans="2:20">
      <c r="B22" s="239" t="s">
        <v>2371</v>
      </c>
      <c r="C22" s="240">
        <v>1</v>
      </c>
      <c r="D22" s="241">
        <v>7160</v>
      </c>
      <c r="E22" s="257">
        <v>65583</v>
      </c>
      <c r="F22" s="242">
        <v>30678774495</v>
      </c>
      <c r="G22" s="243" t="str">
        <f>IFERROR(IF(compras_mes8[[#This Row],[CUIT]]="","-",VLOOKUP(compras_mes8[[#This Row],[CUIT]],Lista_CUIT[#All],2,0)),"CUIT NO CARGADO")</f>
        <v>OPER. DE EST. DE SERV. SA</v>
      </c>
      <c r="H22" s="244">
        <v>24449.68</v>
      </c>
      <c r="I22" s="245">
        <f>IF(compras_mes8[[#This Row],[NETO GRAVADO]]="","",compras_mes8[[#This Row],[NETO GRAVADO]]*0.21)</f>
        <v>5134.4327999999996</v>
      </c>
      <c r="J22" s="245"/>
      <c r="K22" s="245"/>
      <c r="L22" s="245"/>
      <c r="M22" s="245"/>
      <c r="N22" s="245"/>
      <c r="O22" s="245">
        <v>4417.8599999999997</v>
      </c>
      <c r="P22" s="494">
        <f>SUM(compras_mes8[[#This Row],[NETO GRAVADO]:[Otros / No Grav.]])</f>
        <v>34001.972799999996</v>
      </c>
      <c r="Q22" s="243" t="str">
        <f>IFERROR(IF(compras_mes8[[#This Row],[CUIT]]="","-",VLOOKUP(compras_mes8[[#This Row],[CUIT]],Lista_CUIT[#All],3,0)),"CUIT NO CARGADO")</f>
        <v>Combustible</v>
      </c>
      <c r="R22" s="247">
        <f>IFERROR(IF(compras_mes8[[#This Row],[CUIT]]="","-",VLOOKUP(compras_mes8[[#This Row],[CUIT]],Lista_CUIT[#All],4,0)),"CUIT NO CARGADO")</f>
        <v>0</v>
      </c>
      <c r="T22" s="33"/>
    </row>
    <row r="23" spans="2:20">
      <c r="B23" s="239" t="s">
        <v>2371</v>
      </c>
      <c r="C23" s="240">
        <v>81</v>
      </c>
      <c r="D23" s="241">
        <v>110</v>
      </c>
      <c r="E23" s="257">
        <v>62106</v>
      </c>
      <c r="F23" s="242">
        <v>30671637689</v>
      </c>
      <c r="G23" s="243" t="str">
        <f>IFERROR(IF(compras_mes8[[#This Row],[CUIT]]="","-",VLOOKUP(compras_mes8[[#This Row],[CUIT]],Lista_CUIT[#All],2,0)),"CUIT NO CARGADO")</f>
        <v>GRUPO NORTE SRL</v>
      </c>
      <c r="H23" s="244">
        <v>28261.95</v>
      </c>
      <c r="I23" s="245">
        <f>IF(compras_mes8[[#This Row],[NETO GRAVADO]]="","",compras_mes8[[#This Row],[NETO GRAVADO]]*0.21)</f>
        <v>5935.0095000000001</v>
      </c>
      <c r="J23" s="245"/>
      <c r="K23" s="245"/>
      <c r="L23" s="245"/>
      <c r="M23" s="245"/>
      <c r="N23" s="245"/>
      <c r="O23" s="245">
        <v>628.88</v>
      </c>
      <c r="P23" s="246">
        <f>SUM(compras_mes8[[#This Row],[NETO GRAVADO]:[Otros / No Grav.]])</f>
        <v>34825.839499999995</v>
      </c>
      <c r="Q23" s="243" t="str">
        <f>IFERROR(IF(compras_mes8[[#This Row],[CUIT]]="","-",VLOOKUP(compras_mes8[[#This Row],[CUIT]],Lista_CUIT[#All],3,0)),"CUIT NO CARGADO")</f>
        <v>Combustible</v>
      </c>
      <c r="R23" s="247">
        <f>IFERROR(IF(compras_mes8[[#This Row],[CUIT]]="","-",VLOOKUP(compras_mes8[[#This Row],[CUIT]],Lista_CUIT[#All],4,0)),"CUIT NO CARGADO")</f>
        <v>0</v>
      </c>
      <c r="T23" s="33"/>
    </row>
    <row r="24" spans="2:20">
      <c r="B24" s="239" t="s">
        <v>2371</v>
      </c>
      <c r="C24" s="240">
        <v>81</v>
      </c>
      <c r="D24" s="241">
        <v>6</v>
      </c>
      <c r="E24" s="257">
        <v>12890</v>
      </c>
      <c r="F24" s="242">
        <v>30708224142</v>
      </c>
      <c r="G24" s="243" t="str">
        <f>IFERROR(IF(compras_mes8[[#This Row],[CUIT]]="","-",VLOOKUP(compras_mes8[[#This Row],[CUIT]],Lista_CUIT[#All],2,0)),"CUIT NO CARGADO")</f>
        <v>ONSAY BEL SA</v>
      </c>
      <c r="H24" s="244">
        <v>7258.1</v>
      </c>
      <c r="I24" s="245">
        <f>IF(compras_mes8[[#This Row],[NETO GRAVADO]]="","",compras_mes8[[#This Row],[NETO GRAVADO]]*0.21)</f>
        <v>1524.201</v>
      </c>
      <c r="J24" s="245"/>
      <c r="K24" s="245"/>
      <c r="L24" s="245"/>
      <c r="M24" s="245"/>
      <c r="N24" s="245"/>
      <c r="O24" s="245">
        <v>2435.6</v>
      </c>
      <c r="P24" s="246">
        <f>SUM(compras_mes8[[#This Row],[NETO GRAVADO]:[Otros / No Grav.]])</f>
        <v>11217.901</v>
      </c>
      <c r="Q24" s="243" t="str">
        <f>IFERROR(IF(compras_mes8[[#This Row],[CUIT]]="","-",VLOOKUP(compras_mes8[[#This Row],[CUIT]],Lista_CUIT[#All],3,0)),"CUIT NO CARGADO")</f>
        <v>Combustible</v>
      </c>
      <c r="R24" s="247">
        <f>IFERROR(IF(compras_mes8[[#This Row],[CUIT]]="","-",VLOOKUP(compras_mes8[[#This Row],[CUIT]],Lista_CUIT[#All],4,0)),"CUIT NO CARGADO")</f>
        <v>0</v>
      </c>
      <c r="T24" s="33"/>
    </row>
    <row r="25" spans="2:20">
      <c r="B25" s="239" t="s">
        <v>2372</v>
      </c>
      <c r="C25" s="240">
        <v>1</v>
      </c>
      <c r="D25" s="241">
        <v>6852</v>
      </c>
      <c r="E25" s="257">
        <v>26002</v>
      </c>
      <c r="F25" s="242">
        <v>30678774495</v>
      </c>
      <c r="G25" s="243" t="str">
        <f>IFERROR(IF(compras_mes8[[#This Row],[CUIT]]="","-",VLOOKUP(compras_mes8[[#This Row],[CUIT]],Lista_CUIT[#All],2,0)),"CUIT NO CARGADO")</f>
        <v>OPER. DE EST. DE SERV. SA</v>
      </c>
      <c r="H25" s="244">
        <v>7126.88</v>
      </c>
      <c r="I25" s="245">
        <f>IF(compras_mes8[[#This Row],[NETO GRAVADO]]="","",compras_mes8[[#This Row],[NETO GRAVADO]]*0.21)</f>
        <v>1496.6448</v>
      </c>
      <c r="J25" s="245"/>
      <c r="K25" s="245"/>
      <c r="L25" s="245"/>
      <c r="M25" s="245"/>
      <c r="N25" s="245"/>
      <c r="O25" s="245">
        <v>1376.47</v>
      </c>
      <c r="P25" s="494">
        <f>SUM(compras_mes8[[#This Row],[NETO GRAVADO]:[Otros / No Grav.]])</f>
        <v>9999.9947999999986</v>
      </c>
      <c r="Q25" s="243" t="str">
        <f>IFERROR(IF(compras_mes8[[#This Row],[CUIT]]="","-",VLOOKUP(compras_mes8[[#This Row],[CUIT]],Lista_CUIT[#All],3,0)),"CUIT NO CARGADO")</f>
        <v>Combustible</v>
      </c>
      <c r="R25" s="247">
        <f>IFERROR(IF(compras_mes8[[#This Row],[CUIT]]="","-",VLOOKUP(compras_mes8[[#This Row],[CUIT]],Lista_CUIT[#All],4,0)),"CUIT NO CARGADO")</f>
        <v>0</v>
      </c>
      <c r="T25" s="33"/>
    </row>
    <row r="26" spans="2:20">
      <c r="B26" s="239" t="s">
        <v>2375</v>
      </c>
      <c r="C26" s="41">
        <v>81</v>
      </c>
      <c r="D26" s="241">
        <v>6</v>
      </c>
      <c r="E26" s="257">
        <v>12971</v>
      </c>
      <c r="F26" s="242">
        <v>30708224142</v>
      </c>
      <c r="G26" s="243" t="str">
        <f>IFERROR(IF(compras_mes8[[#This Row],[CUIT]]="","-",VLOOKUP(compras_mes8[[#This Row],[CUIT]],Lista_CUIT[#All],2,0)),"CUIT NO CARGADO")</f>
        <v>ONSAY BEL SA</v>
      </c>
      <c r="H26" s="244">
        <v>7258.1</v>
      </c>
      <c r="I26" s="245">
        <f>IF(compras_mes8[[#This Row],[NETO GRAVADO]]="","",compras_mes8[[#This Row],[NETO GRAVADO]]*0.21)</f>
        <v>1524.201</v>
      </c>
      <c r="J26" s="245"/>
      <c r="K26" s="245"/>
      <c r="L26" s="245"/>
      <c r="M26" s="245"/>
      <c r="N26" s="245"/>
      <c r="O26" s="245">
        <v>2435.6</v>
      </c>
      <c r="P26" s="246">
        <f>SUM(compras_mes8[[#This Row],[NETO GRAVADO]:[Otros / No Grav.]])</f>
        <v>11217.901</v>
      </c>
      <c r="Q26" s="243" t="str">
        <f>IFERROR(IF(compras_mes8[[#This Row],[CUIT]]="","-",VLOOKUP(compras_mes8[[#This Row],[CUIT]],Lista_CUIT[#All],3,0)),"CUIT NO CARGADO")</f>
        <v>Combustible</v>
      </c>
      <c r="R26" s="247">
        <f>IFERROR(IF(compras_mes8[[#This Row],[CUIT]]="","-",VLOOKUP(compras_mes8[[#This Row],[CUIT]],Lista_CUIT[#All],4,0)),"CUIT NO CARGADO")</f>
        <v>0</v>
      </c>
      <c r="T26" s="33"/>
    </row>
    <row r="27" spans="2:20">
      <c r="B27" s="239" t="s">
        <v>2393</v>
      </c>
      <c r="C27" s="240">
        <v>81</v>
      </c>
      <c r="D27" s="241">
        <v>12</v>
      </c>
      <c r="E27" s="257">
        <v>50441</v>
      </c>
      <c r="F27" s="242">
        <v>30696131003</v>
      </c>
      <c r="G27" s="243" t="str">
        <f>IFERROR(IF(compras_mes8[[#This Row],[CUIT]]="","-",VLOOKUP(compras_mes8[[#This Row],[CUIT]],Lista_CUIT[#All],2,0)),"CUIT NO CARGADO")</f>
        <v>Petrolfe S.A.</v>
      </c>
      <c r="H27" s="244">
        <v>136483.81</v>
      </c>
      <c r="I27" s="245">
        <f>IF(compras_mes8[[#This Row],[NETO GRAVADO]]="","",compras_mes8[[#This Row],[NETO GRAVADO]]*0.21)</f>
        <v>28661.6001</v>
      </c>
      <c r="J27" s="245"/>
      <c r="K27" s="245"/>
      <c r="L27" s="245"/>
      <c r="M27" s="245"/>
      <c r="N27" s="245"/>
      <c r="O27" s="245">
        <v>52449.24</v>
      </c>
      <c r="P27" s="246">
        <f>SUM(compras_mes8[[#This Row],[NETO GRAVADO]:[Otros / No Grav.]])</f>
        <v>217594.6501</v>
      </c>
      <c r="Q27" s="243" t="str">
        <f>IFERROR(IF(compras_mes8[[#This Row],[CUIT]]="","-",VLOOKUP(compras_mes8[[#This Row],[CUIT]],Lista_CUIT[#All],3,0)),"CUIT NO CARGADO")</f>
        <v>Combustible</v>
      </c>
      <c r="R27" s="247">
        <f>IFERROR(IF(compras_mes8[[#This Row],[CUIT]]="","-",VLOOKUP(compras_mes8[[#This Row],[CUIT]],Lista_CUIT[#All],4,0)),"CUIT NO CARGADO")</f>
        <v>0</v>
      </c>
      <c r="T27" s="33"/>
    </row>
    <row r="28" spans="2:20">
      <c r="B28" s="239" t="s">
        <v>2378</v>
      </c>
      <c r="C28" s="240">
        <v>81</v>
      </c>
      <c r="D28" s="241">
        <v>21</v>
      </c>
      <c r="E28" s="257">
        <v>45882</v>
      </c>
      <c r="F28" s="242">
        <v>30515800219</v>
      </c>
      <c r="G28" s="243" t="str">
        <f>IFERROR(IF(compras_mes8[[#This Row],[CUIT]]="","-",VLOOKUP(compras_mes8[[#This Row],[CUIT]],Lista_CUIT[#All],2,0)),"CUIT NO CARGADO")</f>
        <v>INCAT SRL</v>
      </c>
      <c r="H28" s="244">
        <v>24688</v>
      </c>
      <c r="I28" s="245">
        <f>IF(compras_mes8[[#This Row],[NETO GRAVADO]]="","",compras_mes8[[#This Row],[NETO GRAVADO]]*0.21)</f>
        <v>5184.4799999999996</v>
      </c>
      <c r="J28" s="245"/>
      <c r="K28" s="245"/>
      <c r="L28" s="245"/>
      <c r="M28" s="245"/>
      <c r="N28" s="245"/>
      <c r="O28" s="245">
        <v>10270.98</v>
      </c>
      <c r="P28" s="246">
        <f>SUM(compras_mes8[[#This Row],[NETO GRAVADO]:[Otros / No Grav.]])</f>
        <v>40143.46</v>
      </c>
      <c r="Q28" s="243" t="str">
        <f>IFERROR(IF(compras_mes8[[#This Row],[CUIT]]="","-",VLOOKUP(compras_mes8[[#This Row],[CUIT]],Lista_CUIT[#All],3,0)),"CUIT NO CARGADO")</f>
        <v>Combustible</v>
      </c>
      <c r="R28" s="247" t="str">
        <f>IFERROR(IF(compras_mes8[[#This Row],[CUIT]]="","-",VLOOKUP(compras_mes8[[#This Row],[CUIT]],Lista_CUIT[#All],4,0)),"CUIT NO CARGADO")</f>
        <v>CABA</v>
      </c>
      <c r="T28" s="33"/>
    </row>
    <row r="29" spans="2:20">
      <c r="B29" s="239" t="s">
        <v>2394</v>
      </c>
      <c r="C29" s="240">
        <v>81</v>
      </c>
      <c r="D29" s="241">
        <v>12</v>
      </c>
      <c r="E29" s="257">
        <v>50697</v>
      </c>
      <c r="F29" s="242">
        <v>30696131003</v>
      </c>
      <c r="G29" s="243" t="str">
        <f>IFERROR(IF(compras_mes8[[#This Row],[CUIT]]="","-",VLOOKUP(compras_mes8[[#This Row],[CUIT]],Lista_CUIT[#All],2,0)),"CUIT NO CARGADO")</f>
        <v>Petrolfe S.A.</v>
      </c>
      <c r="H29" s="244">
        <v>132980.19</v>
      </c>
      <c r="I29" s="245">
        <f>IF(compras_mes8[[#This Row],[NETO GRAVADO]]="","",compras_mes8[[#This Row],[NETO GRAVADO]]*0.21)</f>
        <v>27925.839899999999</v>
      </c>
      <c r="J29" s="245"/>
      <c r="K29" s="245"/>
      <c r="L29" s="245"/>
      <c r="M29" s="245"/>
      <c r="N29" s="245"/>
      <c r="O29" s="245">
        <v>55323.88</v>
      </c>
      <c r="P29" s="246">
        <f>SUM(compras_mes8[[#This Row],[NETO GRAVADO]:[Otros / No Grav.]])</f>
        <v>216229.9099</v>
      </c>
      <c r="Q29" s="243" t="str">
        <f>IFERROR(IF(compras_mes8[[#This Row],[CUIT]]="","-",VLOOKUP(compras_mes8[[#This Row],[CUIT]],Lista_CUIT[#All],3,0)),"CUIT NO CARGADO")</f>
        <v>Combustible</v>
      </c>
      <c r="R29" s="247">
        <f>IFERROR(IF(compras_mes8[[#This Row],[CUIT]]="","-",VLOOKUP(compras_mes8[[#This Row],[CUIT]],Lista_CUIT[#All],4,0)),"CUIT NO CARGADO")</f>
        <v>0</v>
      </c>
      <c r="T29" s="33"/>
    </row>
    <row r="30" spans="2:20">
      <c r="B30" s="239" t="s">
        <v>2383</v>
      </c>
      <c r="C30" s="240">
        <v>1</v>
      </c>
      <c r="D30" s="241">
        <v>2035</v>
      </c>
      <c r="E30" s="257">
        <v>172604</v>
      </c>
      <c r="F30" s="242">
        <v>30516186670</v>
      </c>
      <c r="G30" s="243" t="str">
        <f>IFERROR(IF(compras_mes8[[#This Row],[CUIT]]="","-",VLOOKUP(compras_mes8[[#This Row],[CUIT]],Lista_CUIT[#All],2,0)),"CUIT NO CARGADO")</f>
        <v>DEHEZA S.A.I.C.F. e I.</v>
      </c>
      <c r="H30" s="244">
        <v>7152.84</v>
      </c>
      <c r="I30" s="245">
        <f>IF(compras_mes8[[#This Row],[NETO GRAVADO]]="","",compras_mes8[[#This Row],[NETO GRAVADO]]*0.21)</f>
        <v>1502.0963999999999</v>
      </c>
      <c r="J30" s="245"/>
      <c r="K30" s="245"/>
      <c r="L30" s="245">
        <v>214.59</v>
      </c>
      <c r="M30" s="245"/>
      <c r="N30" s="245">
        <v>509.86</v>
      </c>
      <c r="O30" s="245">
        <v>1344.91</v>
      </c>
      <c r="P30" s="494">
        <f>SUM(compras_mes8[[#This Row],[NETO GRAVADO]:[Otros / No Grav.]])</f>
        <v>10724.296400000001</v>
      </c>
      <c r="Q30" s="243" t="str">
        <f>IFERROR(IF(compras_mes8[[#This Row],[CUIT]]="","-",VLOOKUP(compras_mes8[[#This Row],[CUIT]],Lista_CUIT[#All],3,0)),"CUIT NO CARGADO")</f>
        <v>Combustible</v>
      </c>
      <c r="R30" s="247" t="str">
        <f>IFERROR(IF(compras_mes8[[#This Row],[CUIT]]="","-",VLOOKUP(compras_mes8[[#This Row],[CUIT]],Lista_CUIT[#All],4,0)),"CUIT NO CARGADO")</f>
        <v>CABA</v>
      </c>
      <c r="T30" s="33"/>
    </row>
    <row r="31" spans="2:20">
      <c r="B31" s="239" t="s">
        <v>2388</v>
      </c>
      <c r="C31" s="240">
        <v>1</v>
      </c>
      <c r="D31" s="241">
        <v>6852</v>
      </c>
      <c r="E31" s="257">
        <v>26408</v>
      </c>
      <c r="F31" s="242">
        <v>30678774495</v>
      </c>
      <c r="G31" s="243" t="str">
        <f>IFERROR(IF(compras_mes8[[#This Row],[CUIT]]="","-",VLOOKUP(compras_mes8[[#This Row],[CUIT]],Lista_CUIT[#All],2,0)),"CUIT NO CARGADO")</f>
        <v>OPER. DE EST. DE SERV. SA</v>
      </c>
      <c r="H31" s="244">
        <v>22522.400000000001</v>
      </c>
      <c r="I31" s="245">
        <f>IF(compras_mes8[[#This Row],[NETO GRAVADO]]="","",compras_mes8[[#This Row],[NETO GRAVADO]]*0.21)</f>
        <v>4729.7039999999997</v>
      </c>
      <c r="J31" s="245"/>
      <c r="K31" s="245"/>
      <c r="L31" s="245"/>
      <c r="M31" s="245"/>
      <c r="N31" s="245"/>
      <c r="O31" s="245">
        <v>4349.93</v>
      </c>
      <c r="P31" s="494">
        <f>SUM(compras_mes8[[#This Row],[NETO GRAVADO]:[Otros / No Grav.]])</f>
        <v>31602.034</v>
      </c>
      <c r="Q31" s="243" t="str">
        <f>IFERROR(IF(compras_mes8[[#This Row],[CUIT]]="","-",VLOOKUP(compras_mes8[[#This Row],[CUIT]],Lista_CUIT[#All],3,0)),"CUIT NO CARGADO")</f>
        <v>Combustible</v>
      </c>
      <c r="R31" s="247">
        <f>IFERROR(IF(compras_mes8[[#This Row],[CUIT]]="","-",VLOOKUP(compras_mes8[[#This Row],[CUIT]],Lista_CUIT[#All],4,0)),"CUIT NO CARGADO")</f>
        <v>0</v>
      </c>
      <c r="T31" s="33"/>
    </row>
    <row r="32" spans="2:20">
      <c r="B32" s="239" t="s">
        <v>2389</v>
      </c>
      <c r="C32" s="41">
        <v>1</v>
      </c>
      <c r="D32" s="241">
        <v>11</v>
      </c>
      <c r="E32" s="257">
        <v>1035837</v>
      </c>
      <c r="F32" s="242">
        <v>33709585229</v>
      </c>
      <c r="G32" s="243" t="str">
        <f>IFERROR(IF(compras_mes8[[#This Row],[CUIT]]="","-",VLOOKUP(compras_mes8[[#This Row],[CUIT]],Lista_CUIT[#All],2,0)),"CUIT NO CARGADO")</f>
        <v>GOOGLE ARGENTINA S.R.L.</v>
      </c>
      <c r="H32" s="244">
        <v>67340.06</v>
      </c>
      <c r="I32" s="245">
        <f>IF(compras_mes8[[#This Row],[NETO GRAVADO]]="","",compras_mes8[[#This Row],[NETO GRAVADO]]*0.21)</f>
        <v>14141.4126</v>
      </c>
      <c r="J32" s="245"/>
      <c r="K32" s="245"/>
      <c r="L32" s="245"/>
      <c r="M32" s="245"/>
      <c r="N32" s="245">
        <v>13792.92</v>
      </c>
      <c r="O32" s="245">
        <v>2020.2</v>
      </c>
      <c r="P32" s="494">
        <f>SUM(compras_mes8[[#This Row],[NETO GRAVADO]:[Otros / No Grav.]])</f>
        <v>97294.592599999989</v>
      </c>
      <c r="Q32" s="243" t="str">
        <f>IFERROR(IF(compras_mes8[[#This Row],[CUIT]]="","-",VLOOKUP(compras_mes8[[#This Row],[CUIT]],Lista_CUIT[#All],3,0)),"CUIT NO CARGADO")</f>
        <v>Gastos Comercializacion</v>
      </c>
      <c r="R32" s="247">
        <f>IFERROR(IF(compras_mes8[[#This Row],[CUIT]]="","-",VLOOKUP(compras_mes8[[#This Row],[CUIT]],Lista_CUIT[#All],4,0)),"CUIT NO CARGADO")</f>
        <v>0</v>
      </c>
      <c r="T32" s="33"/>
    </row>
    <row r="33" spans="2:20">
      <c r="B33" s="239" t="s">
        <v>2373</v>
      </c>
      <c r="C33" s="240">
        <v>1</v>
      </c>
      <c r="D33" s="241">
        <v>203</v>
      </c>
      <c r="E33" s="257">
        <v>4896</v>
      </c>
      <c r="F33" s="242">
        <v>30678539712</v>
      </c>
      <c r="G33" s="243" t="str">
        <f>IFERROR(IF(compras_mes8[[#This Row],[CUIT]]="","-",VLOOKUP(compras_mes8[[#This Row],[CUIT]],Lista_CUIT[#All],2,0)),"CUIT NO CARGADO")</f>
        <v>CATEDRAL ALTA PATAGONIA SA</v>
      </c>
      <c r="H33" s="244">
        <v>1362858.53</v>
      </c>
      <c r="I33" s="245">
        <f>9917.35*0.21</f>
        <v>2082.6435000000001</v>
      </c>
      <c r="J33" s="245"/>
      <c r="K33" s="245">
        <f>1352941.18*0.105</f>
        <v>142058.82389999999</v>
      </c>
      <c r="L33" s="245"/>
      <c r="M33" s="245"/>
      <c r="N33" s="245"/>
      <c r="O33" s="245"/>
      <c r="P33" s="494">
        <f>SUM(compras_mes8[[#This Row],[NETO GRAVADO]:[Otros / No Grav.]])</f>
        <v>1506999.9974</v>
      </c>
      <c r="Q33" s="45" t="s">
        <v>2687</v>
      </c>
      <c r="R33" s="247">
        <f>IFERROR(IF(compras_mes8[[#This Row],[CUIT]]="","-",VLOOKUP(compras_mes8[[#This Row],[CUIT]],Lista_CUIT[#All],4,0)),"CUIT NO CARGADO")</f>
        <v>0</v>
      </c>
      <c r="T33" s="33"/>
    </row>
    <row r="34" spans="2:20">
      <c r="B34" s="239" t="s">
        <v>2361</v>
      </c>
      <c r="C34" s="240">
        <v>1</v>
      </c>
      <c r="D34" s="241">
        <v>1</v>
      </c>
      <c r="E34" s="257">
        <v>767</v>
      </c>
      <c r="F34" s="242">
        <v>30715889486</v>
      </c>
      <c r="G34" s="243" t="str">
        <f>IFERROR(IF(compras_mes8[[#This Row],[CUIT]]="","-",VLOOKUP(compras_mes8[[#This Row],[CUIT]],Lista_CUIT[#All],2,0)),"CUIT NO CARGADO")</f>
        <v>EXPOESTETICA</v>
      </c>
      <c r="H34" s="244">
        <v>396000</v>
      </c>
      <c r="I34" s="245">
        <f>IF(compras_mes8[[#This Row],[NETO GRAVADO]]="","",compras_mes8[[#This Row],[NETO GRAVADO]]*0.21)</f>
        <v>83160</v>
      </c>
      <c r="J34" s="245"/>
      <c r="K34" s="245"/>
      <c r="L34" s="245"/>
      <c r="M34" s="245"/>
      <c r="N34" s="245"/>
      <c r="O34" s="245"/>
      <c r="P34" s="246">
        <f>SUM(compras_mes8[[#This Row],[NETO GRAVADO]:[Otros / No Grav.]])</f>
        <v>479160</v>
      </c>
      <c r="Q34" s="243" t="str">
        <f>IFERROR(IF(compras_mes8[[#This Row],[CUIT]]="","-",VLOOKUP(compras_mes8[[#This Row],[CUIT]],Lista_CUIT[#All],3,0)),"CUIT NO CARGADO")</f>
        <v>Gastos Comercializacion - Feria</v>
      </c>
      <c r="R34" s="247" t="str">
        <f>IFERROR(IF(compras_mes8[[#This Row],[CUIT]]="","-",VLOOKUP(compras_mes8[[#This Row],[CUIT]],Lista_CUIT[#All],4,0)),"CUIT NO CARGADO")</f>
        <v>BUENOS AIRES</v>
      </c>
      <c r="T34" s="33"/>
    </row>
    <row r="35" spans="2:20">
      <c r="B35" s="239" t="s">
        <v>2378</v>
      </c>
      <c r="C35" s="240">
        <v>1</v>
      </c>
      <c r="D35" s="241">
        <v>14</v>
      </c>
      <c r="E35" s="257">
        <v>13704</v>
      </c>
      <c r="F35" s="242">
        <v>30715186256</v>
      </c>
      <c r="G35" s="243" t="str">
        <f>IFERROR(IF(compras_mes8[[#This Row],[CUIT]]="","-",VLOOKUP(compras_mes8[[#This Row],[CUIT]],Lista_CUIT[#All],2,0)),"CUIT NO CARGADO")</f>
        <v>FRIGORIFICO ALIMENTIC</v>
      </c>
      <c r="H35" s="244">
        <v>33282.629999999997</v>
      </c>
      <c r="I35" s="245">
        <f>12568.59*0.21</f>
        <v>2639.4038999999998</v>
      </c>
      <c r="J35" s="245"/>
      <c r="K35" s="245">
        <f>20714.04*0.105</f>
        <v>2174.9742000000001</v>
      </c>
      <c r="L35" s="245"/>
      <c r="M35" s="245"/>
      <c r="N35" s="245"/>
      <c r="O35" s="245"/>
      <c r="P35" s="494">
        <f>SUM(compras_mes8[[#This Row],[NETO GRAVADO]:[Otros / No Grav.]])</f>
        <v>38097.008099999992</v>
      </c>
      <c r="Q35" s="243" t="str">
        <f>IFERROR(IF(compras_mes8[[#This Row],[CUIT]]="","-",VLOOKUP(compras_mes8[[#This Row],[CUIT]],Lista_CUIT[#All],3,0)),"CUIT NO CARGADO")</f>
        <v>Gastos Comercializacion - Feria</v>
      </c>
      <c r="R35" s="247">
        <f>IFERROR(IF(compras_mes8[[#This Row],[CUIT]]="","-",VLOOKUP(compras_mes8[[#This Row],[CUIT]],Lista_CUIT[#All],4,0)),"CUIT NO CARGADO")</f>
        <v>0</v>
      </c>
      <c r="T35" s="33"/>
    </row>
    <row r="36" spans="2:20">
      <c r="B36" s="239" t="s">
        <v>2386</v>
      </c>
      <c r="C36" s="240">
        <v>1</v>
      </c>
      <c r="D36" s="241">
        <v>14</v>
      </c>
      <c r="E36" s="257">
        <v>13831</v>
      </c>
      <c r="F36" s="242">
        <v>30715186256</v>
      </c>
      <c r="G36" s="243" t="str">
        <f>IFERROR(IF(compras_mes8[[#This Row],[CUIT]]="","-",VLOOKUP(compras_mes8[[#This Row],[CUIT]],Lista_CUIT[#All],2,0)),"CUIT NO CARGADO")</f>
        <v>FRIGORIFICO ALIMENTIC</v>
      </c>
      <c r="H36" s="244">
        <v>40932.14</v>
      </c>
      <c r="I36" s="245"/>
      <c r="J36" s="245"/>
      <c r="K36" s="245">
        <f>compras_mes8[[#This Row],[NETO GRAVADO]]*0.105</f>
        <v>4297.8746999999994</v>
      </c>
      <c r="L36" s="245"/>
      <c r="M36" s="245"/>
      <c r="N36" s="245"/>
      <c r="O36" s="245"/>
      <c r="P36" s="494">
        <f>SUM(compras_mes8[[#This Row],[NETO GRAVADO]:[Otros / No Grav.]])</f>
        <v>45230.0147</v>
      </c>
      <c r="Q36" s="243" t="str">
        <f>IFERROR(IF(compras_mes8[[#This Row],[CUIT]]="","-",VLOOKUP(compras_mes8[[#This Row],[CUIT]],Lista_CUIT[#All],3,0)),"CUIT NO CARGADO")</f>
        <v>Gastos Comercializacion - Feria</v>
      </c>
      <c r="R36" s="247">
        <f>IFERROR(IF(compras_mes8[[#This Row],[CUIT]]="","-",VLOOKUP(compras_mes8[[#This Row],[CUIT]],Lista_CUIT[#All],4,0)),"CUIT NO CARGADO")</f>
        <v>0</v>
      </c>
      <c r="T36" s="33"/>
    </row>
    <row r="37" spans="2:20">
      <c r="B37" s="239" t="s">
        <v>2361</v>
      </c>
      <c r="C37" s="240">
        <v>1</v>
      </c>
      <c r="D37" s="241">
        <v>7</v>
      </c>
      <c r="E37" s="257">
        <v>26547</v>
      </c>
      <c r="F37" s="242">
        <v>30710819552</v>
      </c>
      <c r="G37" s="243" t="str">
        <f>IFERROR(IF(compras_mes8[[#This Row],[CUIT]]="","-",VLOOKUP(compras_mes8[[#This Row],[CUIT]],Lista_CUIT[#All],2,0)),"CUIT NO CARGADO")</f>
        <v>EL CACIQUE Gastos Limpieza SRL</v>
      </c>
      <c r="H37" s="244">
        <v>66890.02</v>
      </c>
      <c r="I37" s="245">
        <f>IF(compras_mes8[[#This Row],[NETO GRAVADO]]="","",compras_mes8[[#This Row],[NETO GRAVADO]]*0.21)</f>
        <v>14046.904200000001</v>
      </c>
      <c r="J37" s="245"/>
      <c r="K37" s="245"/>
      <c r="L37" s="245"/>
      <c r="M37" s="245"/>
      <c r="N37" s="245"/>
      <c r="O37" s="245"/>
      <c r="P37" s="246">
        <f>SUM(compras_mes8[[#This Row],[NETO GRAVADO]:[Otros / No Grav.]])</f>
        <v>80936.924200000009</v>
      </c>
      <c r="Q37" s="243" t="str">
        <f>IFERROR(IF(compras_mes8[[#This Row],[CUIT]]="","-",VLOOKUP(compras_mes8[[#This Row],[CUIT]],Lista_CUIT[#All],3,0)),"CUIT NO CARGADO")</f>
        <v>Gastos Limpieza</v>
      </c>
      <c r="R37" s="49">
        <f>IFERROR(IF(compras_mes8[[#This Row],[CUIT]]="","-",VLOOKUP(compras_mes8[[#This Row],[CUIT]],Lista_CUIT[#All],4,0)),"CUIT NO CARGADO")</f>
        <v>0</v>
      </c>
      <c r="T37" s="33"/>
    </row>
    <row r="38" spans="2:20">
      <c r="B38" s="239" t="s">
        <v>2372</v>
      </c>
      <c r="C38" s="240">
        <v>1</v>
      </c>
      <c r="D38" s="241">
        <v>5</v>
      </c>
      <c r="E38" s="257">
        <v>1760</v>
      </c>
      <c r="F38" s="242">
        <v>27324789044</v>
      </c>
      <c r="G38" s="243" t="str">
        <f>IFERROR(IF(compras_mes8[[#This Row],[CUIT]]="","-",VLOOKUP(compras_mes8[[#This Row],[CUIT]],Lista_CUIT[#All],2,0)),"CUIT NO CARGADO")</f>
        <v>GARCIA HOURQUET MARIA JOSE</v>
      </c>
      <c r="H38" s="244">
        <v>20495.87</v>
      </c>
      <c r="I38" s="245">
        <f>IF(compras_mes8[[#This Row],[NETO GRAVADO]]="","",compras_mes8[[#This Row],[NETO GRAVADO]]*0.21)</f>
        <v>4304.1326999999992</v>
      </c>
      <c r="J38" s="245"/>
      <c r="K38" s="245"/>
      <c r="L38" s="245"/>
      <c r="M38" s="245"/>
      <c r="N38" s="245"/>
      <c r="O38" s="245"/>
      <c r="P38" s="494">
        <f>SUM(compras_mes8[[#This Row],[NETO GRAVADO]:[Otros / No Grav.]])</f>
        <v>24800.002699999997</v>
      </c>
      <c r="Q38" s="243" t="str">
        <f>IFERROR(IF(compras_mes8[[#This Row],[CUIT]]="","-",VLOOKUP(compras_mes8[[#This Row],[CUIT]],Lista_CUIT[#All],3,0)),"CUIT NO CARGADO")</f>
        <v>Gastos Limpieza</v>
      </c>
      <c r="R38" s="247">
        <f>IFERROR(IF(compras_mes8[[#This Row],[CUIT]]="","-",VLOOKUP(compras_mes8[[#This Row],[CUIT]],Lista_CUIT[#All],4,0)),"CUIT NO CARGADO")</f>
        <v>0</v>
      </c>
      <c r="T38" s="33"/>
    </row>
    <row r="39" spans="2:20">
      <c r="B39" s="239" t="s">
        <v>2375</v>
      </c>
      <c r="C39" s="240">
        <v>1</v>
      </c>
      <c r="D39" s="241">
        <v>113</v>
      </c>
      <c r="E39" s="257">
        <v>3750723</v>
      </c>
      <c r="F39" s="242">
        <v>30577207190</v>
      </c>
      <c r="G39" s="243" t="str">
        <f>IFERROR(IF(compras_mes8[[#This Row],[CUIT]]="","-",VLOOKUP(compras_mes8[[#This Row],[CUIT]],Lista_CUIT[#All],2,0)),"CUIT NO CARGADO")</f>
        <v>COORDINACION ECOLOGICA AREA METROPOLITANA SOCIEDAD DEL ESTADO</v>
      </c>
      <c r="H39" s="244">
        <v>3305.78</v>
      </c>
      <c r="I39" s="245">
        <f>IF(compras_mes8[[#This Row],[NETO GRAVADO]]="","",compras_mes8[[#This Row],[NETO GRAVADO]]*0.21)</f>
        <v>694.21379999999999</v>
      </c>
      <c r="J39" s="245"/>
      <c r="K39" s="245"/>
      <c r="L39" s="245">
        <v>99.17</v>
      </c>
      <c r="M39" s="245"/>
      <c r="N39" s="245"/>
      <c r="O39" s="245"/>
      <c r="P39" s="494">
        <f>SUM(compras_mes8[[#This Row],[NETO GRAVADO]:[Otros / No Grav.]])</f>
        <v>4099.1638000000003</v>
      </c>
      <c r="Q39" s="243" t="str">
        <f>IFERROR(IF(compras_mes8[[#This Row],[CUIT]]="","-",VLOOKUP(compras_mes8[[#This Row],[CUIT]],Lista_CUIT[#All],3,0)),"CUIT NO CARGADO")</f>
        <v>Gastos Limpieza</v>
      </c>
      <c r="R39" s="247">
        <f>IFERROR(IF(compras_mes8[[#This Row],[CUIT]]="","-",VLOOKUP(compras_mes8[[#This Row],[CUIT]],Lista_CUIT[#All],4,0)),"CUIT NO CARGADO")</f>
        <v>0</v>
      </c>
      <c r="T39" s="33"/>
    </row>
    <row r="40" spans="2:20">
      <c r="B40" s="239" t="s">
        <v>2389</v>
      </c>
      <c r="C40" s="240">
        <v>1</v>
      </c>
      <c r="D40" s="241">
        <v>113</v>
      </c>
      <c r="E40" s="257">
        <v>3777535</v>
      </c>
      <c r="F40" s="242">
        <v>30577207190</v>
      </c>
      <c r="G40" s="243" t="str">
        <f>IFERROR(IF(compras_mes8[[#This Row],[CUIT]]="","-",VLOOKUP(compras_mes8[[#This Row],[CUIT]],Lista_CUIT[#All],2,0)),"CUIT NO CARGADO")</f>
        <v>COORDINACION ECOLOGICA AREA METROPOLITANA SOCIEDAD DEL ESTADO</v>
      </c>
      <c r="H40" s="244">
        <v>7447.93</v>
      </c>
      <c r="I40" s="245">
        <f>IF(compras_mes8[[#This Row],[NETO GRAVADO]]="","",compras_mes8[[#This Row],[NETO GRAVADO]]*0.21)</f>
        <v>1564.0653</v>
      </c>
      <c r="J40" s="245"/>
      <c r="K40" s="245"/>
      <c r="L40" s="245">
        <v>223.44</v>
      </c>
      <c r="M40" s="245"/>
      <c r="N40" s="245"/>
      <c r="O40" s="245"/>
      <c r="P40" s="494">
        <f>SUM(compras_mes8[[#This Row],[NETO GRAVADO]:[Otros / No Grav.]])</f>
        <v>9235.435300000001</v>
      </c>
      <c r="Q40" s="243" t="str">
        <f>IFERROR(IF(compras_mes8[[#This Row],[CUIT]]="","-",VLOOKUP(compras_mes8[[#This Row],[CUIT]],Lista_CUIT[#All],3,0)),"CUIT NO CARGADO")</f>
        <v>Gastos Limpieza</v>
      </c>
      <c r="R40" s="247">
        <f>IFERROR(IF(compras_mes8[[#This Row],[CUIT]]="","-",VLOOKUP(compras_mes8[[#This Row],[CUIT]],Lista_CUIT[#All],4,0)),"CUIT NO CARGADO")</f>
        <v>0</v>
      </c>
      <c r="T40" s="33"/>
    </row>
    <row r="41" spans="2:20">
      <c r="B41" s="239" t="s">
        <v>2368</v>
      </c>
      <c r="C41" s="240">
        <v>1</v>
      </c>
      <c r="D41" s="241">
        <v>2</v>
      </c>
      <c r="E41" s="257">
        <v>33061</v>
      </c>
      <c r="F41" s="242">
        <v>30717273520</v>
      </c>
      <c r="G41" s="243" t="str">
        <f>IFERROR(IF(compras_mes8[[#This Row],[CUIT]]="","-",VLOOKUP(compras_mes8[[#This Row],[CUIT]],Lista_CUIT[#All],2,0)),"CUIT NO CARGADO")</f>
        <v>SMART IT SOLUTIONS S.R.L</v>
      </c>
      <c r="H41" s="244">
        <v>99499.17</v>
      </c>
      <c r="I41" s="245">
        <f>IF(compras_mes8[[#This Row],[NETO GRAVADO]]="","",compras_mes8[[#This Row],[NETO GRAVADO]]*0.21)</f>
        <v>20894.825699999998</v>
      </c>
      <c r="J41" s="245"/>
      <c r="K41" s="245"/>
      <c r="L41" s="245"/>
      <c r="M41" s="245"/>
      <c r="N41" s="245"/>
      <c r="O41" s="245"/>
      <c r="P41" s="494">
        <f>SUM(compras_mes8[[#This Row],[NETO GRAVADO]:[Otros / No Grav.]])</f>
        <v>120393.9957</v>
      </c>
      <c r="Q41" s="243" t="str">
        <f>IFERROR(IF(compras_mes8[[#This Row],[CUIT]]="","-",VLOOKUP(compras_mes8[[#This Row],[CUIT]],Lista_CUIT[#All],3,0)),"CUIT NO CARGADO")</f>
        <v>Gastos Oficina</v>
      </c>
      <c r="R41" s="247">
        <f>IFERROR(IF(compras_mes8[[#This Row],[CUIT]]="","-",VLOOKUP(compras_mes8[[#This Row],[CUIT]],Lista_CUIT[#All],4,0)),"CUIT NO CARGADO")</f>
        <v>0</v>
      </c>
      <c r="T41" s="33"/>
    </row>
    <row r="42" spans="2:20">
      <c r="B42" s="239" t="s">
        <v>2375</v>
      </c>
      <c r="C42" s="240">
        <v>1</v>
      </c>
      <c r="D42" s="241">
        <v>16</v>
      </c>
      <c r="E42" s="257">
        <v>31006</v>
      </c>
      <c r="F42" s="242">
        <v>30687059812</v>
      </c>
      <c r="G42" s="243" t="str">
        <f>IFERROR(IF(compras_mes8[[#This Row],[CUIT]]="","-",VLOOKUP(compras_mes8[[#This Row],[CUIT]],Lista_CUIT[#All],2,0)),"CUIT NO CARGADO")</f>
        <v>REDNET SRL</v>
      </c>
      <c r="H42" s="244">
        <v>10933.21</v>
      </c>
      <c r="I42" s="245">
        <f>IF(compras_mes8[[#This Row],[NETO GRAVADO]]="","",compras_mes8[[#This Row],[NETO GRAVADO]]*0.21)</f>
        <v>2295.9740999999999</v>
      </c>
      <c r="J42" s="245"/>
      <c r="K42" s="245"/>
      <c r="L42" s="245"/>
      <c r="M42" s="245"/>
      <c r="N42" s="245"/>
      <c r="O42" s="245"/>
      <c r="P42" s="494">
        <f>SUM(compras_mes8[[#This Row],[NETO GRAVADO]:[Otros / No Grav.]])</f>
        <v>13229.184099999999</v>
      </c>
      <c r="Q42" s="243" t="str">
        <f>IFERROR(IF(compras_mes8[[#This Row],[CUIT]]="","-",VLOOKUP(compras_mes8[[#This Row],[CUIT]],Lista_CUIT[#All],3,0)),"CUIT NO CARGADO")</f>
        <v>Gastos Oficina</v>
      </c>
      <c r="R42" s="247">
        <f>IFERROR(IF(compras_mes8[[#This Row],[CUIT]]="","-",VLOOKUP(compras_mes8[[#This Row],[CUIT]],Lista_CUIT[#All],4,0)),"CUIT NO CARGADO")</f>
        <v>0</v>
      </c>
      <c r="T42" s="33"/>
    </row>
    <row r="43" spans="2:20">
      <c r="B43" s="239" t="s">
        <v>2382</v>
      </c>
      <c r="C43" s="240">
        <v>1</v>
      </c>
      <c r="D43" s="241">
        <v>3000</v>
      </c>
      <c r="E43" s="257">
        <v>64758</v>
      </c>
      <c r="F43" s="242">
        <v>33708543409</v>
      </c>
      <c r="G43" s="243" t="str">
        <f>IFERROR(IF(compras_mes8[[#This Row],[CUIT]]="","-",VLOOKUP(compras_mes8[[#This Row],[CUIT]],Lista_CUIT[#All],2,0)),"CUIT NO CARGADO")</f>
        <v>DAMARFU SA</v>
      </c>
      <c r="H43" s="244">
        <v>802623.53</v>
      </c>
      <c r="I43" s="245"/>
      <c r="J43" s="245"/>
      <c r="K43" s="245">
        <f>compras_mes8[[#This Row],[NETO GRAVADO]]*0.105</f>
        <v>84275.470650000003</v>
      </c>
      <c r="L43" s="245"/>
      <c r="M43" s="245"/>
      <c r="N43" s="245"/>
      <c r="O43" s="245">
        <v>48157.41</v>
      </c>
      <c r="P43" s="494">
        <f>SUM(compras_mes8[[#This Row],[NETO GRAVADO]:[Otros / No Grav.]])</f>
        <v>935056.41065000009</v>
      </c>
      <c r="Q43" s="243" t="str">
        <f>IFERROR(IF(compras_mes8[[#This Row],[CUIT]]="","-",VLOOKUP(compras_mes8[[#This Row],[CUIT]],Lista_CUIT[#All],3,0)),"CUIT NO CARGADO")</f>
        <v>Gastos Oficina</v>
      </c>
      <c r="R43" s="247">
        <f>IFERROR(IF(compras_mes8[[#This Row],[CUIT]]="","-",VLOOKUP(compras_mes8[[#This Row],[CUIT]],Lista_CUIT[#All],4,0)),"CUIT NO CARGADO")</f>
        <v>0</v>
      </c>
      <c r="T43" s="33"/>
    </row>
    <row r="44" spans="2:20">
      <c r="B44" s="239" t="s">
        <v>2361</v>
      </c>
      <c r="C44" s="240">
        <v>1</v>
      </c>
      <c r="D44" s="241">
        <v>4</v>
      </c>
      <c r="E44" s="257">
        <v>2161</v>
      </c>
      <c r="F44" s="242">
        <v>27239067218</v>
      </c>
      <c r="G44" s="243" t="str">
        <f>IFERROR(IF(compras_mes8[[#This Row],[CUIT]]="","-",VLOOKUP(compras_mes8[[#This Row],[CUIT]],Lista_CUIT[#All],2,0)),"CUIT NO CARGADO")</f>
        <v>GARCIA GABRIELA ANDREA </v>
      </c>
      <c r="H44" s="244">
        <v>101239.67</v>
      </c>
      <c r="I44" s="245">
        <f>IF(compras_mes8[[#This Row],[NETO GRAVADO]]="","",compras_mes8[[#This Row],[NETO GRAVADO]]*0.21)</f>
        <v>21260.330699999999</v>
      </c>
      <c r="J44" s="245"/>
      <c r="K44" s="245"/>
      <c r="L44" s="245"/>
      <c r="M44" s="245"/>
      <c r="N44" s="245"/>
      <c r="O44" s="245"/>
      <c r="P44" s="246">
        <f>SUM(compras_mes8[[#This Row],[NETO GRAVADO]:[Otros / No Grav.]])</f>
        <v>122500.0007</v>
      </c>
      <c r="Q44" s="243" t="str">
        <f>IFERROR(IF(compras_mes8[[#This Row],[CUIT]]="","-",VLOOKUP(compras_mes8[[#This Row],[CUIT]],Lista_CUIT[#All],3,0)),"CUIT NO CARGADO")</f>
        <v>Gastos Varios</v>
      </c>
      <c r="R44" s="247">
        <f>IFERROR(IF(compras_mes8[[#This Row],[CUIT]]="","-",VLOOKUP(compras_mes8[[#This Row],[CUIT]],Lista_CUIT[#All],4,0)),"CUIT NO CARGADO")</f>
        <v>0</v>
      </c>
      <c r="T44" s="33"/>
    </row>
    <row r="45" spans="2:20">
      <c r="B45" s="239" t="s">
        <v>2365</v>
      </c>
      <c r="C45" s="240">
        <v>1</v>
      </c>
      <c r="D45" s="241">
        <v>7</v>
      </c>
      <c r="E45" s="257">
        <v>16748</v>
      </c>
      <c r="F45" s="242">
        <v>30711031320</v>
      </c>
      <c r="G45" s="243" t="str">
        <f>IFERROR(IF(compras_mes8[[#This Row],[CUIT]]="","-",VLOOKUP(compras_mes8[[#This Row],[CUIT]],Lista_CUIT[#All],2,0)),"CUIT NO CARGADO")</f>
        <v>FAVAR IMPORT S.A.</v>
      </c>
      <c r="H45" s="244">
        <v>9986.77</v>
      </c>
      <c r="I45" s="245">
        <f>IF(compras_mes8[[#This Row],[NETO GRAVADO]]="","",compras_mes8[[#This Row],[NETO GRAVADO]]*0.21)</f>
        <v>2097.2217000000001</v>
      </c>
      <c r="J45" s="245"/>
      <c r="K45" s="245"/>
      <c r="L45" s="245"/>
      <c r="M45" s="245"/>
      <c r="N45" s="245"/>
      <c r="O45" s="245"/>
      <c r="P45" s="494">
        <f>SUM(compras_mes8[[#This Row],[NETO GRAVADO]:[Otros / No Grav.]])</f>
        <v>12083.9917</v>
      </c>
      <c r="Q45" s="243" t="str">
        <f>IFERROR(IF(compras_mes8[[#This Row],[CUIT]]="","-",VLOOKUP(compras_mes8[[#This Row],[CUIT]],Lista_CUIT[#All],3,0)),"CUIT NO CARGADO")</f>
        <v>Gastos Varios</v>
      </c>
      <c r="R45" s="247">
        <f>IFERROR(IF(compras_mes8[[#This Row],[CUIT]]="","-",VLOOKUP(compras_mes8[[#This Row],[CUIT]],Lista_CUIT[#All],4,0)),"CUIT NO CARGADO")</f>
        <v>0</v>
      </c>
      <c r="T45" s="33"/>
    </row>
    <row r="46" spans="2:20">
      <c r="B46" s="239" t="s">
        <v>2366</v>
      </c>
      <c r="C46" s="240">
        <v>1</v>
      </c>
      <c r="D46" s="241">
        <v>1</v>
      </c>
      <c r="E46" s="257">
        <v>6264</v>
      </c>
      <c r="F46" s="242">
        <v>30717413691</v>
      </c>
      <c r="G46" s="243" t="str">
        <f>IFERROR(IF(compras_mes8[[#This Row],[CUIT]]="","-",VLOOKUP(compras_mes8[[#This Row],[CUIT]],Lista_CUIT[#All],2,0)),"CUIT NO CARGADO")</f>
        <v xml:space="preserve">GRAVEDAD X S. R. L. </v>
      </c>
      <c r="H46" s="244">
        <v>71623.14</v>
      </c>
      <c r="I46" s="245">
        <f>IF(compras_mes8[[#This Row],[NETO GRAVADO]]="","",compras_mes8[[#This Row],[NETO GRAVADO]]*0.21)</f>
        <v>15040.859399999999</v>
      </c>
      <c r="J46" s="245"/>
      <c r="K46" s="245"/>
      <c r="L46" s="245"/>
      <c r="M46" s="245"/>
      <c r="N46" s="245"/>
      <c r="O46" s="245"/>
      <c r="P46" s="494">
        <f>SUM(compras_mes8[[#This Row],[NETO GRAVADO]:[Otros / No Grav.]])</f>
        <v>86663.999400000001</v>
      </c>
      <c r="Q46" s="243" t="str">
        <f>IFERROR(IF(compras_mes8[[#This Row],[CUIT]]="","-",VLOOKUP(compras_mes8[[#This Row],[CUIT]],Lista_CUIT[#All],3,0)),"CUIT NO CARGADO")</f>
        <v>Gastos Varios</v>
      </c>
      <c r="R46" s="247">
        <f>IFERROR(IF(compras_mes8[[#This Row],[CUIT]]="","-",VLOOKUP(compras_mes8[[#This Row],[CUIT]],Lista_CUIT[#All],4,0)),"CUIT NO CARGADO")</f>
        <v>0</v>
      </c>
      <c r="T46" s="33"/>
    </row>
    <row r="47" spans="2:20">
      <c r="B47" s="239" t="s">
        <v>2366</v>
      </c>
      <c r="C47" s="240">
        <v>1</v>
      </c>
      <c r="D47" s="241">
        <v>4</v>
      </c>
      <c r="E47" s="257">
        <v>349</v>
      </c>
      <c r="F47" s="242">
        <v>30716371324</v>
      </c>
      <c r="G47" s="243" t="str">
        <f>IFERROR(IF(compras_mes8[[#This Row],[CUIT]]="","-",VLOOKUP(compras_mes8[[#This Row],[CUIT]],Lista_CUIT[#All],2,0)),"CUIT NO CARGADO")</f>
        <v>SUN Y MOUNTAIN SAS</v>
      </c>
      <c r="H47" s="244">
        <v>100000</v>
      </c>
      <c r="I47" s="245">
        <f>IF(compras_mes8[[#This Row],[NETO GRAVADO]]="","",compras_mes8[[#This Row],[NETO GRAVADO]]*0.21)</f>
        <v>21000</v>
      </c>
      <c r="J47" s="245"/>
      <c r="K47" s="245"/>
      <c r="L47" s="245"/>
      <c r="M47" s="245"/>
      <c r="N47" s="245"/>
      <c r="O47" s="245"/>
      <c r="P47" s="494">
        <f>SUM(compras_mes8[[#This Row],[NETO GRAVADO]:[Otros / No Grav.]])</f>
        <v>121000</v>
      </c>
      <c r="Q47" s="243" t="str">
        <f>IFERROR(IF(compras_mes8[[#This Row],[CUIT]]="","-",VLOOKUP(compras_mes8[[#This Row],[CUIT]],Lista_CUIT[#All],3,0)),"CUIT NO CARGADO")</f>
        <v>Gastos Varios</v>
      </c>
      <c r="R47" s="247">
        <f>IFERROR(IF(compras_mes8[[#This Row],[CUIT]]="","-",VLOOKUP(compras_mes8[[#This Row],[CUIT]],Lista_CUIT[#All],4,0)),"CUIT NO CARGADO")</f>
        <v>0</v>
      </c>
      <c r="T47" s="33"/>
    </row>
    <row r="48" spans="2:20">
      <c r="B48" s="239" t="s">
        <v>2368</v>
      </c>
      <c r="C48" s="240">
        <v>1</v>
      </c>
      <c r="D48" s="241">
        <v>5</v>
      </c>
      <c r="E48" s="257">
        <v>999</v>
      </c>
      <c r="F48" s="242">
        <v>30614274421</v>
      </c>
      <c r="G48" s="243" t="str">
        <f>IFERROR(IF(compras_mes8[[#This Row],[CUIT]]="","-",VLOOKUP(compras_mes8[[#This Row],[CUIT]],Lista_CUIT[#All],2,0)),"CUIT NO CARGADO")</f>
        <v xml:space="preserve">TAZ A TAZ SRL </v>
      </c>
      <c r="H48" s="244">
        <v>88347.11</v>
      </c>
      <c r="I48" s="245">
        <f>IF(compras_mes8[[#This Row],[NETO GRAVADO]]="","",compras_mes8[[#This Row],[NETO GRAVADO]]*0.21)</f>
        <v>18552.893100000001</v>
      </c>
      <c r="J48" s="245"/>
      <c r="K48" s="245"/>
      <c r="L48" s="245"/>
      <c r="M48" s="245"/>
      <c r="N48" s="245"/>
      <c r="O48" s="245"/>
      <c r="P48" s="494">
        <f>SUM(compras_mes8[[#This Row],[NETO GRAVADO]:[Otros / No Grav.]])</f>
        <v>106900.0031</v>
      </c>
      <c r="Q48" s="243" t="str">
        <f>IFERROR(IF(compras_mes8[[#This Row],[CUIT]]="","-",VLOOKUP(compras_mes8[[#This Row],[CUIT]],Lista_CUIT[#All],3,0)),"CUIT NO CARGADO")</f>
        <v>Gastos Varios</v>
      </c>
      <c r="R48" s="247">
        <f>IFERROR(IF(compras_mes8[[#This Row],[CUIT]]="","-",VLOOKUP(compras_mes8[[#This Row],[CUIT]],Lista_CUIT[#All],4,0)),"CUIT NO CARGADO")</f>
        <v>0</v>
      </c>
      <c r="T48" s="33"/>
    </row>
    <row r="49" spans="2:20">
      <c r="B49" s="239" t="s">
        <v>2370</v>
      </c>
      <c r="C49" s="240">
        <v>1</v>
      </c>
      <c r="D49" s="241">
        <v>5</v>
      </c>
      <c r="E49" s="257">
        <v>3901</v>
      </c>
      <c r="F49" s="242">
        <v>30716436396</v>
      </c>
      <c r="G49" s="243" t="str">
        <f>IFERROR(IF(compras_mes8[[#This Row],[CUIT]]="","-",VLOOKUP(compras_mes8[[#This Row],[CUIT]],Lista_CUIT[#All],2,0)),"CUIT NO CARGADO")</f>
        <v>GLOBAL BUSINESS SUPPLIERS SRL</v>
      </c>
      <c r="H49" s="244">
        <v>30570.99</v>
      </c>
      <c r="I49" s="245">
        <f>IF(compras_mes8[[#This Row],[NETO GRAVADO]]="","",compras_mes8[[#This Row],[NETO GRAVADO]]*0.21)</f>
        <v>6419.9079000000002</v>
      </c>
      <c r="J49" s="245"/>
      <c r="K49" s="245"/>
      <c r="L49" s="245"/>
      <c r="M49" s="245"/>
      <c r="N49" s="245"/>
      <c r="O49" s="245"/>
      <c r="P49" s="494">
        <f>SUM(compras_mes8[[#This Row],[NETO GRAVADO]:[Otros / No Grav.]])</f>
        <v>36990.897900000004</v>
      </c>
      <c r="Q49" s="243" t="str">
        <f>IFERROR(IF(compras_mes8[[#This Row],[CUIT]]="","-",VLOOKUP(compras_mes8[[#This Row],[CUIT]],Lista_CUIT[#All],3,0)),"CUIT NO CARGADO")</f>
        <v>Gastos Varios</v>
      </c>
      <c r="R49" s="247">
        <f>IFERROR(IF(compras_mes8[[#This Row],[CUIT]]="","-",VLOOKUP(compras_mes8[[#This Row],[CUIT]],Lista_CUIT[#All],4,0)),"CUIT NO CARGADO")</f>
        <v>0</v>
      </c>
      <c r="T49" s="33"/>
    </row>
    <row r="50" spans="2:20">
      <c r="B50" s="239" t="s">
        <v>2374</v>
      </c>
      <c r="C50" s="240">
        <v>1</v>
      </c>
      <c r="D50" s="241">
        <v>3</v>
      </c>
      <c r="E50" s="257">
        <v>59</v>
      </c>
      <c r="F50" s="242">
        <v>27385473937</v>
      </c>
      <c r="G50" s="243" t="str">
        <f>IFERROR(IF(compras_mes8[[#This Row],[CUIT]]="","-",VLOOKUP(compras_mes8[[#This Row],[CUIT]],Lista_CUIT[#All],2,0)),"CUIT NO CARGADO")</f>
        <v>NOCENTE MARIA DEL SOL</v>
      </c>
      <c r="H50" s="244">
        <v>16528.95</v>
      </c>
      <c r="I50" s="245">
        <f>IF(compras_mes8[[#This Row],[NETO GRAVADO]]="","",compras_mes8[[#This Row],[NETO GRAVADO]]*0.21)</f>
        <v>3471.0794999999998</v>
      </c>
      <c r="J50" s="245"/>
      <c r="K50" s="245"/>
      <c r="L50" s="245"/>
      <c r="M50" s="245"/>
      <c r="N50" s="245"/>
      <c r="O50" s="245"/>
      <c r="P50" s="494">
        <f>SUM(compras_mes8[[#This Row],[NETO GRAVADO]:[Otros / No Grav.]])</f>
        <v>20000.029500000001</v>
      </c>
      <c r="Q50" s="243" t="str">
        <f>IFERROR(IF(compras_mes8[[#This Row],[CUIT]]="","-",VLOOKUP(compras_mes8[[#This Row],[CUIT]],Lista_CUIT[#All],3,0)),"CUIT NO CARGADO")</f>
        <v>Gastos Varios</v>
      </c>
      <c r="R50" s="247">
        <f>IFERROR(IF(compras_mes8[[#This Row],[CUIT]]="","-",VLOOKUP(compras_mes8[[#This Row],[CUIT]],Lista_CUIT[#All],4,0)),"CUIT NO CARGADO")</f>
        <v>0</v>
      </c>
      <c r="T50" s="33"/>
    </row>
    <row r="51" spans="2:20">
      <c r="B51" s="239" t="s">
        <v>2375</v>
      </c>
      <c r="C51" s="240">
        <v>1</v>
      </c>
      <c r="D51" s="241">
        <v>401</v>
      </c>
      <c r="E51" s="257">
        <v>13</v>
      </c>
      <c r="F51" s="242">
        <v>33707790399</v>
      </c>
      <c r="G51" s="243" t="str">
        <f>IFERROR(IF(compras_mes8[[#This Row],[CUIT]]="","-",VLOOKUP(compras_mes8[[#This Row],[CUIT]],Lista_CUIT[#All],2,0)),"CUIT NO CARGADO")</f>
        <v>ENERGIA SOCIEDAD DE RESPONSABILIDAD LIMITADA</v>
      </c>
      <c r="H51" s="244">
        <v>67704.92</v>
      </c>
      <c r="I51" s="245">
        <f>IF(compras_mes8[[#This Row],[NETO GRAVADO]]="","",compras_mes8[[#This Row],[NETO GRAVADO]]*0.21)</f>
        <v>14218.0332</v>
      </c>
      <c r="J51" s="245"/>
      <c r="K51" s="245"/>
      <c r="L51" s="245"/>
      <c r="M51" s="245"/>
      <c r="N51" s="245">
        <v>677.05</v>
      </c>
      <c r="O51" s="245"/>
      <c r="P51" s="494">
        <f>SUM(compras_mes8[[#This Row],[NETO GRAVADO]:[Otros / No Grav.]])</f>
        <v>82600.003200000006</v>
      </c>
      <c r="Q51" s="243" t="str">
        <f>IFERROR(IF(compras_mes8[[#This Row],[CUIT]]="","-",VLOOKUP(compras_mes8[[#This Row],[CUIT]],Lista_CUIT[#All],3,0)),"CUIT NO CARGADO")</f>
        <v>Gastos Varios</v>
      </c>
      <c r="R51" s="247">
        <f>IFERROR(IF(compras_mes8[[#This Row],[CUIT]]="","-",VLOOKUP(compras_mes8[[#This Row],[CUIT]],Lista_CUIT[#All],4,0)),"CUIT NO CARGADO")</f>
        <v>0</v>
      </c>
      <c r="T51" s="33"/>
    </row>
    <row r="52" spans="2:20">
      <c r="B52" s="239" t="s">
        <v>2376</v>
      </c>
      <c r="C52" s="240">
        <v>1</v>
      </c>
      <c r="D52" s="241">
        <v>3</v>
      </c>
      <c r="E52" s="257">
        <v>25407</v>
      </c>
      <c r="F52" s="242">
        <v>30716075873</v>
      </c>
      <c r="G52" s="243" t="str">
        <f>IFERROR(IF(compras_mes8[[#This Row],[CUIT]]="","-",VLOOKUP(compras_mes8[[#This Row],[CUIT]],Lista_CUIT[#All],2,0)),"CUIT NO CARGADO")</f>
        <v>MAXPRIN S.R.L..</v>
      </c>
      <c r="H52" s="244">
        <v>22306.05</v>
      </c>
      <c r="I52" s="245">
        <f>IF(compras_mes8[[#This Row],[NETO GRAVADO]]="","",compras_mes8[[#This Row],[NETO GRAVADO]]*0.21)</f>
        <v>4684.2704999999996</v>
      </c>
      <c r="J52" s="245"/>
      <c r="K52" s="245"/>
      <c r="L52" s="245"/>
      <c r="M52" s="245"/>
      <c r="N52" s="245"/>
      <c r="O52" s="245"/>
      <c r="P52" s="494">
        <f>SUM(compras_mes8[[#This Row],[NETO GRAVADO]:[Otros / No Grav.]])</f>
        <v>26990.320499999998</v>
      </c>
      <c r="Q52" s="243" t="str">
        <f>IFERROR(IF(compras_mes8[[#This Row],[CUIT]]="","-",VLOOKUP(compras_mes8[[#This Row],[CUIT]],Lista_CUIT[#All],3,0)),"CUIT NO CARGADO")</f>
        <v>Gastos Varios</v>
      </c>
      <c r="R52" s="247">
        <f>IFERROR(IF(compras_mes8[[#This Row],[CUIT]]="","-",VLOOKUP(compras_mes8[[#This Row],[CUIT]],Lista_CUIT[#All],4,0)),"CUIT NO CARGADO")</f>
        <v>0</v>
      </c>
      <c r="T52" s="33"/>
    </row>
    <row r="53" spans="2:20">
      <c r="B53" s="239" t="s">
        <v>2381</v>
      </c>
      <c r="C53" s="240">
        <v>1</v>
      </c>
      <c r="D53" s="241">
        <v>44</v>
      </c>
      <c r="E53" s="257">
        <v>21</v>
      </c>
      <c r="F53" s="242">
        <v>33697231469</v>
      </c>
      <c r="G53" s="243" t="str">
        <f>IFERROR(IF(compras_mes8[[#This Row],[CUIT]]="","-",VLOOKUP(compras_mes8[[#This Row],[CUIT]],Lista_CUIT[#All],2,0)),"CUIT NO CARGADO")</f>
        <v>PACKING EXPRESS S.R.L</v>
      </c>
      <c r="H53" s="244">
        <v>55467.77</v>
      </c>
      <c r="I53" s="245">
        <f>IF(compras_mes8[[#This Row],[NETO GRAVADO]]="","",compras_mes8[[#This Row],[NETO GRAVADO]]*0.21)</f>
        <v>11648.231699999998</v>
      </c>
      <c r="J53" s="245"/>
      <c r="K53" s="245"/>
      <c r="L53" s="245"/>
      <c r="M53" s="245"/>
      <c r="N53" s="245"/>
      <c r="O53" s="245"/>
      <c r="P53" s="494">
        <f>SUM(compras_mes8[[#This Row],[NETO GRAVADO]:[Otros / No Grav.]])</f>
        <v>67116.001699999993</v>
      </c>
      <c r="Q53" s="243" t="str">
        <f>IFERROR(IF(compras_mes8[[#This Row],[CUIT]]="","-",VLOOKUP(compras_mes8[[#This Row],[CUIT]],Lista_CUIT[#All],3,0)),"CUIT NO CARGADO")</f>
        <v>Gastos Varios</v>
      </c>
      <c r="R53" s="247">
        <f>IFERROR(IF(compras_mes8[[#This Row],[CUIT]]="","-",VLOOKUP(compras_mes8[[#This Row],[CUIT]],Lista_CUIT[#All],4,0)),"CUIT NO CARGADO")</f>
        <v>0</v>
      </c>
      <c r="T53" s="33"/>
    </row>
    <row r="54" spans="2:20">
      <c r="B54" s="239" t="s">
        <v>2382</v>
      </c>
      <c r="C54" s="240">
        <v>1</v>
      </c>
      <c r="D54" s="241">
        <v>1</v>
      </c>
      <c r="E54" s="257">
        <v>19</v>
      </c>
      <c r="F54" s="242">
        <v>30718454510</v>
      </c>
      <c r="G54" s="243" t="str">
        <f>IFERROR(IF(compras_mes8[[#This Row],[CUIT]]="","-",VLOOKUP(compras_mes8[[#This Row],[CUIT]],Lista_CUIT[#All],2,0)),"CUIT NO CARGADO")</f>
        <v>Lamparas Y Foquitos S.r.l.</v>
      </c>
      <c r="H54" s="244">
        <v>7963.81</v>
      </c>
      <c r="I54" s="245"/>
      <c r="J54" s="245"/>
      <c r="K54" s="245">
        <f>compras_mes8[[#This Row],[NETO GRAVADO]]*0.105</f>
        <v>836.20005000000003</v>
      </c>
      <c r="L54" s="245"/>
      <c r="M54" s="245"/>
      <c r="N54" s="245"/>
      <c r="O54" s="245"/>
      <c r="P54" s="494">
        <f>SUM(compras_mes8[[#This Row],[NETO GRAVADO]:[Otros / No Grav.]])</f>
        <v>8800.0100500000008</v>
      </c>
      <c r="Q54" s="243" t="str">
        <f>IFERROR(IF(compras_mes8[[#This Row],[CUIT]]="","-",VLOOKUP(compras_mes8[[#This Row],[CUIT]],Lista_CUIT[#All],3,0)),"CUIT NO CARGADO")</f>
        <v>Gastos Varios</v>
      </c>
      <c r="R54" s="247">
        <f>IFERROR(IF(compras_mes8[[#This Row],[CUIT]]="","-",VLOOKUP(compras_mes8[[#This Row],[CUIT]],Lista_CUIT[#All],4,0)),"CUIT NO CARGADO")</f>
        <v>0</v>
      </c>
      <c r="T54" s="33"/>
    </row>
    <row r="55" spans="2:20">
      <c r="B55" s="239" t="s">
        <v>2361</v>
      </c>
      <c r="C55" s="240">
        <v>1</v>
      </c>
      <c r="D55" s="241">
        <v>7</v>
      </c>
      <c r="E55" s="257">
        <v>2849</v>
      </c>
      <c r="F55" s="242">
        <v>20134664518</v>
      </c>
      <c r="G55" s="243" t="str">
        <f>IFERROR(IF(compras_mes8[[#This Row],[CUIT]]="","-",VLOOKUP(compras_mes8[[#This Row],[CUIT]],Lista_CUIT[#All],2,0)),"CUIT NO CARGADO")</f>
        <v>HOKAMA SERGIO ENRIQUE</v>
      </c>
      <c r="H55" s="244">
        <v>47348.33</v>
      </c>
      <c r="I55" s="245">
        <f>IF(compras_mes8[[#This Row],[NETO GRAVADO]]="","",compras_mes8[[#This Row],[NETO GRAVADO]]*0.21)</f>
        <v>9943.1492999999991</v>
      </c>
      <c r="J55" s="245"/>
      <c r="K55" s="245"/>
      <c r="L55" s="245"/>
      <c r="M55" s="245"/>
      <c r="N55" s="245"/>
      <c r="O55" s="245"/>
      <c r="P55" s="246">
        <f>SUM(compras_mes8[[#This Row],[NETO GRAVADO]:[Otros / No Grav.]])</f>
        <v>57291.479299999999</v>
      </c>
      <c r="Q55" s="243" t="str">
        <f>IFERROR(IF(compras_mes8[[#This Row],[CUIT]]="","-",VLOOKUP(compras_mes8[[#This Row],[CUIT]],Lista_CUIT[#All],3,0)),"CUIT NO CARGADO")</f>
        <v>Gastos Varios</v>
      </c>
      <c r="R55" s="247" t="str">
        <f>IFERROR(IF(compras_mes8[[#This Row],[CUIT]]="","-",VLOOKUP(compras_mes8[[#This Row],[CUIT]],Lista_CUIT[#All],4,0)),"CUIT NO CARGADO")</f>
        <v>BUENOS AIRES</v>
      </c>
      <c r="T55" s="33"/>
    </row>
    <row r="56" spans="2:20">
      <c r="B56" s="239" t="s">
        <v>2361</v>
      </c>
      <c r="C56" s="240">
        <v>1</v>
      </c>
      <c r="D56" s="241">
        <v>8</v>
      </c>
      <c r="E56" s="257">
        <v>1694</v>
      </c>
      <c r="F56" s="242">
        <v>20277381908</v>
      </c>
      <c r="G56" s="243" t="str">
        <f>IFERROR(IF(compras_mes8[[#This Row],[CUIT]]="","-",VLOOKUP(compras_mes8[[#This Row],[CUIT]],Lista_CUIT[#All],2,0)),"CUIT NO CARGADO")</f>
        <v>ALONSO RODRIGO JAVIER</v>
      </c>
      <c r="H56" s="244">
        <v>11074.38</v>
      </c>
      <c r="I56" s="245">
        <f>IF(compras_mes8[[#This Row],[NETO GRAVADO]]="","",compras_mes8[[#This Row],[NETO GRAVADO]]*0.21)</f>
        <v>2325.6197999999999</v>
      </c>
      <c r="J56" s="245"/>
      <c r="K56" s="245"/>
      <c r="L56" s="245"/>
      <c r="M56" s="245"/>
      <c r="N56" s="245"/>
      <c r="O56" s="245"/>
      <c r="P56" s="246">
        <f>SUM(compras_mes8[[#This Row],[NETO GRAVADO]:[Otros / No Grav.]])</f>
        <v>13399.9998</v>
      </c>
      <c r="Q56" s="243" t="str">
        <f>IFERROR(IF(compras_mes8[[#This Row],[CUIT]]="","-",VLOOKUP(compras_mes8[[#This Row],[CUIT]],Lista_CUIT[#All],3,0)),"CUIT NO CARGADO")</f>
        <v>Gastos Varios</v>
      </c>
      <c r="R56" s="247">
        <f>IFERROR(IF(compras_mes8[[#This Row],[CUIT]]="","-",VLOOKUP(compras_mes8[[#This Row],[CUIT]],Lista_CUIT[#All],4,0)),"CUIT NO CARGADO")</f>
        <v>0</v>
      </c>
      <c r="T56" s="33"/>
    </row>
    <row r="57" spans="2:20">
      <c r="B57" s="239" t="s">
        <v>2362</v>
      </c>
      <c r="C57" s="240">
        <v>1</v>
      </c>
      <c r="D57" s="241">
        <v>4000</v>
      </c>
      <c r="E57" s="257">
        <v>67</v>
      </c>
      <c r="F57" s="242">
        <v>30548083156</v>
      </c>
      <c r="G57" s="243" t="str">
        <f>IFERROR(IF(compras_mes8[[#This Row],[CUIT]]="","-",VLOOKUP(compras_mes8[[#This Row],[CUIT]],Lista_CUIT[#All],2,0)),"CUIT NO CARGADO")</f>
        <v>COTO CENTRO INTEGRAL DE COMERCIALIZACION SOCIEDAD ANONIMA</v>
      </c>
      <c r="H57" s="244">
        <v>44780.93</v>
      </c>
      <c r="I57" s="245">
        <f>40425.57*0.21</f>
        <v>8489.3696999999993</v>
      </c>
      <c r="J57" s="245"/>
      <c r="K57" s="245">
        <f>4355.36*0.105</f>
        <v>457.31279999999992</v>
      </c>
      <c r="L57" s="245"/>
      <c r="M57" s="245"/>
      <c r="N57" s="245"/>
      <c r="O57" s="245">
        <v>3936.16</v>
      </c>
      <c r="P57" s="494">
        <f>SUM(compras_mes8[[#This Row],[NETO GRAVADO]:[Otros / No Grav.]])</f>
        <v>57663.772500000006</v>
      </c>
      <c r="Q57" s="243" t="str">
        <f>IFERROR(IF(compras_mes8[[#This Row],[CUIT]]="","-",VLOOKUP(compras_mes8[[#This Row],[CUIT]],Lista_CUIT[#All],3,0)),"CUIT NO CARGADO")</f>
        <v>Gastos Varios</v>
      </c>
      <c r="R57" s="247">
        <f>IFERROR(IF(compras_mes8[[#This Row],[CUIT]]="","-",VLOOKUP(compras_mes8[[#This Row],[CUIT]],Lista_CUIT[#All],4,0)),"CUIT NO CARGADO")</f>
        <v>0</v>
      </c>
      <c r="T57" s="33"/>
    </row>
    <row r="58" spans="2:20">
      <c r="B58" s="239" t="s">
        <v>2363</v>
      </c>
      <c r="C58" s="240">
        <v>1</v>
      </c>
      <c r="D58" s="241">
        <v>2199</v>
      </c>
      <c r="E58" s="257">
        <v>30958</v>
      </c>
      <c r="F58" s="242">
        <v>30548083156</v>
      </c>
      <c r="G58" s="243" t="str">
        <f>IFERROR(IF(compras_mes8[[#This Row],[CUIT]]="","-",VLOOKUP(compras_mes8[[#This Row],[CUIT]],Lista_CUIT[#All],2,0)),"CUIT NO CARGADO")</f>
        <v>COTO CENTRO INTEGRAL DE COMERCIALIZACION SOCIEDAD ANONIMA</v>
      </c>
      <c r="H58" s="244">
        <v>46467.69</v>
      </c>
      <c r="I58" s="245">
        <f>38060.2*0.21</f>
        <v>7992.6419999999989</v>
      </c>
      <c r="J58" s="245"/>
      <c r="K58" s="245">
        <f>8407.49*0.105</f>
        <v>882.78644999999995</v>
      </c>
      <c r="L58" s="245"/>
      <c r="M58" s="245"/>
      <c r="N58" s="245"/>
      <c r="O58" s="245">
        <v>3649.73</v>
      </c>
      <c r="P58" s="494">
        <f>SUM(compras_mes8[[#This Row],[NETO GRAVADO]:[Otros / No Grav.]])</f>
        <v>58992.848450000005</v>
      </c>
      <c r="Q58" s="243" t="str">
        <f>IFERROR(IF(compras_mes8[[#This Row],[CUIT]]="","-",VLOOKUP(compras_mes8[[#This Row],[CUIT]],Lista_CUIT[#All],3,0)),"CUIT NO CARGADO")</f>
        <v>Gastos Varios</v>
      </c>
      <c r="R58" s="247">
        <f>IFERROR(IF(compras_mes8[[#This Row],[CUIT]]="","-",VLOOKUP(compras_mes8[[#This Row],[CUIT]],Lista_CUIT[#All],4,0)),"CUIT NO CARGADO")</f>
        <v>0</v>
      </c>
      <c r="T58" s="33"/>
    </row>
    <row r="59" spans="2:20">
      <c r="B59" s="239" t="s">
        <v>2364</v>
      </c>
      <c r="C59" s="240">
        <v>1</v>
      </c>
      <c r="D59" s="241">
        <v>7</v>
      </c>
      <c r="E59" s="257">
        <v>2870</v>
      </c>
      <c r="F59" s="242">
        <v>20134664518</v>
      </c>
      <c r="G59" s="243" t="str">
        <f>IFERROR(IF(compras_mes8[[#This Row],[CUIT]]="","-",VLOOKUP(compras_mes8[[#This Row],[CUIT]],Lista_CUIT[#All],2,0)),"CUIT NO CARGADO")</f>
        <v>HOKAMA SERGIO ENRIQUE</v>
      </c>
      <c r="H59" s="244">
        <v>15552.9</v>
      </c>
      <c r="I59" s="245">
        <f>IF(compras_mes8[[#This Row],[NETO GRAVADO]]="","",compras_mes8[[#This Row],[NETO GRAVADO]]*0.21)</f>
        <v>3266.1089999999999</v>
      </c>
      <c r="J59" s="245"/>
      <c r="K59" s="245"/>
      <c r="L59" s="245"/>
      <c r="M59" s="245"/>
      <c r="N59" s="245"/>
      <c r="O59" s="245"/>
      <c r="P59" s="494">
        <f>SUM(compras_mes8[[#This Row],[NETO GRAVADO]:[Otros / No Grav.]])</f>
        <v>18819.008999999998</v>
      </c>
      <c r="Q59" s="243" t="str">
        <f>IFERROR(IF(compras_mes8[[#This Row],[CUIT]]="","-",VLOOKUP(compras_mes8[[#This Row],[CUIT]],Lista_CUIT[#All],3,0)),"CUIT NO CARGADO")</f>
        <v>Gastos Varios</v>
      </c>
      <c r="R59" s="247" t="str">
        <f>IFERROR(IF(compras_mes8[[#This Row],[CUIT]]="","-",VLOOKUP(compras_mes8[[#This Row],[CUIT]],Lista_CUIT[#All],4,0)),"CUIT NO CARGADO")</f>
        <v>BUENOS AIRES</v>
      </c>
      <c r="T59" s="33"/>
    </row>
    <row r="60" spans="2:20">
      <c r="B60" s="239" t="s">
        <v>2370</v>
      </c>
      <c r="C60" s="240">
        <v>1</v>
      </c>
      <c r="D60" s="241">
        <v>2199</v>
      </c>
      <c r="E60" s="257">
        <v>31104</v>
      </c>
      <c r="F60" s="242">
        <v>30548083156</v>
      </c>
      <c r="G60" s="243" t="str">
        <f>IFERROR(IF(compras_mes8[[#This Row],[CUIT]]="","-",VLOOKUP(compras_mes8[[#This Row],[CUIT]],Lista_CUIT[#All],2,0)),"CUIT NO CARGADO")</f>
        <v>COTO CENTRO INTEGRAL DE COMERCIALIZACION SOCIEDAD ANONIMA</v>
      </c>
      <c r="H60" s="244">
        <v>26372.91</v>
      </c>
      <c r="I60" s="245">
        <f>24552.71*0.21</f>
        <v>5156.0690999999997</v>
      </c>
      <c r="J60" s="245"/>
      <c r="K60" s="245">
        <f>1820.2*0.105</f>
        <v>191.12100000000001</v>
      </c>
      <c r="L60" s="245"/>
      <c r="M60" s="245"/>
      <c r="N60" s="245"/>
      <c r="O60" s="245">
        <v>2209.7399999999998</v>
      </c>
      <c r="P60" s="494">
        <f>SUM(compras_mes8[[#This Row],[NETO GRAVADO]:[Otros / No Grav.]])</f>
        <v>33929.840100000001</v>
      </c>
      <c r="Q60" s="243" t="str">
        <f>IFERROR(IF(compras_mes8[[#This Row],[CUIT]]="","-",VLOOKUP(compras_mes8[[#This Row],[CUIT]],Lista_CUIT[#All],3,0)),"CUIT NO CARGADO")</f>
        <v>Gastos Varios</v>
      </c>
      <c r="R60" s="247">
        <f>IFERROR(IF(compras_mes8[[#This Row],[CUIT]]="","-",VLOOKUP(compras_mes8[[#This Row],[CUIT]],Lista_CUIT[#All],4,0)),"CUIT NO CARGADO")</f>
        <v>0</v>
      </c>
      <c r="T60" s="33"/>
    </row>
    <row r="61" spans="2:20">
      <c r="B61" s="239" t="s">
        <v>2373</v>
      </c>
      <c r="C61" s="240">
        <v>1</v>
      </c>
      <c r="D61" s="241">
        <v>5</v>
      </c>
      <c r="E61" s="257">
        <v>4777</v>
      </c>
      <c r="F61" s="242">
        <v>30718509552</v>
      </c>
      <c r="G61" s="243" t="str">
        <f>IFERROR(IF(compras_mes8[[#This Row],[CUIT]]="","-",VLOOKUP(compras_mes8[[#This Row],[CUIT]],Lista_CUIT[#All],2,0)),"CUIT NO CARGADO")</f>
        <v>SEDAFE</v>
      </c>
      <c r="H61" s="244">
        <v>32706.61</v>
      </c>
      <c r="I61" s="245">
        <f>IF(compras_mes8[[#This Row],[NETO GRAVADO]]="","",compras_mes8[[#This Row],[NETO GRAVADO]]*0.21)</f>
        <v>6868.3881000000001</v>
      </c>
      <c r="J61" s="245"/>
      <c r="K61" s="245"/>
      <c r="L61" s="245"/>
      <c r="M61" s="245"/>
      <c r="N61" s="245"/>
      <c r="O61" s="245"/>
      <c r="P61" s="494">
        <f>SUM(compras_mes8[[#This Row],[NETO GRAVADO]:[Otros / No Grav.]])</f>
        <v>39574.998099999997</v>
      </c>
      <c r="Q61" s="243" t="str">
        <f>IFERROR(IF(compras_mes8[[#This Row],[CUIT]]="","-",VLOOKUP(compras_mes8[[#This Row],[CUIT]],Lista_CUIT[#All],3,0)),"CUIT NO CARGADO")</f>
        <v>Gastos Varios</v>
      </c>
      <c r="R61" s="247">
        <f>IFERROR(IF(compras_mes8[[#This Row],[CUIT]]="","-",VLOOKUP(compras_mes8[[#This Row],[CUIT]],Lista_CUIT[#All],4,0)),"CUIT NO CARGADO")</f>
        <v>0</v>
      </c>
      <c r="T61" s="33"/>
    </row>
    <row r="62" spans="2:20">
      <c r="B62" s="239" t="s">
        <v>2373</v>
      </c>
      <c r="C62" s="240">
        <v>1</v>
      </c>
      <c r="D62" s="241">
        <v>2</v>
      </c>
      <c r="E62" s="257">
        <v>8538</v>
      </c>
      <c r="F62" s="242">
        <v>30714284963</v>
      </c>
      <c r="G62" s="243" t="str">
        <f>IFERROR(IF(compras_mes8[[#This Row],[CUIT]]="","-",VLOOKUP(compras_mes8[[#This Row],[CUIT]],Lista_CUIT[#All],2,0)),"CUIT NO CARGADO")</f>
        <v>ENGYMAN SRL</v>
      </c>
      <c r="H62" s="244">
        <v>266100</v>
      </c>
      <c r="I62" s="245">
        <f>IF(compras_mes8[[#This Row],[NETO GRAVADO]]="","",compras_mes8[[#This Row],[NETO GRAVADO]]*0.21)</f>
        <v>55881</v>
      </c>
      <c r="J62" s="245"/>
      <c r="K62" s="245"/>
      <c r="L62" s="245"/>
      <c r="M62" s="245"/>
      <c r="N62" s="245"/>
      <c r="O62" s="245"/>
      <c r="P62" s="494">
        <f>SUM(compras_mes8[[#This Row],[NETO GRAVADO]:[Otros / No Grav.]])</f>
        <v>321981</v>
      </c>
      <c r="Q62" s="243" t="str">
        <f>IFERROR(IF(compras_mes8[[#This Row],[CUIT]]="","-",VLOOKUP(compras_mes8[[#This Row],[CUIT]],Lista_CUIT[#All],3,0)),"CUIT NO CARGADO")</f>
        <v>Gastos Varios</v>
      </c>
      <c r="R62" s="247">
        <f>IFERROR(IF(compras_mes8[[#This Row],[CUIT]]="","-",VLOOKUP(compras_mes8[[#This Row],[CUIT]],Lista_CUIT[#All],4,0)),"CUIT NO CARGADO")</f>
        <v>0</v>
      </c>
      <c r="T62" s="33"/>
    </row>
    <row r="63" spans="2:20">
      <c r="B63" s="239" t="s">
        <v>2374</v>
      </c>
      <c r="C63" s="240">
        <v>1</v>
      </c>
      <c r="D63" s="241">
        <v>1678</v>
      </c>
      <c r="E63" s="257">
        <v>44064</v>
      </c>
      <c r="F63" s="242">
        <v>30589621499</v>
      </c>
      <c r="G63" s="243" t="str">
        <f>IFERROR(IF(compras_mes8[[#This Row],[CUIT]]="","-",VLOOKUP(compras_mes8[[#This Row],[CUIT]],Lista_CUIT[#All],2,0)),"CUIT NO CARGADO")</f>
        <v>MAKRO SA</v>
      </c>
      <c r="H63" s="244">
        <v>103931.81</v>
      </c>
      <c r="I63" s="245">
        <f>75704.02*0.21</f>
        <v>15897.8442</v>
      </c>
      <c r="J63" s="245"/>
      <c r="K63" s="245">
        <f>28227.79*0.105</f>
        <v>2963.91795</v>
      </c>
      <c r="L63" s="245">
        <v>2694.54</v>
      </c>
      <c r="M63" s="245"/>
      <c r="N63" s="245">
        <v>6235.91</v>
      </c>
      <c r="O63" s="245">
        <v>120</v>
      </c>
      <c r="P63" s="494">
        <f>SUM(compras_mes8[[#This Row],[NETO GRAVADO]:[Otros / No Grav.]])</f>
        <v>131844.02214999998</v>
      </c>
      <c r="Q63" s="243" t="str">
        <f>IFERROR(IF(compras_mes8[[#This Row],[CUIT]]="","-",VLOOKUP(compras_mes8[[#This Row],[CUIT]],Lista_CUIT[#All],3,0)),"CUIT NO CARGADO")</f>
        <v>Gastos Varios</v>
      </c>
      <c r="R63" s="247">
        <f>IFERROR(IF(compras_mes8[[#This Row],[CUIT]]="","-",VLOOKUP(compras_mes8[[#This Row],[CUIT]],Lista_CUIT[#All],4,0)),"CUIT NO CARGADO")</f>
        <v>0</v>
      </c>
      <c r="T63" s="33"/>
    </row>
    <row r="64" spans="2:20">
      <c r="B64" s="239" t="s">
        <v>2375</v>
      </c>
      <c r="C64" s="240">
        <v>1</v>
      </c>
      <c r="D64" s="241">
        <v>7</v>
      </c>
      <c r="E64" s="257">
        <v>2897</v>
      </c>
      <c r="F64" s="242">
        <v>20134664518</v>
      </c>
      <c r="G64" s="243" t="str">
        <f>IFERROR(IF(compras_mes8[[#This Row],[CUIT]]="","-",VLOOKUP(compras_mes8[[#This Row],[CUIT]],Lista_CUIT[#All],2,0)),"CUIT NO CARGADO")</f>
        <v>HOKAMA SERGIO ENRIQUE</v>
      </c>
      <c r="H64" s="244">
        <v>42635.63</v>
      </c>
      <c r="I64" s="245">
        <f>IF(compras_mes8[[#This Row],[NETO GRAVADO]]="","",compras_mes8[[#This Row],[NETO GRAVADO]]*0.21)</f>
        <v>8953.4822999999997</v>
      </c>
      <c r="J64" s="245"/>
      <c r="K64" s="245"/>
      <c r="L64" s="245"/>
      <c r="M64" s="245"/>
      <c r="N64" s="245"/>
      <c r="O64" s="245"/>
      <c r="P64" s="494">
        <f>SUM(compras_mes8[[#This Row],[NETO GRAVADO]:[Otros / No Grav.]])</f>
        <v>51589.112299999993</v>
      </c>
      <c r="Q64" s="243" t="str">
        <f>IFERROR(IF(compras_mes8[[#This Row],[CUIT]]="","-",VLOOKUP(compras_mes8[[#This Row],[CUIT]],Lista_CUIT[#All],3,0)),"CUIT NO CARGADO")</f>
        <v>Gastos Varios</v>
      </c>
      <c r="R64" s="247" t="str">
        <f>IFERROR(IF(compras_mes8[[#This Row],[CUIT]]="","-",VLOOKUP(compras_mes8[[#This Row],[CUIT]],Lista_CUIT[#All],4,0)),"CUIT NO CARGADO")</f>
        <v>BUENOS AIRES</v>
      </c>
      <c r="T64" s="33"/>
    </row>
    <row r="65" spans="2:20">
      <c r="B65" s="239" t="s">
        <v>2376</v>
      </c>
      <c r="C65" s="240">
        <v>1</v>
      </c>
      <c r="D65" s="241">
        <v>2188</v>
      </c>
      <c r="E65" s="257">
        <v>127302</v>
      </c>
      <c r="F65" s="242">
        <v>30548083156</v>
      </c>
      <c r="G65" s="243" t="str">
        <f>IFERROR(IF(compras_mes8[[#This Row],[CUIT]]="","-",VLOOKUP(compras_mes8[[#This Row],[CUIT]],Lista_CUIT[#All],2,0)),"CUIT NO CARGADO")</f>
        <v>COTO CENTRO INTEGRAL DE COMERCIALIZACION SOCIEDAD ANONIMA</v>
      </c>
      <c r="H65" s="244">
        <v>67623.09</v>
      </c>
      <c r="I65" s="245">
        <f>53465.99*0.21</f>
        <v>11227.857899999999</v>
      </c>
      <c r="J65" s="245"/>
      <c r="K65" s="245">
        <f>14157.1*0.105</f>
        <v>1486.4955</v>
      </c>
      <c r="L65" s="245"/>
      <c r="M65" s="245"/>
      <c r="N65" s="245"/>
      <c r="O65" s="245">
        <v>5040.8100000000004</v>
      </c>
      <c r="P65" s="494">
        <f>SUM(compras_mes8[[#This Row],[NETO GRAVADO]:[Otros / No Grav.]])</f>
        <v>85378.253400000001</v>
      </c>
      <c r="Q65" s="243" t="str">
        <f>IFERROR(IF(compras_mes8[[#This Row],[CUIT]]="","-",VLOOKUP(compras_mes8[[#This Row],[CUIT]],Lista_CUIT[#All],3,0)),"CUIT NO CARGADO")</f>
        <v>Gastos Varios</v>
      </c>
      <c r="R65" s="247">
        <f>IFERROR(IF(compras_mes8[[#This Row],[CUIT]]="","-",VLOOKUP(compras_mes8[[#This Row],[CUIT]],Lista_CUIT[#All],4,0)),"CUIT NO CARGADO")</f>
        <v>0</v>
      </c>
      <c r="T65" s="33"/>
    </row>
    <row r="66" spans="2:20">
      <c r="B66" s="239" t="s">
        <v>2376</v>
      </c>
      <c r="C66" s="240">
        <v>1</v>
      </c>
      <c r="D66" s="241">
        <v>2</v>
      </c>
      <c r="E66" s="257">
        <v>8253</v>
      </c>
      <c r="F66" s="242">
        <v>23180288899</v>
      </c>
      <c r="G66" s="243" t="str">
        <f>IFERROR(IF(compras_mes8[[#This Row],[CUIT]]="","-",VLOOKUP(compras_mes8[[#This Row],[CUIT]],Lista_CUIT[#All],2,0)),"CUIT NO CARGADO")</f>
        <v>ROMERO EMILIO</v>
      </c>
      <c r="H66" s="244">
        <v>3510000</v>
      </c>
      <c r="I66" s="245">
        <f>IF(compras_mes8[[#This Row],[NETO GRAVADO]]="","",compras_mes8[[#This Row],[NETO GRAVADO]]*0.21)</f>
        <v>737100</v>
      </c>
      <c r="J66" s="245"/>
      <c r="K66" s="245"/>
      <c r="L66" s="245"/>
      <c r="M66" s="245"/>
      <c r="N66" s="245"/>
      <c r="O66" s="245">
        <v>105300</v>
      </c>
      <c r="P66" s="494">
        <f>SUM(compras_mes8[[#This Row],[NETO GRAVADO]:[Otros / No Grav.]])</f>
        <v>4352400</v>
      </c>
      <c r="Q66" s="243" t="str">
        <f>IFERROR(IF(compras_mes8[[#This Row],[CUIT]]="","-",VLOOKUP(compras_mes8[[#This Row],[CUIT]],Lista_CUIT[#All],3,0)),"CUIT NO CARGADO")</f>
        <v>Gastos Varios</v>
      </c>
      <c r="R66" s="247">
        <f>IFERROR(IF(compras_mes8[[#This Row],[CUIT]]="","-",VLOOKUP(compras_mes8[[#This Row],[CUIT]],Lista_CUIT[#All],4,0)),"CUIT NO CARGADO")</f>
        <v>0</v>
      </c>
      <c r="T66" s="33"/>
    </row>
    <row r="67" spans="2:20">
      <c r="B67" s="239" t="s">
        <v>2376</v>
      </c>
      <c r="C67" s="240">
        <v>1</v>
      </c>
      <c r="D67" s="241">
        <v>2</v>
      </c>
      <c r="E67" s="257">
        <v>8262</v>
      </c>
      <c r="F67" s="242">
        <v>23180288899</v>
      </c>
      <c r="G67" s="243" t="str">
        <f>IFERROR(IF(compras_mes8[[#This Row],[CUIT]]="","-",VLOOKUP(compras_mes8[[#This Row],[CUIT]],Lista_CUIT[#All],2,0)),"CUIT NO CARGADO")</f>
        <v>ROMERO EMILIO</v>
      </c>
      <c r="H67" s="244">
        <v>3510000</v>
      </c>
      <c r="I67" s="245">
        <f>IF(compras_mes8[[#This Row],[NETO GRAVADO]]="","",compras_mes8[[#This Row],[NETO GRAVADO]]*0.21)</f>
        <v>737100</v>
      </c>
      <c r="J67" s="245"/>
      <c r="K67" s="245"/>
      <c r="L67" s="245"/>
      <c r="M67" s="245"/>
      <c r="N67" s="245"/>
      <c r="O67" s="245"/>
      <c r="P67" s="494">
        <f>SUM(compras_mes8[[#This Row],[NETO GRAVADO]:[Otros / No Grav.]])</f>
        <v>4247100</v>
      </c>
      <c r="Q67" s="243" t="str">
        <f>IFERROR(IF(compras_mes8[[#This Row],[CUIT]]="","-",VLOOKUP(compras_mes8[[#This Row],[CUIT]],Lista_CUIT[#All],3,0)),"CUIT NO CARGADO")</f>
        <v>Gastos Varios</v>
      </c>
      <c r="R67" s="247">
        <f>IFERROR(IF(compras_mes8[[#This Row],[CUIT]]="","-",VLOOKUP(compras_mes8[[#This Row],[CUIT]],Lista_CUIT[#All],4,0)),"CUIT NO CARGADO")</f>
        <v>0</v>
      </c>
      <c r="T67" s="33"/>
    </row>
    <row r="68" spans="2:20">
      <c r="B68" s="239" t="s">
        <v>2376</v>
      </c>
      <c r="C68" s="240">
        <v>3</v>
      </c>
      <c r="D68" s="241">
        <v>2</v>
      </c>
      <c r="E68" s="257">
        <v>132</v>
      </c>
      <c r="F68" s="242">
        <v>23180288899</v>
      </c>
      <c r="G68" s="243" t="str">
        <f>IFERROR(IF(compras_mes8[[#This Row],[CUIT]]="","-",VLOOKUP(compras_mes8[[#This Row],[CUIT]],Lista_CUIT[#All],2,0)),"CUIT NO CARGADO")</f>
        <v>ROMERO EMILIO</v>
      </c>
      <c r="H68" s="244">
        <v>-3510000</v>
      </c>
      <c r="I68" s="245">
        <f>IF(compras_mes8[[#This Row],[NETO GRAVADO]]="","",compras_mes8[[#This Row],[NETO GRAVADO]]*0.21)</f>
        <v>-737100</v>
      </c>
      <c r="J68" s="245"/>
      <c r="K68" s="245"/>
      <c r="L68" s="245"/>
      <c r="M68" s="245"/>
      <c r="N68" s="245"/>
      <c r="O68" s="245"/>
      <c r="P68" s="494">
        <f>SUM(compras_mes8[[#This Row],[NETO GRAVADO]:[Otros / No Grav.]])</f>
        <v>-4247100</v>
      </c>
      <c r="Q68" s="243" t="str">
        <f>IFERROR(IF(compras_mes8[[#This Row],[CUIT]]="","-",VLOOKUP(compras_mes8[[#This Row],[CUIT]],Lista_CUIT[#All],3,0)),"CUIT NO CARGADO")</f>
        <v>Gastos Varios</v>
      </c>
      <c r="R68" s="247">
        <f>IFERROR(IF(compras_mes8[[#This Row],[CUIT]]="","-",VLOOKUP(compras_mes8[[#This Row],[CUIT]],Lista_CUIT[#All],4,0)),"CUIT NO CARGADO")</f>
        <v>0</v>
      </c>
      <c r="T68" s="33"/>
    </row>
    <row r="69" spans="2:20">
      <c r="B69" s="239" t="s">
        <v>2377</v>
      </c>
      <c r="C69" s="240">
        <v>1</v>
      </c>
      <c r="D69" s="241">
        <v>2215</v>
      </c>
      <c r="E69" s="257">
        <v>45732</v>
      </c>
      <c r="F69" s="242">
        <v>30548083156</v>
      </c>
      <c r="G69" s="243" t="str">
        <f>IFERROR(IF(compras_mes8[[#This Row],[CUIT]]="","-",VLOOKUP(compras_mes8[[#This Row],[CUIT]],Lista_CUIT[#All],2,0)),"CUIT NO CARGADO")</f>
        <v>COTO CENTRO INTEGRAL DE COMERCIALIZACION SOCIEDAD ANONIMA</v>
      </c>
      <c r="H69" s="244">
        <v>77861.56</v>
      </c>
      <c r="I69" s="245">
        <f>64704.95*0.21</f>
        <v>13588.039499999999</v>
      </c>
      <c r="J69" s="245"/>
      <c r="K69" s="245">
        <f>13156.61*0.105</f>
        <v>1381.4440500000001</v>
      </c>
      <c r="L69" s="245"/>
      <c r="M69" s="245"/>
      <c r="N69" s="245"/>
      <c r="O69" s="245">
        <v>6054.54</v>
      </c>
      <c r="P69" s="494">
        <f>SUM(compras_mes8[[#This Row],[NETO GRAVADO]:[Otros / No Grav.]])</f>
        <v>98885.583549999996</v>
      </c>
      <c r="Q69" s="243" t="str">
        <f>IFERROR(IF(compras_mes8[[#This Row],[CUIT]]="","-",VLOOKUP(compras_mes8[[#This Row],[CUIT]],Lista_CUIT[#All],3,0)),"CUIT NO CARGADO")</f>
        <v>Gastos Varios</v>
      </c>
      <c r="R69" s="247">
        <f>IFERROR(IF(compras_mes8[[#This Row],[CUIT]]="","-",VLOOKUP(compras_mes8[[#This Row],[CUIT]],Lista_CUIT[#All],4,0)),"CUIT NO CARGADO")</f>
        <v>0</v>
      </c>
      <c r="T69" s="33"/>
    </row>
    <row r="70" spans="2:20">
      <c r="B70" s="239" t="s">
        <v>2377</v>
      </c>
      <c r="C70" s="240">
        <v>1</v>
      </c>
      <c r="D70" s="241">
        <v>8</v>
      </c>
      <c r="E70" s="257">
        <v>364</v>
      </c>
      <c r="F70" s="242">
        <v>20134664518</v>
      </c>
      <c r="G70" s="243" t="str">
        <f>IFERROR(IF(compras_mes8[[#This Row],[CUIT]]="","-",VLOOKUP(compras_mes8[[#This Row],[CUIT]],Lista_CUIT[#All],2,0)),"CUIT NO CARGADO")</f>
        <v>HOKAMA SERGIO ENRIQUE</v>
      </c>
      <c r="H70" s="244">
        <v>6990.08</v>
      </c>
      <c r="I70" s="245">
        <f>IF(compras_mes8[[#This Row],[NETO GRAVADO]]="","",compras_mes8[[#This Row],[NETO GRAVADO]]*0.21)</f>
        <v>1467.9168</v>
      </c>
      <c r="J70" s="245"/>
      <c r="K70" s="245"/>
      <c r="L70" s="245"/>
      <c r="M70" s="245"/>
      <c r="N70" s="245"/>
      <c r="O70" s="245"/>
      <c r="P70" s="494">
        <f>SUM(compras_mes8[[#This Row],[NETO GRAVADO]:[Otros / No Grav.]])</f>
        <v>8457.9968000000008</v>
      </c>
      <c r="Q70" s="243" t="str">
        <f>IFERROR(IF(compras_mes8[[#This Row],[CUIT]]="","-",VLOOKUP(compras_mes8[[#This Row],[CUIT]],Lista_CUIT[#All],3,0)),"CUIT NO CARGADO")</f>
        <v>Gastos Varios</v>
      </c>
      <c r="R70" s="247" t="str">
        <f>IFERROR(IF(compras_mes8[[#This Row],[CUIT]]="","-",VLOOKUP(compras_mes8[[#This Row],[CUIT]],Lista_CUIT[#All],4,0)),"CUIT NO CARGADO")</f>
        <v>BUENOS AIRES</v>
      </c>
      <c r="T70" s="33"/>
    </row>
    <row r="71" spans="2:20">
      <c r="B71" s="239" t="s">
        <v>2380</v>
      </c>
      <c r="C71" s="240">
        <v>1</v>
      </c>
      <c r="D71" s="241">
        <v>1678</v>
      </c>
      <c r="E71" s="257">
        <v>44527</v>
      </c>
      <c r="F71" s="242">
        <v>30589621499</v>
      </c>
      <c r="G71" s="243" t="str">
        <f>IFERROR(IF(compras_mes8[[#This Row],[CUIT]]="","-",VLOOKUP(compras_mes8[[#This Row],[CUIT]],Lista_CUIT[#All],2,0)),"CUIT NO CARGADO")</f>
        <v>MAKRO SA</v>
      </c>
      <c r="H71" s="244">
        <v>58827.08</v>
      </c>
      <c r="I71" s="245">
        <f>57380.92*0.21</f>
        <v>12049.993199999999</v>
      </c>
      <c r="J71" s="245"/>
      <c r="K71" s="245">
        <f>1446.16*0.105</f>
        <v>151.8468</v>
      </c>
      <c r="L71" s="245">
        <v>1743.12</v>
      </c>
      <c r="M71" s="245"/>
      <c r="N71" s="245">
        <v>3529.62</v>
      </c>
      <c r="O71" s="245"/>
      <c r="P71" s="494">
        <f>SUM(compras_mes8[[#This Row],[NETO GRAVADO]:[Otros / No Grav.]])</f>
        <v>76301.659999999989</v>
      </c>
      <c r="Q71" s="243" t="str">
        <f>IFERROR(IF(compras_mes8[[#This Row],[CUIT]]="","-",VLOOKUP(compras_mes8[[#This Row],[CUIT]],Lista_CUIT[#All],3,0)),"CUIT NO CARGADO")</f>
        <v>Gastos Varios</v>
      </c>
      <c r="R71" s="247">
        <f>IFERROR(IF(compras_mes8[[#This Row],[CUIT]]="","-",VLOOKUP(compras_mes8[[#This Row],[CUIT]],Lista_CUIT[#All],4,0)),"CUIT NO CARGADO")</f>
        <v>0</v>
      </c>
      <c r="T71" s="33"/>
    </row>
    <row r="72" spans="2:20">
      <c r="B72" s="239" t="s">
        <v>2382</v>
      </c>
      <c r="C72" s="240">
        <v>1</v>
      </c>
      <c r="D72" s="241">
        <v>2188</v>
      </c>
      <c r="E72" s="257">
        <v>127906</v>
      </c>
      <c r="F72" s="242">
        <v>30548083156</v>
      </c>
      <c r="G72" s="243" t="str">
        <f>IFERROR(IF(compras_mes8[[#This Row],[CUIT]]="","-",VLOOKUP(compras_mes8[[#This Row],[CUIT]],Lista_CUIT[#All],2,0)),"CUIT NO CARGADO")</f>
        <v>COTO CENTRO INTEGRAL DE COMERCIALIZACION SOCIEDAD ANONIMA</v>
      </c>
      <c r="H72" s="244">
        <v>64008.38</v>
      </c>
      <c r="I72" s="245">
        <f>35440.24*0.21</f>
        <v>7442.4503999999997</v>
      </c>
      <c r="J72" s="245"/>
      <c r="K72" s="245">
        <f>28568.14*0.105</f>
        <v>2999.6547</v>
      </c>
      <c r="L72" s="245"/>
      <c r="M72" s="245"/>
      <c r="N72" s="245"/>
      <c r="O72" s="245">
        <v>4430.16</v>
      </c>
      <c r="P72" s="494">
        <f>SUM(compras_mes8[[#This Row],[NETO GRAVADO]:[Otros / No Grav.]])</f>
        <v>78880.645099999994</v>
      </c>
      <c r="Q72" s="243" t="str">
        <f>IFERROR(IF(compras_mes8[[#This Row],[CUIT]]="","-",VLOOKUP(compras_mes8[[#This Row],[CUIT]],Lista_CUIT[#All],3,0)),"CUIT NO CARGADO")</f>
        <v>Gastos Varios</v>
      </c>
      <c r="R72" s="247">
        <f>IFERROR(IF(compras_mes8[[#This Row],[CUIT]]="","-",VLOOKUP(compras_mes8[[#This Row],[CUIT]],Lista_CUIT[#All],4,0)),"CUIT NO CARGADO")</f>
        <v>0</v>
      </c>
      <c r="T72" s="33"/>
    </row>
    <row r="73" spans="2:20">
      <c r="B73" s="239" t="s">
        <v>2383</v>
      </c>
      <c r="C73" s="240">
        <v>1</v>
      </c>
      <c r="D73" s="241">
        <v>2199</v>
      </c>
      <c r="E73" s="257">
        <v>31428</v>
      </c>
      <c r="F73" s="242">
        <v>30548083156</v>
      </c>
      <c r="G73" s="243" t="str">
        <f>IFERROR(IF(compras_mes8[[#This Row],[CUIT]]="","-",VLOOKUP(compras_mes8[[#This Row],[CUIT]],Lista_CUIT[#All],2,0)),"CUIT NO CARGADO")</f>
        <v>COTO CENTRO INTEGRAL DE COMERCIALIZACION SOCIEDAD ANONIMA</v>
      </c>
      <c r="H73" s="244">
        <v>35801.53</v>
      </c>
      <c r="I73" s="245">
        <f>33480.21*0.21</f>
        <v>7030.8440999999993</v>
      </c>
      <c r="J73" s="245"/>
      <c r="K73" s="245">
        <f>2321.32*0.105</f>
        <v>243.73860000000002</v>
      </c>
      <c r="L73" s="245"/>
      <c r="M73" s="245"/>
      <c r="N73" s="245"/>
      <c r="O73" s="245">
        <v>2949.52</v>
      </c>
      <c r="P73" s="494">
        <f>SUM(compras_mes8[[#This Row],[NETO GRAVADO]:[Otros / No Grav.]])</f>
        <v>46025.632699999995</v>
      </c>
      <c r="Q73" s="243" t="str">
        <f>IFERROR(IF(compras_mes8[[#This Row],[CUIT]]="","-",VLOOKUP(compras_mes8[[#This Row],[CUIT]],Lista_CUIT[#All],3,0)),"CUIT NO CARGADO")</f>
        <v>Gastos Varios</v>
      </c>
      <c r="R73" s="247">
        <f>IFERROR(IF(compras_mes8[[#This Row],[CUIT]]="","-",VLOOKUP(compras_mes8[[#This Row],[CUIT]],Lista_CUIT[#All],4,0)),"CUIT NO CARGADO")</f>
        <v>0</v>
      </c>
      <c r="T73" s="33"/>
    </row>
    <row r="74" spans="2:20">
      <c r="B74" s="239" t="s">
        <v>2387</v>
      </c>
      <c r="C74" s="41">
        <v>1</v>
      </c>
      <c r="D74" s="241">
        <v>4</v>
      </c>
      <c r="E74" s="257">
        <v>1423</v>
      </c>
      <c r="F74" s="242">
        <v>20141890159</v>
      </c>
      <c r="G74" s="243" t="str">
        <f>IFERROR(IF(compras_mes8[[#This Row],[CUIT]]="","-",VLOOKUP(compras_mes8[[#This Row],[CUIT]],Lista_CUIT[#All],2,0)),"CUIT NO CARGADO")</f>
        <v>GARBARSKY JAIME GERARDO</v>
      </c>
      <c r="H74" s="244">
        <v>7603.31</v>
      </c>
      <c r="I74" s="245">
        <f>IF(compras_mes8[[#This Row],[NETO GRAVADO]]="","",compras_mes8[[#This Row],[NETO GRAVADO]]*0.21)</f>
        <v>1596.6950999999999</v>
      </c>
      <c r="J74" s="245"/>
      <c r="K74" s="245"/>
      <c r="L74" s="245"/>
      <c r="M74" s="245"/>
      <c r="N74" s="245"/>
      <c r="O74" s="245"/>
      <c r="P74" s="494">
        <f>SUM(compras_mes8[[#This Row],[NETO GRAVADO]:[Otros / No Grav.]])</f>
        <v>9200.0051000000003</v>
      </c>
      <c r="Q74" s="243" t="str">
        <f>IFERROR(IF(compras_mes8[[#This Row],[CUIT]]="","-",VLOOKUP(compras_mes8[[#This Row],[CUIT]],Lista_CUIT[#All],3,0)),"CUIT NO CARGADO")</f>
        <v>Gastos Varios</v>
      </c>
      <c r="R74" s="247">
        <f>IFERROR(IF(compras_mes8[[#This Row],[CUIT]]="","-",VLOOKUP(compras_mes8[[#This Row],[CUIT]],Lista_CUIT[#All],4,0)),"CUIT NO CARGADO")</f>
        <v>0</v>
      </c>
      <c r="T74" s="33"/>
    </row>
    <row r="75" spans="2:20">
      <c r="B75" s="239" t="s">
        <v>2387</v>
      </c>
      <c r="C75" s="240">
        <v>1</v>
      </c>
      <c r="D75" s="241">
        <v>4</v>
      </c>
      <c r="E75" s="547">
        <v>1421</v>
      </c>
      <c r="F75" s="242">
        <v>20141890159</v>
      </c>
      <c r="G75" s="243" t="str">
        <f>IFERROR(IF(compras_mes8[[#This Row],[CUIT]]="","-",VLOOKUP(compras_mes8[[#This Row],[CUIT]],Lista_CUIT[#All],2,0)),"CUIT NO CARGADO")</f>
        <v>GARBARSKY JAIME GERARDO</v>
      </c>
      <c r="H75" s="244">
        <v>4049.59</v>
      </c>
      <c r="I75" s="245">
        <f>IF(compras_mes8[[#This Row],[NETO GRAVADO]]="","",compras_mes8[[#This Row],[NETO GRAVADO]]*0.21)</f>
        <v>850.41390000000001</v>
      </c>
      <c r="J75" s="245"/>
      <c r="K75" s="245"/>
      <c r="L75" s="245"/>
      <c r="M75" s="245"/>
      <c r="N75" s="245"/>
      <c r="O75" s="245"/>
      <c r="P75" s="494">
        <f>SUM(compras_mes8[[#This Row],[NETO GRAVADO]:[Otros / No Grav.]])</f>
        <v>4900.0038999999997</v>
      </c>
      <c r="Q75" s="243" t="str">
        <f>IFERROR(IF(compras_mes8[[#This Row],[CUIT]]="","-",VLOOKUP(compras_mes8[[#This Row],[CUIT]],Lista_CUIT[#All],3,0)),"CUIT NO CARGADO")</f>
        <v>Gastos Varios</v>
      </c>
      <c r="R75" s="247">
        <f>IFERROR(IF(compras_mes8[[#This Row],[CUIT]]="","-",VLOOKUP(compras_mes8[[#This Row],[CUIT]],Lista_CUIT[#All],4,0)),"CUIT NO CARGADO")</f>
        <v>0</v>
      </c>
      <c r="T75" s="33"/>
    </row>
    <row r="76" spans="2:20">
      <c r="B76" s="239" t="s">
        <v>2387</v>
      </c>
      <c r="C76" s="41">
        <v>1</v>
      </c>
      <c r="D76" s="241">
        <v>27</v>
      </c>
      <c r="E76" s="257">
        <v>2785607</v>
      </c>
      <c r="F76" s="242">
        <v>30703088534</v>
      </c>
      <c r="G76" s="243" t="str">
        <f>IFERROR(IF(compras_mes8[[#This Row],[CUIT]]="","-",VLOOKUP(compras_mes8[[#This Row],[CUIT]],Lista_CUIT[#All],2,0)),"CUIT NO CARGADO")</f>
        <v>MERCADO LIBRE SRL</v>
      </c>
      <c r="H76" s="244">
        <v>1361365.17</v>
      </c>
      <c r="I76" s="245">
        <f>IF(compras_mes8[[#This Row],[NETO GRAVADO]]="","",compras_mes8[[#This Row],[NETO GRAVADO]]*0.21)</f>
        <v>285886.68569999997</v>
      </c>
      <c r="J76" s="245"/>
      <c r="K76" s="245"/>
      <c r="L76" s="245"/>
      <c r="M76" s="245"/>
      <c r="N76" s="245"/>
      <c r="O76" s="245">
        <v>136136.4</v>
      </c>
      <c r="P76" s="494">
        <f>SUM(compras_mes8[[#This Row],[NETO GRAVADO]:[Otros / No Grav.]])</f>
        <v>1783388.2556999999</v>
      </c>
      <c r="Q76" s="243" t="str">
        <f>IFERROR(IF(compras_mes8[[#This Row],[CUIT]]="","-",VLOOKUP(compras_mes8[[#This Row],[CUIT]],Lista_CUIT[#All],3,0)),"CUIT NO CARGADO")</f>
        <v>Gastos Varios</v>
      </c>
      <c r="R76" s="247" t="str">
        <f>IFERROR(IF(compras_mes8[[#This Row],[CUIT]]="","-",VLOOKUP(compras_mes8[[#This Row],[CUIT]],Lista_CUIT[#All],4,0)),"CUIT NO CARGADO")</f>
        <v>CABA</v>
      </c>
      <c r="T76" s="33"/>
    </row>
    <row r="77" spans="2:20">
      <c r="B77" s="239" t="s">
        <v>2388</v>
      </c>
      <c r="C77" s="240">
        <v>1</v>
      </c>
      <c r="D77" s="241">
        <v>2188</v>
      </c>
      <c r="E77" s="257">
        <v>128497</v>
      </c>
      <c r="F77" s="242">
        <v>30548083156</v>
      </c>
      <c r="G77" s="243" t="str">
        <f>IFERROR(IF(compras_mes8[[#This Row],[CUIT]]="","-",VLOOKUP(compras_mes8[[#This Row],[CUIT]],Lista_CUIT[#All],2,0)),"CUIT NO CARGADO")</f>
        <v>COTO CENTRO INTEGRAL DE COMERCIALIZACION SOCIEDAD ANONIMA</v>
      </c>
      <c r="H77" s="244">
        <v>75363.12</v>
      </c>
      <c r="I77" s="85">
        <f>66061.58*0.21</f>
        <v>13872.9318</v>
      </c>
      <c r="J77" s="245"/>
      <c r="K77" s="245">
        <f>9301.54*0.105</f>
        <v>976.66170000000011</v>
      </c>
      <c r="L77" s="245"/>
      <c r="M77" s="245"/>
      <c r="N77" s="245"/>
      <c r="O77" s="245">
        <v>6237.62</v>
      </c>
      <c r="P77" s="494">
        <f>SUM(compras_mes8[[#This Row],[NETO GRAVADO]:[Otros / No Grav.]])</f>
        <v>96450.333499999993</v>
      </c>
      <c r="Q77" s="243" t="str">
        <f>IFERROR(IF(compras_mes8[[#This Row],[CUIT]]="","-",VLOOKUP(compras_mes8[[#This Row],[CUIT]],Lista_CUIT[#All],3,0)),"CUIT NO CARGADO")</f>
        <v>Gastos Varios</v>
      </c>
      <c r="R77" s="247">
        <f>IFERROR(IF(compras_mes8[[#This Row],[CUIT]]="","-",VLOOKUP(compras_mes8[[#This Row],[CUIT]],Lista_CUIT[#All],4,0)),"CUIT NO CARGADO")</f>
        <v>0</v>
      </c>
      <c r="T77" s="33"/>
    </row>
    <row r="78" spans="2:20">
      <c r="B78" s="239" t="s">
        <v>2388</v>
      </c>
      <c r="C78" s="240">
        <v>1</v>
      </c>
      <c r="D78" s="241">
        <v>2199</v>
      </c>
      <c r="E78" s="257">
        <v>31528</v>
      </c>
      <c r="F78" s="242">
        <v>30548083156</v>
      </c>
      <c r="G78" s="243" t="str">
        <f>IFERROR(IF(compras_mes8[[#This Row],[CUIT]]="","-",VLOOKUP(compras_mes8[[#This Row],[CUIT]],Lista_CUIT[#All],2,0)),"CUIT NO CARGADO")</f>
        <v>COTO CENTRO INTEGRAL DE COMERCIALIZACION SOCIEDAD ANONIMA</v>
      </c>
      <c r="H78" s="244">
        <v>59930.73</v>
      </c>
      <c r="I78" s="245">
        <f>57956.76*0.21</f>
        <v>12170.919599999999</v>
      </c>
      <c r="J78" s="245"/>
      <c r="K78" s="245">
        <f>1973.97*0.105</f>
        <v>207.26685000000001</v>
      </c>
      <c r="L78" s="245"/>
      <c r="M78" s="245"/>
      <c r="N78" s="245"/>
      <c r="O78" s="245">
        <v>5050.8500000000004</v>
      </c>
      <c r="P78" s="494">
        <f>SUM(compras_mes8[[#This Row],[NETO GRAVADO]:[Otros / No Grav.]])</f>
        <v>77359.76645000001</v>
      </c>
      <c r="Q78" s="243" t="str">
        <f>IFERROR(IF(compras_mes8[[#This Row],[CUIT]]="","-",VLOOKUP(compras_mes8[[#This Row],[CUIT]],Lista_CUIT[#All],3,0)),"CUIT NO CARGADO")</f>
        <v>Gastos Varios</v>
      </c>
      <c r="R78" s="247">
        <f>IFERROR(IF(compras_mes8[[#This Row],[CUIT]]="","-",VLOOKUP(compras_mes8[[#This Row],[CUIT]],Lista_CUIT[#All],4,0)),"CUIT NO CARGADO")</f>
        <v>0</v>
      </c>
      <c r="T78" s="33"/>
    </row>
    <row r="79" spans="2:20">
      <c r="B79" s="239" t="s">
        <v>2388</v>
      </c>
      <c r="C79" s="240">
        <v>1</v>
      </c>
      <c r="D79" s="241">
        <v>4</v>
      </c>
      <c r="E79" s="257">
        <v>1434</v>
      </c>
      <c r="F79" s="242">
        <v>20362888558</v>
      </c>
      <c r="G79" s="243" t="str">
        <f>IFERROR(IF(compras_mes8[[#This Row],[CUIT]]="","-",VLOOKUP(compras_mes8[[#This Row],[CUIT]],Lista_CUIT[#All],2,0)),"CUIT NO CARGADO")</f>
        <v>VEGA LUCAS EMMANUEL</v>
      </c>
      <c r="H79" s="244">
        <v>74380.2</v>
      </c>
      <c r="I79" s="245">
        <f>IF(compras_mes8[[#This Row],[NETO GRAVADO]]="","",compras_mes8[[#This Row],[NETO GRAVADO]]*0.21)</f>
        <v>15619.841999999999</v>
      </c>
      <c r="J79" s="245"/>
      <c r="K79" s="245"/>
      <c r="L79" s="245"/>
      <c r="M79" s="245"/>
      <c r="N79" s="245"/>
      <c r="O79" s="245"/>
      <c r="P79" s="246">
        <f>SUM(compras_mes8[[#This Row],[NETO GRAVADO]:[Otros / No Grav.]])</f>
        <v>90000.042000000001</v>
      </c>
      <c r="Q79" s="243" t="str">
        <f>IFERROR(IF(compras_mes8[[#This Row],[CUIT]]="","-",VLOOKUP(compras_mes8[[#This Row],[CUIT]],Lista_CUIT[#All],3,0)),"CUIT NO CARGADO")</f>
        <v>Gastos Varios</v>
      </c>
      <c r="R79" s="247">
        <f>IFERROR(IF(compras_mes8[[#This Row],[CUIT]]="","-",VLOOKUP(compras_mes8[[#This Row],[CUIT]],Lista_CUIT[#All],4,0)),"CUIT NO CARGADO")</f>
        <v>0</v>
      </c>
      <c r="T79" s="33"/>
    </row>
    <row r="80" spans="2:20">
      <c r="B80" s="239" t="s">
        <v>2377</v>
      </c>
      <c r="C80" s="240">
        <v>1</v>
      </c>
      <c r="D80" s="241">
        <v>14</v>
      </c>
      <c r="E80" s="257">
        <v>4278</v>
      </c>
      <c r="F80" s="242">
        <v>20280299686</v>
      </c>
      <c r="G80" s="243" t="str">
        <f>IFERROR(IF(compras_mes8[[#This Row],[CUIT]]="","-",VLOOKUP(compras_mes8[[#This Row],[CUIT]],Lista_CUIT[#All],2,0)),"CUIT NO CARGADO")</f>
        <v>LETTIERI CARLOS ADRIANO</v>
      </c>
      <c r="H80" s="244">
        <v>47954.75</v>
      </c>
      <c r="I80" s="245"/>
      <c r="J80" s="245"/>
      <c r="K80" s="245">
        <f>compras_mes8[[#This Row],[NETO GRAVADO]]*0.105</f>
        <v>5035.2487499999997</v>
      </c>
      <c r="L80" s="245"/>
      <c r="M80" s="245"/>
      <c r="N80" s="245"/>
      <c r="O80" s="245"/>
      <c r="P80" s="494">
        <f>SUM(compras_mes8[[#This Row],[NETO GRAVADO]:[Otros / No Grav.]])</f>
        <v>52989.998749999999</v>
      </c>
      <c r="Q80" s="45" t="s">
        <v>79</v>
      </c>
      <c r="R80" s="247">
        <f>IFERROR(IF(compras_mes8[[#This Row],[CUIT]]="","-",VLOOKUP(compras_mes8[[#This Row],[CUIT]],Lista_CUIT[#All],4,0)),"CUIT NO CARGADO")</f>
        <v>0</v>
      </c>
      <c r="T80" s="33"/>
    </row>
    <row r="81" spans="2:20">
      <c r="B81" s="239" t="s">
        <v>2374</v>
      </c>
      <c r="C81" s="240">
        <v>1</v>
      </c>
      <c r="D81" s="241">
        <v>4</v>
      </c>
      <c r="E81" s="257">
        <v>20070</v>
      </c>
      <c r="F81" s="242">
        <v>20328816807</v>
      </c>
      <c r="G81" s="243" t="str">
        <f>IFERROR(IF(compras_mes8[[#This Row],[CUIT]]="","-",VLOOKUP(compras_mes8[[#This Row],[CUIT]],Lista_CUIT[#All],2,0)),"CUIT NO CARGADO")</f>
        <v>LUPONE ALBANO SEBASTIAN</v>
      </c>
      <c r="H81" s="244">
        <v>40405.79</v>
      </c>
      <c r="I81" s="245">
        <f>IF(compras_mes8[[#This Row],[NETO GRAVADO]]="","",compras_mes8[[#This Row],[NETO GRAVADO]]*0.21)</f>
        <v>8485.2158999999992</v>
      </c>
      <c r="J81" s="245"/>
      <c r="K81" s="245"/>
      <c r="L81" s="245"/>
      <c r="M81" s="245"/>
      <c r="N81" s="245"/>
      <c r="O81" s="245"/>
      <c r="P81" s="494">
        <f>SUM(compras_mes8[[#This Row],[NETO GRAVADO]:[Otros / No Grav.]])</f>
        <v>48891.005900000004</v>
      </c>
      <c r="Q81" s="243" t="str">
        <f>IFERROR(IF(compras_mes8[[#This Row],[CUIT]]="","-",VLOOKUP(compras_mes8[[#This Row],[CUIT]],Lista_CUIT[#All],3,0)),"CUIT NO CARGADO")</f>
        <v>LIBRERÍA</v>
      </c>
      <c r="R81" s="247">
        <f>IFERROR(IF(compras_mes8[[#This Row],[CUIT]]="","-",VLOOKUP(compras_mes8[[#This Row],[CUIT]],Lista_CUIT[#All],4,0)),"CUIT NO CARGADO")</f>
        <v>0</v>
      </c>
      <c r="T81" s="33"/>
    </row>
    <row r="82" spans="2:20">
      <c r="B82" s="239" t="s">
        <v>2379</v>
      </c>
      <c r="C82" s="240">
        <v>1</v>
      </c>
      <c r="D82" s="241">
        <v>4</v>
      </c>
      <c r="E82" s="257">
        <v>20334</v>
      </c>
      <c r="F82" s="242">
        <v>20328816807</v>
      </c>
      <c r="G82" s="243" t="str">
        <f>IFERROR(IF(compras_mes8[[#This Row],[CUIT]]="","-",VLOOKUP(compras_mes8[[#This Row],[CUIT]],Lista_CUIT[#All],2,0)),"CUIT NO CARGADO")</f>
        <v>LUPONE ALBANO SEBASTIAN</v>
      </c>
      <c r="H82" s="244">
        <v>52315.7</v>
      </c>
      <c r="I82" s="245">
        <f>IF(compras_mes8[[#This Row],[NETO GRAVADO]]="","",compras_mes8[[#This Row],[NETO GRAVADO]]*0.21)</f>
        <v>10986.296999999999</v>
      </c>
      <c r="J82" s="245"/>
      <c r="K82" s="245"/>
      <c r="L82" s="245"/>
      <c r="M82" s="245"/>
      <c r="N82" s="245"/>
      <c r="O82" s="245"/>
      <c r="P82" s="494">
        <f>SUM(compras_mes8[[#This Row],[NETO GRAVADO]:[Otros / No Grav.]])</f>
        <v>63301.996999999996</v>
      </c>
      <c r="Q82" s="243" t="str">
        <f>IFERROR(IF(compras_mes8[[#This Row],[CUIT]]="","-",VLOOKUP(compras_mes8[[#This Row],[CUIT]],Lista_CUIT[#All],3,0)),"CUIT NO CARGADO")</f>
        <v>LIBRERÍA</v>
      </c>
      <c r="R82" s="247">
        <f>IFERROR(IF(compras_mes8[[#This Row],[CUIT]]="","-",VLOOKUP(compras_mes8[[#This Row],[CUIT]],Lista_CUIT[#All],4,0)),"CUIT NO CARGADO")</f>
        <v>0</v>
      </c>
      <c r="T82" s="33"/>
    </row>
    <row r="83" spans="2:20">
      <c r="B83" s="239" t="s">
        <v>2379</v>
      </c>
      <c r="C83" s="240">
        <v>1</v>
      </c>
      <c r="D83" s="241">
        <v>11</v>
      </c>
      <c r="E83" s="257">
        <v>287</v>
      </c>
      <c r="F83" s="242">
        <v>30715360256</v>
      </c>
      <c r="G83" s="243" t="str">
        <f>IFERROR(IF(compras_mes8[[#This Row],[CUIT]]="","-",VLOOKUP(compras_mes8[[#This Row],[CUIT]],Lista_CUIT[#All],2,0)),"CUIT NO CARGADO")</f>
        <v>ATAWALLPA PAPELES SA</v>
      </c>
      <c r="H83" s="244">
        <v>98418.18</v>
      </c>
      <c r="I83" s="245">
        <f>IF(compras_mes8[[#This Row],[NETO GRAVADO]]="","",compras_mes8[[#This Row],[NETO GRAVADO]]*0.21)</f>
        <v>20667.817799999997</v>
      </c>
      <c r="J83" s="245"/>
      <c r="K83" s="245"/>
      <c r="L83" s="245"/>
      <c r="M83" s="245"/>
      <c r="N83" s="245"/>
      <c r="O83" s="245"/>
      <c r="P83" s="494">
        <f>SUM(compras_mes8[[#This Row],[NETO GRAVADO]:[Otros / No Grav.]])</f>
        <v>119085.99779999998</v>
      </c>
      <c r="Q83" s="243" t="str">
        <f>IFERROR(IF(compras_mes8[[#This Row],[CUIT]]="","-",VLOOKUP(compras_mes8[[#This Row],[CUIT]],Lista_CUIT[#All],3,0)),"CUIT NO CARGADO")</f>
        <v>LIBRERÍA</v>
      </c>
      <c r="R83" s="247">
        <f>IFERROR(IF(compras_mes8[[#This Row],[CUIT]]="","-",VLOOKUP(compras_mes8[[#This Row],[CUIT]],Lista_CUIT[#All],4,0)),"CUIT NO CARGADO")</f>
        <v>0</v>
      </c>
      <c r="T83" s="33"/>
    </row>
    <row r="84" spans="2:20">
      <c r="B84" s="239" t="s">
        <v>2365</v>
      </c>
      <c r="C84" s="240">
        <v>1</v>
      </c>
      <c r="D84" s="241">
        <v>1</v>
      </c>
      <c r="E84" s="257">
        <v>6</v>
      </c>
      <c r="F84" s="242">
        <v>30717504824</v>
      </c>
      <c r="G84" s="243" t="str">
        <f>IFERROR(IF(compras_mes8[[#This Row],[CUIT]]="","-",VLOOKUP(compras_mes8[[#This Row],[CUIT]],Lista_CUIT[#All],2,0)),"CUIT NO CARGADO")</f>
        <v>FIDEICOMISO MAMBA</v>
      </c>
      <c r="H84" s="244">
        <v>2417375.52</v>
      </c>
      <c r="I84" s="245"/>
      <c r="J84" s="245"/>
      <c r="K84" s="245">
        <f>compras_mes8[[#This Row],[NETO GRAVADO]]*0.105</f>
        <v>253824.4296</v>
      </c>
      <c r="L84" s="245"/>
      <c r="M84" s="245"/>
      <c r="N84" s="245"/>
      <c r="O84" s="245"/>
      <c r="P84" s="494">
        <f>SUM(compras_mes8[[#This Row],[NETO GRAVADO]:[Otros / No Grav.]])</f>
        <v>2671199.9495999999</v>
      </c>
      <c r="Q84" s="243" t="str">
        <f>IFERROR(IF(compras_mes8[[#This Row],[CUIT]]="","-",VLOOKUP(compras_mes8[[#This Row],[CUIT]],Lista_CUIT[#All],3,0)),"CUIT NO CARGADO")</f>
        <v>MANTENIMIENTO</v>
      </c>
      <c r="R84" s="247">
        <f>IFERROR(IF(compras_mes8[[#This Row],[CUIT]]="","-",VLOOKUP(compras_mes8[[#This Row],[CUIT]],Lista_CUIT[#All],4,0)),"CUIT NO CARGADO")</f>
        <v>0</v>
      </c>
      <c r="T84" s="33"/>
    </row>
    <row r="85" spans="2:20">
      <c r="B85" s="239" t="s">
        <v>2374</v>
      </c>
      <c r="C85" s="240">
        <v>1</v>
      </c>
      <c r="D85" s="241">
        <v>3</v>
      </c>
      <c r="E85" s="257">
        <v>11014</v>
      </c>
      <c r="F85" s="242">
        <v>30679163317</v>
      </c>
      <c r="G85" s="243" t="str">
        <f>IFERROR(IF(compras_mes8[[#This Row],[CUIT]]="","-",VLOOKUP(compras_mes8[[#This Row],[CUIT]],Lista_CUIT[#All],2,0)),"CUIT NO CARGADO")</f>
        <v>RANKO S R L</v>
      </c>
      <c r="H85" s="244">
        <v>33057.85</v>
      </c>
      <c r="I85" s="245">
        <f>IF(compras_mes8[[#This Row],[NETO GRAVADO]]="","",compras_mes8[[#This Row],[NETO GRAVADO]]*0.21)</f>
        <v>6942.1484999999993</v>
      </c>
      <c r="J85" s="245"/>
      <c r="K85" s="245"/>
      <c r="L85" s="245"/>
      <c r="M85" s="245"/>
      <c r="N85" s="245"/>
      <c r="O85" s="245"/>
      <c r="P85" s="494">
        <f>SUM(compras_mes8[[#This Row],[NETO GRAVADO]:[Otros / No Grav.]])</f>
        <v>39999.998500000002</v>
      </c>
      <c r="Q85" s="243" t="str">
        <f>IFERROR(IF(compras_mes8[[#This Row],[CUIT]]="","-",VLOOKUP(compras_mes8[[#This Row],[CUIT]],Lista_CUIT[#All],3,0)),"CUIT NO CARGADO")</f>
        <v>Mantenimiento</v>
      </c>
      <c r="R85" s="247">
        <f>IFERROR(IF(compras_mes8[[#This Row],[CUIT]]="","-",VLOOKUP(compras_mes8[[#This Row],[CUIT]],Lista_CUIT[#All],4,0)),"CUIT NO CARGADO")</f>
        <v>0</v>
      </c>
      <c r="T85" s="33"/>
    </row>
    <row r="86" spans="2:20">
      <c r="B86" s="239" t="s">
        <v>2372</v>
      </c>
      <c r="C86" s="240">
        <v>1</v>
      </c>
      <c r="D86" s="241">
        <v>3</v>
      </c>
      <c r="E86" s="257">
        <v>321262</v>
      </c>
      <c r="F86" s="242">
        <v>30709131865</v>
      </c>
      <c r="G86" s="243" t="str">
        <f>IFERROR(IF(compras_mes8[[#This Row],[CUIT]]="","-",VLOOKUP(compras_mes8[[#This Row],[CUIT]],Lista_CUIT[#All],2,0)),"CUIT NO CARGADO")</f>
        <v>EMPRENDIMIENTOS SATELITALES SA</v>
      </c>
      <c r="H86" s="244">
        <v>3474</v>
      </c>
      <c r="I86" s="245">
        <f>IF(compras_mes8[[#This Row],[NETO GRAVADO]]="","",compras_mes8[[#This Row],[NETO GRAVADO]]*0.21)</f>
        <v>729.54</v>
      </c>
      <c r="J86" s="245"/>
      <c r="K86" s="245"/>
      <c r="L86" s="245"/>
      <c r="M86" s="245"/>
      <c r="N86" s="245"/>
      <c r="O86" s="245"/>
      <c r="P86" s="494">
        <f>SUM(compras_mes8[[#This Row],[NETO GRAVADO]:[Otros / No Grav.]])</f>
        <v>4203.54</v>
      </c>
      <c r="Q86" s="243" t="str">
        <f>IFERROR(IF(compras_mes8[[#This Row],[CUIT]]="","-",VLOOKUP(compras_mes8[[#This Row],[CUIT]],Lista_CUIT[#All],3,0)),"CUIT NO CARGADO")</f>
        <v>Mantenimiento Rodado</v>
      </c>
      <c r="R86" s="247">
        <f>IFERROR(IF(compras_mes8[[#This Row],[CUIT]]="","-",VLOOKUP(compras_mes8[[#This Row],[CUIT]],Lista_CUIT[#All],4,0)),"CUIT NO CARGADO")</f>
        <v>0</v>
      </c>
      <c r="T86" s="33"/>
    </row>
    <row r="87" spans="2:20">
      <c r="B87" s="239" t="s">
        <v>2372</v>
      </c>
      <c r="C87" s="240">
        <v>1</v>
      </c>
      <c r="D87" s="241">
        <v>3</v>
      </c>
      <c r="E87" s="257">
        <v>49461</v>
      </c>
      <c r="F87" s="242">
        <v>30714930490</v>
      </c>
      <c r="G87" s="243" t="str">
        <f>IFERROR(IF(compras_mes8[[#This Row],[CUIT]]="","-",VLOOKUP(compras_mes8[[#This Row],[CUIT]],Lista_CUIT[#All],2,0)),"CUIT NO CARGADO")</f>
        <v>APPLUS SANTA MARIA DEL BUEN AYRE SA</v>
      </c>
      <c r="H87" s="244">
        <v>27943</v>
      </c>
      <c r="I87" s="245">
        <f>IF(compras_mes8[[#This Row],[NETO GRAVADO]]="","",compras_mes8[[#This Row],[NETO GRAVADO]]*0.21)</f>
        <v>5868.03</v>
      </c>
      <c r="J87" s="245"/>
      <c r="K87" s="245"/>
      <c r="L87" s="245"/>
      <c r="M87" s="245"/>
      <c r="N87" s="245"/>
      <c r="O87" s="245"/>
      <c r="P87" s="494">
        <f>SUM(compras_mes8[[#This Row],[NETO GRAVADO]:[Otros / No Grav.]])</f>
        <v>33811.03</v>
      </c>
      <c r="Q87" s="243" t="str">
        <f>IFERROR(IF(compras_mes8[[#This Row],[CUIT]]="","-",VLOOKUP(compras_mes8[[#This Row],[CUIT]],Lista_CUIT[#All],3,0)),"CUIT NO CARGADO")</f>
        <v>Mantenimiento Rodado</v>
      </c>
      <c r="R87" s="247">
        <f>IFERROR(IF(compras_mes8[[#This Row],[CUIT]]="","-",VLOOKUP(compras_mes8[[#This Row],[CUIT]],Lista_CUIT[#All],4,0)),"CUIT NO CARGADO")</f>
        <v>0</v>
      </c>
      <c r="T87" s="33"/>
    </row>
    <row r="88" spans="2:20">
      <c r="B88" s="239" t="s">
        <v>2361</v>
      </c>
      <c r="C88" s="240">
        <v>1</v>
      </c>
      <c r="D88" s="241">
        <v>4</v>
      </c>
      <c r="E88" s="257">
        <v>46938</v>
      </c>
      <c r="F88" s="242">
        <v>30709863076</v>
      </c>
      <c r="G88" s="243" t="str">
        <f>IFERROR(IF(compras_mes8[[#This Row],[CUIT]]="","-",VLOOKUP(compras_mes8[[#This Row],[CUIT]],Lista_CUIT[#All],2,0)),"CUIT NO CARGADO")</f>
        <v>INDUSTRIAS PLASTICOS SALTA S.R.L.</v>
      </c>
      <c r="H88" s="244">
        <v>186942.15</v>
      </c>
      <c r="I88" s="245">
        <f>IF(compras_mes8[[#This Row],[NETO GRAVADO]]="","",compras_mes8[[#This Row],[NETO GRAVADO]]*0.21)</f>
        <v>39257.851499999997</v>
      </c>
      <c r="J88" s="245"/>
      <c r="K88" s="245"/>
      <c r="L88" s="245"/>
      <c r="M88" s="245"/>
      <c r="N88" s="245"/>
      <c r="O88" s="245"/>
      <c r="P88" s="246">
        <f>SUM(compras_mes8[[#This Row],[NETO GRAVADO]:[Otros / No Grav.]])</f>
        <v>226200.00149999998</v>
      </c>
      <c r="Q88" s="243" t="str">
        <f>IFERROR(IF(compras_mes8[[#This Row],[CUIT]]="","-",VLOOKUP(compras_mes8[[#This Row],[CUIT]],Lista_CUIT[#All],3,0)),"CUIT NO CARGADO")</f>
        <v>Materia Prima</v>
      </c>
      <c r="R88" s="247">
        <f>IFERROR(IF(compras_mes8[[#This Row],[CUIT]]="","-",VLOOKUP(compras_mes8[[#This Row],[CUIT]],Lista_CUIT[#All],4,0)),"CUIT NO CARGADO")</f>
        <v>0</v>
      </c>
      <c r="T88" s="33"/>
    </row>
    <row r="89" spans="2:20">
      <c r="B89" s="239" t="s">
        <v>2362</v>
      </c>
      <c r="C89" s="240">
        <v>1</v>
      </c>
      <c r="D89" s="241">
        <v>4</v>
      </c>
      <c r="E89" s="257">
        <v>633</v>
      </c>
      <c r="F89" s="242">
        <v>20101144152</v>
      </c>
      <c r="G89" s="243" t="str">
        <f>IFERROR(IF(compras_mes8[[#This Row],[CUIT]]="","-",VLOOKUP(compras_mes8[[#This Row],[CUIT]],Lista_CUIT[#All],2,0)),"CUIT NO CARGADO")</f>
        <v>PARAVANO HUGO RODOLFO</v>
      </c>
      <c r="H89" s="244">
        <v>41322.33</v>
      </c>
      <c r="I89" s="245">
        <f>IF(compras_mes8[[#This Row],[NETO GRAVADO]]="","",compras_mes8[[#This Row],[NETO GRAVADO]]*0.21)</f>
        <v>8677.6893</v>
      </c>
      <c r="J89" s="245"/>
      <c r="K89" s="245"/>
      <c r="L89" s="245"/>
      <c r="M89" s="245"/>
      <c r="N89" s="245"/>
      <c r="O89" s="245"/>
      <c r="P89" s="494">
        <f>SUM(compras_mes8[[#This Row],[NETO GRAVADO]:[Otros / No Grav.]])</f>
        <v>50000.0193</v>
      </c>
      <c r="Q89" s="243" t="str">
        <f>IFERROR(IF(compras_mes8[[#This Row],[CUIT]]="","-",VLOOKUP(compras_mes8[[#This Row],[CUIT]],Lista_CUIT[#All],3,0)),"CUIT NO CARGADO")</f>
        <v>Materia Prima</v>
      </c>
      <c r="R89" s="247">
        <f>IFERROR(IF(compras_mes8[[#This Row],[CUIT]]="","-",VLOOKUP(compras_mes8[[#This Row],[CUIT]],Lista_CUIT[#All],4,0)),"CUIT NO CARGADO")</f>
        <v>0</v>
      </c>
      <c r="T89" s="33"/>
    </row>
    <row r="90" spans="2:20">
      <c r="B90" s="239" t="s">
        <v>2379</v>
      </c>
      <c r="C90" s="240">
        <v>1</v>
      </c>
      <c r="D90" s="241">
        <v>4</v>
      </c>
      <c r="E90" s="257">
        <v>47125</v>
      </c>
      <c r="F90" s="242">
        <v>30709863076</v>
      </c>
      <c r="G90" s="243" t="str">
        <f>IFERROR(IF(compras_mes8[[#This Row],[CUIT]]="","-",VLOOKUP(compras_mes8[[#This Row],[CUIT]],Lista_CUIT[#All],2,0)),"CUIT NO CARGADO")</f>
        <v>INDUSTRIAS PLASTICOS SALTA S.R.L.</v>
      </c>
      <c r="H90" s="244">
        <v>163636.35999999999</v>
      </c>
      <c r="I90" s="245">
        <f>IF(compras_mes8[[#This Row],[NETO GRAVADO]]="","",compras_mes8[[#This Row],[NETO GRAVADO]]*0.21)</f>
        <v>34363.635599999994</v>
      </c>
      <c r="J90" s="245"/>
      <c r="K90" s="245"/>
      <c r="L90" s="245"/>
      <c r="M90" s="245"/>
      <c r="N90" s="245"/>
      <c r="O90" s="245"/>
      <c r="P90" s="494">
        <f>SUM(compras_mes8[[#This Row],[NETO GRAVADO]:[Otros / No Grav.]])</f>
        <v>197999.99559999997</v>
      </c>
      <c r="Q90" s="243" t="str">
        <f>IFERROR(IF(compras_mes8[[#This Row],[CUIT]]="","-",VLOOKUP(compras_mes8[[#This Row],[CUIT]],Lista_CUIT[#All],3,0)),"CUIT NO CARGADO")</f>
        <v>Materia Prima</v>
      </c>
      <c r="R90" s="247">
        <f>IFERROR(IF(compras_mes8[[#This Row],[CUIT]]="","-",VLOOKUP(compras_mes8[[#This Row],[CUIT]],Lista_CUIT[#All],4,0)),"CUIT NO CARGADO")</f>
        <v>0</v>
      </c>
      <c r="T90" s="33"/>
    </row>
    <row r="91" spans="2:20">
      <c r="B91" s="239" t="s">
        <v>2382</v>
      </c>
      <c r="C91" s="240">
        <v>1</v>
      </c>
      <c r="D91" s="241">
        <v>3</v>
      </c>
      <c r="E91" s="257">
        <v>10984</v>
      </c>
      <c r="F91" s="242">
        <v>30658667374</v>
      </c>
      <c r="G91" s="243" t="str">
        <f>IFERROR(IF(compras_mes8[[#This Row],[CUIT]]="","-",VLOOKUP(compras_mes8[[#This Row],[CUIT]],Lista_CUIT[#All],2,0)),"CUIT NO CARGADO")</f>
        <v>SASUAR SRL</v>
      </c>
      <c r="H91" s="244">
        <v>1323420</v>
      </c>
      <c r="I91" s="245">
        <f>IF(compras_mes8[[#This Row],[NETO GRAVADO]]="","",compras_mes8[[#This Row],[NETO GRAVADO]]*0.21)</f>
        <v>277918.2</v>
      </c>
      <c r="J91" s="245"/>
      <c r="K91" s="245"/>
      <c r="L91" s="245"/>
      <c r="M91" s="245"/>
      <c r="N91" s="245"/>
      <c r="O91" s="245"/>
      <c r="P91" s="494">
        <f>SUM(compras_mes8[[#This Row],[NETO GRAVADO]:[Otros / No Grav.]])</f>
        <v>1601338.2</v>
      </c>
      <c r="Q91" s="243" t="str">
        <f>IFERROR(IF(compras_mes8[[#This Row],[CUIT]]="","-",VLOOKUP(compras_mes8[[#This Row],[CUIT]],Lista_CUIT[#All],3,0)),"CUIT NO CARGADO")</f>
        <v>Materia Prima</v>
      </c>
      <c r="R91" s="247">
        <f>IFERROR(IF(compras_mes8[[#This Row],[CUIT]]="","-",VLOOKUP(compras_mes8[[#This Row],[CUIT]],Lista_CUIT[#All],4,0)),"CUIT NO CARGADO")</f>
        <v>0</v>
      </c>
      <c r="T91" s="33"/>
    </row>
    <row r="92" spans="2:20">
      <c r="B92" s="239" t="s">
        <v>2385</v>
      </c>
      <c r="C92" s="240">
        <v>1</v>
      </c>
      <c r="D92" s="241">
        <v>6</v>
      </c>
      <c r="E92" s="257">
        <v>25494</v>
      </c>
      <c r="F92" s="242">
        <v>33640878679</v>
      </c>
      <c r="G92" s="243" t="str">
        <f>IFERROR(IF(compras_mes8[[#This Row],[CUIT]]="","-",VLOOKUP(compras_mes8[[#This Row],[CUIT]],Lista_CUIT[#All],2,0)),"CUIT NO CARGADO")</f>
        <v>DHACAM S R L</v>
      </c>
      <c r="H92" s="244">
        <v>457800</v>
      </c>
      <c r="I92" s="245">
        <f>IF(compras_mes8[[#This Row],[NETO GRAVADO]]="","",compras_mes8[[#This Row],[NETO GRAVADO]]*0.21)</f>
        <v>96138</v>
      </c>
      <c r="J92" s="245"/>
      <c r="K92" s="245"/>
      <c r="L92" s="245"/>
      <c r="M92" s="245"/>
      <c r="N92" s="245"/>
      <c r="O92" s="245"/>
      <c r="P92" s="494">
        <f>SUM(compras_mes8[[#This Row],[NETO GRAVADO]:[Otros / No Grav.]])</f>
        <v>553938</v>
      </c>
      <c r="Q92" s="243" t="str">
        <f>IFERROR(IF(compras_mes8[[#This Row],[CUIT]]="","-",VLOOKUP(compras_mes8[[#This Row],[CUIT]],Lista_CUIT[#All],3,0)),"CUIT NO CARGADO")</f>
        <v>Materia Prima</v>
      </c>
      <c r="R92" s="247">
        <f>IFERROR(IF(compras_mes8[[#This Row],[CUIT]]="","-",VLOOKUP(compras_mes8[[#This Row],[CUIT]],Lista_CUIT[#All],4,0)),"CUIT NO CARGADO")</f>
        <v>0</v>
      </c>
      <c r="T92" s="33"/>
    </row>
    <row r="93" spans="2:20">
      <c r="B93" s="239" t="s">
        <v>2386</v>
      </c>
      <c r="C93" s="240">
        <v>1</v>
      </c>
      <c r="D93" s="241">
        <v>4</v>
      </c>
      <c r="E93" s="257">
        <v>47206</v>
      </c>
      <c r="F93" s="242">
        <v>30709863076</v>
      </c>
      <c r="G93" s="243" t="str">
        <f>IFERROR(IF(compras_mes8[[#This Row],[CUIT]]="","-",VLOOKUP(compras_mes8[[#This Row],[CUIT]],Lista_CUIT[#All],2,0)),"CUIT NO CARGADO")</f>
        <v>INDUSTRIAS PLASTICOS SALTA S.R.L.</v>
      </c>
      <c r="H93" s="244">
        <v>2247035</v>
      </c>
      <c r="I93" s="245">
        <f>IF(compras_mes8[[#This Row],[NETO GRAVADO]]="","",compras_mes8[[#This Row],[NETO GRAVADO]]*0.21)</f>
        <v>471877.35</v>
      </c>
      <c r="J93" s="245"/>
      <c r="K93" s="245"/>
      <c r="L93" s="245"/>
      <c r="M93" s="245"/>
      <c r="N93" s="245"/>
      <c r="O93" s="245"/>
      <c r="P93" s="494">
        <f>SUM(compras_mes8[[#This Row],[NETO GRAVADO]:[Otros / No Grav.]])</f>
        <v>2718912.35</v>
      </c>
      <c r="Q93" s="243" t="str">
        <f>IFERROR(IF(compras_mes8[[#This Row],[CUIT]]="","-",VLOOKUP(compras_mes8[[#This Row],[CUIT]],Lista_CUIT[#All],3,0)),"CUIT NO CARGADO")</f>
        <v>Materia Prima</v>
      </c>
      <c r="R93" s="247">
        <f>IFERROR(IF(compras_mes8[[#This Row],[CUIT]]="","-",VLOOKUP(compras_mes8[[#This Row],[CUIT]],Lista_CUIT[#All],4,0)),"CUIT NO CARGADO")</f>
        <v>0</v>
      </c>
      <c r="T93" s="33"/>
    </row>
    <row r="94" spans="2:20">
      <c r="B94" s="239" t="s">
        <v>2387</v>
      </c>
      <c r="C94" s="240">
        <v>1</v>
      </c>
      <c r="D94" s="241">
        <v>11</v>
      </c>
      <c r="E94" s="257">
        <v>80114</v>
      </c>
      <c r="F94" s="242">
        <v>30534051049</v>
      </c>
      <c r="G94" s="243" t="str">
        <f>IFERROR(IF(compras_mes8[[#This Row],[CUIT]]="","-",VLOOKUP(compras_mes8[[#This Row],[CUIT]],Lista_CUIT[#All],2,0)),"CUIT NO CARGADO")</f>
        <v>PLIN METAL S A</v>
      </c>
      <c r="H94" s="244">
        <v>16445.650000000001</v>
      </c>
      <c r="I94" s="245">
        <f>15805.24*0.21</f>
        <v>3319.1003999999998</v>
      </c>
      <c r="J94" s="245"/>
      <c r="K94" s="245">
        <f>640.41*0.105</f>
        <v>67.243049999999997</v>
      </c>
      <c r="L94" s="245"/>
      <c r="M94" s="245"/>
      <c r="N94" s="245"/>
      <c r="O94" s="245"/>
      <c r="P94" s="494">
        <f>SUM(compras_mes8[[#This Row],[NETO GRAVADO]:[Otros / No Grav.]])</f>
        <v>19831.993450000002</v>
      </c>
      <c r="Q94" s="243" t="str">
        <f>IFERROR(IF(compras_mes8[[#This Row],[CUIT]]="","-",VLOOKUP(compras_mes8[[#This Row],[CUIT]],Lista_CUIT[#All],3,0)),"CUIT NO CARGADO")</f>
        <v>Materia Prima</v>
      </c>
      <c r="R94" s="247">
        <f>IFERROR(IF(compras_mes8[[#This Row],[CUIT]]="","-",VLOOKUP(compras_mes8[[#This Row],[CUIT]],Lista_CUIT[#All],4,0)),"CUIT NO CARGADO")</f>
        <v>0</v>
      </c>
      <c r="T94" s="33"/>
    </row>
    <row r="95" spans="2:20">
      <c r="B95" s="239" t="s">
        <v>2388</v>
      </c>
      <c r="C95" s="240">
        <v>1</v>
      </c>
      <c r="D95" s="241">
        <v>6</v>
      </c>
      <c r="E95" s="257">
        <v>25526</v>
      </c>
      <c r="F95" s="242">
        <v>33640878679</v>
      </c>
      <c r="G95" s="243" t="str">
        <f>IFERROR(IF(compras_mes8[[#This Row],[CUIT]]="","-",VLOOKUP(compras_mes8[[#This Row],[CUIT]],Lista_CUIT[#All],2,0)),"CUIT NO CARGADO")</f>
        <v>DHACAM S R L</v>
      </c>
      <c r="H95" s="244">
        <v>914540</v>
      </c>
      <c r="I95" s="245">
        <f>IF(compras_mes8[[#This Row],[NETO GRAVADO]]="","",compras_mes8[[#This Row],[NETO GRAVADO]]*0.21)</f>
        <v>192053.4</v>
      </c>
      <c r="J95" s="245"/>
      <c r="K95" s="245"/>
      <c r="L95" s="245"/>
      <c r="M95" s="245"/>
      <c r="N95" s="245"/>
      <c r="O95" s="245"/>
      <c r="P95" s="494">
        <f>SUM(compras_mes8[[#This Row],[NETO GRAVADO]:[Otros / No Grav.]])</f>
        <v>1106593.3999999999</v>
      </c>
      <c r="Q95" s="243" t="str">
        <f>IFERROR(IF(compras_mes8[[#This Row],[CUIT]]="","-",VLOOKUP(compras_mes8[[#This Row],[CUIT]],Lista_CUIT[#All],3,0)),"CUIT NO CARGADO")</f>
        <v>Materia Prima</v>
      </c>
      <c r="R95" s="247">
        <f>IFERROR(IF(compras_mes8[[#This Row],[CUIT]]="","-",VLOOKUP(compras_mes8[[#This Row],[CUIT]],Lista_CUIT[#All],4,0)),"CUIT NO CARGADO")</f>
        <v>0</v>
      </c>
      <c r="T95" s="33"/>
    </row>
    <row r="96" spans="2:20">
      <c r="B96" s="239" t="s">
        <v>2389</v>
      </c>
      <c r="C96" s="240">
        <v>1</v>
      </c>
      <c r="D96" s="241">
        <v>4</v>
      </c>
      <c r="E96" s="257">
        <v>84</v>
      </c>
      <c r="F96" s="242">
        <v>20308004865</v>
      </c>
      <c r="G96" s="243" t="str">
        <f>IFERROR(IF(compras_mes8[[#This Row],[CUIT]]="","-",VLOOKUP(compras_mes8[[#This Row],[CUIT]],Lista_CUIT[#All],2,0)),"CUIT NO CARGADO")</f>
        <v>VEGA GUSTAVO RAUL</v>
      </c>
      <c r="H96" s="244">
        <v>1156248</v>
      </c>
      <c r="I96" s="245">
        <f>IF(compras_mes8[[#This Row],[NETO GRAVADO]]="","",compras_mes8[[#This Row],[NETO GRAVADO]]*0.21)</f>
        <v>242812.08</v>
      </c>
      <c r="J96" s="245"/>
      <c r="K96" s="245"/>
      <c r="L96" s="245"/>
      <c r="M96" s="245"/>
      <c r="N96" s="245"/>
      <c r="O96" s="245"/>
      <c r="P96" s="246">
        <f>SUM(compras_mes8[[#This Row],[NETO GRAVADO]:[Otros / No Grav.]])</f>
        <v>1399060.08</v>
      </c>
      <c r="Q96" s="243" t="str">
        <f>IFERROR(IF(compras_mes8[[#This Row],[CUIT]]="","-",VLOOKUP(compras_mes8[[#This Row],[CUIT]],Lista_CUIT[#All],3,0)),"CUIT NO CARGADO")</f>
        <v>Materia Prima</v>
      </c>
      <c r="R96" s="247">
        <f>IFERROR(IF(compras_mes8[[#This Row],[CUIT]]="","-",VLOOKUP(compras_mes8[[#This Row],[CUIT]],Lista_CUIT[#All],4,0)),"CUIT NO CARGADO")</f>
        <v>0</v>
      </c>
      <c r="T96" s="33"/>
    </row>
    <row r="97" spans="2:20">
      <c r="B97" s="239" t="s">
        <v>2389</v>
      </c>
      <c r="C97" s="240">
        <v>3</v>
      </c>
      <c r="D97" s="241">
        <v>4</v>
      </c>
      <c r="E97" s="257">
        <v>2</v>
      </c>
      <c r="F97" s="242">
        <v>20308004865</v>
      </c>
      <c r="G97" s="243" t="str">
        <f>IFERROR(IF(compras_mes8[[#This Row],[CUIT]]="","-",VLOOKUP(compras_mes8[[#This Row],[CUIT]],Lista_CUIT[#All],2,0)),"CUIT NO CARGADO")</f>
        <v>VEGA GUSTAVO RAUL</v>
      </c>
      <c r="H97" s="244">
        <v>-1156248</v>
      </c>
      <c r="I97" s="245">
        <f>IF(compras_mes8[[#This Row],[NETO GRAVADO]]="","",compras_mes8[[#This Row],[NETO GRAVADO]]*0.21)</f>
        <v>-242812.08</v>
      </c>
      <c r="J97" s="245"/>
      <c r="K97" s="245"/>
      <c r="L97" s="245"/>
      <c r="M97" s="245"/>
      <c r="N97" s="245"/>
      <c r="O97" s="245"/>
      <c r="P97" s="246">
        <f>SUM(compras_mes8[[#This Row],[NETO GRAVADO]:[Otros / No Grav.]])</f>
        <v>-1399060.08</v>
      </c>
      <c r="Q97" s="243" t="str">
        <f>IFERROR(IF(compras_mes8[[#This Row],[CUIT]]="","-",VLOOKUP(compras_mes8[[#This Row],[CUIT]],Lista_CUIT[#All],3,0)),"CUIT NO CARGADO")</f>
        <v>Materia Prima</v>
      </c>
      <c r="R97" s="247">
        <f>IFERROR(IF(compras_mes8[[#This Row],[CUIT]]="","-",VLOOKUP(compras_mes8[[#This Row],[CUIT]],Lista_CUIT[#All],4,0)),"CUIT NO CARGADO")</f>
        <v>0</v>
      </c>
      <c r="T97" s="33"/>
    </row>
    <row r="98" spans="2:20">
      <c r="B98" s="239" t="s">
        <v>2367</v>
      </c>
      <c r="C98" s="240">
        <v>1</v>
      </c>
      <c r="D98" s="241">
        <v>1</v>
      </c>
      <c r="E98" s="257">
        <v>2725</v>
      </c>
      <c r="F98" s="242">
        <v>27181689183</v>
      </c>
      <c r="G98" s="243" t="str">
        <f>IFERROR(IF(compras_mes8[[#This Row],[CUIT]]="","-",VLOOKUP(compras_mes8[[#This Row],[CUIT]],Lista_CUIT[#All],2,0)),"CUIT NO CARGADO")</f>
        <v>REPETTO MARIA FERNANDA</v>
      </c>
      <c r="H98" s="244">
        <v>742500</v>
      </c>
      <c r="I98" s="245">
        <f>IF(compras_mes8[[#This Row],[NETO GRAVADO]]="","",compras_mes8[[#This Row],[NETO GRAVADO]]*0.21)</f>
        <v>155925</v>
      </c>
      <c r="J98" s="245"/>
      <c r="K98" s="245"/>
      <c r="L98" s="245"/>
      <c r="M98" s="245"/>
      <c r="N98" s="245"/>
      <c r="O98" s="245"/>
      <c r="P98" s="494">
        <f>SUM(compras_mes8[[#This Row],[NETO GRAVADO]:[Otros / No Grav.]])</f>
        <v>898425</v>
      </c>
      <c r="Q98" s="243" t="str">
        <f>IFERROR(IF(compras_mes8[[#This Row],[CUIT]]="","-",VLOOKUP(compras_mes8[[#This Row],[CUIT]],Lista_CUIT[#All],3,0)),"CUIT NO CARGADO")</f>
        <v>Material de Empaque</v>
      </c>
      <c r="R98" s="247">
        <f>IFERROR(IF(compras_mes8[[#This Row],[CUIT]]="","-",VLOOKUP(compras_mes8[[#This Row],[CUIT]],Lista_CUIT[#All],4,0)),"CUIT NO CARGADO")</f>
        <v>0</v>
      </c>
      <c r="T98" s="33"/>
    </row>
    <row r="99" spans="2:20">
      <c r="B99" s="239" t="s">
        <v>2368</v>
      </c>
      <c r="C99" s="240">
        <v>1</v>
      </c>
      <c r="D99" s="241">
        <v>7</v>
      </c>
      <c r="E99" s="257">
        <v>12301</v>
      </c>
      <c r="F99" s="242">
        <v>30708017759</v>
      </c>
      <c r="G99" s="243" t="str">
        <f>IFERROR(IF(compras_mes8[[#This Row],[CUIT]]="","-",VLOOKUP(compras_mes8[[#This Row],[CUIT]],Lista_CUIT[#All],2,0)),"CUIT NO CARGADO")</f>
        <v>NEW  HIGH PACK  SA</v>
      </c>
      <c r="H99" s="244">
        <v>6810804</v>
      </c>
      <c r="I99" s="245">
        <f>IF(compras_mes8[[#This Row],[NETO GRAVADO]]="","",compras_mes8[[#This Row],[NETO GRAVADO]]*0.21)</f>
        <v>1430268.8399999999</v>
      </c>
      <c r="J99" s="245"/>
      <c r="K99" s="245"/>
      <c r="L99" s="245"/>
      <c r="M99" s="245"/>
      <c r="N99" s="245"/>
      <c r="O99" s="245">
        <v>408648.24</v>
      </c>
      <c r="P99" s="494">
        <f>SUM(compras_mes8[[#This Row],[NETO GRAVADO]:[Otros / No Grav.]])</f>
        <v>8649721.0800000001</v>
      </c>
      <c r="Q99" s="243" t="str">
        <f>IFERROR(IF(compras_mes8[[#This Row],[CUIT]]="","-",VLOOKUP(compras_mes8[[#This Row],[CUIT]],Lista_CUIT[#All],3,0)),"CUIT NO CARGADO")</f>
        <v>Material de Empaque</v>
      </c>
      <c r="R99" s="247">
        <f>IFERROR(IF(compras_mes8[[#This Row],[CUIT]]="","-",VLOOKUP(compras_mes8[[#This Row],[CUIT]],Lista_CUIT[#All],4,0)),"CUIT NO CARGADO")</f>
        <v>0</v>
      </c>
      <c r="T99" s="33"/>
    </row>
    <row r="100" spans="2:20">
      <c r="B100" s="239" t="s">
        <v>2375</v>
      </c>
      <c r="C100" s="240">
        <v>1</v>
      </c>
      <c r="D100" s="241">
        <v>5</v>
      </c>
      <c r="E100" s="257">
        <v>53995</v>
      </c>
      <c r="F100" s="242">
        <v>30709932876</v>
      </c>
      <c r="G100" s="243" t="str">
        <f>IFERROR(IF(compras_mes8[[#This Row],[CUIT]]="","-",VLOOKUP(compras_mes8[[#This Row],[CUIT]],Lista_CUIT[#All],2,0)),"CUIT NO CARGADO")</f>
        <v>Mega Envases S.A.</v>
      </c>
      <c r="H100" s="244">
        <v>13071552</v>
      </c>
      <c r="I100" s="245">
        <f>IF(compras_mes8[[#This Row],[NETO GRAVADO]]="","",compras_mes8[[#This Row],[NETO GRAVADO]]*0.21)</f>
        <v>2745025.92</v>
      </c>
      <c r="J100" s="245"/>
      <c r="K100" s="245"/>
      <c r="L100" s="245"/>
      <c r="M100" s="245"/>
      <c r="N100" s="245">
        <v>784293.12</v>
      </c>
      <c r="O100" s="245"/>
      <c r="P100" s="494">
        <f>SUM(compras_mes8[[#This Row],[NETO GRAVADO]:[Otros / No Grav.]])</f>
        <v>16600871.039999999</v>
      </c>
      <c r="Q100" s="243" t="str">
        <f>IFERROR(IF(compras_mes8[[#This Row],[CUIT]]="","-",VLOOKUP(compras_mes8[[#This Row],[CUIT]],Lista_CUIT[#All],3,0)),"CUIT NO CARGADO")</f>
        <v>Material de Empaque</v>
      </c>
      <c r="R100" s="247">
        <f>IFERROR(IF(compras_mes8[[#This Row],[CUIT]]="","-",VLOOKUP(compras_mes8[[#This Row],[CUIT]],Lista_CUIT[#All],4,0)),"CUIT NO CARGADO")</f>
        <v>0</v>
      </c>
      <c r="T100" s="33"/>
    </row>
    <row r="101" spans="2:20">
      <c r="B101" s="239" t="s">
        <v>2380</v>
      </c>
      <c r="C101" s="240">
        <v>1</v>
      </c>
      <c r="D101" s="241">
        <v>7</v>
      </c>
      <c r="E101" s="257">
        <v>12415</v>
      </c>
      <c r="F101" s="242">
        <v>30708017759</v>
      </c>
      <c r="G101" s="243" t="str">
        <f>IFERROR(IF(compras_mes8[[#This Row],[CUIT]]="","-",VLOOKUP(compras_mes8[[#This Row],[CUIT]],Lista_CUIT[#All],2,0)),"CUIT NO CARGADO")</f>
        <v>NEW  HIGH PACK  SA</v>
      </c>
      <c r="H101" s="244">
        <v>9318972</v>
      </c>
      <c r="I101" s="245">
        <f>IF(compras_mes8[[#This Row],[NETO GRAVADO]]="","",compras_mes8[[#This Row],[NETO GRAVADO]]*0.21)</f>
        <v>1956984.1199999999</v>
      </c>
      <c r="J101" s="245"/>
      <c r="K101" s="245"/>
      <c r="L101" s="245"/>
      <c r="M101" s="245"/>
      <c r="N101" s="245">
        <v>559138.31999999995</v>
      </c>
      <c r="O101" s="245"/>
      <c r="P101" s="494">
        <f>SUM(compras_mes8[[#This Row],[NETO GRAVADO]:[Otros / No Grav.]])</f>
        <v>11835094.439999999</v>
      </c>
      <c r="Q101" s="243" t="str">
        <f>IFERROR(IF(compras_mes8[[#This Row],[CUIT]]="","-",VLOOKUP(compras_mes8[[#This Row],[CUIT]],Lista_CUIT[#All],3,0)),"CUIT NO CARGADO")</f>
        <v>Material de Empaque</v>
      </c>
      <c r="R101" s="247">
        <f>IFERROR(IF(compras_mes8[[#This Row],[CUIT]]="","-",VLOOKUP(compras_mes8[[#This Row],[CUIT]],Lista_CUIT[#All],4,0)),"CUIT NO CARGADO")</f>
        <v>0</v>
      </c>
      <c r="T101" s="33"/>
    </row>
    <row r="102" spans="2:20">
      <c r="B102" s="239" t="s">
        <v>2384</v>
      </c>
      <c r="C102" s="41">
        <v>3</v>
      </c>
      <c r="D102" s="241">
        <v>7</v>
      </c>
      <c r="E102" s="257">
        <v>1097</v>
      </c>
      <c r="F102" s="242">
        <v>30708017759</v>
      </c>
      <c r="G102" s="243" t="str">
        <f>IFERROR(IF(compras_mes8[[#This Row],[CUIT]]="","-",VLOOKUP(compras_mes8[[#This Row],[CUIT]],Lista_CUIT[#All],2,0)),"CUIT NO CARGADO")</f>
        <v>NEW  HIGH PACK  SA</v>
      </c>
      <c r="H102" s="244">
        <v>-6810804</v>
      </c>
      <c r="I102" s="245">
        <f>IF(compras_mes8[[#This Row],[NETO GRAVADO]]="","",compras_mes8[[#This Row],[NETO GRAVADO]]*0.21)</f>
        <v>-1430268.8399999999</v>
      </c>
      <c r="J102" s="245"/>
      <c r="K102" s="245"/>
      <c r="L102" s="245"/>
      <c r="M102" s="245"/>
      <c r="N102" s="245">
        <v>-408648.24</v>
      </c>
      <c r="O102" s="245"/>
      <c r="P102" s="494">
        <f>SUM(compras_mes8[[#This Row],[NETO GRAVADO]:[Otros / No Grav.]])</f>
        <v>-8649721.0800000001</v>
      </c>
      <c r="Q102" s="243" t="str">
        <f>IFERROR(IF(compras_mes8[[#This Row],[CUIT]]="","-",VLOOKUP(compras_mes8[[#This Row],[CUIT]],Lista_CUIT[#All],3,0)),"CUIT NO CARGADO")</f>
        <v>Material de Empaque</v>
      </c>
      <c r="R102" s="247">
        <f>IFERROR(IF(compras_mes8[[#This Row],[CUIT]]="","-",VLOOKUP(compras_mes8[[#This Row],[CUIT]],Lista_CUIT[#All],4,0)),"CUIT NO CARGADO")</f>
        <v>0</v>
      </c>
      <c r="T102" s="33"/>
    </row>
    <row r="103" spans="2:20">
      <c r="B103" s="239" t="s">
        <v>2385</v>
      </c>
      <c r="C103" s="41">
        <v>1</v>
      </c>
      <c r="D103" s="241">
        <v>9</v>
      </c>
      <c r="E103" s="257">
        <v>851</v>
      </c>
      <c r="F103" s="242">
        <v>30710446047</v>
      </c>
      <c r="G103" s="243" t="str">
        <f>IFERROR(IF(compras_mes8[[#This Row],[CUIT]]="","-",VLOOKUP(compras_mes8[[#This Row],[CUIT]],Lista_CUIT[#All],2,0)),"CUIT NO CARGADO")</f>
        <v>ENSAMBLE GRAFICO S.H.</v>
      </c>
      <c r="H103" s="244">
        <v>1590100</v>
      </c>
      <c r="I103" s="245">
        <f>IF(compras_mes8[[#This Row],[NETO GRAVADO]]="","",compras_mes8[[#This Row],[NETO GRAVADO]]*0.21)</f>
        <v>333921</v>
      </c>
      <c r="J103" s="245"/>
      <c r="K103" s="245"/>
      <c r="L103" s="245"/>
      <c r="M103" s="245"/>
      <c r="N103" s="245"/>
      <c r="O103" s="245"/>
      <c r="P103" s="494">
        <f>SUM(compras_mes8[[#This Row],[NETO GRAVADO]:[Otros / No Grav.]])</f>
        <v>1924021</v>
      </c>
      <c r="Q103" s="243" t="str">
        <f>IFERROR(IF(compras_mes8[[#This Row],[CUIT]]="","-",VLOOKUP(compras_mes8[[#This Row],[CUIT]],Lista_CUIT[#All],3,0)),"CUIT NO CARGADO")</f>
        <v>Material de Empaque</v>
      </c>
      <c r="R103" s="247">
        <f>IFERROR(IF(compras_mes8[[#This Row],[CUIT]]="","-",VLOOKUP(compras_mes8[[#This Row],[CUIT]],Lista_CUIT[#All],4,0)),"CUIT NO CARGADO")</f>
        <v>0</v>
      </c>
      <c r="T103" s="33"/>
    </row>
    <row r="104" spans="2:20">
      <c r="B104" s="239" t="s">
        <v>2366</v>
      </c>
      <c r="C104" s="240">
        <v>1</v>
      </c>
      <c r="D104" s="241">
        <v>406</v>
      </c>
      <c r="E104" s="257">
        <v>41</v>
      </c>
      <c r="F104" s="242">
        <v>30522581506</v>
      </c>
      <c r="G104" s="243" t="str">
        <f>IFERROR(IF(compras_mes8[[#This Row],[CUIT]]="","-",VLOOKUP(compras_mes8[[#This Row],[CUIT]],Lista_CUIT[#All],2,0)),"CUIT NO CARGADO")</f>
        <v>TRONADOR SA COMERCIAL</v>
      </c>
      <c r="H104" s="244">
        <v>65289.26</v>
      </c>
      <c r="I104" s="245">
        <f>IF(compras_mes8[[#This Row],[NETO GRAVADO]]="","",compras_mes8[[#This Row],[NETO GRAVADO]]*0.21)</f>
        <v>13710.7446</v>
      </c>
      <c r="J104" s="245"/>
      <c r="K104" s="245"/>
      <c r="L104" s="245"/>
      <c r="M104" s="245"/>
      <c r="N104" s="245"/>
      <c r="O104" s="245"/>
      <c r="P104" s="494">
        <f>SUM(compras_mes8[[#This Row],[NETO GRAVADO]:[Otros / No Grav.]])</f>
        <v>79000.0046</v>
      </c>
      <c r="Q104" s="45" t="s">
        <v>79</v>
      </c>
      <c r="R104" s="247">
        <f>IFERROR(IF(compras_mes8[[#This Row],[CUIT]]="","-",VLOOKUP(compras_mes8[[#This Row],[CUIT]],Lista_CUIT[#All],4,0)),"CUIT NO CARGADO")</f>
        <v>0</v>
      </c>
      <c r="T104" s="33"/>
    </row>
    <row r="105" spans="2:20">
      <c r="B105" s="239" t="s">
        <v>2366</v>
      </c>
      <c r="C105" s="240">
        <v>1</v>
      </c>
      <c r="D105" s="241">
        <v>406</v>
      </c>
      <c r="E105" s="257">
        <v>42</v>
      </c>
      <c r="F105" s="242">
        <v>30522581506</v>
      </c>
      <c r="G105" s="243" t="str">
        <f>IFERROR(IF(compras_mes8[[#This Row],[CUIT]]="","-",VLOOKUP(compras_mes8[[#This Row],[CUIT]],Lista_CUIT[#All],2,0)),"CUIT NO CARGADO")</f>
        <v>TRONADOR SA COMERCIAL</v>
      </c>
      <c r="H105" s="244">
        <v>47520.66</v>
      </c>
      <c r="I105" s="245">
        <f>IF(compras_mes8[[#This Row],[NETO GRAVADO]]="","",compras_mes8[[#This Row],[NETO GRAVADO]]*0.21)</f>
        <v>9979.338600000001</v>
      </c>
      <c r="J105" s="245"/>
      <c r="K105" s="245"/>
      <c r="L105" s="245"/>
      <c r="M105" s="245"/>
      <c r="N105" s="245"/>
      <c r="O105" s="245"/>
      <c r="P105" s="494">
        <f>SUM(compras_mes8[[#This Row],[NETO GRAVADO]:[Otros / No Grav.]])</f>
        <v>57499.998600000006</v>
      </c>
      <c r="Q105" s="45" t="s">
        <v>79</v>
      </c>
      <c r="R105" s="247">
        <f>IFERROR(IF(compras_mes8[[#This Row],[CUIT]]="","-",VLOOKUP(compras_mes8[[#This Row],[CUIT]],Lista_CUIT[#All],4,0)),"CUIT NO CARGADO")</f>
        <v>0</v>
      </c>
      <c r="T105" s="33"/>
    </row>
    <row r="106" spans="2:20">
      <c r="B106" s="239" t="s">
        <v>2369</v>
      </c>
      <c r="C106" s="240">
        <v>1</v>
      </c>
      <c r="D106" s="241">
        <v>406</v>
      </c>
      <c r="E106" s="257">
        <v>45</v>
      </c>
      <c r="F106" s="242">
        <v>30522581506</v>
      </c>
      <c r="G106" s="243" t="str">
        <f>IFERROR(IF(compras_mes8[[#This Row],[CUIT]]="","-",VLOOKUP(compras_mes8[[#This Row],[CUIT]],Lista_CUIT[#All],2,0)),"CUIT NO CARGADO")</f>
        <v>TRONADOR SA COMERCIAL</v>
      </c>
      <c r="H106" s="244">
        <v>73305.789999999994</v>
      </c>
      <c r="I106" s="245">
        <f>IF(compras_mes8[[#This Row],[NETO GRAVADO]]="","",compras_mes8[[#This Row],[NETO GRAVADO]]*0.21)</f>
        <v>15394.215899999997</v>
      </c>
      <c r="J106" s="245"/>
      <c r="K106" s="245"/>
      <c r="L106" s="245"/>
      <c r="M106" s="245"/>
      <c r="N106" s="245"/>
      <c r="O106" s="245"/>
      <c r="P106" s="494">
        <f>SUM(compras_mes8[[#This Row],[NETO GRAVADO]:[Otros / No Grav.]])</f>
        <v>88700.005899999989</v>
      </c>
      <c r="Q106" s="45" t="s">
        <v>79</v>
      </c>
      <c r="R106" s="247">
        <f>IFERROR(IF(compras_mes8[[#This Row],[CUIT]]="","-",VLOOKUP(compras_mes8[[#This Row],[CUIT]],Lista_CUIT[#All],4,0)),"CUIT NO CARGADO")</f>
        <v>0</v>
      </c>
      <c r="T106" s="33"/>
    </row>
    <row r="107" spans="2:20">
      <c r="B107" s="239" t="s">
        <v>2363</v>
      </c>
      <c r="C107" s="240">
        <v>1</v>
      </c>
      <c r="D107" s="241">
        <v>629</v>
      </c>
      <c r="E107" s="257">
        <v>5328386</v>
      </c>
      <c r="F107" s="242">
        <v>30663498513</v>
      </c>
      <c r="G107" s="243" t="str">
        <f>IFERROR(IF(compras_mes8[[#This Row],[CUIT]]="","-",VLOOKUP(compras_mes8[[#This Row],[CUIT]],Lista_CUIT[#All],2,0)),"CUIT NO CARGADO")</f>
        <v>GRUPO CONCES. DEL OESTE SA</v>
      </c>
      <c r="H107" s="244">
        <v>28475.09</v>
      </c>
      <c r="I107" s="245">
        <f>IF(compras_mes8[[#This Row],[NETO GRAVADO]]="","",compras_mes8[[#This Row],[NETO GRAVADO]]*0.21)</f>
        <v>5979.7689</v>
      </c>
      <c r="J107" s="245"/>
      <c r="K107" s="245"/>
      <c r="L107" s="245"/>
      <c r="M107" s="245"/>
      <c r="N107" s="245"/>
      <c r="O107" s="245"/>
      <c r="P107" s="494">
        <f>SUM(compras_mes8[[#This Row],[NETO GRAVADO]:[Otros / No Grav.]])</f>
        <v>34454.858899999999</v>
      </c>
      <c r="Q107" s="243" t="str">
        <f>IFERROR(IF(compras_mes8[[#This Row],[CUIT]]="","-",VLOOKUP(compras_mes8[[#This Row],[CUIT]],Lista_CUIT[#All],3,0)),"CUIT NO CARGADO")</f>
        <v>Peajes</v>
      </c>
      <c r="R107" s="247">
        <f>IFERROR(IF(compras_mes8[[#This Row],[CUIT]]="","-",VLOOKUP(compras_mes8[[#This Row],[CUIT]],Lista_CUIT[#All],4,0)),"CUIT NO CARGADO")</f>
        <v>0</v>
      </c>
      <c r="T107" s="33"/>
    </row>
    <row r="108" spans="2:20">
      <c r="B108" s="239" t="s">
        <v>2363</v>
      </c>
      <c r="C108" s="240">
        <v>1</v>
      </c>
      <c r="D108" s="241">
        <v>711</v>
      </c>
      <c r="E108" s="257">
        <v>5985044</v>
      </c>
      <c r="F108" s="242">
        <v>30677237119</v>
      </c>
      <c r="G108" s="243" t="str">
        <f>IFERROR(IF(compras_mes8[[#This Row],[CUIT]]="","-",VLOOKUP(compras_mes8[[#This Row],[CUIT]],Lista_CUIT[#All],2,0)),"CUIT NO CARGADO")</f>
        <v>AUTOPISTAS DEL SOL S A</v>
      </c>
      <c r="H108" s="244">
        <v>14282.96</v>
      </c>
      <c r="I108" s="245">
        <f>IF(compras_mes8[[#This Row],[NETO GRAVADO]]="","",compras_mes8[[#This Row],[NETO GRAVADO]]*0.21)</f>
        <v>2999.4215999999997</v>
      </c>
      <c r="J108" s="245"/>
      <c r="K108" s="245"/>
      <c r="L108" s="245"/>
      <c r="M108" s="245"/>
      <c r="N108" s="245"/>
      <c r="O108" s="245">
        <v>428.49</v>
      </c>
      <c r="P108" s="494">
        <f>SUM(compras_mes8[[#This Row],[NETO GRAVADO]:[Otros / No Grav.]])</f>
        <v>17710.871600000002</v>
      </c>
      <c r="Q108" s="243" t="str">
        <f>IFERROR(IF(compras_mes8[[#This Row],[CUIT]]="","-",VLOOKUP(compras_mes8[[#This Row],[CUIT]],Lista_CUIT[#All],3,0)),"CUIT NO CARGADO")</f>
        <v>Peajes</v>
      </c>
      <c r="R108" s="247">
        <f>IFERROR(IF(compras_mes8[[#This Row],[CUIT]]="","-",VLOOKUP(compras_mes8[[#This Row],[CUIT]],Lista_CUIT[#All],4,0)),"CUIT NO CARGADO")</f>
        <v>0</v>
      </c>
      <c r="T108" s="33"/>
    </row>
    <row r="109" spans="2:20">
      <c r="B109" s="239" t="s">
        <v>2366</v>
      </c>
      <c r="C109" s="240">
        <v>1</v>
      </c>
      <c r="D109" s="241">
        <v>700</v>
      </c>
      <c r="E109" s="257">
        <v>1840121</v>
      </c>
      <c r="F109" s="242">
        <v>30715804812</v>
      </c>
      <c r="G109" s="243" t="str">
        <f>IFERROR(IF(compras_mes8[[#This Row],[CUIT]]="","-",VLOOKUP(compras_mes8[[#This Row],[CUIT]],Lista_CUIT[#All],2,0)),"CUIT NO CARGADO")</f>
        <v>CORREDORES VIALES SOCIEDAD ANONIMA</v>
      </c>
      <c r="H109" s="244">
        <v>2446.48</v>
      </c>
      <c r="I109" s="245">
        <f>IF(compras_mes8[[#This Row],[NETO GRAVADO]]="","",compras_mes8[[#This Row],[NETO GRAVADO]]*0.21)</f>
        <v>513.76080000000002</v>
      </c>
      <c r="J109" s="245"/>
      <c r="K109" s="245"/>
      <c r="L109" s="245"/>
      <c r="M109" s="245"/>
      <c r="N109" s="245"/>
      <c r="O109" s="245"/>
      <c r="P109" s="494">
        <f>SUM(compras_mes8[[#This Row],[NETO GRAVADO]:[Otros / No Grav.]])</f>
        <v>2960.2408</v>
      </c>
      <c r="Q109" s="243" t="str">
        <f>IFERROR(IF(compras_mes8[[#This Row],[CUIT]]="","-",VLOOKUP(compras_mes8[[#This Row],[CUIT]],Lista_CUIT[#All],3,0)),"CUIT NO CARGADO")</f>
        <v>Peajes</v>
      </c>
      <c r="R109" s="247">
        <f>IFERROR(IF(compras_mes8[[#This Row],[CUIT]]="","-",VLOOKUP(compras_mes8[[#This Row],[CUIT]],Lista_CUIT[#All],4,0)),"CUIT NO CARGADO")</f>
        <v>0</v>
      </c>
      <c r="T109" s="33"/>
    </row>
    <row r="110" spans="2:20">
      <c r="B110" s="239" t="s">
        <v>2368</v>
      </c>
      <c r="C110" s="240">
        <v>1</v>
      </c>
      <c r="D110" s="241">
        <v>5015</v>
      </c>
      <c r="E110" s="257">
        <v>633140</v>
      </c>
      <c r="F110" s="242">
        <v>30574876474</v>
      </c>
      <c r="G110" s="243" t="str">
        <f>IFERROR(IF(compras_mes8[[#This Row],[CUIT]]="","-",VLOOKUP(compras_mes8[[#This Row],[CUIT]],Lista_CUIT[#All],2,0)),"CUIT NO CARGADO")</f>
        <v>AUTOPISTAS URBANAS S A</v>
      </c>
      <c r="H110" s="244">
        <v>103207.54</v>
      </c>
      <c r="I110" s="245">
        <f>IF(compras_mes8[[#This Row],[NETO GRAVADO]]="","",compras_mes8[[#This Row],[NETO GRAVADO]]*0.21)</f>
        <v>21673.5834</v>
      </c>
      <c r="J110" s="245"/>
      <c r="K110" s="245"/>
      <c r="L110" s="245"/>
      <c r="M110" s="245"/>
      <c r="N110" s="245"/>
      <c r="O110" s="245">
        <v>13416.95</v>
      </c>
      <c r="P110" s="494">
        <f>SUM(compras_mes8[[#This Row],[NETO GRAVADO]:[Otros / No Grav.]])</f>
        <v>138298.07339999999</v>
      </c>
      <c r="Q110" s="243" t="str">
        <f>IFERROR(IF(compras_mes8[[#This Row],[CUIT]]="","-",VLOOKUP(compras_mes8[[#This Row],[CUIT]],Lista_CUIT[#All],3,0)),"CUIT NO CARGADO")</f>
        <v>Peajes</v>
      </c>
      <c r="R110" s="247">
        <f>IFERROR(IF(compras_mes8[[#This Row],[CUIT]]="","-",VLOOKUP(compras_mes8[[#This Row],[CUIT]],Lista_CUIT[#All],4,0)),"CUIT NO CARGADO")</f>
        <v>0</v>
      </c>
      <c r="T110" s="33"/>
    </row>
    <row r="111" spans="2:20">
      <c r="B111" s="239" t="s">
        <v>2374</v>
      </c>
      <c r="C111" s="240">
        <v>1</v>
      </c>
      <c r="D111" s="241">
        <v>104</v>
      </c>
      <c r="E111" s="257">
        <v>6424899</v>
      </c>
      <c r="F111" s="242">
        <v>30715804812</v>
      </c>
      <c r="G111" s="243" t="str">
        <f>IFERROR(IF(compras_mes8[[#This Row],[CUIT]]="","-",VLOOKUP(compras_mes8[[#This Row],[CUIT]],Lista_CUIT[#All],2,0)),"CUIT NO CARGADO")</f>
        <v>CORREDORES VIALES SOCIEDAD ANONIMA</v>
      </c>
      <c r="H111" s="244">
        <v>764.52</v>
      </c>
      <c r="I111" s="245">
        <f>IF(compras_mes8[[#This Row],[NETO GRAVADO]]="","",compras_mes8[[#This Row],[NETO GRAVADO]]*0.21)</f>
        <v>160.54919999999998</v>
      </c>
      <c r="J111" s="245"/>
      <c r="K111" s="245"/>
      <c r="L111" s="245"/>
      <c r="M111" s="245"/>
      <c r="N111" s="245">
        <v>45.87</v>
      </c>
      <c r="O111" s="245"/>
      <c r="P111" s="494">
        <f>SUM(compras_mes8[[#This Row],[NETO GRAVADO]:[Otros / No Grav.]])</f>
        <v>970.93919999999991</v>
      </c>
      <c r="Q111" s="243" t="str">
        <f>IFERROR(IF(compras_mes8[[#This Row],[CUIT]]="","-",VLOOKUP(compras_mes8[[#This Row],[CUIT]],Lista_CUIT[#All],3,0)),"CUIT NO CARGADO")</f>
        <v>Peajes</v>
      </c>
      <c r="R111" s="247">
        <f>IFERROR(IF(compras_mes8[[#This Row],[CUIT]]="","-",VLOOKUP(compras_mes8[[#This Row],[CUIT]],Lista_CUIT[#All],4,0)),"CUIT NO CARGADO")</f>
        <v>0</v>
      </c>
      <c r="T111" s="33"/>
    </row>
    <row r="112" spans="2:20">
      <c r="B112" s="239" t="s">
        <v>2374</v>
      </c>
      <c r="C112" s="240">
        <v>1</v>
      </c>
      <c r="D112" s="241">
        <v>104</v>
      </c>
      <c r="E112" s="257">
        <v>6483909</v>
      </c>
      <c r="F112" s="242">
        <v>30715804812</v>
      </c>
      <c r="G112" s="243" t="str">
        <f>IFERROR(IF(compras_mes8[[#This Row],[CUIT]]="","-",VLOOKUP(compras_mes8[[#This Row],[CUIT]],Lista_CUIT[#All],2,0)),"CUIT NO CARGADO")</f>
        <v>CORREDORES VIALES SOCIEDAD ANONIMA</v>
      </c>
      <c r="H112" s="244">
        <v>4029.44</v>
      </c>
      <c r="I112" s="245">
        <f>IF(compras_mes8[[#This Row],[NETO GRAVADO]]="","",compras_mes8[[#This Row],[NETO GRAVADO]]*0.21)</f>
        <v>846.18240000000003</v>
      </c>
      <c r="J112" s="245"/>
      <c r="K112" s="245"/>
      <c r="L112" s="245"/>
      <c r="M112" s="245"/>
      <c r="N112" s="245">
        <v>241.77</v>
      </c>
      <c r="O112" s="245"/>
      <c r="P112" s="494">
        <f>SUM(compras_mes8[[#This Row],[NETO GRAVADO]:[Otros / No Grav.]])</f>
        <v>5117.3924000000006</v>
      </c>
      <c r="Q112" s="243" t="str">
        <f>IFERROR(IF(compras_mes8[[#This Row],[CUIT]]="","-",VLOOKUP(compras_mes8[[#This Row],[CUIT]],Lista_CUIT[#All],3,0)),"CUIT NO CARGADO")</f>
        <v>Peajes</v>
      </c>
      <c r="R112" s="247">
        <f>IFERROR(IF(compras_mes8[[#This Row],[CUIT]]="","-",VLOOKUP(compras_mes8[[#This Row],[CUIT]],Lista_CUIT[#All],4,0)),"CUIT NO CARGADO")</f>
        <v>0</v>
      </c>
      <c r="T112" s="33"/>
    </row>
    <row r="113" spans="2:20">
      <c r="B113" s="239" t="s">
        <v>2374</v>
      </c>
      <c r="C113" s="240">
        <v>1</v>
      </c>
      <c r="D113" s="241">
        <v>503</v>
      </c>
      <c r="E113" s="257">
        <v>1433151</v>
      </c>
      <c r="F113" s="242">
        <v>30639935872</v>
      </c>
      <c r="G113" s="243" t="str">
        <f>IFERROR(IF(compras_mes8[[#This Row],[CUIT]]="","-",VLOOKUP(compras_mes8[[#This Row],[CUIT]],Lista_CUIT[#All],2,0)),"CUIT NO CARGADO")</f>
        <v>CAMINOS DEL RIO URUGUAY S A DE CONSTRUCCIONES Y CONCESIONES VIALES</v>
      </c>
      <c r="H113" s="244">
        <v>2638.28</v>
      </c>
      <c r="I113" s="245">
        <f>IF(compras_mes8[[#This Row],[NETO GRAVADO]]="","",compras_mes8[[#This Row],[NETO GRAVADO]]*0.21)</f>
        <v>554.03880000000004</v>
      </c>
      <c r="J113" s="245"/>
      <c r="K113" s="245"/>
      <c r="L113" s="245"/>
      <c r="M113" s="245"/>
      <c r="N113" s="245">
        <v>158.30000000000001</v>
      </c>
      <c r="O113" s="245"/>
      <c r="P113" s="494">
        <f>SUM(compras_mes8[[#This Row],[NETO GRAVADO]:[Otros / No Grav.]])</f>
        <v>3350.6188000000002</v>
      </c>
      <c r="Q113" s="243" t="str">
        <f>IFERROR(IF(compras_mes8[[#This Row],[CUIT]]="","-",VLOOKUP(compras_mes8[[#This Row],[CUIT]],Lista_CUIT[#All],3,0)),"CUIT NO CARGADO")</f>
        <v>Peajes</v>
      </c>
      <c r="R113" s="247">
        <f>IFERROR(IF(compras_mes8[[#This Row],[CUIT]]="","-",VLOOKUP(compras_mes8[[#This Row],[CUIT]],Lista_CUIT[#All],4,0)),"CUIT NO CARGADO")</f>
        <v>0</v>
      </c>
      <c r="T113" s="33"/>
    </row>
    <row r="114" spans="2:20">
      <c r="B114" s="239" t="s">
        <v>2376</v>
      </c>
      <c r="C114" s="240">
        <v>1</v>
      </c>
      <c r="D114" s="241">
        <v>5015</v>
      </c>
      <c r="E114" s="257">
        <v>634708</v>
      </c>
      <c r="F114" s="242">
        <v>30574876474</v>
      </c>
      <c r="G114" s="243" t="str">
        <f>IFERROR(IF(compras_mes8[[#This Row],[CUIT]]="","-",VLOOKUP(compras_mes8[[#This Row],[CUIT]],Lista_CUIT[#All],2,0)),"CUIT NO CARGADO")</f>
        <v>AUTOPISTAS URBANAS S A</v>
      </c>
      <c r="H114" s="244">
        <v>117586.86</v>
      </c>
      <c r="I114" s="245">
        <f>IF(compras_mes8[[#This Row],[NETO GRAVADO]]="","",compras_mes8[[#This Row],[NETO GRAVADO]]*0.21)</f>
        <v>24693.240600000001</v>
      </c>
      <c r="J114" s="245"/>
      <c r="K114" s="245"/>
      <c r="L114" s="245"/>
      <c r="M114" s="245"/>
      <c r="N114" s="245"/>
      <c r="O114" s="245">
        <v>15286.27</v>
      </c>
      <c r="P114" s="494">
        <f>SUM(compras_mes8[[#This Row],[NETO GRAVADO]:[Otros / No Grav.]])</f>
        <v>157566.37059999999</v>
      </c>
      <c r="Q114" s="243" t="str">
        <f>IFERROR(IF(compras_mes8[[#This Row],[CUIT]]="","-",VLOOKUP(compras_mes8[[#This Row],[CUIT]],Lista_CUIT[#All],3,0)),"CUIT NO CARGADO")</f>
        <v>Peajes</v>
      </c>
      <c r="R114" s="247">
        <f>IFERROR(IF(compras_mes8[[#This Row],[CUIT]]="","-",VLOOKUP(compras_mes8[[#This Row],[CUIT]],Lista_CUIT[#All],4,0)),"CUIT NO CARGADO")</f>
        <v>0</v>
      </c>
      <c r="T114" s="33"/>
    </row>
    <row r="115" spans="2:20">
      <c r="B115" s="239" t="s">
        <v>2377</v>
      </c>
      <c r="C115" s="240">
        <v>1</v>
      </c>
      <c r="D115" s="241">
        <v>711</v>
      </c>
      <c r="E115" s="257">
        <v>6042743</v>
      </c>
      <c r="F115" s="242">
        <v>30677237119</v>
      </c>
      <c r="G115" s="243" t="str">
        <f>IFERROR(IF(compras_mes8[[#This Row],[CUIT]]="","-",VLOOKUP(compras_mes8[[#This Row],[CUIT]],Lista_CUIT[#All],2,0)),"CUIT NO CARGADO")</f>
        <v>AUTOPISTAS DEL SOL S A</v>
      </c>
      <c r="H115" s="244">
        <v>12143.55</v>
      </c>
      <c r="I115" s="245">
        <f>IF(compras_mes8[[#This Row],[NETO GRAVADO]]="","",compras_mes8[[#This Row],[NETO GRAVADO]]*0.21)</f>
        <v>2550.1454999999996</v>
      </c>
      <c r="J115" s="245"/>
      <c r="K115" s="245"/>
      <c r="L115" s="245"/>
      <c r="M115" s="245"/>
      <c r="N115" s="245"/>
      <c r="O115" s="245">
        <v>364.31</v>
      </c>
      <c r="P115" s="494">
        <f>SUM(compras_mes8[[#This Row],[NETO GRAVADO]:[Otros / No Grav.]])</f>
        <v>15058.005499999997</v>
      </c>
      <c r="Q115" s="243" t="str">
        <f>IFERROR(IF(compras_mes8[[#This Row],[CUIT]]="","-",VLOOKUP(compras_mes8[[#This Row],[CUIT]],Lista_CUIT[#All],3,0)),"CUIT NO CARGADO")</f>
        <v>Peajes</v>
      </c>
      <c r="R115" s="247">
        <f>IFERROR(IF(compras_mes8[[#This Row],[CUIT]]="","-",VLOOKUP(compras_mes8[[#This Row],[CUIT]],Lista_CUIT[#All],4,0)),"CUIT NO CARGADO")</f>
        <v>0</v>
      </c>
      <c r="T115" s="33"/>
    </row>
    <row r="116" spans="2:20">
      <c r="B116" s="239" t="s">
        <v>2377</v>
      </c>
      <c r="C116" s="240">
        <v>1</v>
      </c>
      <c r="D116" s="241">
        <v>629</v>
      </c>
      <c r="E116" s="257">
        <v>5368419</v>
      </c>
      <c r="F116" s="242">
        <v>30663498513</v>
      </c>
      <c r="G116" s="243" t="str">
        <f>IFERROR(IF(compras_mes8[[#This Row],[CUIT]]="","-",VLOOKUP(compras_mes8[[#This Row],[CUIT]],Lista_CUIT[#All],2,0)),"CUIT NO CARGADO")</f>
        <v>GRUPO CONCES. DEL OESTE SA</v>
      </c>
      <c r="H116" s="244">
        <v>32981.360000000001</v>
      </c>
      <c r="I116" s="245">
        <f>IF(compras_mes8[[#This Row],[NETO GRAVADO]]="","",compras_mes8[[#This Row],[NETO GRAVADO]]*0.21)</f>
        <v>6926.0855999999994</v>
      </c>
      <c r="J116" s="245"/>
      <c r="K116" s="245"/>
      <c r="L116" s="245"/>
      <c r="M116" s="245"/>
      <c r="N116" s="245"/>
      <c r="O116" s="245"/>
      <c r="P116" s="494">
        <f>SUM(compras_mes8[[#This Row],[NETO GRAVADO]:[Otros / No Grav.]])</f>
        <v>39907.445599999999</v>
      </c>
      <c r="Q116" s="243" t="str">
        <f>IFERROR(IF(compras_mes8[[#This Row],[CUIT]]="","-",VLOOKUP(compras_mes8[[#This Row],[CUIT]],Lista_CUIT[#All],3,0)),"CUIT NO CARGADO")</f>
        <v>Peajes</v>
      </c>
      <c r="R116" s="247">
        <f>IFERROR(IF(compras_mes8[[#This Row],[CUIT]]="","-",VLOOKUP(compras_mes8[[#This Row],[CUIT]],Lista_CUIT[#All],4,0)),"CUIT NO CARGADO")</f>
        <v>0</v>
      </c>
      <c r="T116" s="33"/>
    </row>
    <row r="117" spans="2:20">
      <c r="B117" s="239" t="s">
        <v>2379</v>
      </c>
      <c r="C117" s="240">
        <v>1</v>
      </c>
      <c r="D117" s="241">
        <v>700</v>
      </c>
      <c r="E117" s="257">
        <v>1872242</v>
      </c>
      <c r="F117" s="242">
        <v>30715804812</v>
      </c>
      <c r="G117" s="243" t="str">
        <f>IFERROR(IF(compras_mes8[[#This Row],[CUIT]]="","-",VLOOKUP(compras_mes8[[#This Row],[CUIT]],Lista_CUIT[#All],2,0)),"CUIT NO CARGADO")</f>
        <v>CORREDORES VIALES SOCIEDAD ANONIMA</v>
      </c>
      <c r="H117" s="244">
        <v>694.35</v>
      </c>
      <c r="I117" s="245">
        <f>IF(compras_mes8[[#This Row],[NETO GRAVADO]]="","",compras_mes8[[#This Row],[NETO GRAVADO]]*0.21)</f>
        <v>145.8135</v>
      </c>
      <c r="J117" s="245"/>
      <c r="K117" s="245"/>
      <c r="L117" s="245"/>
      <c r="M117" s="245"/>
      <c r="N117" s="245"/>
      <c r="O117" s="245"/>
      <c r="P117" s="494">
        <f>SUM(compras_mes8[[#This Row],[NETO GRAVADO]:[Otros / No Grav.]])</f>
        <v>840.1635</v>
      </c>
      <c r="Q117" s="243" t="str">
        <f>IFERROR(IF(compras_mes8[[#This Row],[CUIT]]="","-",VLOOKUP(compras_mes8[[#This Row],[CUIT]],Lista_CUIT[#All],3,0)),"CUIT NO CARGADO")</f>
        <v>Peajes</v>
      </c>
      <c r="R117" s="247">
        <f>IFERROR(IF(compras_mes8[[#This Row],[CUIT]]="","-",VLOOKUP(compras_mes8[[#This Row],[CUIT]],Lista_CUIT[#All],4,0)),"CUIT NO CARGADO")</f>
        <v>0</v>
      </c>
      <c r="T117" s="33"/>
    </row>
    <row r="118" spans="2:20">
      <c r="B118" s="239" t="s">
        <v>2381</v>
      </c>
      <c r="C118" s="240">
        <v>1</v>
      </c>
      <c r="D118" s="241">
        <v>5015</v>
      </c>
      <c r="E118" s="257">
        <v>638180</v>
      </c>
      <c r="F118" s="242">
        <v>30574876474</v>
      </c>
      <c r="G118" s="243" t="str">
        <f>IFERROR(IF(compras_mes8[[#This Row],[CUIT]]="","-",VLOOKUP(compras_mes8[[#This Row],[CUIT]],Lista_CUIT[#All],2,0)),"CUIT NO CARGADO")</f>
        <v>AUTOPISTAS URBANAS S A</v>
      </c>
      <c r="H118" s="244">
        <v>84112.75</v>
      </c>
      <c r="I118" s="245">
        <f>IF(compras_mes8[[#This Row],[NETO GRAVADO]]="","",compras_mes8[[#This Row],[NETO GRAVADO]]*0.21)</f>
        <v>17663.677499999998</v>
      </c>
      <c r="J118" s="245"/>
      <c r="K118" s="245"/>
      <c r="L118" s="245"/>
      <c r="M118" s="245"/>
      <c r="N118" s="245"/>
      <c r="O118" s="245">
        <v>10934.66</v>
      </c>
      <c r="P118" s="494">
        <f>SUM(compras_mes8[[#This Row],[NETO GRAVADO]:[Otros / No Grav.]])</f>
        <v>112711.08749999999</v>
      </c>
      <c r="Q118" s="243" t="str">
        <f>IFERROR(IF(compras_mes8[[#This Row],[CUIT]]="","-",VLOOKUP(compras_mes8[[#This Row],[CUIT]],Lista_CUIT[#All],3,0)),"CUIT NO CARGADO")</f>
        <v>Peajes</v>
      </c>
      <c r="R118" s="247">
        <f>IFERROR(IF(compras_mes8[[#This Row],[CUIT]]="","-",VLOOKUP(compras_mes8[[#This Row],[CUIT]],Lista_CUIT[#All],4,0)),"CUIT NO CARGADO")</f>
        <v>0</v>
      </c>
      <c r="T118" s="33"/>
    </row>
    <row r="119" spans="2:20">
      <c r="B119" s="239" t="s">
        <v>2386</v>
      </c>
      <c r="C119" s="240">
        <v>1</v>
      </c>
      <c r="D119" s="241">
        <v>503</v>
      </c>
      <c r="E119" s="257">
        <v>1452870</v>
      </c>
      <c r="F119" s="242">
        <v>30639935872</v>
      </c>
      <c r="G119" s="243" t="str">
        <f>IFERROR(IF(compras_mes8[[#This Row],[CUIT]]="","-",VLOOKUP(compras_mes8[[#This Row],[CUIT]],Lista_CUIT[#All],2,0)),"CUIT NO CARGADO")</f>
        <v>CAMINOS DEL RIO URUGUAY S A DE CONSTRUCCIONES Y CONCESIONES VIALES</v>
      </c>
      <c r="H119" s="244">
        <v>2638.28</v>
      </c>
      <c r="I119" s="245">
        <f>IF(compras_mes8[[#This Row],[NETO GRAVADO]]="","",compras_mes8[[#This Row],[NETO GRAVADO]]*0.21)</f>
        <v>554.03880000000004</v>
      </c>
      <c r="J119" s="245"/>
      <c r="K119" s="245"/>
      <c r="L119" s="245"/>
      <c r="M119" s="245"/>
      <c r="N119" s="245">
        <v>158.30000000000001</v>
      </c>
      <c r="O119" s="245"/>
      <c r="P119" s="494">
        <f>SUM(compras_mes8[[#This Row],[NETO GRAVADO]:[Otros / No Grav.]])</f>
        <v>3350.6188000000002</v>
      </c>
      <c r="Q119" s="243" t="str">
        <f>IFERROR(IF(compras_mes8[[#This Row],[CUIT]]="","-",VLOOKUP(compras_mes8[[#This Row],[CUIT]],Lista_CUIT[#All],3,0)),"CUIT NO CARGADO")</f>
        <v>Peajes</v>
      </c>
      <c r="R119" s="247">
        <f>IFERROR(IF(compras_mes8[[#This Row],[CUIT]]="","-",VLOOKUP(compras_mes8[[#This Row],[CUIT]],Lista_CUIT[#All],4,0)),"CUIT NO CARGADO")</f>
        <v>0</v>
      </c>
      <c r="T119" s="33"/>
    </row>
    <row r="120" spans="2:20">
      <c r="B120" s="239" t="s">
        <v>2387</v>
      </c>
      <c r="C120" s="240">
        <v>1</v>
      </c>
      <c r="D120" s="241">
        <v>104</v>
      </c>
      <c r="E120" s="257">
        <v>6550955</v>
      </c>
      <c r="F120" s="242">
        <v>30715804812</v>
      </c>
      <c r="G120" s="243" t="str">
        <f>IFERROR(IF(compras_mes8[[#This Row],[CUIT]]="","-",VLOOKUP(compras_mes8[[#This Row],[CUIT]],Lista_CUIT[#All],2,0)),"CUIT NO CARGADO")</f>
        <v>CORREDORES VIALES SOCIEDAD ANONIMA</v>
      </c>
      <c r="H120" s="244">
        <v>867.94</v>
      </c>
      <c r="I120" s="245">
        <f>IF(compras_mes8[[#This Row],[NETO GRAVADO]]="","",compras_mes8[[#This Row],[NETO GRAVADO]]*0.21)</f>
        <v>182.26740000000001</v>
      </c>
      <c r="J120" s="245"/>
      <c r="K120" s="245"/>
      <c r="L120" s="245"/>
      <c r="M120" s="245">
        <v>52.08</v>
      </c>
      <c r="N120" s="245"/>
      <c r="O120" s="245"/>
      <c r="P120" s="494">
        <f>SUM(compras_mes8[[#This Row],[NETO GRAVADO]:[Otros / No Grav.]])</f>
        <v>1102.2873999999999</v>
      </c>
      <c r="Q120" s="243" t="str">
        <f>IFERROR(IF(compras_mes8[[#This Row],[CUIT]]="","-",VLOOKUP(compras_mes8[[#This Row],[CUIT]],Lista_CUIT[#All],3,0)),"CUIT NO CARGADO")</f>
        <v>Peajes</v>
      </c>
      <c r="R120" s="247">
        <f>IFERROR(IF(compras_mes8[[#This Row],[CUIT]]="","-",VLOOKUP(compras_mes8[[#This Row],[CUIT]],Lista_CUIT[#All],4,0)),"CUIT NO CARGADO")</f>
        <v>0</v>
      </c>
      <c r="T120" s="33"/>
    </row>
    <row r="121" spans="2:20">
      <c r="B121" s="239" t="s">
        <v>2389</v>
      </c>
      <c r="C121" s="240">
        <v>1</v>
      </c>
      <c r="D121" s="241">
        <v>5015</v>
      </c>
      <c r="E121" s="257">
        <v>640519</v>
      </c>
      <c r="F121" s="242">
        <v>30574876474</v>
      </c>
      <c r="G121" s="243" t="str">
        <f>IFERROR(IF(compras_mes8[[#This Row],[CUIT]]="","-",VLOOKUP(compras_mes8[[#This Row],[CUIT]],Lista_CUIT[#All],2,0)),"CUIT NO CARGADO")</f>
        <v>AUTOPISTAS URBANAS S A</v>
      </c>
      <c r="H121" s="244">
        <v>131948.79999999999</v>
      </c>
      <c r="I121" s="245">
        <f>IF(compras_mes8[[#This Row],[NETO GRAVADO]]="","",compras_mes8[[#This Row],[NETO GRAVADO]]*0.21)</f>
        <v>27709.247999999996</v>
      </c>
      <c r="J121" s="245"/>
      <c r="K121" s="245"/>
      <c r="L121" s="245"/>
      <c r="M121" s="245"/>
      <c r="N121" s="245"/>
      <c r="O121" s="245">
        <v>17153.32</v>
      </c>
      <c r="P121" s="494">
        <f>SUM(compras_mes8[[#This Row],[NETO GRAVADO]:[Otros / No Grav.]])</f>
        <v>176811.36799999999</v>
      </c>
      <c r="Q121" s="243" t="str">
        <f>IFERROR(IF(compras_mes8[[#This Row],[CUIT]]="","-",VLOOKUP(compras_mes8[[#This Row],[CUIT]],Lista_CUIT[#All],3,0)),"CUIT NO CARGADO")</f>
        <v>Peajes</v>
      </c>
      <c r="R121" s="247">
        <f>IFERROR(IF(compras_mes8[[#This Row],[CUIT]]="","-",VLOOKUP(compras_mes8[[#This Row],[CUIT]],Lista_CUIT[#All],4,0)),"CUIT NO CARGADO")</f>
        <v>0</v>
      </c>
      <c r="T121" s="33"/>
    </row>
    <row r="122" spans="2:20">
      <c r="B122" s="239" t="s">
        <v>2389</v>
      </c>
      <c r="C122" s="240">
        <v>1</v>
      </c>
      <c r="D122" s="241">
        <v>50</v>
      </c>
      <c r="E122" s="257">
        <v>3753069</v>
      </c>
      <c r="F122" s="242">
        <v>30714112836</v>
      </c>
      <c r="G122" s="243" t="str">
        <f>IFERROR(IF(compras_mes8[[#This Row],[CUIT]]="","-",VLOOKUP(compras_mes8[[#This Row],[CUIT]],Lista_CUIT[#All],2,0)),"CUIT NO CARGADO")</f>
        <v>AUTOPISTAS DE BS AS</v>
      </c>
      <c r="H122" s="244">
        <v>42243.8</v>
      </c>
      <c r="I122" s="245">
        <f>IF(compras_mes8[[#This Row],[NETO GRAVADO]]="","",compras_mes8[[#This Row],[NETO GRAVADO]]*0.21)</f>
        <v>8871.1980000000003</v>
      </c>
      <c r="J122" s="245"/>
      <c r="K122" s="245"/>
      <c r="L122" s="245">
        <v>1267.31</v>
      </c>
      <c r="M122" s="245"/>
      <c r="N122" s="245"/>
      <c r="O122" s="245"/>
      <c r="P122" s="494">
        <f>SUM(compras_mes8[[#This Row],[NETO GRAVADO]:[Otros / No Grav.]])</f>
        <v>52382.308000000005</v>
      </c>
      <c r="Q122" s="243" t="str">
        <f>IFERROR(IF(compras_mes8[[#This Row],[CUIT]]="","-",VLOOKUP(compras_mes8[[#This Row],[CUIT]],Lista_CUIT[#All],3,0)),"CUIT NO CARGADO")</f>
        <v>Peajes</v>
      </c>
      <c r="R122" s="247">
        <f>IFERROR(IF(compras_mes8[[#This Row],[CUIT]]="","-",VLOOKUP(compras_mes8[[#This Row],[CUIT]],Lista_CUIT[#All],4,0)),"CUIT NO CARGADO")</f>
        <v>0</v>
      </c>
      <c r="T122" s="33"/>
    </row>
    <row r="123" spans="2:20">
      <c r="B123" s="239" t="s">
        <v>2362</v>
      </c>
      <c r="C123" s="240">
        <v>1</v>
      </c>
      <c r="D123" s="241">
        <v>6</v>
      </c>
      <c r="E123" s="257">
        <v>3222</v>
      </c>
      <c r="F123" s="242">
        <v>30574603788</v>
      </c>
      <c r="G123" s="243" t="str">
        <f>IFERROR(IF(compras_mes8[[#This Row],[CUIT]]="","-",VLOOKUP(compras_mes8[[#This Row],[CUIT]],Lista_CUIT[#All],2,0)),"CUIT NO CARGADO")</f>
        <v>CODAC SRL</v>
      </c>
      <c r="H123" s="244">
        <v>2157150</v>
      </c>
      <c r="I123" s="245">
        <f>IF(compras_mes8[[#This Row],[NETO GRAVADO]]="","",compras_mes8[[#This Row],[NETO GRAVADO]]*0.21)</f>
        <v>453001.5</v>
      </c>
      <c r="J123" s="245"/>
      <c r="K123" s="245"/>
      <c r="L123" s="245"/>
      <c r="M123" s="245"/>
      <c r="N123" s="245"/>
      <c r="O123" s="245"/>
      <c r="P123" s="246">
        <f>SUM(compras_mes8[[#This Row],[NETO GRAVADO]:[Otros / No Grav.]])</f>
        <v>2610151.5</v>
      </c>
      <c r="Q123" s="243" t="str">
        <f>IFERROR(IF(compras_mes8[[#This Row],[CUIT]]="","-",VLOOKUP(compras_mes8[[#This Row],[CUIT]],Lista_CUIT[#All],3,0)),"CUIT NO CARGADO")</f>
        <v>Productos Venta</v>
      </c>
      <c r="R123" s="247" t="str">
        <f>IFERROR(IF(compras_mes8[[#This Row],[CUIT]]="","-",VLOOKUP(compras_mes8[[#This Row],[CUIT]],Lista_CUIT[#All],4,0)),"CUIT NO CARGADO")</f>
        <v>BUENOS AIRES</v>
      </c>
      <c r="T123" s="33"/>
    </row>
    <row r="124" spans="2:20">
      <c r="B124" s="239" t="s">
        <v>2366</v>
      </c>
      <c r="C124" s="240">
        <v>1</v>
      </c>
      <c r="D124" s="241">
        <v>2</v>
      </c>
      <c r="E124" s="257">
        <v>8167</v>
      </c>
      <c r="F124" s="242">
        <v>33714677239</v>
      </c>
      <c r="G124" s="243" t="str">
        <f>IFERROR(IF(compras_mes8[[#This Row],[CUIT]]="","-",VLOOKUP(compras_mes8[[#This Row],[CUIT]],Lista_CUIT[#All],2,0)),"CUIT NO CARGADO")</f>
        <v xml:space="preserve">BOMBAS VAPORIZADORAS </v>
      </c>
      <c r="H124" s="244">
        <v>2147625</v>
      </c>
      <c r="I124" s="245">
        <f>IF(compras_mes8[[#This Row],[NETO GRAVADO]]="","",compras_mes8[[#This Row],[NETO GRAVADO]]*0.21)</f>
        <v>451001.25</v>
      </c>
      <c r="J124" s="245"/>
      <c r="K124" s="245"/>
      <c r="L124" s="245"/>
      <c r="M124" s="245"/>
      <c r="N124" s="245"/>
      <c r="O124" s="245"/>
      <c r="P124" s="494">
        <f>SUM(compras_mes8[[#This Row],[NETO GRAVADO]:[Otros / No Grav.]])</f>
        <v>2598626.25</v>
      </c>
      <c r="Q124" s="243" t="str">
        <f>IFERROR(IF(compras_mes8[[#This Row],[CUIT]]="","-",VLOOKUP(compras_mes8[[#This Row],[CUIT]],Lista_CUIT[#All],3,0)),"CUIT NO CARGADO")</f>
        <v>Productos Venta</v>
      </c>
      <c r="R124" s="247">
        <f>IFERROR(IF(compras_mes8[[#This Row],[CUIT]]="","-",VLOOKUP(compras_mes8[[#This Row],[CUIT]],Lista_CUIT[#All],4,0)),"CUIT NO CARGADO")</f>
        <v>0</v>
      </c>
      <c r="T124" s="33"/>
    </row>
    <row r="125" spans="2:20">
      <c r="B125" s="239" t="s">
        <v>2366</v>
      </c>
      <c r="C125" s="240">
        <v>1</v>
      </c>
      <c r="D125" s="241">
        <v>4</v>
      </c>
      <c r="E125" s="257">
        <v>2482</v>
      </c>
      <c r="F125" s="242">
        <v>30715946250</v>
      </c>
      <c r="G125" s="243" t="str">
        <f>IFERROR(IF(compras_mes8[[#This Row],[CUIT]]="","-",VLOOKUP(compras_mes8[[#This Row],[CUIT]],Lista_CUIT[#All],2,0)),"CUIT NO CARGADO")</f>
        <v>GLOBAL AESTHETICS PRODUCTS AND SERVICES SRL</v>
      </c>
      <c r="H125" s="244">
        <v>2049876</v>
      </c>
      <c r="I125" s="245">
        <f>IF(compras_mes8[[#This Row],[NETO GRAVADO]]="","",compras_mes8[[#This Row],[NETO GRAVADO]]*0.21)</f>
        <v>430473.95999999996</v>
      </c>
      <c r="J125" s="245"/>
      <c r="K125" s="245"/>
      <c r="L125" s="245"/>
      <c r="M125" s="245"/>
      <c r="N125" s="245"/>
      <c r="O125" s="245"/>
      <c r="P125" s="494">
        <f>SUM(compras_mes8[[#This Row],[NETO GRAVADO]:[Otros / No Grav.]])</f>
        <v>2480349.96</v>
      </c>
      <c r="Q125" s="243" t="str">
        <f>IFERROR(IF(compras_mes8[[#This Row],[CUIT]]="","-",VLOOKUP(compras_mes8[[#This Row],[CUIT]],Lista_CUIT[#All],3,0)),"CUIT NO CARGADO")</f>
        <v>Productos Venta</v>
      </c>
      <c r="R125" s="247">
        <f>IFERROR(IF(compras_mes8[[#This Row],[CUIT]]="","-",VLOOKUP(compras_mes8[[#This Row],[CUIT]],Lista_CUIT[#All],4,0)),"CUIT NO CARGADO")</f>
        <v>0</v>
      </c>
      <c r="T125" s="33"/>
    </row>
    <row r="126" spans="2:20">
      <c r="B126" s="239" t="s">
        <v>2366</v>
      </c>
      <c r="C126" s="240">
        <v>1</v>
      </c>
      <c r="D126" s="241">
        <v>2</v>
      </c>
      <c r="E126" s="257">
        <v>3751</v>
      </c>
      <c r="F126" s="242">
        <v>30629863571</v>
      </c>
      <c r="G126" s="243" t="str">
        <f>IFERROR(IF(compras_mes8[[#This Row],[CUIT]]="","-",VLOOKUP(compras_mes8[[#This Row],[CUIT]],Lista_CUIT[#All],2,0)),"CUIT NO CARGADO")</f>
        <v>TECNIMAR S R L</v>
      </c>
      <c r="H126" s="244">
        <v>2992800</v>
      </c>
      <c r="I126" s="245">
        <f>IF(compras_mes8[[#This Row],[NETO GRAVADO]]="","",compras_mes8[[#This Row],[NETO GRAVADO]]*0.21)</f>
        <v>628488</v>
      </c>
      <c r="J126" s="245"/>
      <c r="K126" s="245"/>
      <c r="L126" s="245"/>
      <c r="M126" s="245"/>
      <c r="N126" s="245"/>
      <c r="O126" s="245"/>
      <c r="P126" s="494">
        <f>SUM(compras_mes8[[#This Row],[NETO GRAVADO]:[Otros / No Grav.]])</f>
        <v>3621288</v>
      </c>
      <c r="Q126" s="243" t="str">
        <f>IFERROR(IF(compras_mes8[[#This Row],[CUIT]]="","-",VLOOKUP(compras_mes8[[#This Row],[CUIT]],Lista_CUIT[#All],3,0)),"CUIT NO CARGADO")</f>
        <v>Productos Venta</v>
      </c>
      <c r="R126" s="247">
        <f>IFERROR(IF(compras_mes8[[#This Row],[CUIT]]="","-",VLOOKUP(compras_mes8[[#This Row],[CUIT]],Lista_CUIT[#All],4,0)),"CUIT NO CARGADO")</f>
        <v>0</v>
      </c>
      <c r="T126" s="33"/>
    </row>
    <row r="127" spans="2:20">
      <c r="B127" s="239" t="s">
        <v>2367</v>
      </c>
      <c r="C127" s="240">
        <v>1</v>
      </c>
      <c r="D127" s="241">
        <v>1</v>
      </c>
      <c r="E127" s="257">
        <v>102</v>
      </c>
      <c r="F127" s="242">
        <v>30718148207</v>
      </c>
      <c r="G127" s="243" t="str">
        <f>IFERROR(IF(compras_mes8[[#This Row],[CUIT]]="","-",VLOOKUP(compras_mes8[[#This Row],[CUIT]],Lista_CUIT[#All],2,0)),"CUIT NO CARGADO")</f>
        <v>VIPA INTERNATIONAL S.R.L.</v>
      </c>
      <c r="H127" s="244">
        <v>2250000</v>
      </c>
      <c r="I127" s="245">
        <f>IF(compras_mes8[[#This Row],[NETO GRAVADO]]="","",compras_mes8[[#This Row],[NETO GRAVADO]]*0.21)</f>
        <v>472500</v>
      </c>
      <c r="J127" s="245"/>
      <c r="K127" s="245"/>
      <c r="L127" s="245"/>
      <c r="M127" s="245"/>
      <c r="N127" s="245"/>
      <c r="O127" s="245"/>
      <c r="P127" s="494">
        <f>SUM(compras_mes8[[#This Row],[NETO GRAVADO]:[Otros / No Grav.]])</f>
        <v>2722500</v>
      </c>
      <c r="Q127" s="243" t="str">
        <f>IFERROR(IF(compras_mes8[[#This Row],[CUIT]]="","-",VLOOKUP(compras_mes8[[#This Row],[CUIT]],Lista_CUIT[#All],3,0)),"CUIT NO CARGADO")</f>
        <v>Productos Venta</v>
      </c>
      <c r="R127" s="247">
        <f>IFERROR(IF(compras_mes8[[#This Row],[CUIT]]="","-",VLOOKUP(compras_mes8[[#This Row],[CUIT]],Lista_CUIT[#All],4,0)),"CUIT NO CARGADO")</f>
        <v>0</v>
      </c>
      <c r="T127" s="33"/>
    </row>
    <row r="128" spans="2:20">
      <c r="B128" s="239" t="s">
        <v>2367</v>
      </c>
      <c r="C128" s="240">
        <v>1</v>
      </c>
      <c r="D128" s="241">
        <v>5</v>
      </c>
      <c r="E128" s="257">
        <v>103</v>
      </c>
      <c r="F128" s="242">
        <v>20946785300</v>
      </c>
      <c r="G128" s="243" t="str">
        <f>IFERROR(IF(compras_mes8[[#This Row],[CUIT]]="","-",VLOOKUP(compras_mes8[[#This Row],[CUIT]],Lista_CUIT[#All],2,0)),"CUIT NO CARGADO")</f>
        <v>FLORES HUAYRA MICHAEL MARTIN</v>
      </c>
      <c r="H128" s="244">
        <v>2250000</v>
      </c>
      <c r="I128" s="245">
        <f>IF(compras_mes8[[#This Row],[NETO GRAVADO]]="","",compras_mes8[[#This Row],[NETO GRAVADO]]*0.21)</f>
        <v>472500</v>
      </c>
      <c r="J128" s="245"/>
      <c r="K128" s="245"/>
      <c r="L128" s="245"/>
      <c r="M128" s="245"/>
      <c r="N128" s="245"/>
      <c r="O128" s="245"/>
      <c r="P128" s="494">
        <f>SUM(compras_mes8[[#This Row],[NETO GRAVADO]:[Otros / No Grav.]])</f>
        <v>2722500</v>
      </c>
      <c r="Q128" s="243" t="str">
        <f>IFERROR(IF(compras_mes8[[#This Row],[CUIT]]="","-",VLOOKUP(compras_mes8[[#This Row],[CUIT]],Lista_CUIT[#All],3,0)),"CUIT NO CARGADO")</f>
        <v>Productos Venta</v>
      </c>
      <c r="R128" s="247">
        <f>IFERROR(IF(compras_mes8[[#This Row],[CUIT]]="","-",VLOOKUP(compras_mes8[[#This Row],[CUIT]],Lista_CUIT[#All],4,0)),"CUIT NO CARGADO")</f>
        <v>0</v>
      </c>
      <c r="T128" s="33"/>
    </row>
    <row r="129" spans="2:20">
      <c r="B129" s="239" t="s">
        <v>2368</v>
      </c>
      <c r="C129" s="240">
        <v>1</v>
      </c>
      <c r="D129" s="241">
        <v>2</v>
      </c>
      <c r="E129" s="257">
        <v>3754</v>
      </c>
      <c r="F129" s="242">
        <v>30629863571</v>
      </c>
      <c r="G129" s="243" t="str">
        <f>IFERROR(IF(compras_mes8[[#This Row],[CUIT]]="","-",VLOOKUP(compras_mes8[[#This Row],[CUIT]],Lista_CUIT[#All],2,0)),"CUIT NO CARGADO")</f>
        <v>TECNIMAR S R L</v>
      </c>
      <c r="H129" s="244">
        <v>2406323.4300000002</v>
      </c>
      <c r="I129" s="245">
        <f>IF(compras_mes8[[#This Row],[NETO GRAVADO]]="","",compras_mes8[[#This Row],[NETO GRAVADO]]*0.21)</f>
        <v>505327.9203</v>
      </c>
      <c r="J129" s="245"/>
      <c r="K129" s="245"/>
      <c r="L129" s="245"/>
      <c r="M129" s="245"/>
      <c r="N129" s="245"/>
      <c r="O129" s="245"/>
      <c r="P129" s="494">
        <f>SUM(compras_mes8[[#This Row],[NETO GRAVADO]:[Otros / No Grav.]])</f>
        <v>2911651.3503</v>
      </c>
      <c r="Q129" s="243" t="str">
        <f>IFERROR(IF(compras_mes8[[#This Row],[CUIT]]="","-",VLOOKUP(compras_mes8[[#This Row],[CUIT]],Lista_CUIT[#All],3,0)),"CUIT NO CARGADO")</f>
        <v>Productos Venta</v>
      </c>
      <c r="R129" s="247">
        <f>IFERROR(IF(compras_mes8[[#This Row],[CUIT]]="","-",VLOOKUP(compras_mes8[[#This Row],[CUIT]],Lista_CUIT[#All],4,0)),"CUIT NO CARGADO")</f>
        <v>0</v>
      </c>
      <c r="T129" s="33"/>
    </row>
    <row r="130" spans="2:20">
      <c r="B130" s="239" t="s">
        <v>2368</v>
      </c>
      <c r="C130" s="240">
        <v>1</v>
      </c>
      <c r="D130" s="241">
        <v>2</v>
      </c>
      <c r="E130" s="257">
        <v>3755</v>
      </c>
      <c r="F130" s="242">
        <v>30629863571</v>
      </c>
      <c r="G130" s="243" t="str">
        <f>IFERROR(IF(compras_mes8[[#This Row],[CUIT]]="","-",VLOOKUP(compras_mes8[[#This Row],[CUIT]],Lista_CUIT[#All],2,0)),"CUIT NO CARGADO")</f>
        <v>TECNIMAR S R L</v>
      </c>
      <c r="H130" s="244">
        <v>1109823</v>
      </c>
      <c r="I130" s="245">
        <f>IF(compras_mes8[[#This Row],[NETO GRAVADO]]="","",compras_mes8[[#This Row],[NETO GRAVADO]]*0.21)</f>
        <v>233062.83</v>
      </c>
      <c r="J130" s="245"/>
      <c r="K130" s="245"/>
      <c r="L130" s="245"/>
      <c r="M130" s="245"/>
      <c r="N130" s="245"/>
      <c r="O130" s="245"/>
      <c r="P130" s="494">
        <f>SUM(compras_mes8[[#This Row],[NETO GRAVADO]:[Otros / No Grav.]])</f>
        <v>1342885.83</v>
      </c>
      <c r="Q130" s="243" t="str">
        <f>IFERROR(IF(compras_mes8[[#This Row],[CUIT]]="","-",VLOOKUP(compras_mes8[[#This Row],[CUIT]],Lista_CUIT[#All],3,0)),"CUIT NO CARGADO")</f>
        <v>Productos Venta</v>
      </c>
      <c r="R130" s="247">
        <f>IFERROR(IF(compras_mes8[[#This Row],[CUIT]]="","-",VLOOKUP(compras_mes8[[#This Row],[CUIT]],Lista_CUIT[#All],4,0)),"CUIT NO CARGADO")</f>
        <v>0</v>
      </c>
      <c r="T130" s="33"/>
    </row>
    <row r="131" spans="2:20">
      <c r="B131" s="239" t="s">
        <v>2368</v>
      </c>
      <c r="C131" s="240">
        <v>1</v>
      </c>
      <c r="D131" s="241">
        <v>2</v>
      </c>
      <c r="E131" s="257">
        <v>3756</v>
      </c>
      <c r="F131" s="242">
        <v>30629863571</v>
      </c>
      <c r="G131" s="243" t="str">
        <f>IFERROR(IF(compras_mes8[[#This Row],[CUIT]]="","-",VLOOKUP(compras_mes8[[#This Row],[CUIT]],Lista_CUIT[#All],2,0)),"CUIT NO CARGADO")</f>
        <v>TECNIMAR S R L</v>
      </c>
      <c r="H131" s="244">
        <v>1686040</v>
      </c>
      <c r="I131" s="245">
        <f>IF(compras_mes8[[#This Row],[NETO GRAVADO]]="","",compras_mes8[[#This Row],[NETO GRAVADO]]*0.21)</f>
        <v>354068.39999999997</v>
      </c>
      <c r="J131" s="245"/>
      <c r="K131" s="245"/>
      <c r="L131" s="245"/>
      <c r="M131" s="245"/>
      <c r="N131" s="245"/>
      <c r="O131" s="245"/>
      <c r="P131" s="494">
        <f>SUM(compras_mes8[[#This Row],[NETO GRAVADO]:[Otros / No Grav.]])</f>
        <v>2040108.4</v>
      </c>
      <c r="Q131" s="243" t="str">
        <f>IFERROR(IF(compras_mes8[[#This Row],[CUIT]]="","-",VLOOKUP(compras_mes8[[#This Row],[CUIT]],Lista_CUIT[#All],3,0)),"CUIT NO CARGADO")</f>
        <v>Productos Venta</v>
      </c>
      <c r="R131" s="247">
        <f>IFERROR(IF(compras_mes8[[#This Row],[CUIT]]="","-",VLOOKUP(compras_mes8[[#This Row],[CUIT]],Lista_CUIT[#All],4,0)),"CUIT NO CARGADO")</f>
        <v>0</v>
      </c>
      <c r="T131" s="33"/>
    </row>
    <row r="132" spans="2:20">
      <c r="B132" s="239" t="s">
        <v>2369</v>
      </c>
      <c r="C132" s="240">
        <v>1</v>
      </c>
      <c r="D132" s="241">
        <v>6</v>
      </c>
      <c r="E132" s="257">
        <v>3232</v>
      </c>
      <c r="F132" s="242">
        <v>30574603788</v>
      </c>
      <c r="G132" s="243" t="str">
        <f>IFERROR(IF(compras_mes8[[#This Row],[CUIT]]="","-",VLOOKUP(compras_mes8[[#This Row],[CUIT]],Lista_CUIT[#All],2,0)),"CUIT NO CARGADO")</f>
        <v>CODAC SRL</v>
      </c>
      <c r="H132" s="244">
        <v>6674900</v>
      </c>
      <c r="I132" s="245">
        <f>IF(compras_mes8[[#This Row],[NETO GRAVADO]]="","",compras_mes8[[#This Row],[NETO GRAVADO]]*0.21)</f>
        <v>1401729</v>
      </c>
      <c r="J132" s="245"/>
      <c r="K132" s="245"/>
      <c r="L132" s="245"/>
      <c r="M132" s="245"/>
      <c r="N132" s="245"/>
      <c r="O132" s="245"/>
      <c r="P132" s="494">
        <f>SUM(compras_mes8[[#This Row],[NETO GRAVADO]:[Otros / No Grav.]])</f>
        <v>8076629</v>
      </c>
      <c r="Q132" s="243" t="str">
        <f>IFERROR(IF(compras_mes8[[#This Row],[CUIT]]="","-",VLOOKUP(compras_mes8[[#This Row],[CUIT]],Lista_CUIT[#All],3,0)),"CUIT NO CARGADO")</f>
        <v>Productos Venta</v>
      </c>
      <c r="R132" s="247" t="str">
        <f>IFERROR(IF(compras_mes8[[#This Row],[CUIT]]="","-",VLOOKUP(compras_mes8[[#This Row],[CUIT]],Lista_CUIT[#All],4,0)),"CUIT NO CARGADO")</f>
        <v>BUENOS AIRES</v>
      </c>
      <c r="T132" s="33"/>
    </row>
    <row r="133" spans="2:20">
      <c r="B133" s="239" t="s">
        <v>2369</v>
      </c>
      <c r="C133" s="240">
        <v>1</v>
      </c>
      <c r="D133" s="241">
        <v>2</v>
      </c>
      <c r="E133" s="257">
        <v>3757</v>
      </c>
      <c r="F133" s="242">
        <v>30629863571</v>
      </c>
      <c r="G133" s="243" t="str">
        <f>IFERROR(IF(compras_mes8[[#This Row],[CUIT]]="","-",VLOOKUP(compras_mes8[[#This Row],[CUIT]],Lista_CUIT[#All],2,0)),"CUIT NO CARGADO")</f>
        <v>TECNIMAR S R L</v>
      </c>
      <c r="H133" s="244">
        <v>1471110</v>
      </c>
      <c r="I133" s="245">
        <f>IF(compras_mes8[[#This Row],[NETO GRAVADO]]="","",compras_mes8[[#This Row],[NETO GRAVADO]]*0.21)</f>
        <v>308933.09999999998</v>
      </c>
      <c r="J133" s="245"/>
      <c r="K133" s="245"/>
      <c r="L133" s="245"/>
      <c r="M133" s="245"/>
      <c r="N133" s="245"/>
      <c r="O133" s="245"/>
      <c r="P133" s="494">
        <f>SUM(compras_mes8[[#This Row],[NETO GRAVADO]:[Otros / No Grav.]])</f>
        <v>1780043.1</v>
      </c>
      <c r="Q133" s="243" t="str">
        <f>IFERROR(IF(compras_mes8[[#This Row],[CUIT]]="","-",VLOOKUP(compras_mes8[[#This Row],[CUIT]],Lista_CUIT[#All],3,0)),"CUIT NO CARGADO")</f>
        <v>Productos Venta</v>
      </c>
      <c r="R133" s="247">
        <f>IFERROR(IF(compras_mes8[[#This Row],[CUIT]]="","-",VLOOKUP(compras_mes8[[#This Row],[CUIT]],Lista_CUIT[#All],4,0)),"CUIT NO CARGADO")</f>
        <v>0</v>
      </c>
      <c r="T133" s="33"/>
    </row>
    <row r="134" spans="2:20">
      <c r="B134" s="239" t="s">
        <v>2372</v>
      </c>
      <c r="C134" s="240">
        <v>1</v>
      </c>
      <c r="D134" s="241">
        <v>6</v>
      </c>
      <c r="E134" s="257">
        <v>3234</v>
      </c>
      <c r="F134" s="242">
        <v>30574603788</v>
      </c>
      <c r="G134" s="243" t="str">
        <f>IFERROR(IF(compras_mes8[[#This Row],[CUIT]]="","-",VLOOKUP(compras_mes8[[#This Row],[CUIT]],Lista_CUIT[#All],2,0)),"CUIT NO CARGADO")</f>
        <v>CODAC SRL</v>
      </c>
      <c r="H134" s="244">
        <v>1622400</v>
      </c>
      <c r="I134" s="245">
        <f>IF(compras_mes8[[#This Row],[NETO GRAVADO]]="","",compras_mes8[[#This Row],[NETO GRAVADO]]*0.21)</f>
        <v>340704</v>
      </c>
      <c r="J134" s="245"/>
      <c r="K134" s="245"/>
      <c r="L134" s="245"/>
      <c r="M134" s="245"/>
      <c r="N134" s="245"/>
      <c r="O134" s="245"/>
      <c r="P134" s="494">
        <f>SUM(compras_mes8[[#This Row],[NETO GRAVADO]:[Otros / No Grav.]])</f>
        <v>1963104</v>
      </c>
      <c r="Q134" s="243" t="str">
        <f>IFERROR(IF(compras_mes8[[#This Row],[CUIT]]="","-",VLOOKUP(compras_mes8[[#This Row],[CUIT]],Lista_CUIT[#All],3,0)),"CUIT NO CARGADO")</f>
        <v>Productos Venta</v>
      </c>
      <c r="R134" s="247" t="str">
        <f>IFERROR(IF(compras_mes8[[#This Row],[CUIT]]="","-",VLOOKUP(compras_mes8[[#This Row],[CUIT]],Lista_CUIT[#All],4,0)),"CUIT NO CARGADO")</f>
        <v>BUENOS AIRES</v>
      </c>
      <c r="T134" s="33"/>
    </row>
    <row r="135" spans="2:20">
      <c r="B135" s="239" t="s">
        <v>2374</v>
      </c>
      <c r="C135" s="240">
        <v>1</v>
      </c>
      <c r="D135" s="241">
        <v>6</v>
      </c>
      <c r="E135" s="257">
        <v>3240</v>
      </c>
      <c r="F135" s="242">
        <v>30574603788</v>
      </c>
      <c r="G135" s="243" t="str">
        <f>IFERROR(IF(compras_mes8[[#This Row],[CUIT]]="","-",VLOOKUP(compras_mes8[[#This Row],[CUIT]],Lista_CUIT[#All],2,0)),"CUIT NO CARGADO")</f>
        <v>CODAC SRL</v>
      </c>
      <c r="H135" s="244">
        <v>2073690</v>
      </c>
      <c r="I135" s="245">
        <f>IF(compras_mes8[[#This Row],[NETO GRAVADO]]="","",compras_mes8[[#This Row],[NETO GRAVADO]]*0.21)</f>
        <v>435474.89999999997</v>
      </c>
      <c r="J135" s="245"/>
      <c r="K135" s="245"/>
      <c r="L135" s="245"/>
      <c r="M135" s="245"/>
      <c r="N135" s="245"/>
      <c r="O135" s="245"/>
      <c r="P135" s="494">
        <f>SUM(compras_mes8[[#This Row],[NETO GRAVADO]:[Otros / No Grav.]])</f>
        <v>2509164.9</v>
      </c>
      <c r="Q135" s="243" t="str">
        <f>IFERROR(IF(compras_mes8[[#This Row],[CUIT]]="","-",VLOOKUP(compras_mes8[[#This Row],[CUIT]],Lista_CUIT[#All],3,0)),"CUIT NO CARGADO")</f>
        <v>Productos Venta</v>
      </c>
      <c r="R135" s="247" t="str">
        <f>IFERROR(IF(compras_mes8[[#This Row],[CUIT]]="","-",VLOOKUP(compras_mes8[[#This Row],[CUIT]],Lista_CUIT[#All],4,0)),"CUIT NO CARGADO")</f>
        <v>BUENOS AIRES</v>
      </c>
      <c r="T135" s="33"/>
    </row>
    <row r="136" spans="2:20">
      <c r="B136" s="239" t="s">
        <v>2374</v>
      </c>
      <c r="C136" s="240">
        <v>1</v>
      </c>
      <c r="D136" s="241">
        <v>2</v>
      </c>
      <c r="E136" s="257">
        <v>3761</v>
      </c>
      <c r="F136" s="242">
        <v>30629863571</v>
      </c>
      <c r="G136" s="243" t="str">
        <f>IFERROR(IF(compras_mes8[[#This Row],[CUIT]]="","-",VLOOKUP(compras_mes8[[#This Row],[CUIT]],Lista_CUIT[#All],2,0)),"CUIT NO CARGADO")</f>
        <v>TECNIMAR S R L</v>
      </c>
      <c r="H136" s="244">
        <v>1671514.76</v>
      </c>
      <c r="I136" s="245">
        <f>IF(compras_mes8[[#This Row],[NETO GRAVADO]]="","",compras_mes8[[#This Row],[NETO GRAVADO]]*0.21)</f>
        <v>351018.09960000002</v>
      </c>
      <c r="J136" s="245"/>
      <c r="K136" s="245"/>
      <c r="L136" s="245"/>
      <c r="M136" s="245"/>
      <c r="N136" s="245"/>
      <c r="O136" s="245"/>
      <c r="P136" s="494">
        <f>SUM(compras_mes8[[#This Row],[NETO GRAVADO]:[Otros / No Grav.]])</f>
        <v>2022532.8596000001</v>
      </c>
      <c r="Q136" s="243" t="str">
        <f>IFERROR(IF(compras_mes8[[#This Row],[CUIT]]="","-",VLOOKUP(compras_mes8[[#This Row],[CUIT]],Lista_CUIT[#All],3,0)),"CUIT NO CARGADO")</f>
        <v>Productos Venta</v>
      </c>
      <c r="R136" s="247">
        <f>IFERROR(IF(compras_mes8[[#This Row],[CUIT]]="","-",VLOOKUP(compras_mes8[[#This Row],[CUIT]],Lista_CUIT[#All],4,0)),"CUIT NO CARGADO")</f>
        <v>0</v>
      </c>
      <c r="T136" s="33"/>
    </row>
    <row r="137" spans="2:20">
      <c r="B137" s="239" t="s">
        <v>2375</v>
      </c>
      <c r="C137" s="240">
        <v>1</v>
      </c>
      <c r="D137" s="241">
        <v>2</v>
      </c>
      <c r="E137" s="257">
        <v>3763</v>
      </c>
      <c r="F137" s="242">
        <v>30629863571</v>
      </c>
      <c r="G137" s="243" t="str">
        <f>IFERROR(IF(compras_mes8[[#This Row],[CUIT]]="","-",VLOOKUP(compras_mes8[[#This Row],[CUIT]],Lista_CUIT[#All],2,0)),"CUIT NO CARGADO")</f>
        <v>TECNIMAR S R L</v>
      </c>
      <c r="H137" s="244">
        <v>369873</v>
      </c>
      <c r="I137" s="245">
        <f>IF(compras_mes8[[#This Row],[NETO GRAVADO]]="","",compras_mes8[[#This Row],[NETO GRAVADO]]*0.21)</f>
        <v>77673.33</v>
      </c>
      <c r="J137" s="245"/>
      <c r="K137" s="245"/>
      <c r="L137" s="245"/>
      <c r="M137" s="245"/>
      <c r="N137" s="245"/>
      <c r="O137" s="245"/>
      <c r="P137" s="494">
        <f>SUM(compras_mes8[[#This Row],[NETO GRAVADO]:[Otros / No Grav.]])</f>
        <v>447546.33</v>
      </c>
      <c r="Q137" s="243" t="str">
        <f>IFERROR(IF(compras_mes8[[#This Row],[CUIT]]="","-",VLOOKUP(compras_mes8[[#This Row],[CUIT]],Lista_CUIT[#All],3,0)),"CUIT NO CARGADO")</f>
        <v>Productos Venta</v>
      </c>
      <c r="R137" s="247">
        <f>IFERROR(IF(compras_mes8[[#This Row],[CUIT]]="","-",VLOOKUP(compras_mes8[[#This Row],[CUIT]],Lista_CUIT[#All],4,0)),"CUIT NO CARGADO")</f>
        <v>0</v>
      </c>
      <c r="T137" s="33"/>
    </row>
    <row r="138" spans="2:20">
      <c r="B138" s="239" t="s">
        <v>2380</v>
      </c>
      <c r="C138" s="240">
        <v>1</v>
      </c>
      <c r="D138" s="241">
        <v>6</v>
      </c>
      <c r="E138" s="257">
        <v>3251</v>
      </c>
      <c r="F138" s="242">
        <v>30574603788</v>
      </c>
      <c r="G138" s="243" t="str">
        <f>IFERROR(IF(compras_mes8[[#This Row],[CUIT]]="","-",VLOOKUP(compras_mes8[[#This Row],[CUIT]],Lista_CUIT[#All],2,0)),"CUIT NO CARGADO")</f>
        <v>CODAC SRL</v>
      </c>
      <c r="H138" s="244">
        <v>3040910</v>
      </c>
      <c r="I138" s="245">
        <f>IF(compras_mes8[[#This Row],[NETO GRAVADO]]="","",compras_mes8[[#This Row],[NETO GRAVADO]]*0.21)</f>
        <v>638591.1</v>
      </c>
      <c r="J138" s="245"/>
      <c r="K138" s="245"/>
      <c r="L138" s="245"/>
      <c r="M138" s="245"/>
      <c r="N138" s="245"/>
      <c r="O138" s="245"/>
      <c r="P138" s="494">
        <f>SUM(compras_mes8[[#This Row],[NETO GRAVADO]:[Otros / No Grav.]])</f>
        <v>3679501.1</v>
      </c>
      <c r="Q138" s="243" t="str">
        <f>IFERROR(IF(compras_mes8[[#This Row],[CUIT]]="","-",VLOOKUP(compras_mes8[[#This Row],[CUIT]],Lista_CUIT[#All],3,0)),"CUIT NO CARGADO")</f>
        <v>Productos Venta</v>
      </c>
      <c r="R138" s="247" t="str">
        <f>IFERROR(IF(compras_mes8[[#This Row],[CUIT]]="","-",VLOOKUP(compras_mes8[[#This Row],[CUIT]],Lista_CUIT[#All],4,0)),"CUIT NO CARGADO")</f>
        <v>BUENOS AIRES</v>
      </c>
      <c r="T138" s="33"/>
    </row>
    <row r="139" spans="2:20">
      <c r="B139" s="239" t="s">
        <v>2380</v>
      </c>
      <c r="C139" s="240">
        <v>1</v>
      </c>
      <c r="D139" s="241">
        <v>5</v>
      </c>
      <c r="E139" s="257">
        <v>104</v>
      </c>
      <c r="F139" s="242">
        <v>20946785300</v>
      </c>
      <c r="G139" s="243" t="str">
        <f>IFERROR(IF(compras_mes8[[#This Row],[CUIT]]="","-",VLOOKUP(compras_mes8[[#This Row],[CUIT]],Lista_CUIT[#All],2,0)),"CUIT NO CARGADO")</f>
        <v>FLORES HUAYRA MICHAEL MARTIN</v>
      </c>
      <c r="H139" s="244">
        <v>1210000</v>
      </c>
      <c r="I139" s="245">
        <f>IF(compras_mes8[[#This Row],[NETO GRAVADO]]="","",compras_mes8[[#This Row],[NETO GRAVADO]]*0.21)</f>
        <v>254100</v>
      </c>
      <c r="J139" s="245"/>
      <c r="K139" s="245"/>
      <c r="L139" s="245"/>
      <c r="M139" s="245"/>
      <c r="N139" s="245"/>
      <c r="O139" s="245"/>
      <c r="P139" s="494">
        <f>SUM(compras_mes8[[#This Row],[NETO GRAVADO]:[Otros / No Grav.]])</f>
        <v>1464100</v>
      </c>
      <c r="Q139" s="243" t="str">
        <f>IFERROR(IF(compras_mes8[[#This Row],[CUIT]]="","-",VLOOKUP(compras_mes8[[#This Row],[CUIT]],Lista_CUIT[#All],3,0)),"CUIT NO CARGADO")</f>
        <v>Productos Venta</v>
      </c>
      <c r="R139" s="247">
        <f>IFERROR(IF(compras_mes8[[#This Row],[CUIT]]="","-",VLOOKUP(compras_mes8[[#This Row],[CUIT]],Lista_CUIT[#All],4,0)),"CUIT NO CARGADO")</f>
        <v>0</v>
      </c>
      <c r="T139" s="33"/>
    </row>
    <row r="140" spans="2:20">
      <c r="B140" s="239" t="s">
        <v>2380</v>
      </c>
      <c r="C140" s="240">
        <v>1</v>
      </c>
      <c r="D140" s="241">
        <v>2</v>
      </c>
      <c r="E140" s="257">
        <v>3771</v>
      </c>
      <c r="F140" s="242">
        <v>30629863571</v>
      </c>
      <c r="G140" s="243" t="str">
        <f>IFERROR(IF(compras_mes8[[#This Row],[CUIT]]="","-",VLOOKUP(compras_mes8[[#This Row],[CUIT]],Lista_CUIT[#All],2,0)),"CUIT NO CARGADO")</f>
        <v>TECNIMAR S R L</v>
      </c>
      <c r="H140" s="244">
        <v>2227007.1</v>
      </c>
      <c r="I140" s="245">
        <f>IF(compras_mes8[[#This Row],[NETO GRAVADO]]="","",compras_mes8[[#This Row],[NETO GRAVADO]]*0.21)</f>
        <v>467671.49099999998</v>
      </c>
      <c r="J140" s="245"/>
      <c r="K140" s="245"/>
      <c r="L140" s="245"/>
      <c r="M140" s="245"/>
      <c r="N140" s="245"/>
      <c r="O140" s="245"/>
      <c r="P140" s="494">
        <f>SUM(compras_mes8[[#This Row],[NETO GRAVADO]:[Otros / No Grav.]])</f>
        <v>2694678.591</v>
      </c>
      <c r="Q140" s="243" t="str">
        <f>IFERROR(IF(compras_mes8[[#This Row],[CUIT]]="","-",VLOOKUP(compras_mes8[[#This Row],[CUIT]],Lista_CUIT[#All],3,0)),"CUIT NO CARGADO")</f>
        <v>Productos Venta</v>
      </c>
      <c r="R140" s="247">
        <f>IFERROR(IF(compras_mes8[[#This Row],[CUIT]]="","-",VLOOKUP(compras_mes8[[#This Row],[CUIT]],Lista_CUIT[#All],4,0)),"CUIT NO CARGADO")</f>
        <v>0</v>
      </c>
      <c r="T140" s="33"/>
    </row>
    <row r="141" spans="2:20">
      <c r="B141" s="239" t="s">
        <v>2381</v>
      </c>
      <c r="C141" s="240">
        <v>1</v>
      </c>
      <c r="D141" s="241">
        <v>6</v>
      </c>
      <c r="E141" s="257">
        <v>3256</v>
      </c>
      <c r="F141" s="242">
        <v>30574603788</v>
      </c>
      <c r="G141" s="243" t="str">
        <f>IFERROR(IF(compras_mes8[[#This Row],[CUIT]]="","-",VLOOKUP(compras_mes8[[#This Row],[CUIT]],Lista_CUIT[#All],2,0)),"CUIT NO CARGADO")</f>
        <v>CODAC SRL</v>
      </c>
      <c r="H141" s="244">
        <v>1974500</v>
      </c>
      <c r="I141" s="245">
        <f>IF(compras_mes8[[#This Row],[NETO GRAVADO]]="","",compras_mes8[[#This Row],[NETO GRAVADO]]*0.21)</f>
        <v>414645</v>
      </c>
      <c r="J141" s="245"/>
      <c r="K141" s="245"/>
      <c r="L141" s="245"/>
      <c r="M141" s="245"/>
      <c r="N141" s="245"/>
      <c r="O141" s="245"/>
      <c r="P141" s="494">
        <f>SUM(compras_mes8[[#This Row],[NETO GRAVADO]:[Otros / No Grav.]])</f>
        <v>2389145</v>
      </c>
      <c r="Q141" s="243" t="str">
        <f>IFERROR(IF(compras_mes8[[#This Row],[CUIT]]="","-",VLOOKUP(compras_mes8[[#This Row],[CUIT]],Lista_CUIT[#All],3,0)),"CUIT NO CARGADO")</f>
        <v>Productos Venta</v>
      </c>
      <c r="R141" s="247" t="str">
        <f>IFERROR(IF(compras_mes8[[#This Row],[CUIT]]="","-",VLOOKUP(compras_mes8[[#This Row],[CUIT]],Lista_CUIT[#All],4,0)),"CUIT NO CARGADO")</f>
        <v>BUENOS AIRES</v>
      </c>
      <c r="T141" s="33"/>
    </row>
    <row r="142" spans="2:20">
      <c r="B142" s="239" t="s">
        <v>2381</v>
      </c>
      <c r="C142" s="240">
        <v>1</v>
      </c>
      <c r="D142" s="241">
        <v>2</v>
      </c>
      <c r="E142" s="257">
        <v>3772</v>
      </c>
      <c r="F142" s="242">
        <v>30629863571</v>
      </c>
      <c r="G142" s="243" t="str">
        <f>IFERROR(IF(compras_mes8[[#This Row],[CUIT]]="","-",VLOOKUP(compras_mes8[[#This Row],[CUIT]],Lista_CUIT[#All],2,0)),"CUIT NO CARGADO")</f>
        <v>TECNIMAR S R L</v>
      </c>
      <c r="H142" s="244">
        <v>457600</v>
      </c>
      <c r="I142" s="245">
        <f>IF(compras_mes8[[#This Row],[NETO GRAVADO]]="","",compras_mes8[[#This Row],[NETO GRAVADO]]*0.21)</f>
        <v>96096</v>
      </c>
      <c r="J142" s="245"/>
      <c r="K142" s="245"/>
      <c r="L142" s="245"/>
      <c r="M142" s="245"/>
      <c r="N142" s="245"/>
      <c r="O142" s="245"/>
      <c r="P142" s="494">
        <f>SUM(compras_mes8[[#This Row],[NETO GRAVADO]:[Otros / No Grav.]])</f>
        <v>553696</v>
      </c>
      <c r="Q142" s="243" t="str">
        <f>IFERROR(IF(compras_mes8[[#This Row],[CUIT]]="","-",VLOOKUP(compras_mes8[[#This Row],[CUIT]],Lista_CUIT[#All],3,0)),"CUIT NO CARGADO")</f>
        <v>Productos Venta</v>
      </c>
      <c r="R142" s="247">
        <f>IFERROR(IF(compras_mes8[[#This Row],[CUIT]]="","-",VLOOKUP(compras_mes8[[#This Row],[CUIT]],Lista_CUIT[#All],4,0)),"CUIT NO CARGADO")</f>
        <v>0</v>
      </c>
      <c r="T142" s="33"/>
    </row>
    <row r="143" spans="2:20">
      <c r="B143" s="239" t="s">
        <v>2382</v>
      </c>
      <c r="C143" s="240">
        <v>1</v>
      </c>
      <c r="D143" s="241">
        <v>6</v>
      </c>
      <c r="E143" s="257">
        <v>3257</v>
      </c>
      <c r="F143" s="242">
        <v>30574603788</v>
      </c>
      <c r="G143" s="243" t="str">
        <f>IFERROR(IF(compras_mes8[[#This Row],[CUIT]]="","-",VLOOKUP(compras_mes8[[#This Row],[CUIT]],Lista_CUIT[#All],2,0)),"CUIT NO CARGADO")</f>
        <v>CODAC SRL</v>
      </c>
      <c r="H143" s="244">
        <v>748020</v>
      </c>
      <c r="I143" s="245">
        <f>IF(compras_mes8[[#This Row],[NETO GRAVADO]]="","",compras_mes8[[#This Row],[NETO GRAVADO]]*0.21)</f>
        <v>157084.19999999998</v>
      </c>
      <c r="J143" s="245"/>
      <c r="K143" s="245"/>
      <c r="L143" s="245"/>
      <c r="M143" s="245"/>
      <c r="N143" s="245"/>
      <c r="O143" s="245"/>
      <c r="P143" s="494">
        <f>SUM(compras_mes8[[#This Row],[NETO GRAVADO]:[Otros / No Grav.]])</f>
        <v>905104.2</v>
      </c>
      <c r="Q143" s="243" t="str">
        <f>IFERROR(IF(compras_mes8[[#This Row],[CUIT]]="","-",VLOOKUP(compras_mes8[[#This Row],[CUIT]],Lista_CUIT[#All],3,0)),"CUIT NO CARGADO")</f>
        <v>Productos Venta</v>
      </c>
      <c r="R143" s="247" t="str">
        <f>IFERROR(IF(compras_mes8[[#This Row],[CUIT]]="","-",VLOOKUP(compras_mes8[[#This Row],[CUIT]],Lista_CUIT[#All],4,0)),"CUIT NO CARGADO")</f>
        <v>BUENOS AIRES</v>
      </c>
      <c r="T143" s="33"/>
    </row>
    <row r="144" spans="2:20">
      <c r="B144" s="239" t="s">
        <v>2382</v>
      </c>
      <c r="C144" s="240">
        <v>1</v>
      </c>
      <c r="D144" s="241">
        <v>2</v>
      </c>
      <c r="E144" s="257">
        <v>3776</v>
      </c>
      <c r="F144" s="242">
        <v>30629863571</v>
      </c>
      <c r="G144" s="243" t="str">
        <f>IFERROR(IF(compras_mes8[[#This Row],[CUIT]]="","-",VLOOKUP(compras_mes8[[#This Row],[CUIT]],Lista_CUIT[#All],2,0)),"CUIT NO CARGADO")</f>
        <v>TECNIMAR S R L</v>
      </c>
      <c r="H144" s="244">
        <v>404000</v>
      </c>
      <c r="I144" s="245">
        <f>IF(compras_mes8[[#This Row],[NETO GRAVADO]]="","",compras_mes8[[#This Row],[NETO GRAVADO]]*0.21)</f>
        <v>84840</v>
      </c>
      <c r="J144" s="245"/>
      <c r="K144" s="245"/>
      <c r="L144" s="245"/>
      <c r="M144" s="245"/>
      <c r="N144" s="245"/>
      <c r="O144" s="245"/>
      <c r="P144" s="494">
        <f>SUM(compras_mes8[[#This Row],[NETO GRAVADO]:[Otros / No Grav.]])</f>
        <v>488840</v>
      </c>
      <c r="Q144" s="243" t="str">
        <f>IFERROR(IF(compras_mes8[[#This Row],[CUIT]]="","-",VLOOKUP(compras_mes8[[#This Row],[CUIT]],Lista_CUIT[#All],3,0)),"CUIT NO CARGADO")</f>
        <v>Productos Venta</v>
      </c>
      <c r="R144" s="247">
        <f>IFERROR(IF(compras_mes8[[#This Row],[CUIT]]="","-",VLOOKUP(compras_mes8[[#This Row],[CUIT]],Lista_CUIT[#All],4,0)),"CUIT NO CARGADO")</f>
        <v>0</v>
      </c>
      <c r="T144" s="33"/>
    </row>
    <row r="145" spans="2:20">
      <c r="B145" s="239" t="s">
        <v>2382</v>
      </c>
      <c r="C145" s="240">
        <v>3</v>
      </c>
      <c r="D145" s="241">
        <v>4</v>
      </c>
      <c r="E145" s="257">
        <v>116</v>
      </c>
      <c r="F145" s="242">
        <v>30715946250</v>
      </c>
      <c r="G145" s="243" t="str">
        <f>IFERROR(IF(compras_mes8[[#This Row],[CUIT]]="","-",VLOOKUP(compras_mes8[[#This Row],[CUIT]],Lista_CUIT[#All],2,0)),"CUIT NO CARGADO")</f>
        <v>GLOBAL AESTHETICS PRODUCTS AND SERVICES SRL</v>
      </c>
      <c r="H145" s="244">
        <v>-1283684.3999999999</v>
      </c>
      <c r="I145" s="245">
        <f>IF(compras_mes8[[#This Row],[NETO GRAVADO]]="","",compras_mes8[[#This Row],[NETO GRAVADO]]*0.21)</f>
        <v>-269573.72399999999</v>
      </c>
      <c r="J145" s="245"/>
      <c r="K145" s="245"/>
      <c r="L145" s="245"/>
      <c r="M145" s="245"/>
      <c r="N145" s="245"/>
      <c r="O145" s="245"/>
      <c r="P145" s="494">
        <f>SUM(compras_mes8[[#This Row],[NETO GRAVADO]:[Otros / No Grav.]])</f>
        <v>-1553258.1239999998</v>
      </c>
      <c r="Q145" s="243" t="str">
        <f>IFERROR(IF(compras_mes8[[#This Row],[CUIT]]="","-",VLOOKUP(compras_mes8[[#This Row],[CUIT]],Lista_CUIT[#All],3,0)),"CUIT NO CARGADO")</f>
        <v>Productos Venta</v>
      </c>
      <c r="R145" s="247">
        <f>IFERROR(IF(compras_mes8[[#This Row],[CUIT]]="","-",VLOOKUP(compras_mes8[[#This Row],[CUIT]],Lista_CUIT[#All],4,0)),"CUIT NO CARGADO")</f>
        <v>0</v>
      </c>
      <c r="T145" s="33"/>
    </row>
    <row r="146" spans="2:20">
      <c r="B146" s="239" t="s">
        <v>2384</v>
      </c>
      <c r="C146" s="41">
        <v>1</v>
      </c>
      <c r="D146" s="241">
        <v>2</v>
      </c>
      <c r="E146" s="257">
        <v>3778</v>
      </c>
      <c r="F146" s="242">
        <v>30629863571</v>
      </c>
      <c r="G146" s="243" t="str">
        <f>IFERROR(IF(compras_mes8[[#This Row],[CUIT]]="","-",VLOOKUP(compras_mes8[[#This Row],[CUIT]],Lista_CUIT[#All],2,0)),"CUIT NO CARGADO")</f>
        <v>TECNIMAR S R L</v>
      </c>
      <c r="H146" s="244">
        <v>616420</v>
      </c>
      <c r="I146" s="245">
        <f>IF(compras_mes8[[#This Row],[NETO GRAVADO]]="","",compras_mes8[[#This Row],[NETO GRAVADO]]*0.21)</f>
        <v>129448.2</v>
      </c>
      <c r="J146" s="245"/>
      <c r="K146" s="245"/>
      <c r="L146" s="245"/>
      <c r="M146" s="245"/>
      <c r="N146" s="245"/>
      <c r="O146" s="245"/>
      <c r="P146" s="494">
        <f>SUM(compras_mes8[[#This Row],[NETO GRAVADO]:[Otros / No Grav.]])</f>
        <v>745868.2</v>
      </c>
      <c r="Q146" s="243" t="str">
        <f>IFERROR(IF(compras_mes8[[#This Row],[CUIT]]="","-",VLOOKUP(compras_mes8[[#This Row],[CUIT]],Lista_CUIT[#All],3,0)),"CUIT NO CARGADO")</f>
        <v>Productos Venta</v>
      </c>
      <c r="R146" s="247">
        <f>IFERROR(IF(compras_mes8[[#This Row],[CUIT]]="","-",VLOOKUP(compras_mes8[[#This Row],[CUIT]],Lista_CUIT[#All],4,0)),"CUIT NO CARGADO")</f>
        <v>0</v>
      </c>
      <c r="T146" s="33"/>
    </row>
    <row r="147" spans="2:20">
      <c r="B147" s="239" t="s">
        <v>2386</v>
      </c>
      <c r="C147" s="240">
        <v>1</v>
      </c>
      <c r="D147" s="241">
        <v>2</v>
      </c>
      <c r="E147" s="257">
        <v>3781</v>
      </c>
      <c r="F147" s="242">
        <v>30629863571</v>
      </c>
      <c r="G147" s="243" t="str">
        <f>IFERROR(IF(compras_mes8[[#This Row],[CUIT]]="","-",VLOOKUP(compras_mes8[[#This Row],[CUIT]],Lista_CUIT[#All],2,0)),"CUIT NO CARGADO")</f>
        <v>TECNIMAR S R L</v>
      </c>
      <c r="H147" s="244">
        <v>1746825.81</v>
      </c>
      <c r="I147" s="245">
        <f>IF(compras_mes8[[#This Row],[NETO GRAVADO]]="","",compras_mes8[[#This Row],[NETO GRAVADO]]*0.21)</f>
        <v>366833.42009999999</v>
      </c>
      <c r="J147" s="245"/>
      <c r="K147" s="245"/>
      <c r="L147" s="245"/>
      <c r="M147" s="245"/>
      <c r="N147" s="245"/>
      <c r="O147" s="245"/>
      <c r="P147" s="494">
        <f>SUM(compras_mes8[[#This Row],[NETO GRAVADO]:[Otros / No Grav.]])</f>
        <v>2113659.2301000003</v>
      </c>
      <c r="Q147" s="243" t="str">
        <f>IFERROR(IF(compras_mes8[[#This Row],[CUIT]]="","-",VLOOKUP(compras_mes8[[#This Row],[CUIT]],Lista_CUIT[#All],3,0)),"CUIT NO CARGADO")</f>
        <v>Productos Venta</v>
      </c>
      <c r="R147" s="247">
        <f>IFERROR(IF(compras_mes8[[#This Row],[CUIT]]="","-",VLOOKUP(compras_mes8[[#This Row],[CUIT]],Lista_CUIT[#All],4,0)),"CUIT NO CARGADO")</f>
        <v>0</v>
      </c>
      <c r="T147" s="33"/>
    </row>
    <row r="148" spans="2:20">
      <c r="B148" s="239" t="s">
        <v>2387</v>
      </c>
      <c r="C148" s="41">
        <v>1</v>
      </c>
      <c r="D148" s="241">
        <v>1</v>
      </c>
      <c r="E148" s="257">
        <v>105</v>
      </c>
      <c r="F148" s="242">
        <v>30718148207</v>
      </c>
      <c r="G148" s="243" t="str">
        <f>IFERROR(IF(compras_mes8[[#This Row],[CUIT]]="","-",VLOOKUP(compras_mes8[[#This Row],[CUIT]],Lista_CUIT[#All],2,0)),"CUIT NO CARGADO")</f>
        <v>VIPA INTERNATIONAL S.R.L.</v>
      </c>
      <c r="H148" s="244">
        <v>2042994</v>
      </c>
      <c r="I148" s="245">
        <f>IF(compras_mes8[[#This Row],[NETO GRAVADO]]="","",compras_mes8[[#This Row],[NETO GRAVADO]]*0.21)</f>
        <v>429028.74</v>
      </c>
      <c r="J148" s="245"/>
      <c r="K148" s="245"/>
      <c r="L148" s="245"/>
      <c r="M148" s="245"/>
      <c r="N148" s="245"/>
      <c r="O148" s="245"/>
      <c r="P148" s="494">
        <f>SUM(compras_mes8[[#This Row],[NETO GRAVADO]:[Otros / No Grav.]])</f>
        <v>2472022.7400000002</v>
      </c>
      <c r="Q148" s="243" t="str">
        <f>IFERROR(IF(compras_mes8[[#This Row],[CUIT]]="","-",VLOOKUP(compras_mes8[[#This Row],[CUIT]],Lista_CUIT[#All],3,0)),"CUIT NO CARGADO")</f>
        <v>Productos Venta</v>
      </c>
      <c r="R148" s="247">
        <f>IFERROR(IF(compras_mes8[[#This Row],[CUIT]]="","-",VLOOKUP(compras_mes8[[#This Row],[CUIT]],Lista_CUIT[#All],4,0)),"CUIT NO CARGADO")</f>
        <v>0</v>
      </c>
      <c r="T148" s="33"/>
    </row>
    <row r="149" spans="2:20">
      <c r="B149" s="239" t="s">
        <v>2387</v>
      </c>
      <c r="C149" s="240">
        <v>1</v>
      </c>
      <c r="D149" s="241">
        <v>3</v>
      </c>
      <c r="E149" s="257">
        <v>6920</v>
      </c>
      <c r="F149" s="242">
        <v>30708006420</v>
      </c>
      <c r="G149" s="243" t="str">
        <f>IFERROR(IF(compras_mes8[[#This Row],[CUIT]]="","-",VLOOKUP(compras_mes8[[#This Row],[CUIT]],Lista_CUIT[#All],2,0)),"CUIT NO CARGADO")</f>
        <v>MEDILEA S.A.</v>
      </c>
      <c r="H149" s="244">
        <v>2532637</v>
      </c>
      <c r="I149" s="245">
        <f>IF(compras_mes8[[#This Row],[NETO GRAVADO]]="","",compras_mes8[[#This Row],[NETO GRAVADO]]*0.21)</f>
        <v>531853.77</v>
      </c>
      <c r="J149" s="245"/>
      <c r="K149" s="245"/>
      <c r="L149" s="245"/>
      <c r="M149" s="245"/>
      <c r="N149" s="245"/>
      <c r="O149" s="245"/>
      <c r="P149" s="494">
        <f>SUM(compras_mes8[[#This Row],[NETO GRAVADO]:[Otros / No Grav.]])</f>
        <v>3064490.77</v>
      </c>
      <c r="Q149" s="243" t="str">
        <f>IFERROR(IF(compras_mes8[[#This Row],[CUIT]]="","-",VLOOKUP(compras_mes8[[#This Row],[CUIT]],Lista_CUIT[#All],3,0)),"CUIT NO CARGADO")</f>
        <v>Productos Venta</v>
      </c>
      <c r="R149" s="247">
        <f>IFERROR(IF(compras_mes8[[#This Row],[CUIT]]="","-",VLOOKUP(compras_mes8[[#This Row],[CUIT]],Lista_CUIT[#All],4,0)),"CUIT NO CARGADO")</f>
        <v>0</v>
      </c>
    </row>
    <row r="150" spans="2:20">
      <c r="B150" s="239" t="s">
        <v>2388</v>
      </c>
      <c r="C150" s="240">
        <v>1</v>
      </c>
      <c r="D150" s="241">
        <v>4</v>
      </c>
      <c r="E150" s="257">
        <v>2508</v>
      </c>
      <c r="F150" s="242">
        <v>30715946250</v>
      </c>
      <c r="G150" s="243" t="str">
        <f>IFERROR(IF(compras_mes8[[#This Row],[CUIT]]="","-",VLOOKUP(compras_mes8[[#This Row],[CUIT]],Lista_CUIT[#All],2,0)),"CUIT NO CARGADO")</f>
        <v>GLOBAL AESTHETICS PRODUCTS AND SERVICES SRL</v>
      </c>
      <c r="H150" s="244">
        <v>2903991</v>
      </c>
      <c r="I150" s="245">
        <f>IF(compras_mes8[[#This Row],[NETO GRAVADO]]="","",compras_mes8[[#This Row],[NETO GRAVADO]]*0.21)</f>
        <v>609838.11</v>
      </c>
      <c r="J150" s="245"/>
      <c r="K150" s="245"/>
      <c r="L150" s="245"/>
      <c r="M150" s="245"/>
      <c r="N150" s="245"/>
      <c r="O150" s="245"/>
      <c r="P150" s="494">
        <f>SUM(compras_mes8[[#This Row],[NETO GRAVADO]:[Otros / No Grav.]])</f>
        <v>3513829.11</v>
      </c>
      <c r="Q150" s="243" t="str">
        <f>IFERROR(IF(compras_mes8[[#This Row],[CUIT]]="","-",VLOOKUP(compras_mes8[[#This Row],[CUIT]],Lista_CUIT[#All],3,0)),"CUIT NO CARGADO")</f>
        <v>Productos Venta</v>
      </c>
      <c r="R150" s="247">
        <f>IFERROR(IF(compras_mes8[[#This Row],[CUIT]]="","-",VLOOKUP(compras_mes8[[#This Row],[CUIT]],Lista_CUIT[#All],4,0)),"CUIT NO CARGADO")</f>
        <v>0</v>
      </c>
    </row>
    <row r="151" spans="2:20">
      <c r="B151" s="239" t="s">
        <v>2363</v>
      </c>
      <c r="C151" s="240">
        <v>1</v>
      </c>
      <c r="D151" s="241">
        <v>3099</v>
      </c>
      <c r="E151" s="257">
        <v>204790</v>
      </c>
      <c r="F151" s="242">
        <v>30678814357</v>
      </c>
      <c r="G151" s="243" t="str">
        <f>IFERROR(IF(compras_mes8[[#This Row],[CUIT]]="","-",VLOOKUP(compras_mes8[[#This Row],[CUIT]],Lista_CUIT[#All],2,0)),"CUIT NO CARGADO")</f>
        <v>TELEFONICA MOVILES ARG</v>
      </c>
      <c r="H151" s="244">
        <v>120535.2</v>
      </c>
      <c r="I151" s="245"/>
      <c r="J151" s="245">
        <f>compras_mes8[[#This Row],[NETO GRAVADO]]*0.27</f>
        <v>32544.504000000001</v>
      </c>
      <c r="K151" s="245"/>
      <c r="L151" s="245">
        <v>3616.06</v>
      </c>
      <c r="M151" s="245"/>
      <c r="N151" s="245">
        <v>7232.11</v>
      </c>
      <c r="O151" s="245"/>
      <c r="P151" s="494">
        <f>SUM(compras_mes8[[#This Row],[NETO GRAVADO]:[Otros / No Grav.]])</f>
        <v>163927.87399999998</v>
      </c>
      <c r="Q151" s="243" t="str">
        <f>IFERROR(IF(compras_mes8[[#This Row],[CUIT]]="","-",VLOOKUP(compras_mes8[[#This Row],[CUIT]],Lista_CUIT[#All],3,0)),"CUIT NO CARGADO")</f>
        <v>Servicios Gas, Luz, etc.</v>
      </c>
      <c r="R151" s="247">
        <f>IFERROR(IF(compras_mes8[[#This Row],[CUIT]]="","-",VLOOKUP(compras_mes8[[#This Row],[CUIT]],Lista_CUIT[#All],4,0)),"CUIT NO CARGADO")</f>
        <v>0</v>
      </c>
    </row>
    <row r="152" spans="2:20">
      <c r="B152" s="239" t="s">
        <v>2365</v>
      </c>
      <c r="C152" s="240">
        <v>1</v>
      </c>
      <c r="D152" s="241">
        <v>63</v>
      </c>
      <c r="E152" s="257">
        <v>2935272</v>
      </c>
      <c r="F152" s="242">
        <v>30640897267</v>
      </c>
      <c r="G152" s="243" t="str">
        <f>IFERROR(IF(compras_mes8[[#This Row],[CUIT]]="","-",VLOOKUP(compras_mes8[[#This Row],[CUIT]],Lista_CUIT[#All],2,0)),"CUIT NO CARGADO")</f>
        <v>TELECENTRO S.A.</v>
      </c>
      <c r="H152" s="244">
        <v>47230.58</v>
      </c>
      <c r="I152" s="245">
        <f>IF(compras_mes8[[#This Row],[NETO GRAVADO]]="","",compras_mes8[[#This Row],[NETO GRAVADO]]*0.21)</f>
        <v>9918.4218000000001</v>
      </c>
      <c r="J152" s="245"/>
      <c r="K152" s="245"/>
      <c r="L152" s="245">
        <v>1416.92</v>
      </c>
      <c r="M152" s="245"/>
      <c r="N152" s="245">
        <v>2833.83</v>
      </c>
      <c r="O152" s="245"/>
      <c r="P152" s="494">
        <f>SUM(compras_mes8[[#This Row],[NETO GRAVADO]:[Otros / No Grav.]])</f>
        <v>61399.751799999998</v>
      </c>
      <c r="Q152" s="243" t="str">
        <f>IFERROR(IF(compras_mes8[[#This Row],[CUIT]]="","-",VLOOKUP(compras_mes8[[#This Row],[CUIT]],Lista_CUIT[#All],3,0)),"CUIT NO CARGADO")</f>
        <v>Servicios Gas, Luz, etc.</v>
      </c>
      <c r="R152" s="247">
        <f>IFERROR(IF(compras_mes8[[#This Row],[CUIT]]="","-",VLOOKUP(compras_mes8[[#This Row],[CUIT]],Lista_CUIT[#All],4,0)),"CUIT NO CARGADO")</f>
        <v>0</v>
      </c>
    </row>
    <row r="153" spans="2:20">
      <c r="B153" s="239" t="s">
        <v>2365</v>
      </c>
      <c r="C153" s="240">
        <v>1</v>
      </c>
      <c r="D153" s="241">
        <v>63</v>
      </c>
      <c r="E153" s="257">
        <v>2936169</v>
      </c>
      <c r="F153" s="242">
        <v>30640897267</v>
      </c>
      <c r="G153" s="243" t="str">
        <f>IFERROR(IF(compras_mes8[[#This Row],[CUIT]]="","-",VLOOKUP(compras_mes8[[#This Row],[CUIT]],Lista_CUIT[#All],2,0)),"CUIT NO CARGADO")</f>
        <v>TELECENTRO S.A.</v>
      </c>
      <c r="H153" s="244">
        <v>47230.58</v>
      </c>
      <c r="I153" s="245">
        <f>IF(compras_mes8[[#This Row],[NETO GRAVADO]]="","",compras_mes8[[#This Row],[NETO GRAVADO]]*0.21)</f>
        <v>9918.4218000000001</v>
      </c>
      <c r="J153" s="245"/>
      <c r="K153" s="245"/>
      <c r="L153" s="245">
        <v>1416.92</v>
      </c>
      <c r="M153" s="245"/>
      <c r="N153" s="245">
        <v>2833.83</v>
      </c>
      <c r="O153" s="245"/>
      <c r="P153" s="494">
        <f>SUM(compras_mes8[[#This Row],[NETO GRAVADO]:[Otros / No Grav.]])</f>
        <v>61399.751799999998</v>
      </c>
      <c r="Q153" s="243" t="str">
        <f>IFERROR(IF(compras_mes8[[#This Row],[CUIT]]="","-",VLOOKUP(compras_mes8[[#This Row],[CUIT]],Lista_CUIT[#All],3,0)),"CUIT NO CARGADO")</f>
        <v>Servicios Gas, Luz, etc.</v>
      </c>
      <c r="R153" s="247">
        <f>IFERROR(IF(compras_mes8[[#This Row],[CUIT]]="","-",VLOOKUP(compras_mes8[[#This Row],[CUIT]],Lista_CUIT[#All],4,0)),"CUIT NO CARGADO")</f>
        <v>0</v>
      </c>
    </row>
    <row r="154" spans="2:20">
      <c r="B154" s="239" t="s">
        <v>2366</v>
      </c>
      <c r="C154" s="240">
        <v>1</v>
      </c>
      <c r="D154" s="241">
        <v>3</v>
      </c>
      <c r="E154" s="257">
        <v>24426</v>
      </c>
      <c r="F154" s="242">
        <v>33707953549</v>
      </c>
      <c r="G154" s="243" t="str">
        <f>IFERROR(IF(compras_mes8[[#This Row],[CUIT]]="","-",VLOOKUP(compras_mes8[[#This Row],[CUIT]],Lista_CUIT[#All],2,0)),"CUIT NO CARGADO")</f>
        <v>TELESMART</v>
      </c>
      <c r="H154" s="244">
        <v>19500</v>
      </c>
      <c r="I154" s="245">
        <f>IF(compras_mes8[[#This Row],[NETO GRAVADO]]="","",compras_mes8[[#This Row],[NETO GRAVADO]]*0.21)</f>
        <v>4095</v>
      </c>
      <c r="J154" s="245"/>
      <c r="K154" s="245"/>
      <c r="L154" s="245"/>
      <c r="M154" s="245"/>
      <c r="N154" s="245"/>
      <c r="O154" s="245"/>
      <c r="P154" s="494">
        <f>SUM(compras_mes8[[#This Row],[NETO GRAVADO]:[Otros / No Grav.]])</f>
        <v>23595</v>
      </c>
      <c r="Q154" s="243" t="str">
        <f>IFERROR(IF(compras_mes8[[#This Row],[CUIT]]="","-",VLOOKUP(compras_mes8[[#This Row],[CUIT]],Lista_CUIT[#All],3,0)),"CUIT NO CARGADO")</f>
        <v>Servicios Gas, Luz, etc.</v>
      </c>
      <c r="R154" s="247">
        <f>IFERROR(IF(compras_mes8[[#This Row],[CUIT]]="","-",VLOOKUP(compras_mes8[[#This Row],[CUIT]],Lista_CUIT[#All],4,0)),"CUIT NO CARGADO")</f>
        <v>0</v>
      </c>
    </row>
    <row r="155" spans="2:20">
      <c r="B155" s="239" t="s">
        <v>2367</v>
      </c>
      <c r="C155" s="240">
        <v>1</v>
      </c>
      <c r="D155" s="241">
        <v>5743</v>
      </c>
      <c r="E155" s="257">
        <v>2758</v>
      </c>
      <c r="F155" s="242">
        <v>30639453738</v>
      </c>
      <c r="G155" s="243" t="str">
        <f>IFERROR(IF(compras_mes8[[#This Row],[CUIT]]="","-",VLOOKUP(compras_mes8[[#This Row],[CUIT]],Lista_CUIT[#All],2,0)),"CUIT NO CARGADO")</f>
        <v>TELECOM ARG SA</v>
      </c>
      <c r="H155" s="244">
        <v>0.01</v>
      </c>
      <c r="I155" s="245">
        <f>IF(compras_mes8[[#This Row],[NETO GRAVADO]]="","",compras_mes8[[#This Row],[NETO GRAVADO]]*0.21)</f>
        <v>2.0999999999999999E-3</v>
      </c>
      <c r="J155" s="245"/>
      <c r="K155" s="245"/>
      <c r="L155" s="245"/>
      <c r="M155" s="245"/>
      <c r="N155" s="245"/>
      <c r="O155" s="245">
        <v>0.01</v>
      </c>
      <c r="P155" s="494">
        <f>SUM(compras_mes8[[#This Row],[NETO GRAVADO]:[Otros / No Grav.]])</f>
        <v>2.2100000000000002E-2</v>
      </c>
      <c r="Q155" s="243" t="str">
        <f>IFERROR(IF(compras_mes8[[#This Row],[CUIT]]="","-",VLOOKUP(compras_mes8[[#This Row],[CUIT]],Lista_CUIT[#All],3,0)),"CUIT NO CARGADO")</f>
        <v>Servicios Gas, Luz, etc.</v>
      </c>
      <c r="R155" s="247">
        <f>IFERROR(IF(compras_mes8[[#This Row],[CUIT]]="","-",VLOOKUP(compras_mes8[[#This Row],[CUIT]],Lista_CUIT[#All],4,0)),"CUIT NO CARGADO")</f>
        <v>0</v>
      </c>
    </row>
    <row r="156" spans="2:20">
      <c r="B156" s="239" t="s">
        <v>2369</v>
      </c>
      <c r="C156" s="240">
        <v>1</v>
      </c>
      <c r="D156" s="241">
        <v>3101</v>
      </c>
      <c r="E156" s="257">
        <v>141883</v>
      </c>
      <c r="F156" s="242">
        <v>30678814357</v>
      </c>
      <c r="G156" s="243" t="str">
        <f>IFERROR(IF(compras_mes8[[#This Row],[CUIT]]="","-",VLOOKUP(compras_mes8[[#This Row],[CUIT]],Lista_CUIT[#All],2,0)),"CUIT NO CARGADO")</f>
        <v>TELEFONICA MOVILES ARG</v>
      </c>
      <c r="H156" s="244">
        <v>35571.800000000003</v>
      </c>
      <c r="I156" s="245"/>
      <c r="J156" s="245">
        <f>compras_mes8[[#This Row],[NETO GRAVADO]]*0.27</f>
        <v>9604.3860000000022</v>
      </c>
      <c r="K156" s="245"/>
      <c r="L156" s="245">
        <v>1067.1500000000001</v>
      </c>
      <c r="M156" s="245"/>
      <c r="N156" s="245">
        <v>2134.31</v>
      </c>
      <c r="O156" s="245"/>
      <c r="P156" s="494">
        <f>SUM(compras_mes8[[#This Row],[NETO GRAVADO]:[Otros / No Grav.]])</f>
        <v>48377.646000000001</v>
      </c>
      <c r="Q156" s="243" t="str">
        <f>IFERROR(IF(compras_mes8[[#This Row],[CUIT]]="","-",VLOOKUP(compras_mes8[[#This Row],[CUIT]],Lista_CUIT[#All],3,0)),"CUIT NO CARGADO")</f>
        <v>Servicios Gas, Luz, etc.</v>
      </c>
      <c r="R156" s="247">
        <f>IFERROR(IF(compras_mes8[[#This Row],[CUIT]]="","-",VLOOKUP(compras_mes8[[#This Row],[CUIT]],Lista_CUIT[#All],4,0)),"CUIT NO CARGADO")</f>
        <v>0</v>
      </c>
    </row>
    <row r="157" spans="2:20">
      <c r="B157" s="239" t="s">
        <v>2370</v>
      </c>
      <c r="C157" s="240">
        <v>1</v>
      </c>
      <c r="D157" s="241">
        <v>6364</v>
      </c>
      <c r="E157" s="257">
        <v>8508923</v>
      </c>
      <c r="F157" s="242">
        <v>30639453738</v>
      </c>
      <c r="G157" s="243" t="str">
        <f>IFERROR(IF(compras_mes8[[#This Row],[CUIT]]="","-",VLOOKUP(compras_mes8[[#This Row],[CUIT]],Lista_CUIT[#All],2,0)),"CUIT NO CARGADO")</f>
        <v>TELECOM ARG SA</v>
      </c>
      <c r="H157" s="244">
        <v>239833.73</v>
      </c>
      <c r="I157" s="245">
        <f>233219.62*0.21</f>
        <v>48976.120199999998</v>
      </c>
      <c r="J157" s="245">
        <f>6614.11*0.27</f>
        <v>1785.8097</v>
      </c>
      <c r="K157" s="245"/>
      <c r="L157" s="245"/>
      <c r="M157" s="245"/>
      <c r="N157" s="245">
        <v>13428.82</v>
      </c>
      <c r="O157" s="245">
        <v>7265.28</v>
      </c>
      <c r="P157" s="494">
        <f>SUM(compras_mes8[[#This Row],[NETO GRAVADO]:[Otros / No Grav.]])</f>
        <v>311289.7599</v>
      </c>
      <c r="Q157" s="243" t="str">
        <f>IFERROR(IF(compras_mes8[[#This Row],[CUIT]]="","-",VLOOKUP(compras_mes8[[#This Row],[CUIT]],Lista_CUIT[#All],3,0)),"CUIT NO CARGADO")</f>
        <v>Servicios Gas, Luz, etc.</v>
      </c>
      <c r="R157" s="247">
        <f>IFERROR(IF(compras_mes8[[#This Row],[CUIT]]="","-",VLOOKUP(compras_mes8[[#This Row],[CUIT]],Lista_CUIT[#All],4,0)),"CUIT NO CARGADO")</f>
        <v>0</v>
      </c>
    </row>
    <row r="158" spans="2:20">
      <c r="B158" s="239" t="s">
        <v>2378</v>
      </c>
      <c r="C158" s="240">
        <v>1</v>
      </c>
      <c r="D158" s="241">
        <v>4264</v>
      </c>
      <c r="E158" s="257">
        <v>4148661</v>
      </c>
      <c r="F158" s="242">
        <v>30639453738</v>
      </c>
      <c r="G158" s="243" t="str">
        <f>IFERROR(IF(compras_mes8[[#This Row],[CUIT]]="","-",VLOOKUP(compras_mes8[[#This Row],[CUIT]],Lista_CUIT[#All],2,0)),"CUIT NO CARGADO")</f>
        <v>TELECOM ARG SA</v>
      </c>
      <c r="H158" s="244">
        <v>28025</v>
      </c>
      <c r="I158" s="245">
        <f>IF(compras_mes8[[#This Row],[NETO GRAVADO]]="","",compras_mes8[[#This Row],[NETO GRAVADO]]*0.21)</f>
        <v>5885.25</v>
      </c>
      <c r="J158" s="245"/>
      <c r="K158" s="245"/>
      <c r="L158" s="245"/>
      <c r="M158" s="245"/>
      <c r="N158" s="245">
        <v>840.75</v>
      </c>
      <c r="O158" s="245"/>
      <c r="P158" s="494">
        <f>SUM(compras_mes8[[#This Row],[NETO GRAVADO]:[Otros / No Grav.]])</f>
        <v>34751</v>
      </c>
      <c r="Q158" s="243" t="str">
        <f>IFERROR(IF(compras_mes8[[#This Row],[CUIT]]="","-",VLOOKUP(compras_mes8[[#This Row],[CUIT]],Lista_CUIT[#All],3,0)),"CUIT NO CARGADO")</f>
        <v>Servicios Gas, Luz, etc.</v>
      </c>
      <c r="R158" s="247">
        <f>IFERROR(IF(compras_mes8[[#This Row],[CUIT]]="","-",VLOOKUP(compras_mes8[[#This Row],[CUIT]],Lista_CUIT[#All],4,0)),"CUIT NO CARGADO")</f>
        <v>0</v>
      </c>
    </row>
    <row r="159" spans="2:20">
      <c r="B159" s="239" t="s">
        <v>2378</v>
      </c>
      <c r="C159" s="240">
        <v>1</v>
      </c>
      <c r="D159" s="241">
        <v>4264</v>
      </c>
      <c r="E159" s="257">
        <v>4186428</v>
      </c>
      <c r="F159" s="242">
        <v>30639453738</v>
      </c>
      <c r="G159" s="243" t="str">
        <f>IFERROR(IF(compras_mes8[[#This Row],[CUIT]]="","-",VLOOKUP(compras_mes8[[#This Row],[CUIT]],Lista_CUIT[#All],2,0)),"CUIT NO CARGADO")</f>
        <v>TELECOM ARG SA</v>
      </c>
      <c r="H159" s="244">
        <v>150900</v>
      </c>
      <c r="I159" s="245">
        <f>IF(compras_mes8[[#This Row],[NETO GRAVADO]]="","",compras_mes8[[#This Row],[NETO GRAVADO]]*0.21)</f>
        <v>31689</v>
      </c>
      <c r="J159" s="245"/>
      <c r="K159" s="245"/>
      <c r="L159" s="245"/>
      <c r="M159" s="245"/>
      <c r="N159" s="245">
        <v>13581</v>
      </c>
      <c r="O159" s="245"/>
      <c r="P159" s="494">
        <f>SUM(compras_mes8[[#This Row],[NETO GRAVADO]:[Otros / No Grav.]])</f>
        <v>196170</v>
      </c>
      <c r="Q159" s="243" t="str">
        <f>IFERROR(IF(compras_mes8[[#This Row],[CUIT]]="","-",VLOOKUP(compras_mes8[[#This Row],[CUIT]],Lista_CUIT[#All],3,0)),"CUIT NO CARGADO")</f>
        <v>Servicios Gas, Luz, etc.</v>
      </c>
      <c r="R159" s="247">
        <f>IFERROR(IF(compras_mes8[[#This Row],[CUIT]]="","-",VLOOKUP(compras_mes8[[#This Row],[CUIT]],Lista_CUIT[#All],4,0)),"CUIT NO CARGADO")</f>
        <v>0</v>
      </c>
      <c r="S159" t="s">
        <v>1826</v>
      </c>
    </row>
    <row r="160" spans="2:20">
      <c r="B160" s="239" t="s">
        <v>2378</v>
      </c>
      <c r="C160" s="240">
        <v>1</v>
      </c>
      <c r="D160" s="241">
        <v>4264</v>
      </c>
      <c r="E160" s="257">
        <v>4140058</v>
      </c>
      <c r="F160" s="242">
        <v>30639453738</v>
      </c>
      <c r="G160" s="243" t="str">
        <f>IFERROR(IF(compras_mes8[[#This Row],[CUIT]]="","-",VLOOKUP(compras_mes8[[#This Row],[CUIT]],Lista_CUIT[#All],2,0)),"CUIT NO CARGADO")</f>
        <v>TELECOM ARG SA</v>
      </c>
      <c r="H160" s="244">
        <v>75450</v>
      </c>
      <c r="I160" s="245">
        <f>IF(compras_mes8[[#This Row],[NETO GRAVADO]]="","",compras_mes8[[#This Row],[NETO GRAVADO]]*0.21)</f>
        <v>15844.5</v>
      </c>
      <c r="J160" s="245"/>
      <c r="K160" s="245"/>
      <c r="L160" s="245"/>
      <c r="M160" s="245">
        <v>6790.5</v>
      </c>
      <c r="N160" s="245"/>
      <c r="O160" s="245"/>
      <c r="P160" s="494">
        <f>SUM(compras_mes8[[#This Row],[NETO GRAVADO]:[Otros / No Grav.]])</f>
        <v>98085</v>
      </c>
      <c r="Q160" s="243" t="str">
        <f>IFERROR(IF(compras_mes8[[#This Row],[CUIT]]="","-",VLOOKUP(compras_mes8[[#This Row],[CUIT]],Lista_CUIT[#All],3,0)),"CUIT NO CARGADO")</f>
        <v>Servicios Gas, Luz, etc.</v>
      </c>
      <c r="R160" s="247">
        <f>IFERROR(IF(compras_mes8[[#This Row],[CUIT]]="","-",VLOOKUP(compras_mes8[[#This Row],[CUIT]],Lista_CUIT[#All],4,0)),"CUIT NO CARGADO")</f>
        <v>0</v>
      </c>
    </row>
    <row r="161" spans="2:18">
      <c r="B161" s="239" t="s">
        <v>2380</v>
      </c>
      <c r="C161" s="240">
        <v>1</v>
      </c>
      <c r="D161" s="241">
        <v>5</v>
      </c>
      <c r="E161" s="257">
        <v>3103865</v>
      </c>
      <c r="F161" s="242">
        <v>30702652975</v>
      </c>
      <c r="G161" s="243" t="str">
        <f>IFERROR(IF(compras_mes8[[#This Row],[CUIT]]="","-",VLOOKUP(compras_mes8[[#This Row],[CUIT]],Lista_CUIT[#All],2,0)),"CUIT NO CARGADO")</f>
        <v>NSS SA</v>
      </c>
      <c r="H161" s="244">
        <v>29946.84</v>
      </c>
      <c r="I161" s="245">
        <f>IF(compras_mes8[[#This Row],[NETO GRAVADO]]="","",compras_mes8[[#This Row],[NETO GRAVADO]]*0.21)</f>
        <v>6288.8364000000001</v>
      </c>
      <c r="J161" s="245"/>
      <c r="K161" s="245"/>
      <c r="L161" s="245"/>
      <c r="M161" s="245"/>
      <c r="N161" s="245">
        <v>1796.81</v>
      </c>
      <c r="O161" s="245"/>
      <c r="P161" s="494">
        <f>SUM(compras_mes8[[#This Row],[NETO GRAVADO]:[Otros / No Grav.]])</f>
        <v>38032.486399999994</v>
      </c>
      <c r="Q161" s="243" t="str">
        <f>IFERROR(IF(compras_mes8[[#This Row],[CUIT]]="","-",VLOOKUP(compras_mes8[[#This Row],[CUIT]],Lista_CUIT[#All],3,0)),"CUIT NO CARGADO")</f>
        <v>Servicios Gas, Luz, etc.</v>
      </c>
      <c r="R161" s="247">
        <f>IFERROR(IF(compras_mes8[[#This Row],[CUIT]]="","-",VLOOKUP(compras_mes8[[#This Row],[CUIT]],Lista_CUIT[#All],4,0)),"CUIT NO CARGADO")</f>
        <v>0</v>
      </c>
    </row>
    <row r="162" spans="2:18">
      <c r="B162" s="96" t="s">
        <v>103</v>
      </c>
      <c r="C162" s="96"/>
      <c r="D162" s="96"/>
      <c r="E162" s="96"/>
      <c r="F162" s="96"/>
      <c r="G162" s="97"/>
      <c r="H162" s="98">
        <f>SUBTOTAL(109,compras_mes8[NETO GRAVADO])</f>
        <v>97598594.389999986</v>
      </c>
      <c r="I162" s="98">
        <f>SUBTOTAL(109,compras_mes8[IVA 21 %])</f>
        <v>19452508.366199993</v>
      </c>
      <c r="J162" s="98">
        <f>SUBTOTAL(109,compras_mes8[IVA 27%])</f>
        <v>43934.699699999997</v>
      </c>
      <c r="K162" s="98">
        <f>SUBTOTAL(109,compras_mes8[IVA 10,5%])</f>
        <v>504512.51130000007</v>
      </c>
      <c r="L162" s="98">
        <f>SUBTOTAL(109,compras_mes8[PERC. IVA])</f>
        <v>13759.22</v>
      </c>
      <c r="M162" s="98">
        <f>SUBTOTAL(109,compras_mes8[PERC IIBB 
BS AS])</f>
        <v>6842.58</v>
      </c>
      <c r="N162" s="98">
        <f>SUBTOTAL(109,compras_mes8[PERC. IIBB CABA])</f>
        <v>1004814.2599999999</v>
      </c>
      <c r="O162" s="98">
        <f>SUBTOTAL(109,compras_mes8[Otros / No Grav.])</f>
        <v>1078395.72</v>
      </c>
      <c r="P162" s="98">
        <f>SUBTOTAL(109,compras_mes8[TOTAL])</f>
        <v>119703361.74720001</v>
      </c>
      <c r="Q162" s="97"/>
      <c r="R162" s="96"/>
    </row>
    <row r="163" spans="2:18">
      <c r="B163" s="40"/>
      <c r="C163" s="41"/>
      <c r="D163" s="42"/>
      <c r="E163" s="43"/>
      <c r="F163" s="44"/>
      <c r="G163" s="45"/>
      <c r="H163" s="46"/>
      <c r="I163" s="152"/>
      <c r="J163" s="47"/>
      <c r="K163" s="47"/>
      <c r="L163" s="47"/>
      <c r="M163" s="47"/>
      <c r="N163" s="47"/>
      <c r="O163" s="47"/>
      <c r="P163" s="48"/>
      <c r="Q163" s="45"/>
      <c r="R163" s="49"/>
    </row>
    <row r="164" spans="2:18">
      <c r="B164" s="40"/>
      <c r="C164" s="41"/>
      <c r="D164" s="42"/>
      <c r="E164" s="43"/>
      <c r="F164" s="44"/>
      <c r="G164" s="45"/>
      <c r="H164" s="46"/>
      <c r="I164" s="47"/>
      <c r="J164" s="47"/>
      <c r="K164" s="47"/>
      <c r="L164" s="47"/>
      <c r="M164" s="47"/>
      <c r="N164" s="47"/>
      <c r="O164" s="47"/>
      <c r="P164" s="48"/>
      <c r="Q164" s="45"/>
      <c r="R164" s="49"/>
    </row>
    <row r="165" spans="2:18">
      <c r="B165" s="40"/>
      <c r="C165" s="41"/>
      <c r="D165" s="42"/>
      <c r="E165" s="43"/>
      <c r="F165" s="44"/>
      <c r="G165" s="45"/>
      <c r="H165" s="46"/>
      <c r="I165" s="47"/>
      <c r="J165" s="47"/>
      <c r="K165" s="47"/>
      <c r="L165" s="47"/>
      <c r="M165" s="47"/>
      <c r="N165" s="47"/>
      <c r="O165" s="47"/>
      <c r="P165" s="48"/>
      <c r="Q165" s="45"/>
      <c r="R165" s="49"/>
    </row>
    <row r="166" spans="2:18">
      <c r="B166" s="40"/>
      <c r="C166" s="41"/>
      <c r="D166" s="42"/>
      <c r="E166" s="43"/>
      <c r="F166" s="44"/>
      <c r="G166" s="45"/>
      <c r="H166" s="46"/>
      <c r="I166" s="47"/>
      <c r="J166" s="47"/>
      <c r="K166" s="47"/>
      <c r="L166" s="47"/>
    </row>
    <row r="167" spans="2:18" ht="21">
      <c r="D167" s="712" t="s">
        <v>15</v>
      </c>
      <c r="E167" s="712"/>
      <c r="F167" s="712"/>
      <c r="G167" s="712"/>
      <c r="H167" s="712"/>
      <c r="I167" s="712"/>
      <c r="J167" s="712"/>
      <c r="K167" s="712"/>
      <c r="L167" s="712"/>
    </row>
    <row r="168" spans="2:18" ht="15.75">
      <c r="D168" s="73" t="s">
        <v>0</v>
      </c>
      <c r="E168" s="74" t="s">
        <v>26</v>
      </c>
      <c r="F168" s="74" t="s">
        <v>16</v>
      </c>
      <c r="G168" s="74" t="s">
        <v>5</v>
      </c>
      <c r="H168" s="74" t="s">
        <v>17</v>
      </c>
      <c r="I168" s="74" t="s">
        <v>7</v>
      </c>
      <c r="J168" s="75" t="s">
        <v>18</v>
      </c>
      <c r="K168" s="75" t="s">
        <v>19</v>
      </c>
      <c r="L168" s="76" t="s">
        <v>20</v>
      </c>
      <c r="M168" s="262" t="s">
        <v>10</v>
      </c>
    </row>
    <row r="169" spans="2:18">
      <c r="C169">
        <v>30500003193</v>
      </c>
      <c r="D169" s="50">
        <v>45535</v>
      </c>
      <c r="E169" s="80">
        <v>31082024</v>
      </c>
      <c r="F169" s="187" t="s">
        <v>2235</v>
      </c>
      <c r="G169" s="254">
        <v>89226.34</v>
      </c>
      <c r="H169" s="81">
        <f>extracto_banco_mes8[[#This Row],[NETO]]*0.21</f>
        <v>18737.5314</v>
      </c>
      <c r="I169" s="81"/>
      <c r="J169" s="81"/>
      <c r="K169" s="254">
        <v>2532.4899999999998</v>
      </c>
      <c r="L169" s="81">
        <v>5221.96</v>
      </c>
      <c r="M169" s="261">
        <f>SUM(extracto_banco_mes8[[#This Row],[NETO]:[PERC IIBB]])</f>
        <v>115718.32140000002</v>
      </c>
    </row>
    <row r="170" spans="2:18">
      <c r="C170" s="567" t="s">
        <v>2391</v>
      </c>
      <c r="D170" s="50">
        <v>45534</v>
      </c>
      <c r="E170" s="80">
        <v>30082024</v>
      </c>
      <c r="F170" s="187" t="s">
        <v>2236</v>
      </c>
      <c r="G170" s="254">
        <v>28350</v>
      </c>
      <c r="H170" s="81">
        <f>extracto_banco_mes8[[#This Row],[NETO]]*0.21</f>
        <v>5953.5</v>
      </c>
      <c r="I170" s="81"/>
      <c r="J170" s="81"/>
      <c r="K170">
        <v>850.5</v>
      </c>
      <c r="L170" s="318">
        <v>1701</v>
      </c>
      <c r="M170" s="261">
        <f>SUM(extracto_banco_mes8[[#This Row],[NETO]:[PERC IIBB]])</f>
        <v>36855</v>
      </c>
    </row>
    <row r="171" spans="2:18">
      <c r="C171">
        <v>30715649426</v>
      </c>
      <c r="D171" s="50">
        <v>45533</v>
      </c>
      <c r="E171" s="80">
        <v>29082024</v>
      </c>
      <c r="F171" s="187" t="s">
        <v>2390</v>
      </c>
      <c r="G171" s="254">
        <v>1975.61</v>
      </c>
      <c r="H171" s="81"/>
      <c r="I171" s="81">
        <f>extracto_banco_mes8[[#This Row],[NETO]]*0.105</f>
        <v>207.43904999999998</v>
      </c>
      <c r="J171" s="81"/>
      <c r="K171" s="254"/>
      <c r="L171" s="81"/>
      <c r="M171" s="261">
        <f>SUM(extracto_banco_mes8[[#This Row],[NETO]:[PERC IIBB]])</f>
        <v>2183.0490500000001</v>
      </c>
    </row>
    <row r="172" spans="2:18">
      <c r="D172" s="50"/>
      <c r="E172" s="80"/>
      <c r="F172" s="187"/>
      <c r="G172" s="254"/>
      <c r="H172" s="81">
        <f>extracto_banco_mes8[[#This Row],[NETO]]*0.21</f>
        <v>0</v>
      </c>
      <c r="I172" s="81"/>
      <c r="J172" s="81"/>
      <c r="K172" s="254"/>
      <c r="L172" s="81"/>
      <c r="M172" s="261">
        <f>SUM(extracto_banco_mes8[[#This Row],[NETO]:[PERC IIBB]])</f>
        <v>0</v>
      </c>
    </row>
    <row r="173" spans="2:18">
      <c r="D173" s="50"/>
      <c r="E173" s="80"/>
      <c r="F173" s="187"/>
      <c r="G173" s="254"/>
      <c r="H173" s="81">
        <f>extracto_banco_mes8[[#This Row],[NETO]]*0.21</f>
        <v>0</v>
      </c>
      <c r="I173" s="81"/>
      <c r="J173" s="81"/>
      <c r="K173" s="254"/>
      <c r="L173" s="81"/>
      <c r="M173" s="261">
        <f>SUM(extracto_banco_mes8[[#This Row],[NETO]:[PERC IIBB]])</f>
        <v>0</v>
      </c>
      <c r="P173" s="567"/>
      <c r="R173" s="567"/>
    </row>
    <row r="174" spans="2:18">
      <c r="D174" s="50"/>
      <c r="E174" s="80"/>
      <c r="F174" s="187"/>
      <c r="G174" s="254"/>
      <c r="H174" s="81">
        <f>extracto_banco_mes8[[#This Row],[NETO]]*0.21</f>
        <v>0</v>
      </c>
      <c r="I174" s="81"/>
      <c r="J174" s="81"/>
      <c r="K174" s="254"/>
      <c r="L174" s="81"/>
      <c r="M174" s="261">
        <f>SUM(extracto_banco_mes8[[#This Row],[NETO]:[PERC IIBB]])</f>
        <v>0</v>
      </c>
      <c r="P174" s="318"/>
      <c r="R174" s="318"/>
    </row>
    <row r="175" spans="2:18">
      <c r="D175" s="50"/>
      <c r="E175" s="80"/>
      <c r="F175" s="187"/>
      <c r="G175" s="254"/>
      <c r="H175" s="81">
        <f>extracto_banco_mes8[[#This Row],[NETO]]*0.21</f>
        <v>0</v>
      </c>
      <c r="I175" s="81"/>
      <c r="J175" s="81"/>
      <c r="K175" s="254"/>
      <c r="L175" s="81"/>
      <c r="M175" s="261">
        <f>SUM(extracto_banco_mes8[[#This Row],[NETO]:[PERC IIBB]])</f>
        <v>0</v>
      </c>
      <c r="Q175" s="688"/>
      <c r="R175" s="318"/>
    </row>
    <row r="176" spans="2:18">
      <c r="D176" s="50"/>
      <c r="E176" s="80"/>
      <c r="F176" s="187"/>
      <c r="G176" s="254"/>
      <c r="H176" s="81">
        <f>extracto_banco_mes8[[#This Row],[NETO]]*0.21</f>
        <v>0</v>
      </c>
      <c r="I176" s="81"/>
      <c r="J176" s="81"/>
      <c r="K176" s="254"/>
      <c r="L176" s="81"/>
      <c r="M176" s="261">
        <f>SUM(extracto_banco_mes8[[#This Row],[NETO]:[PERC IIBB]])</f>
        <v>0</v>
      </c>
      <c r="P176" s="318"/>
      <c r="Q176" s="688"/>
      <c r="R176" s="318"/>
    </row>
    <row r="177" spans="4:16">
      <c r="D177" s="50"/>
      <c r="E177" s="80"/>
      <c r="F177" s="80"/>
      <c r="G177" s="254"/>
      <c r="H177" s="81">
        <f>extracto_banco_mes8[[#This Row],[NETO]]*0.21</f>
        <v>0</v>
      </c>
      <c r="I177" s="81"/>
      <c r="J177" s="81"/>
      <c r="K177" s="254"/>
      <c r="L177" s="81"/>
      <c r="M177" s="261">
        <f>SUM(extracto_banco_mes8[[#This Row],[NETO]:[PERC IIBB]])</f>
        <v>0</v>
      </c>
      <c r="P177" s="318"/>
    </row>
    <row r="178" spans="4:16">
      <c r="D178" s="82" t="s">
        <v>103</v>
      </c>
      <c r="E178" s="80"/>
      <c r="F178" s="80"/>
      <c r="G178" s="83">
        <f>SUBTOTAL(109,extracto_banco_mes8[NETO])</f>
        <v>119551.95</v>
      </c>
      <c r="H178" s="83">
        <f>SUBTOTAL(109,extracto_banco_mes8[IVA 21%])</f>
        <v>24691.0314</v>
      </c>
      <c r="I178" s="83">
        <f>SUBTOTAL(109,extracto_banco_mes8[IVA 10,5%])</f>
        <v>207.43904999999998</v>
      </c>
      <c r="J178" s="83">
        <f>SUBTOTAL(109,extracto_banco_mes8[RET IIBB CABA])</f>
        <v>0</v>
      </c>
      <c r="K178" s="83">
        <f>SUBTOTAL(109,extracto_banco_mes8[PERC IVA])</f>
        <v>3382.99</v>
      </c>
      <c r="L178" s="83">
        <f>SUBTOTAL(109,extracto_banco_mes8[PERC IIBB])</f>
        <v>6922.96</v>
      </c>
      <c r="M178" s="260"/>
    </row>
    <row r="182" spans="4:16" ht="21">
      <c r="D182" s="712" t="s">
        <v>25</v>
      </c>
      <c r="E182" s="712"/>
      <c r="F182" s="712"/>
      <c r="G182" s="712"/>
      <c r="H182" s="712"/>
      <c r="I182" s="712"/>
      <c r="J182" s="712"/>
      <c r="K182" s="712"/>
      <c r="N182" s="318"/>
    </row>
    <row r="183" spans="4:16">
      <c r="D183" s="51" t="s">
        <v>0</v>
      </c>
      <c r="E183" s="51" t="s">
        <v>2</v>
      </c>
      <c r="F183" s="51" t="s">
        <v>74</v>
      </c>
      <c r="G183" s="51" t="s">
        <v>3</v>
      </c>
      <c r="H183" s="51" t="s">
        <v>4</v>
      </c>
      <c r="I183" s="52" t="s">
        <v>10</v>
      </c>
      <c r="J183" s="51" t="s">
        <v>13</v>
      </c>
      <c r="K183" s="51" t="s">
        <v>38</v>
      </c>
    </row>
    <row r="184" spans="4:16">
      <c r="D184" s="543" t="s">
        <v>2387</v>
      </c>
      <c r="E184" s="42">
        <v>5</v>
      </c>
      <c r="F184" s="43">
        <v>10761</v>
      </c>
      <c r="G184" s="44">
        <v>30716397544</v>
      </c>
      <c r="H184" s="250" t="str">
        <f>IFERROR(IF(factura_c_mes8[[#This Row],[CUIT]]="","-",VLOOKUP(factura_c_mes8[[#This Row],[CUIT]],Lista_CUIT[#All],2,0)),"CUIT NO CARGADO")</f>
        <v>FUNDACION AULA ABIERTA</v>
      </c>
      <c r="I184" s="259">
        <v>324000</v>
      </c>
      <c r="J184" s="679" t="s">
        <v>79</v>
      </c>
      <c r="K184" s="252">
        <f>IFERROR(IF(factura_c_mes8[[#This Row],[CUIT]]="","-",VLOOKUP(factura_c_mes8[[#This Row],[CUIT]],Lista_CUIT[#All],4,0)),"CUIT NO CARGADO")</f>
        <v>0</v>
      </c>
    </row>
    <row r="185" spans="4:16" ht="16.5" customHeight="1">
      <c r="D185" s="543" t="s">
        <v>2374</v>
      </c>
      <c r="E185" s="42">
        <v>4</v>
      </c>
      <c r="F185" s="43">
        <v>1047</v>
      </c>
      <c r="G185" s="44">
        <v>23242717589</v>
      </c>
      <c r="H185" s="250" t="str">
        <f>IFERROR(IF(factura_c_mes8[[#This Row],[CUIT]]="","-",VLOOKUP(factura_c_mes8[[#This Row],[CUIT]],Lista_CUIT[#All],2,0)),"CUIT NO CARGADO")</f>
        <v>PANIZO DIEGO SEBASTIAN</v>
      </c>
      <c r="I185" s="259">
        <v>1700</v>
      </c>
      <c r="J185" s="687" t="str">
        <f>IFERROR(IF(factura_c_mes8[[#This Row],[CUIT]]="","-",VLOOKUP(factura_c_mes8[[#This Row],[CUIT]],Lista_CUIT[#All],3,0)),"CUIT NO CARGADO")</f>
        <v>Gastos Varios</v>
      </c>
      <c r="K185" s="252">
        <f>IFERROR(IF(factura_c_mes8[[#This Row],[CUIT]]="","-",VLOOKUP(factura_c_mes8[[#This Row],[CUIT]],Lista_CUIT[#All],4,0)),"CUIT NO CARGADO")</f>
        <v>0</v>
      </c>
    </row>
    <row r="186" spans="4:16">
      <c r="D186" s="543" t="s">
        <v>2374</v>
      </c>
      <c r="E186" s="42">
        <v>4</v>
      </c>
      <c r="F186" s="43">
        <v>1046</v>
      </c>
      <c r="G186" s="44">
        <v>23242717589</v>
      </c>
      <c r="H186" s="250" t="str">
        <f>IFERROR(IF(factura_c_mes8[[#This Row],[CUIT]]="","-",VLOOKUP(factura_c_mes8[[#This Row],[CUIT]],Lista_CUIT[#All],2,0)),"CUIT NO CARGADO")</f>
        <v>PANIZO DIEGO SEBASTIAN</v>
      </c>
      <c r="I186" s="259">
        <v>3300</v>
      </c>
      <c r="J186" s="687" t="str">
        <f>IFERROR(IF(factura_c_mes8[[#This Row],[CUIT]]="","-",VLOOKUP(factura_c_mes8[[#This Row],[CUIT]],Lista_CUIT[#All],3,0)),"CUIT NO CARGADO")</f>
        <v>Gastos Varios</v>
      </c>
      <c r="K186" s="252">
        <f>IFERROR(IF(factura_c_mes8[[#This Row],[CUIT]]="","-",VLOOKUP(factura_c_mes8[[#This Row],[CUIT]],Lista_CUIT[#All],4,0)),"CUIT NO CARGADO")</f>
        <v>0</v>
      </c>
    </row>
    <row r="187" spans="4:16" ht="18" customHeight="1">
      <c r="D187" s="543" t="s">
        <v>2374</v>
      </c>
      <c r="E187" s="42">
        <v>2</v>
      </c>
      <c r="F187" s="43">
        <v>4493</v>
      </c>
      <c r="G187" s="44">
        <v>20136536320</v>
      </c>
      <c r="H187" s="250" t="str">
        <f>IFERROR(IF(factura_c_mes8[[#This Row],[CUIT]]="","-",VLOOKUP(factura_c_mes8[[#This Row],[CUIT]],Lista_CUIT[#All],2,0)),"CUIT NO CARGADO")</f>
        <v>FONTENLA ERNESTO MARIO</v>
      </c>
      <c r="I187" s="259">
        <v>4500</v>
      </c>
      <c r="J187" s="687" t="str">
        <f>IFERROR(IF(factura_c_mes8[[#This Row],[CUIT]]="","-",VLOOKUP(factura_c_mes8[[#This Row],[CUIT]],Lista_CUIT[#All],3,0)),"CUIT NO CARGADO")</f>
        <v>Gastos Varios</v>
      </c>
      <c r="K187" s="252" t="str">
        <f>IFERROR(IF(factura_c_mes8[[#This Row],[CUIT]]="","-",VLOOKUP(factura_c_mes8[[#This Row],[CUIT]],Lista_CUIT[#All],4,0)),"CUIT NO CARGADO")</f>
        <v>CABA</v>
      </c>
    </row>
    <row r="188" spans="4:16">
      <c r="D188" s="543" t="s">
        <v>2375</v>
      </c>
      <c r="E188" s="42">
        <v>2</v>
      </c>
      <c r="F188" s="43">
        <v>3704</v>
      </c>
      <c r="G188" s="44">
        <v>20206480409</v>
      </c>
      <c r="H188" s="250" t="str">
        <f>IFERROR(IF(factura_c_mes8[[#This Row],[CUIT]]="","-",VLOOKUP(factura_c_mes8[[#This Row],[CUIT]],Lista_CUIT[#All],2,0)),"CUIT NO CARGADO")</f>
        <v>GRACIA SANDRO EDUARDO</v>
      </c>
      <c r="I188" s="259">
        <v>1500</v>
      </c>
      <c r="J188" s="687" t="str">
        <f>IFERROR(IF(factura_c_mes8[[#This Row],[CUIT]]="","-",VLOOKUP(factura_c_mes8[[#This Row],[CUIT]],Lista_CUIT[#All],3,0)),"CUIT NO CARGADO")</f>
        <v>Gastos Varios</v>
      </c>
      <c r="K188" s="252" t="str">
        <f>IFERROR(IF(factura_c_mes8[[#This Row],[CUIT]]="","-",VLOOKUP(factura_c_mes8[[#This Row],[CUIT]],Lista_CUIT[#All],4,0)),"CUIT NO CARGADO")</f>
        <v>CABA</v>
      </c>
    </row>
    <row r="189" spans="4:16">
      <c r="D189" s="543" t="s">
        <v>2375</v>
      </c>
      <c r="E189" s="42">
        <v>2</v>
      </c>
      <c r="F189" s="43">
        <v>3705</v>
      </c>
      <c r="G189" s="44">
        <v>20206480409</v>
      </c>
      <c r="H189" s="250" t="str">
        <f>IFERROR(IF(factura_c_mes8[[#This Row],[CUIT]]="","-",VLOOKUP(factura_c_mes8[[#This Row],[CUIT]],Lista_CUIT[#All],2,0)),"CUIT NO CARGADO")</f>
        <v>GRACIA SANDRO EDUARDO</v>
      </c>
      <c r="I189" s="259">
        <v>500</v>
      </c>
      <c r="J189" s="687" t="str">
        <f>IFERROR(IF(factura_c_mes8[[#This Row],[CUIT]]="","-",VLOOKUP(factura_c_mes8[[#This Row],[CUIT]],Lista_CUIT[#All],3,0)),"CUIT NO CARGADO")</f>
        <v>Gastos Varios</v>
      </c>
      <c r="K189" s="252" t="str">
        <f>IFERROR(IF(factura_c_mes8[[#This Row],[CUIT]]="","-",VLOOKUP(factura_c_mes8[[#This Row],[CUIT]],Lista_CUIT[#All],4,0)),"CUIT NO CARGADO")</f>
        <v>CABA</v>
      </c>
    </row>
    <row r="190" spans="4:16">
      <c r="D190" s="543" t="s">
        <v>2376</v>
      </c>
      <c r="E190" s="42">
        <v>3</v>
      </c>
      <c r="F190" s="43">
        <v>1261</v>
      </c>
      <c r="G190" s="44">
        <v>20173025557</v>
      </c>
      <c r="H190" s="250" t="str">
        <f>IFERROR(IF(factura_c_mes8[[#This Row],[CUIT]]="","-",VLOOKUP(factura_c_mes8[[#This Row],[CUIT]],Lista_CUIT[#All],2,0)),"CUIT NO CARGADO")</f>
        <v>MARAUDA HECTOR</v>
      </c>
      <c r="I190" s="259">
        <v>5500</v>
      </c>
      <c r="J190" s="687" t="str">
        <f>IFERROR(IF(factura_c_mes8[[#This Row],[CUIT]]="","-",VLOOKUP(factura_c_mes8[[#This Row],[CUIT]],Lista_CUIT[#All],3,0)),"CUIT NO CARGADO")</f>
        <v>Gastos Varios</v>
      </c>
      <c r="K190" s="252">
        <f>IFERROR(IF(factura_c_mes8[[#This Row],[CUIT]]="","-",VLOOKUP(factura_c_mes8[[#This Row],[CUIT]],Lista_CUIT[#All],4,0)),"CUIT NO CARGADO")</f>
        <v>0</v>
      </c>
    </row>
    <row r="191" spans="4:16">
      <c r="D191" s="543" t="s">
        <v>2381</v>
      </c>
      <c r="E191" s="42">
        <v>2</v>
      </c>
      <c r="F191" s="43">
        <v>4535</v>
      </c>
      <c r="G191" s="44">
        <v>20136536320</v>
      </c>
      <c r="H191" s="250" t="str">
        <f>IFERROR(IF(factura_c_mes8[[#This Row],[CUIT]]="","-",VLOOKUP(factura_c_mes8[[#This Row],[CUIT]],Lista_CUIT[#All],2,0)),"CUIT NO CARGADO")</f>
        <v>FONTENLA ERNESTO MARIO</v>
      </c>
      <c r="I191" s="259">
        <v>2600</v>
      </c>
      <c r="J191" s="687" t="str">
        <f>IFERROR(IF(factura_c_mes8[[#This Row],[CUIT]]="","-",VLOOKUP(factura_c_mes8[[#This Row],[CUIT]],Lista_CUIT[#All],3,0)),"CUIT NO CARGADO")</f>
        <v>Gastos Varios</v>
      </c>
      <c r="K191" s="252" t="str">
        <f>IFERROR(IF(factura_c_mes8[[#This Row],[CUIT]]="","-",VLOOKUP(factura_c_mes8[[#This Row],[CUIT]],Lista_CUIT[#All],4,0)),"CUIT NO CARGADO")</f>
        <v>CABA</v>
      </c>
    </row>
    <row r="192" spans="4:16">
      <c r="D192" s="543" t="s">
        <v>2381</v>
      </c>
      <c r="E192" s="42">
        <v>2</v>
      </c>
      <c r="F192" s="43">
        <v>4533</v>
      </c>
      <c r="G192" s="44">
        <v>20136536320</v>
      </c>
      <c r="H192" s="250" t="str">
        <f>IFERROR(IF(factura_c_mes8[[#This Row],[CUIT]]="","-",VLOOKUP(factura_c_mes8[[#This Row],[CUIT]],Lista_CUIT[#All],2,0)),"CUIT NO CARGADO")</f>
        <v>FONTENLA ERNESTO MARIO</v>
      </c>
      <c r="I192" s="259">
        <v>2800</v>
      </c>
      <c r="J192" s="687" t="str">
        <f>IFERROR(IF(factura_c_mes8[[#This Row],[CUIT]]="","-",VLOOKUP(factura_c_mes8[[#This Row],[CUIT]],Lista_CUIT[#All],3,0)),"CUIT NO CARGADO")</f>
        <v>Gastos Varios</v>
      </c>
      <c r="K192" s="252" t="str">
        <f>IFERROR(IF(factura_c_mes8[[#This Row],[CUIT]]="","-",VLOOKUP(factura_c_mes8[[#This Row],[CUIT]],Lista_CUIT[#All],4,0)),"CUIT NO CARGADO")</f>
        <v>CABA</v>
      </c>
    </row>
    <row r="193" spans="4:11">
      <c r="D193" s="543" t="s">
        <v>2384</v>
      </c>
      <c r="E193" s="42">
        <v>4</v>
      </c>
      <c r="F193" s="43">
        <v>1053</v>
      </c>
      <c r="G193" s="44">
        <v>23242717589</v>
      </c>
      <c r="H193" s="250" t="str">
        <f>IFERROR(IF(factura_c_mes8[[#This Row],[CUIT]]="","-",VLOOKUP(factura_c_mes8[[#This Row],[CUIT]],Lista_CUIT[#All],2,0)),"CUIT NO CARGADO")</f>
        <v>PANIZO DIEGO SEBASTIAN</v>
      </c>
      <c r="I193" s="259">
        <v>7100</v>
      </c>
      <c r="J193" s="687" t="str">
        <f>IFERROR(IF(factura_c_mes8[[#This Row],[CUIT]]="","-",VLOOKUP(factura_c_mes8[[#This Row],[CUIT]],Lista_CUIT[#All],3,0)),"CUIT NO CARGADO")</f>
        <v>Gastos Varios</v>
      </c>
      <c r="K193" s="252">
        <f>IFERROR(IF(factura_c_mes8[[#This Row],[CUIT]]="","-",VLOOKUP(factura_c_mes8[[#This Row],[CUIT]],Lista_CUIT[#All],4,0)),"CUIT NO CARGADO")</f>
        <v>0</v>
      </c>
    </row>
    <row r="194" spans="4:11">
      <c r="D194" s="543" t="s">
        <v>2385</v>
      </c>
      <c r="E194" s="42">
        <v>10</v>
      </c>
      <c r="F194" s="43">
        <v>210</v>
      </c>
      <c r="G194" s="44">
        <v>20302234389</v>
      </c>
      <c r="H194" s="250" t="str">
        <f>IFERROR(IF(factura_c_mes8[[#This Row],[CUIT]]="","-",VLOOKUP(factura_c_mes8[[#This Row],[CUIT]],Lista_CUIT[#All],2,0)),"CUIT NO CARGADO")</f>
        <v>VIGORELLI GUILLERMO DANIEL</v>
      </c>
      <c r="I194" s="259">
        <v>152000</v>
      </c>
      <c r="J194" s="687" t="str">
        <f>IFERROR(IF(factura_c_mes8[[#This Row],[CUIT]]="","-",VLOOKUP(factura_c_mes8[[#This Row],[CUIT]],Lista_CUIT[#All],3,0)),"CUIT NO CARGADO")</f>
        <v>Gastos Varios</v>
      </c>
      <c r="K194" s="252">
        <f>IFERROR(IF(factura_c_mes8[[#This Row],[CUIT]]="","-",VLOOKUP(factura_c_mes8[[#This Row],[CUIT]],Lista_CUIT[#All],4,0)),"CUIT NO CARGADO")</f>
        <v>0</v>
      </c>
    </row>
    <row r="195" spans="4:11">
      <c r="D195" s="543" t="s">
        <v>2366</v>
      </c>
      <c r="E195" s="42">
        <v>1</v>
      </c>
      <c r="F195" s="43">
        <v>4</v>
      </c>
      <c r="G195" s="44">
        <v>27309116343</v>
      </c>
      <c r="H195" s="250" t="str">
        <f>IFERROR(IF(factura_c_mes8[[#This Row],[CUIT]]="","-",VLOOKUP(factura_c_mes8[[#This Row],[CUIT]],Lista_CUIT[#All],2,0)),"CUIT NO CARGADO")</f>
        <v>FERNANDEZ DANIELA NATALIA</v>
      </c>
      <c r="I195" s="259">
        <v>72000</v>
      </c>
      <c r="J195" s="687" t="str">
        <f>IFERROR(IF(factura_c_mes8[[#This Row],[CUIT]]="","-",VLOOKUP(factura_c_mes8[[#This Row],[CUIT]],Lista_CUIT[#All],3,0)),"CUIT NO CARGADO")</f>
        <v>Honorarios Administrativos</v>
      </c>
      <c r="K195" s="252">
        <f>IFERROR(IF(factura_c_mes8[[#This Row],[CUIT]]="","-",VLOOKUP(factura_c_mes8[[#This Row],[CUIT]],Lista_CUIT[#All],4,0)),"CUIT NO CARGADO")</f>
        <v>0</v>
      </c>
    </row>
    <row r="196" spans="4:11">
      <c r="D196" s="543" t="s">
        <v>2379</v>
      </c>
      <c r="E196" s="42">
        <v>1</v>
      </c>
      <c r="F196" s="43">
        <v>5</v>
      </c>
      <c r="G196" s="44">
        <v>27309116343</v>
      </c>
      <c r="H196" s="250" t="str">
        <f>IFERROR(IF(factura_c_mes8[[#This Row],[CUIT]]="","-",VLOOKUP(factura_c_mes8[[#This Row],[CUIT]],Lista_CUIT[#All],2,0)),"CUIT NO CARGADO")</f>
        <v>FERNANDEZ DANIELA NATALIA</v>
      </c>
      <c r="I196" s="259">
        <v>84000</v>
      </c>
      <c r="J196" s="687" t="str">
        <f>IFERROR(IF(factura_c_mes8[[#This Row],[CUIT]]="","-",VLOOKUP(factura_c_mes8[[#This Row],[CUIT]],Lista_CUIT[#All],3,0)),"CUIT NO CARGADO")</f>
        <v>Honorarios Administrativos</v>
      </c>
      <c r="K196" s="252">
        <f>IFERROR(IF(factura_c_mes8[[#This Row],[CUIT]]="","-",VLOOKUP(factura_c_mes8[[#This Row],[CUIT]],Lista_CUIT[#All],4,0)),"CUIT NO CARGADO")</f>
        <v>0</v>
      </c>
    </row>
    <row r="197" spans="4:11">
      <c r="D197" s="543" t="s">
        <v>2386</v>
      </c>
      <c r="E197" s="42">
        <v>1</v>
      </c>
      <c r="F197" s="43">
        <v>6</v>
      </c>
      <c r="G197" s="44">
        <v>27309116343</v>
      </c>
      <c r="H197" s="250" t="str">
        <f>IFERROR(IF(factura_c_mes8[[#This Row],[CUIT]]="","-",VLOOKUP(factura_c_mes8[[#This Row],[CUIT]],Lista_CUIT[#All],2,0)),"CUIT NO CARGADO")</f>
        <v>FERNANDEZ DANIELA NATALIA</v>
      </c>
      <c r="I197" s="259">
        <v>84000</v>
      </c>
      <c r="J197" s="687" t="str">
        <f>IFERROR(IF(factura_c_mes8[[#This Row],[CUIT]]="","-",VLOOKUP(factura_c_mes8[[#This Row],[CUIT]],Lista_CUIT[#All],3,0)),"CUIT NO CARGADO")</f>
        <v>Honorarios Administrativos</v>
      </c>
      <c r="K197" s="252">
        <f>IFERROR(IF(factura_c_mes8[[#This Row],[CUIT]]="","-",VLOOKUP(factura_c_mes8[[#This Row],[CUIT]],Lista_CUIT[#All],4,0)),"CUIT NO CARGADO")</f>
        <v>0</v>
      </c>
    </row>
    <row r="198" spans="4:11">
      <c r="D198" s="543" t="s">
        <v>2365</v>
      </c>
      <c r="E198" s="42">
        <v>3</v>
      </c>
      <c r="F198" s="43">
        <v>869</v>
      </c>
      <c r="G198" s="44">
        <v>20086277523</v>
      </c>
      <c r="H198" s="250" t="str">
        <f>IFERROR(IF(factura_c_mes8[[#This Row],[CUIT]]="","-",VLOOKUP(factura_c_mes8[[#This Row],[CUIT]],Lista_CUIT[#All],2,0)),"CUIT NO CARGADO")</f>
        <v>BOTINDARI JUAN CARLOS</v>
      </c>
      <c r="I198" s="259">
        <v>220000</v>
      </c>
      <c r="J198" s="687" t="str">
        <f>IFERROR(IF(factura_c_mes8[[#This Row],[CUIT]]="","-",VLOOKUP(factura_c_mes8[[#This Row],[CUIT]],Lista_CUIT[#All],3,0)),"CUIT NO CARGADO")</f>
        <v>Honorarios Contables</v>
      </c>
      <c r="K198" s="252">
        <f>IFERROR(IF(factura_c_mes8[[#This Row],[CUIT]]="","-",VLOOKUP(factura_c_mes8[[#This Row],[CUIT]],Lista_CUIT[#All],4,0)),"CUIT NO CARGADO")</f>
        <v>0</v>
      </c>
    </row>
    <row r="199" spans="4:11">
      <c r="D199" s="543" t="s">
        <v>2368</v>
      </c>
      <c r="E199" s="42">
        <v>2</v>
      </c>
      <c r="F199" s="43">
        <v>302</v>
      </c>
      <c r="G199" s="44">
        <v>23319210954</v>
      </c>
      <c r="H199" s="250" t="str">
        <f>IFERROR(IF(factura_c_mes8[[#This Row],[CUIT]]="","-",VLOOKUP(factura_c_mes8[[#This Row],[CUIT]],Lista_CUIT[#All],2,0)),"CUIT NO CARGADO")</f>
        <v>CAFFARATTI ROMINA PAOLA</v>
      </c>
      <c r="I199" s="259">
        <v>176000</v>
      </c>
      <c r="J199" s="687" t="str">
        <f>IFERROR(IF(factura_c_mes8[[#This Row],[CUIT]]="","-",VLOOKUP(factura_c_mes8[[#This Row],[CUIT]],Lista_CUIT[#All],3,0)),"CUIT NO CARGADO")</f>
        <v>Honorarios Contables</v>
      </c>
      <c r="K199" s="252">
        <f>IFERROR(IF(factura_c_mes8[[#This Row],[CUIT]]="","-",VLOOKUP(factura_c_mes8[[#This Row],[CUIT]],Lista_CUIT[#All],4,0)),"CUIT NO CARGADO")</f>
        <v>0</v>
      </c>
    </row>
    <row r="200" spans="4:11">
      <c r="D200" s="543" t="s">
        <v>2361</v>
      </c>
      <c r="E200" s="42">
        <v>3</v>
      </c>
      <c r="F200" s="43">
        <v>490</v>
      </c>
      <c r="G200" s="44">
        <v>20210551574</v>
      </c>
      <c r="H200" s="53" t="str">
        <f>IFERROR(IF(factura_c_mes8[[#This Row],[CUIT]]="","-",VLOOKUP(factura_c_mes8[[#This Row],[CUIT]],Lista_CUIT[#All],2,0)),"CUIT NO CARGADO")</f>
        <v>REUS JORGE DIEGO</v>
      </c>
      <c r="I200" s="258">
        <v>227000</v>
      </c>
      <c r="J200" s="679" t="str">
        <f>IFERROR(IF(factura_c_mes8[[#This Row],[CUIT]]="","-",VLOOKUP(factura_c_mes8[[#This Row],[CUIT]],Lista_CUIT[#All],3,0)),"CUIT NO CARGADO")</f>
        <v>Honorarios Legales</v>
      </c>
      <c r="K200" s="54">
        <f>IFERROR(IF(factura_c_mes8[[#This Row],[CUIT]]="","-",VLOOKUP(factura_c_mes8[[#This Row],[CUIT]],Lista_CUIT[#All],4,0)),"CUIT NO CARGADO")</f>
        <v>0</v>
      </c>
    </row>
    <row r="201" spans="4:11">
      <c r="D201" s="543" t="s">
        <v>2382</v>
      </c>
      <c r="E201" s="42">
        <v>2</v>
      </c>
      <c r="F201" s="43">
        <v>664</v>
      </c>
      <c r="G201" s="44">
        <v>27218690160</v>
      </c>
      <c r="H201" s="250" t="str">
        <f>IFERROR(IF(factura_c_mes8[[#This Row],[CUIT]]="","-",VLOOKUP(factura_c_mes8[[#This Row],[CUIT]],Lista_CUIT[#All],2,0)),"CUIT NO CARGADO")</f>
        <v>RAMIREZ LAURA VERONICA</v>
      </c>
      <c r="I201" s="259">
        <v>21000</v>
      </c>
      <c r="J201" s="687" t="str">
        <f>IFERROR(IF(factura_c_mes8[[#This Row],[CUIT]]="","-",VLOOKUP(factura_c_mes8[[#This Row],[CUIT]],Lista_CUIT[#All],3,0)),"CUIT NO CARGADO")</f>
        <v>Honorarios Profesionales</v>
      </c>
      <c r="K201" s="252">
        <f>IFERROR(IF(factura_c_mes8[[#This Row],[CUIT]]="","-",VLOOKUP(factura_c_mes8[[#This Row],[CUIT]],Lista_CUIT[#All],4,0)),"CUIT NO CARGADO")</f>
        <v>0</v>
      </c>
    </row>
    <row r="202" spans="4:11">
      <c r="D202" s="543" t="s">
        <v>2384</v>
      </c>
      <c r="E202" s="42">
        <v>1</v>
      </c>
      <c r="F202" s="43">
        <v>55</v>
      </c>
      <c r="G202" s="44">
        <v>20176922363</v>
      </c>
      <c r="H202" s="250" t="str">
        <f>IFERROR(IF(factura_c_mes8[[#This Row],[CUIT]]="","-",VLOOKUP(factura_c_mes8[[#This Row],[CUIT]],Lista_CUIT[#All],2,0)),"CUIT NO CARGADO")</f>
        <v>CASTILLO JUAN RAMON</v>
      </c>
      <c r="I202" s="259">
        <v>1200000</v>
      </c>
      <c r="J202" s="687" t="str">
        <f>IFERROR(IF(factura_c_mes8[[#This Row],[CUIT]]="","-",VLOOKUP(factura_c_mes8[[#This Row],[CUIT]],Lista_CUIT[#All],3,0)),"CUIT NO CARGADO")</f>
        <v>Honorarios Profesionales</v>
      </c>
      <c r="K202" s="252">
        <f>IFERROR(IF(factura_c_mes8[[#This Row],[CUIT]]="","-",VLOOKUP(factura_c_mes8[[#This Row],[CUIT]],Lista_CUIT[#All],4,0)),"CUIT NO CARGADO")</f>
        <v>0</v>
      </c>
    </row>
    <row r="203" spans="4:11" ht="15.75" customHeight="1">
      <c r="D203" s="543" t="s">
        <v>2384</v>
      </c>
      <c r="E203" s="42">
        <v>1</v>
      </c>
      <c r="F203" s="43">
        <v>56</v>
      </c>
      <c r="G203" s="44">
        <v>20176922363</v>
      </c>
      <c r="H203" s="250" t="str">
        <f>IFERROR(IF(factura_c_mes8[[#This Row],[CUIT]]="","-",VLOOKUP(factura_c_mes8[[#This Row],[CUIT]],Lista_CUIT[#All],2,0)),"CUIT NO CARGADO")</f>
        <v>CASTILLO JUAN RAMON</v>
      </c>
      <c r="I203" s="259">
        <v>700000</v>
      </c>
      <c r="J203" s="687" t="str">
        <f>IFERROR(IF(factura_c_mes8[[#This Row],[CUIT]]="","-",VLOOKUP(factura_c_mes8[[#This Row],[CUIT]],Lista_CUIT[#All],3,0)),"CUIT NO CARGADO")</f>
        <v>Honorarios Profesionales</v>
      </c>
      <c r="K203" s="252">
        <f>IFERROR(IF(factura_c_mes8[[#This Row],[CUIT]]="","-",VLOOKUP(factura_c_mes8[[#This Row],[CUIT]],Lista_CUIT[#All],4,0)),"CUIT NO CARGADO")</f>
        <v>0</v>
      </c>
    </row>
    <row r="204" spans="4:11">
      <c r="D204" s="543" t="s">
        <v>2388</v>
      </c>
      <c r="E204" s="42">
        <v>2</v>
      </c>
      <c r="F204" s="43">
        <v>669</v>
      </c>
      <c r="G204" s="44">
        <v>27218690160</v>
      </c>
      <c r="H204" s="250" t="str">
        <f>IFERROR(IF(factura_c_mes8[[#This Row],[CUIT]]="","-",VLOOKUP(factura_c_mes8[[#This Row],[CUIT]],Lista_CUIT[#All],2,0)),"CUIT NO CARGADO")</f>
        <v>RAMIREZ LAURA VERONICA</v>
      </c>
      <c r="I204" s="259">
        <v>21000</v>
      </c>
      <c r="J204" s="687" t="str">
        <f>IFERROR(IF(factura_c_mes8[[#This Row],[CUIT]]="","-",VLOOKUP(factura_c_mes8[[#This Row],[CUIT]],Lista_CUIT[#All],3,0)),"CUIT NO CARGADO")</f>
        <v>Honorarios Profesionales</v>
      </c>
      <c r="K204" s="252">
        <f>IFERROR(IF(factura_c_mes8[[#This Row],[CUIT]]="","-",VLOOKUP(factura_c_mes8[[#This Row],[CUIT]],Lista_CUIT[#All],4,0)),"CUIT NO CARGADO")</f>
        <v>0</v>
      </c>
    </row>
    <row r="205" spans="4:11" ht="17.25" customHeight="1">
      <c r="D205" s="543" t="s">
        <v>2389</v>
      </c>
      <c r="E205" s="42">
        <v>4</v>
      </c>
      <c r="F205" s="43">
        <v>524</v>
      </c>
      <c r="G205" s="44">
        <v>23222942934</v>
      </c>
      <c r="H205" s="250" t="str">
        <f>IFERROR(IF(factura_c_mes8[[#This Row],[CUIT]]="","-",VLOOKUP(factura_c_mes8[[#This Row],[CUIT]],Lista_CUIT[#All],2,0)),"CUIT NO CARGADO")</f>
        <v>FIORI SILVIA LORENA</v>
      </c>
      <c r="I205" s="259">
        <v>100000</v>
      </c>
      <c r="J205" s="687" t="str">
        <f>IFERROR(IF(factura_c_mes8[[#This Row],[CUIT]]="","-",VLOOKUP(factura_c_mes8[[#This Row],[CUIT]],Lista_CUIT[#All],3,0)),"CUIT NO CARGADO")</f>
        <v>Honorarios Profesionales</v>
      </c>
      <c r="K205" s="252">
        <f>IFERROR(IF(factura_c_mes8[[#This Row],[CUIT]]="","-",VLOOKUP(factura_c_mes8[[#This Row],[CUIT]],Lista_CUIT[#All],4,0)),"CUIT NO CARGADO")</f>
        <v>0</v>
      </c>
    </row>
    <row r="206" spans="4:11" ht="15.75" customHeight="1">
      <c r="D206" s="543" t="s">
        <v>2382</v>
      </c>
      <c r="E206" s="42">
        <v>1</v>
      </c>
      <c r="F206" s="43">
        <v>79</v>
      </c>
      <c r="G206" s="44">
        <v>20299505430</v>
      </c>
      <c r="H206" s="250" t="str">
        <f>IFERROR(IF(factura_c_mes8[[#This Row],[CUIT]]="","-",VLOOKUP(factura_c_mes8[[#This Row],[CUIT]],Lista_CUIT[#All],2,0)),"CUIT NO CARGADO")</f>
        <v>PRADO EMILIANO HERNAN</v>
      </c>
      <c r="I206" s="259">
        <v>844000</v>
      </c>
      <c r="J206" s="687" t="str">
        <f>IFERROR(IF(factura_c_mes8[[#This Row],[CUIT]]="","-",VLOOKUP(factura_c_mes8[[#This Row],[CUIT]],Lista_CUIT[#All],3,0)),"CUIT NO CARGADO")</f>
        <v>Material de Empaque</v>
      </c>
      <c r="K206" s="252">
        <f>IFERROR(IF(factura_c_mes8[[#This Row],[CUIT]]="","-",VLOOKUP(factura_c_mes8[[#This Row],[CUIT]],Lista_CUIT[#All],4,0)),"CUIT NO CARGADO")</f>
        <v>0</v>
      </c>
    </row>
    <row r="207" spans="4:11">
      <c r="D207" s="40" t="s">
        <v>2382</v>
      </c>
      <c r="E207" s="42">
        <v>2</v>
      </c>
      <c r="F207" s="43">
        <v>368</v>
      </c>
      <c r="G207" s="44">
        <v>20300814094</v>
      </c>
      <c r="H207" s="250" t="str">
        <f>IFERROR(IF(factura_c_mes8[[#This Row],[CUIT]]="","-",VLOOKUP(factura_c_mes8[[#This Row],[CUIT]],Lista_CUIT[#All],2,0)),"CUIT NO CARGADO")</f>
        <v>FARRAPEIRA OSCAR MAXIMO</v>
      </c>
      <c r="I207" s="259">
        <v>297215</v>
      </c>
      <c r="J207" s="687" t="str">
        <f>IFERROR(IF(factura_c_mes8[[#This Row],[CUIT]]="","-",VLOOKUP(factura_c_mes8[[#This Row],[CUIT]],Lista_CUIT[#All],3,0)),"CUIT NO CARGADO")</f>
        <v>Material de Empaque</v>
      </c>
      <c r="K207" s="252">
        <f>IFERROR(IF(factura_c_mes8[[#This Row],[CUIT]]="","-",VLOOKUP(factura_c_mes8[[#This Row],[CUIT]],Lista_CUIT[#All],4,0)),"CUIT NO CARGADO")</f>
        <v>0</v>
      </c>
    </row>
    <row r="208" spans="4:11">
      <c r="D208" s="40" t="s">
        <v>2385</v>
      </c>
      <c r="E208" s="42">
        <v>1</v>
      </c>
      <c r="F208" s="43">
        <v>81</v>
      </c>
      <c r="G208" s="44">
        <v>20299505430</v>
      </c>
      <c r="H208" s="250" t="str">
        <f>IFERROR(IF(factura_c_mes8[[#This Row],[CUIT]]="","-",VLOOKUP(factura_c_mes8[[#This Row],[CUIT]],Lista_CUIT[#All],2,0)),"CUIT NO CARGADO")</f>
        <v>PRADO EMILIANO HERNAN</v>
      </c>
      <c r="I208" s="259">
        <v>492063</v>
      </c>
      <c r="J208" s="687" t="str">
        <f>IFERROR(IF(factura_c_mes8[[#This Row],[CUIT]]="","-",VLOOKUP(factura_c_mes8[[#This Row],[CUIT]],Lista_CUIT[#All],3,0)),"CUIT NO CARGADO")</f>
        <v>Material de Empaque</v>
      </c>
      <c r="K208" s="252">
        <f>IFERROR(IF(factura_c_mes8[[#This Row],[CUIT]]="","-",VLOOKUP(factura_c_mes8[[#This Row],[CUIT]],Lista_CUIT[#All],4,0)),"CUIT NO CARGADO")</f>
        <v>0</v>
      </c>
    </row>
    <row r="209" spans="2:18">
      <c r="D209" s="40" t="s">
        <v>2388</v>
      </c>
      <c r="E209" s="42">
        <v>8</v>
      </c>
      <c r="F209" s="43">
        <v>637</v>
      </c>
      <c r="G209" s="44">
        <v>27409592487</v>
      </c>
      <c r="H209" s="250" t="str">
        <f>IFERROR(IF(factura_c_mes8[[#This Row],[CUIT]]="","-",VLOOKUP(factura_c_mes8[[#This Row],[CUIT]],Lista_CUIT[#All],2,0)),"CUIT NO CARGADO")</f>
        <v>BAUDONE ANTONELLA AGOSTINA</v>
      </c>
      <c r="I209" s="259">
        <v>58500</v>
      </c>
      <c r="J209" s="687" t="str">
        <f>IFERROR(IF(factura_c_mes8[[#This Row],[CUIT]]="","-",VLOOKUP(factura_c_mes8[[#This Row],[CUIT]],Lista_CUIT[#All],3,0)),"CUIT NO CARGADO")</f>
        <v>Material de Empaque</v>
      </c>
      <c r="K209" s="252">
        <f>IFERROR(IF(factura_c_mes8[[#This Row],[CUIT]]="","-",VLOOKUP(factura_c_mes8[[#This Row],[CUIT]],Lista_CUIT[#All],4,0)),"CUIT NO CARGADO")</f>
        <v>0</v>
      </c>
    </row>
    <row r="210" spans="2:18">
      <c r="D210" s="55" t="s">
        <v>103</v>
      </c>
      <c r="E210" s="55"/>
      <c r="F210" s="55"/>
      <c r="G210" s="55"/>
      <c r="H210" s="57"/>
      <c r="I210" s="58">
        <f>SUBTOTAL(109,factura_c_mes8[TOTAL])</f>
        <v>5102278</v>
      </c>
      <c r="J210" s="55"/>
      <c r="K210" s="55"/>
    </row>
    <row r="211" spans="2:18">
      <c r="B211" s="56"/>
      <c r="C211" s="56"/>
      <c r="L211" s="56"/>
      <c r="M211" s="56"/>
      <c r="N211" s="56"/>
      <c r="O211" s="56"/>
      <c r="P211" s="56"/>
      <c r="Q211" s="123"/>
      <c r="R211" s="56"/>
    </row>
    <row r="212" spans="2:18">
      <c r="H212" s="128"/>
    </row>
    <row r="216" spans="2:18" ht="26.25">
      <c r="B216" s="720" t="s">
        <v>29</v>
      </c>
      <c r="C216" s="720"/>
      <c r="D216" s="720"/>
      <c r="E216" s="720"/>
      <c r="F216" s="720"/>
      <c r="G216" s="720"/>
      <c r="H216" s="720"/>
      <c r="I216" s="720"/>
      <c r="J216" s="720"/>
      <c r="K216" s="716">
        <f>N1</f>
        <v>45139</v>
      </c>
      <c r="L216" s="716"/>
      <c r="M216" s="716"/>
    </row>
    <row r="218" spans="2:18" ht="21">
      <c r="B218" s="713" t="s">
        <v>1711</v>
      </c>
      <c r="C218" s="713"/>
    </row>
    <row r="219" spans="2:18" ht="15.75">
      <c r="B219" s="60" t="s">
        <v>0</v>
      </c>
      <c r="C219" s="61" t="s">
        <v>1</v>
      </c>
      <c r="D219" s="61" t="s">
        <v>21</v>
      </c>
      <c r="E219" s="61" t="s">
        <v>22</v>
      </c>
      <c r="F219" s="61" t="s">
        <v>3</v>
      </c>
      <c r="G219" s="61" t="s">
        <v>4</v>
      </c>
      <c r="H219" s="61" t="s">
        <v>23</v>
      </c>
      <c r="I219" s="61" t="s">
        <v>17</v>
      </c>
      <c r="J219" s="61" t="s">
        <v>7</v>
      </c>
      <c r="K219" s="61" t="s">
        <v>24</v>
      </c>
      <c r="L219" s="61" t="s">
        <v>10</v>
      </c>
      <c r="M219" s="62" t="s">
        <v>38</v>
      </c>
    </row>
    <row r="220" spans="2:18">
      <c r="B220" s="50"/>
      <c r="C220" s="41"/>
      <c r="D220" s="42"/>
      <c r="E220" s="43"/>
      <c r="F220" s="44"/>
      <c r="G220" s="99" t="str">
        <f>IFERROR(IF(venta_a_mes8[[#This Row],[CUIT]]="","-",VLOOKUP(venta_a_mes8[[#This Row],[CUIT]],Lista_CUIT[#All],2,0)),"CUIT NO CARGADO")</f>
        <v>-</v>
      </c>
      <c r="H220" s="100"/>
      <c r="I220" s="108">
        <f>venta_a_mes8[[#This Row],[IMPORTE NETO]]*0.21</f>
        <v>0</v>
      </c>
      <c r="J220" s="65"/>
      <c r="K220" s="65"/>
      <c r="L220" s="65">
        <f>SUM(venta_a_mes8[[#This Row],[IMPORTE NETO]:[EXENTO]])</f>
        <v>0</v>
      </c>
      <c r="M220" s="59"/>
    </row>
    <row r="221" spans="2:18">
      <c r="B221" s="109"/>
      <c r="C221" s="110"/>
      <c r="D221" s="111"/>
      <c r="E221" s="112"/>
      <c r="F221" s="113"/>
      <c r="G221" s="99" t="str">
        <f>IFERROR(IF(venta_a_mes8[[#This Row],[CUIT]]="","-",VLOOKUP(venta_a_mes8[[#This Row],[CUIT]],Lista_CUIT[#All],2,0)),"CUIT NO CARGADO")</f>
        <v>-</v>
      </c>
      <c r="H221" s="100"/>
      <c r="I221" s="101">
        <f>venta_a_mes8[[#This Row],[IMPORTE NETO]]*0.21</f>
        <v>0</v>
      </c>
      <c r="J221" s="65"/>
      <c r="K221" s="65"/>
      <c r="L221" s="65">
        <f>SUM(venta_a_mes8[[#This Row],[IMPORTE NETO]:[EXENTO]])</f>
        <v>0</v>
      </c>
      <c r="M221" s="59"/>
    </row>
    <row r="222" spans="2:18">
      <c r="B222" s="66" t="s">
        <v>103</v>
      </c>
      <c r="C222" s="67"/>
      <c r="D222" s="67"/>
      <c r="E222" s="67"/>
      <c r="F222" s="67"/>
      <c r="G222" s="67"/>
      <c r="H222" s="69">
        <f>SUBTOTAL(109,venta_a_mes8[IMPORTE NETO])</f>
        <v>0</v>
      </c>
      <c r="I222" s="70">
        <f>SUBTOTAL(109,venta_a_mes8[IVA 21%])</f>
        <v>0</v>
      </c>
      <c r="J222" s="71">
        <f>SUBTOTAL(109,venta_a_mes8[IVA 10,5%])</f>
        <v>0</v>
      </c>
      <c r="K222" s="71">
        <f>SUBTOTAL(109,venta_a_mes8[EXENTO])</f>
        <v>0</v>
      </c>
      <c r="L222" s="71">
        <f>SUBTOTAL(109,venta_a_mes8[TOTAL])</f>
        <v>0</v>
      </c>
      <c r="M222" s="68">
        <f>SUBTOTAL(103,venta_a_mes8[Provincia])</f>
        <v>0</v>
      </c>
    </row>
    <row r="225" spans="2:13" ht="21">
      <c r="B225" s="713" t="s">
        <v>31</v>
      </c>
      <c r="C225" s="713"/>
    </row>
    <row r="226" spans="2:13" ht="15.75">
      <c r="B226" s="60" t="s">
        <v>0</v>
      </c>
      <c r="C226" s="61" t="s">
        <v>1</v>
      </c>
      <c r="D226" s="61" t="s">
        <v>21</v>
      </c>
      <c r="E226" s="61" t="s">
        <v>22</v>
      </c>
      <c r="F226" s="61" t="s">
        <v>3</v>
      </c>
      <c r="G226" s="61" t="s">
        <v>4</v>
      </c>
      <c r="H226" s="61" t="s">
        <v>23</v>
      </c>
      <c r="I226" s="61" t="s">
        <v>17</v>
      </c>
      <c r="J226" s="61" t="s">
        <v>7</v>
      </c>
      <c r="K226" s="61" t="s">
        <v>24</v>
      </c>
      <c r="L226" s="61" t="s">
        <v>10</v>
      </c>
      <c r="M226" s="62" t="s">
        <v>38</v>
      </c>
    </row>
    <row r="227" spans="2:13">
      <c r="B227" s="40"/>
      <c r="C227" s="41"/>
      <c r="D227" s="42"/>
      <c r="E227" s="43"/>
      <c r="F227" s="44"/>
      <c r="G227" s="1" t="str">
        <f>IFERROR(IF(ventas_b_mes8[[#This Row],[CUIT]]="","-",VLOOKUP(ventas_b_mes8[[#This Row],[CUIT]],Lista_CUIT[#All],2,0)),"CUIT NO CARGADO")</f>
        <v>-</v>
      </c>
      <c r="H227" s="64"/>
      <c r="I227" s="64">
        <f>ventas_b_mes8[[#This Row],[IMPORTE NETO]]*0.21</f>
        <v>0</v>
      </c>
      <c r="J227" s="64"/>
      <c r="K227" s="64"/>
      <c r="L227" s="64">
        <f>SUM(ventas_b_mes8[[#This Row],[IMPORTE NETO]:[EXENTO]])</f>
        <v>0</v>
      </c>
      <c r="M227" s="59"/>
    </row>
    <row r="228" spans="2:13">
      <c r="B228" s="40"/>
      <c r="C228" s="41"/>
      <c r="D228" s="42"/>
      <c r="E228" s="43"/>
      <c r="F228" s="44"/>
      <c r="G228" s="1" t="str">
        <f>IFERROR(IF(ventas_b_mes8[[#This Row],[CUIT]]="","-",VLOOKUP(ventas_b_mes8[[#This Row],[CUIT]],Lista_CUIT[#All],2,0)),"CUIT NO CARGADO")</f>
        <v>-</v>
      </c>
      <c r="H228" s="64"/>
      <c r="I228" s="64">
        <f>ventas_b_mes8[[#This Row],[IMPORTE NETO]]*0.21</f>
        <v>0</v>
      </c>
      <c r="J228" s="64"/>
      <c r="K228" s="64"/>
      <c r="L228" s="64">
        <f>SUM(ventas_b_mes8[[#This Row],[IMPORTE NETO]:[EXENTO]])</f>
        <v>0</v>
      </c>
      <c r="M228" s="59"/>
    </row>
    <row r="229" spans="2:13">
      <c r="B229" s="557"/>
      <c r="C229" s="558"/>
      <c r="D229" s="559"/>
      <c r="E229" s="560"/>
      <c r="F229" s="561"/>
      <c r="G229" s="1" t="str">
        <f>IFERROR(IF(ventas_b_mes8[[#This Row],[CUIT]]="","-",VLOOKUP(ventas_b_mes8[[#This Row],[CUIT]],Lista_CUIT[#All],2,0)),"CUIT NO CARGADO")</f>
        <v>-</v>
      </c>
      <c r="H229" s="562"/>
      <c r="I229" s="563">
        <f>ventas_b_mes8[[#This Row],[IMPORTE NETO]]*0.21</f>
        <v>0</v>
      </c>
      <c r="J229" s="564"/>
      <c r="K229" s="564"/>
      <c r="L229" s="564">
        <f>SUM(ventas_b_mes8[[#This Row],[IMPORTE NETO]:[EXENTO]])</f>
        <v>0</v>
      </c>
      <c r="M229" s="565"/>
    </row>
    <row r="230" spans="2:13">
      <c r="B230" s="557"/>
      <c r="C230" s="558"/>
      <c r="D230" s="559"/>
      <c r="E230" s="560"/>
      <c r="F230" s="561"/>
      <c r="G230" s="1" t="str">
        <f>IFERROR(IF(ventas_b_mes8[[#This Row],[CUIT]]="","-",VLOOKUP(ventas_b_mes8[[#This Row],[CUIT]],Lista_CUIT[#All],2,0)),"CUIT NO CARGADO")</f>
        <v>-</v>
      </c>
      <c r="H230" s="562"/>
      <c r="I230" s="563">
        <f>ventas_b_mes8[[#This Row],[IMPORTE NETO]]*0.21</f>
        <v>0</v>
      </c>
      <c r="J230" s="564"/>
      <c r="K230" s="564"/>
      <c r="L230" s="564">
        <f>SUM(ventas_b_mes8[[#This Row],[IMPORTE NETO]:[EXENTO]])</f>
        <v>0</v>
      </c>
      <c r="M230" s="565"/>
    </row>
    <row r="231" spans="2:13" ht="15.75" thickBot="1">
      <c r="B231" s="66" t="s">
        <v>103</v>
      </c>
      <c r="C231" s="67"/>
      <c r="D231" s="67"/>
      <c r="E231" s="67"/>
      <c r="F231" s="67"/>
      <c r="G231" s="67"/>
      <c r="H231" s="77">
        <f>SUBTOTAL(109,ventas_b_mes8[IMPORTE NETO])</f>
        <v>0</v>
      </c>
      <c r="I231" s="77">
        <f>SUBTOTAL(109,ventas_b_mes8[IVA 21%])</f>
        <v>0</v>
      </c>
      <c r="J231" s="78">
        <f>SUBTOTAL(109,ventas_b_mes8[IVA 10,5%])</f>
        <v>0</v>
      </c>
      <c r="K231" s="78">
        <f>SUBTOTAL(109,ventas_b_mes8[EXENTO])</f>
        <v>0</v>
      </c>
      <c r="L231" s="78">
        <f>SUBTOTAL(109,ventas_b_mes8[TOTAL])</f>
        <v>0</v>
      </c>
      <c r="M231" s="68">
        <f>SUBTOTAL(103,ventas_b_mes8[Provincia])</f>
        <v>0</v>
      </c>
    </row>
    <row r="232" spans="2:13" ht="15.75" thickTop="1">
      <c r="C232" s="726" t="s">
        <v>66</v>
      </c>
      <c r="D232" s="726"/>
      <c r="E232" s="726"/>
      <c r="F232" s="726"/>
      <c r="G232" s="726"/>
      <c r="H232" s="32"/>
      <c r="I232" s="32"/>
      <c r="J232" s="32"/>
    </row>
    <row r="233" spans="2:13" ht="15.75">
      <c r="C233" s="114" t="s">
        <v>67</v>
      </c>
      <c r="D233" s="115" t="s">
        <v>68</v>
      </c>
      <c r="E233" s="115" t="s">
        <v>105</v>
      </c>
      <c r="F233" s="115" t="s">
        <v>3</v>
      </c>
      <c r="G233" s="115" t="s">
        <v>4</v>
      </c>
      <c r="H233" s="116" t="s">
        <v>69</v>
      </c>
      <c r="I233" s="116" t="s">
        <v>70</v>
      </c>
      <c r="J233" s="116" t="s">
        <v>71</v>
      </c>
      <c r="K233" s="116" t="s">
        <v>72</v>
      </c>
      <c r="L233" s="116" t="s">
        <v>73</v>
      </c>
    </row>
    <row r="234" spans="2:13">
      <c r="C234" s="117"/>
      <c r="D234" s="118"/>
      <c r="E234" s="118"/>
      <c r="F234" s="119"/>
      <c r="G234" s="53"/>
      <c r="H234" s="120"/>
      <c r="I234" s="120">
        <f>Retenciones_mes8[[#This Row],[Ganancias]]*0.21</f>
        <v>0</v>
      </c>
      <c r="J234" s="120"/>
      <c r="K234" s="120"/>
      <c r="L234" s="120"/>
    </row>
    <row r="235" spans="2:13">
      <c r="C235" s="117"/>
      <c r="D235" s="118"/>
      <c r="E235" s="118"/>
      <c r="F235" s="119"/>
      <c r="G235" s="53" t="str">
        <f>IFERROR(IF(Retenciones_mes8[[#This Row],[CUIT]]="","-",VLOOKUP(Retenciones_mes8[[#This Row],[CUIT]],Lista_CUIT[#All],2,0)),"CUIT NO CARGADO")</f>
        <v>-</v>
      </c>
      <c r="H235" s="120"/>
      <c r="I235" s="120">
        <f>Retenciones_mes8[[#This Row],[Ganancias]]*0.21</f>
        <v>0</v>
      </c>
      <c r="J235" s="120"/>
      <c r="K235" s="120"/>
      <c r="L235" s="120"/>
    </row>
    <row r="236" spans="2:13">
      <c r="C236" s="117"/>
      <c r="D236" s="118"/>
      <c r="E236" s="118"/>
      <c r="F236" s="119"/>
      <c r="G236" s="53" t="str">
        <f>IFERROR(IF(Retenciones_mes8[[#This Row],[CUIT]]="","-",VLOOKUP(Retenciones_mes8[[#This Row],[CUIT]],Lista_CUIT[#All],2,0)),"CUIT NO CARGADO")</f>
        <v>-</v>
      </c>
      <c r="H236" s="120"/>
      <c r="I236" s="120">
        <f>Retenciones_mes8[[#This Row],[Ganancias]]*0.21</f>
        <v>0</v>
      </c>
      <c r="J236" s="120"/>
      <c r="K236" s="120"/>
      <c r="L236" s="120"/>
    </row>
    <row r="237" spans="2:13">
      <c r="C237" s="117"/>
      <c r="D237" s="118"/>
      <c r="E237" s="118"/>
      <c r="F237" s="119"/>
      <c r="G237" s="53" t="str">
        <f>IFERROR(IF(Retenciones_mes8[[#This Row],[CUIT]]="","-",VLOOKUP(Retenciones_mes8[[#This Row],[CUIT]],Lista_CUIT[#All],2,0)),"CUIT NO CARGADO")</f>
        <v>-</v>
      </c>
      <c r="H237" s="120"/>
      <c r="I237" s="120">
        <f>Retenciones_mes8[[#This Row],[Ganancias]]*0.21</f>
        <v>0</v>
      </c>
      <c r="J237" s="120"/>
      <c r="K237" s="120"/>
      <c r="L237" s="120"/>
    </row>
    <row r="238" spans="2:13">
      <c r="D238" s="118"/>
      <c r="E238" s="118"/>
      <c r="G238" s="53" t="str">
        <f>IFERROR(IF(Retenciones_mes8[[#This Row],[CUIT]]="","-",VLOOKUP(Retenciones_mes8[[#This Row],[CUIT]],Lista_CUIT[#All],2,0)),"CUIT NO CARGADO")</f>
        <v>-</v>
      </c>
      <c r="I238" s="33">
        <f>Retenciones_mes8[[#This Row],[Ganancias]]*0.21</f>
        <v>0</v>
      </c>
    </row>
    <row r="239" spans="2:13">
      <c r="C239" s="33"/>
    </row>
  </sheetData>
  <mergeCells count="20">
    <mergeCell ref="C232:G232"/>
    <mergeCell ref="B4:E4"/>
    <mergeCell ref="G4:H4"/>
    <mergeCell ref="J4:K4"/>
    <mergeCell ref="M4:N4"/>
    <mergeCell ref="D182:K182"/>
    <mergeCell ref="B216:J216"/>
    <mergeCell ref="K216:M216"/>
    <mergeCell ref="B218:C218"/>
    <mergeCell ref="B225:C225"/>
    <mergeCell ref="P4:R4"/>
    <mergeCell ref="D167:L167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0">
    <dataValidation type="whole" allowBlank="1" showInputMessage="1" showErrorMessage="1" sqref="C163:C166 C9:C161 C220:C221">
      <formula1>1</formula1>
      <formula2>3</formula2>
    </dataValidation>
    <dataValidation type="date" allowBlank="1" showInputMessage="1" showErrorMessage="1" sqref="D169:D177 B163:B166 B9:B161 B220:B221 B227:B230 D184:D209">
      <formula1>40179</formula1>
      <formula2>TODAY()</formula2>
    </dataValidation>
    <dataValidation type="whole" allowBlank="1" showInputMessage="1" showErrorMessage="1" sqref="F9:F161 F220:F221 F227:F230 G184:G209">
      <formula1>20000000000</formula1>
      <formula2>33999999999</formula2>
    </dataValidation>
    <dataValidation type="whole" allowBlank="1" showInputMessage="1" showErrorMessage="1" sqref="E9:E161 E220:E221 E227:E230 F184:F209">
      <formula1>1</formula1>
      <formula2>99999999</formula2>
    </dataValidation>
    <dataValidation type="whole" allowBlank="1" showInputMessage="1" showErrorMessage="1" sqref="D9:D161 D220:D221 D227:D230 E184:E209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60:K60 M60:O60 I9:O59 H9:H158 I61:O158 I159:I161">
      <formula1>IF($C9=3,H9&lt;0,H9&gt;=0)</formula1>
    </dataValidation>
    <dataValidation type="custom" allowBlank="1" showInputMessage="1" showErrorMessage="1" sqref="L220">
      <formula1>IF($C9=3,L9&lt;0,L9&gt;=0)</formula1>
    </dataValidation>
    <dataValidation type="custom" allowBlank="1" showInputMessage="1" showErrorMessage="1" sqref="H220 J220:K220">
      <formula1>IF($C220=3,H220&lt;0,H220&gt;=0)</formula1>
    </dataValidation>
    <dataValidation type="custom" allowBlank="1" showInputMessage="1" showErrorMessage="1" sqref="H227:L230">
      <formula1>IF($C227=8,H227&lt;0,H227&gt;=0)</formula1>
    </dataValidation>
    <dataValidation type="whole" allowBlank="1" showInputMessage="1" showErrorMessage="1" sqref="C227:C230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theme="9" tint="0.79998168889431442"/>
  </sheetPr>
  <dimension ref="A1:Z266"/>
  <sheetViews>
    <sheetView showGridLines="0" topLeftCell="C186" zoomScale="85" zoomScaleNormal="85" workbookViewId="0">
      <selection activeCell="I207" sqref="I207:I208"/>
    </sheetView>
  </sheetViews>
  <sheetFormatPr baseColWidth="10" defaultColWidth="0" defaultRowHeight="1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5.7109375" customWidth="1"/>
    <col min="9" max="9" width="17.5703125" customWidth="1"/>
    <col min="10" max="10" width="23.71093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21.855468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EDATE('Ene-24'!N1,8)</f>
        <v>45170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SUM(compras_mes9[[#Totals],[NETO GRAVADO]])+extracto_banco_mes9[[#Totals],[NETO]]</f>
        <v>82018523.510108635</v>
      </c>
      <c r="C4" s="718"/>
      <c r="D4" s="718"/>
      <c r="E4" s="718"/>
      <c r="F4" s="39"/>
      <c r="G4" s="719">
        <f>compras_mes9[[#Totals],[IVA 21 %]]+compras_mes9[[#Totals],[IVA 27%]]+compras_mes9[[#Totals],[IVA 10,5%]]+extracto_banco_mes9[[#Totals],[IVA 21%]]+extracto_banco_mes9[[#Totals],[IVA 10,5%]]</f>
        <v>16945345.802471839</v>
      </c>
      <c r="H4" s="719"/>
      <c r="I4" s="39"/>
      <c r="J4" s="725">
        <f>venta_a_mes9[[#Totals],[IMPORTE NETO]]+ventas_b_mes9[[#Totals],[IMPORTE NETO]]</f>
        <v>0</v>
      </c>
      <c r="K4" s="725"/>
      <c r="L4" s="39"/>
      <c r="M4" s="725">
        <f>venta_a_mes9[[#Totals],[IVA 21%]]+venta_a_mes9[[#Totals],[IVA 10,5%]]+ventas_b_mes9[[#Totals],[IVA 21%]]+ventas_b_mes9[[#Totals],[IVA 10,5%]]</f>
        <v>0</v>
      </c>
      <c r="N4" s="725"/>
      <c r="O4" s="39"/>
      <c r="P4" s="721">
        <f>G4-M4</f>
        <v>16945345.802471839</v>
      </c>
      <c r="Q4" s="722"/>
      <c r="R4" s="722"/>
    </row>
    <row r="5" spans="1:26" ht="13.15" customHeight="1">
      <c r="H5" s="215">
        <v>291422.55</v>
      </c>
      <c r="I5" t="s">
        <v>2468</v>
      </c>
    </row>
    <row r="6" spans="1:26">
      <c r="F6" s="731" t="s">
        <v>2467</v>
      </c>
      <c r="G6" s="731"/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 t="s">
        <v>2397</v>
      </c>
      <c r="C9" s="240">
        <v>1</v>
      </c>
      <c r="D9" s="42">
        <v>1</v>
      </c>
      <c r="E9" s="43">
        <v>540</v>
      </c>
      <c r="F9" s="44">
        <v>20131206144</v>
      </c>
      <c r="G9" s="45" t="str">
        <f>IFERROR(IF(compras_mes9[[#This Row],[CUIT]]="","-",VLOOKUP(compras_mes9[[#This Row],[CUIT]],Lista_CUIT[#All],2,0)),"CUIT NO CARGADO")</f>
        <v>CHAMORRO MANUEL</v>
      </c>
      <c r="H9" s="46">
        <v>707700</v>
      </c>
      <c r="I9" s="85">
        <f>IF(compras_mes9[[#This Row],[NETO GRAVADO]]="","",compras_mes9[[#This Row],[NETO GRAVADO]]*0.21)</f>
        <v>148617</v>
      </c>
      <c r="J9" s="85"/>
      <c r="K9" s="85"/>
      <c r="L9" s="85"/>
      <c r="M9" s="85"/>
      <c r="N9" s="85"/>
      <c r="O9" s="85"/>
      <c r="P9" s="48">
        <f>SUM(compras_mes9[[#This Row],[NETO GRAVADO]:[Otros / No Grav.]])</f>
        <v>856317</v>
      </c>
      <c r="Q9" s="49" t="str">
        <f>IFERROR(IF(compras_mes9[[#This Row],[CUIT]]="","-",VLOOKUP(compras_mes9[[#This Row],[CUIT]],Lista_CUIT[#All],3,0)),"CUIT NO CARGADO")</f>
        <v>Alquiler</v>
      </c>
      <c r="R9" s="49">
        <f>IFERROR(IF(compras_mes9[[#This Row],[CUIT]]="","-",VLOOKUP(compras_mes9[[#This Row],[CUIT]],Lista_CUIT[#All],4,0)),"CUIT NO CARGADO")</f>
        <v>0</v>
      </c>
    </row>
    <row r="10" spans="1:26">
      <c r="B10" s="239" t="s">
        <v>2443</v>
      </c>
      <c r="C10" s="240">
        <v>1</v>
      </c>
      <c r="D10" s="241">
        <v>1</v>
      </c>
      <c r="E10" s="257">
        <v>132</v>
      </c>
      <c r="F10" s="242">
        <v>30716010313</v>
      </c>
      <c r="G10" s="243" t="str">
        <f>IFERROR(IF(compras_mes9[[#This Row],[CUIT]]="","-",VLOOKUP(compras_mes9[[#This Row],[CUIT]],Lista_CUIT[#All],2,0)),"CUIT NO CARGADO")</f>
        <v>H UNO 1469 S.A.</v>
      </c>
      <c r="H10" s="244">
        <v>46000</v>
      </c>
      <c r="I10" s="85">
        <f>IF(compras_mes9[[#This Row],[NETO GRAVADO]]="","",compras_mes9[[#This Row],[NETO GRAVADO]]*0.21)</f>
        <v>9660</v>
      </c>
      <c r="J10" s="245"/>
      <c r="K10" s="245"/>
      <c r="L10" s="245"/>
      <c r="M10" s="245"/>
      <c r="N10" s="245"/>
      <c r="O10" s="245"/>
      <c r="P10" s="246">
        <f>SUM(compras_mes9[[#This Row],[NETO GRAVADO]:[Otros / No Grav.]])</f>
        <v>55660</v>
      </c>
      <c r="Q10" s="247" t="str">
        <f>IFERROR(IF(compras_mes9[[#This Row],[CUIT]]="","-",VLOOKUP(compras_mes9[[#This Row],[CUIT]],Lista_CUIT[#All],3,0)),"CUIT NO CARGADO")</f>
        <v>Alquiler</v>
      </c>
      <c r="R10" s="247">
        <f>IFERROR(IF(compras_mes9[[#This Row],[CUIT]]="","-",VLOOKUP(compras_mes9[[#This Row],[CUIT]],Lista_CUIT[#All],4,0)),"CUIT NO CARGADO")</f>
        <v>0</v>
      </c>
    </row>
    <row r="11" spans="1:26">
      <c r="B11" s="89" t="s">
        <v>2443</v>
      </c>
      <c r="C11" s="240">
        <v>1</v>
      </c>
      <c r="D11" s="91">
        <v>6850</v>
      </c>
      <c r="E11" s="92">
        <v>22785</v>
      </c>
      <c r="F11" s="93">
        <v>30678774495</v>
      </c>
      <c r="G11" s="94" t="str">
        <f>IFERROR(IF(compras_mes9[[#This Row],[CUIT]]="","-",VLOOKUP(compras_mes9[[#This Row],[CUIT]],Lista_CUIT[#All],2,0)),"CUIT NO CARGADO")</f>
        <v>OPER. DE EST. DE SERV. SA</v>
      </c>
      <c r="H11" s="95">
        <v>7169.18</v>
      </c>
      <c r="I11" s="85">
        <f>IF(compras_mes9[[#This Row],[NETO GRAVADO]]="","",compras_mes9[[#This Row],[NETO GRAVADO]]*0.21)</f>
        <v>1505.5278000000001</v>
      </c>
      <c r="J11" s="86"/>
      <c r="K11" s="86"/>
      <c r="L11" s="86"/>
      <c r="M11" s="86"/>
      <c r="N11" s="86"/>
      <c r="O11" s="86">
        <v>1325.31</v>
      </c>
      <c r="P11" s="87">
        <f>SUM(compras_mes9[[#This Row],[NETO GRAVADO]:[Otros / No Grav.]])</f>
        <v>10000.0178</v>
      </c>
      <c r="Q11" s="88" t="str">
        <f>IFERROR(IF(compras_mes9[[#This Row],[CUIT]]="","-",VLOOKUP(compras_mes9[[#This Row],[CUIT]],Lista_CUIT[#All],3,0)),"CUIT NO CARGADO")</f>
        <v>Combustible</v>
      </c>
      <c r="R11" s="88">
        <f>IFERROR(IF(compras_mes9[[#This Row],[CUIT]]="","-",VLOOKUP(compras_mes9[[#This Row],[CUIT]],Lista_CUIT[#All],4,0)),"CUIT NO CARGADO")</f>
        <v>0</v>
      </c>
    </row>
    <row r="12" spans="1:26">
      <c r="B12" s="239" t="s">
        <v>2402</v>
      </c>
      <c r="C12" s="240">
        <v>1</v>
      </c>
      <c r="D12" s="241">
        <v>12</v>
      </c>
      <c r="E12" s="257">
        <v>51058</v>
      </c>
      <c r="F12" s="242">
        <v>30696131003</v>
      </c>
      <c r="G12" s="243" t="str">
        <f>IFERROR(IF(compras_mes9[[#This Row],[CUIT]]="","-",VLOOKUP(compras_mes9[[#This Row],[CUIT]],Lista_CUIT[#All],2,0)),"CUIT NO CARGADO")</f>
        <v>Petrolfe S.A.</v>
      </c>
      <c r="H12" s="95">
        <v>173815.00390625</v>
      </c>
      <c r="I12" s="85">
        <f>IF(compras_mes9[[#This Row],[NETO GRAVADO]]="","",compras_mes9[[#This Row],[NETO GRAVADO]]*0.21)</f>
        <v>36501.150820312498</v>
      </c>
      <c r="J12" s="85"/>
      <c r="K12" s="85"/>
      <c r="L12" s="85"/>
      <c r="M12" s="85"/>
      <c r="N12" s="85"/>
      <c r="O12" s="85">
        <v>58585.64</v>
      </c>
      <c r="P12" s="48">
        <f>SUM(compras_mes9[[#This Row],[NETO GRAVADO]:[Otros / No Grav.]])</f>
        <v>268901.79472656251</v>
      </c>
      <c r="Q12" s="247" t="str">
        <f>IFERROR(IF(compras_mes9[[#This Row],[CUIT]]="","-",VLOOKUP(compras_mes9[[#This Row],[CUIT]],Lista_CUIT[#All],3,0)),"CUIT NO CARGADO")</f>
        <v>Combustible</v>
      </c>
      <c r="R12" s="247">
        <f>IFERROR(IF(compras_mes9[[#This Row],[CUIT]]="","-",VLOOKUP(compras_mes9[[#This Row],[CUIT]],Lista_CUIT[#All],4,0)),"CUIT NO CARGADO")</f>
        <v>0</v>
      </c>
    </row>
    <row r="13" spans="1:26">
      <c r="B13" s="239" t="s">
        <v>2459</v>
      </c>
      <c r="C13" s="240">
        <v>1</v>
      </c>
      <c r="D13" s="241">
        <v>6850</v>
      </c>
      <c r="E13" s="257">
        <v>22901</v>
      </c>
      <c r="F13" s="242">
        <v>30678774495</v>
      </c>
      <c r="G13" s="243" t="str">
        <f>IFERROR(IF(compras_mes9[[#This Row],[CUIT]]="","-",VLOOKUP(compras_mes9[[#This Row],[CUIT]],Lista_CUIT[#All],2,0)),"CUIT NO CARGADO")</f>
        <v>OPER. DE EST. DE SERV. SA</v>
      </c>
      <c r="H13" s="95">
        <v>28318.92</v>
      </c>
      <c r="I13" s="85">
        <f>IF(compras_mes9[[#This Row],[NETO GRAVADO]]="","",compras_mes9[[#This Row],[NETO GRAVADO]]*0.21)</f>
        <v>5946.9731999999995</v>
      </c>
      <c r="J13" s="245"/>
      <c r="K13" s="245"/>
      <c r="L13" s="245"/>
      <c r="M13" s="245"/>
      <c r="N13" s="245"/>
      <c r="O13" s="245">
        <v>5235.09</v>
      </c>
      <c r="P13" s="246">
        <f>SUM(compras_mes9[[#This Row],[NETO GRAVADO]:[Otros / No Grav.]])</f>
        <v>39500.983200000002</v>
      </c>
      <c r="Q13" s="247" t="str">
        <f>IFERROR(IF(compras_mes9[[#This Row],[CUIT]]="","-",VLOOKUP(compras_mes9[[#This Row],[CUIT]],Lista_CUIT[#All],3,0)),"CUIT NO CARGADO")</f>
        <v>Combustible</v>
      </c>
      <c r="R13" s="247">
        <f>IFERROR(IF(compras_mes9[[#This Row],[CUIT]]="","-",VLOOKUP(compras_mes9[[#This Row],[CUIT]],Lista_CUIT[#All],4,0)),"CUIT NO CARGADO")</f>
        <v>0</v>
      </c>
    </row>
    <row r="14" spans="1:26">
      <c r="B14" s="239" t="s">
        <v>2463</v>
      </c>
      <c r="C14" s="240">
        <v>1</v>
      </c>
      <c r="D14" s="241">
        <v>21</v>
      </c>
      <c r="E14" s="257">
        <v>47260</v>
      </c>
      <c r="F14" s="242">
        <v>30515800219</v>
      </c>
      <c r="G14" s="243" t="str">
        <f>IFERROR(IF(compras_mes9[[#This Row],[CUIT]]="","-",VLOOKUP(compras_mes9[[#This Row],[CUIT]],Lista_CUIT[#All],2,0)),"CUIT NO CARGADO")</f>
        <v>INCAT SRL</v>
      </c>
      <c r="H14" s="244">
        <v>30654.62</v>
      </c>
      <c r="I14" s="85">
        <f>IF(compras_mes9[[#This Row],[NETO GRAVADO]]="","",compras_mes9[[#This Row],[NETO GRAVADO]]*0.21)</f>
        <v>6437.4701999999997</v>
      </c>
      <c r="J14" s="245"/>
      <c r="K14" s="245"/>
      <c r="L14" s="245"/>
      <c r="M14" s="245"/>
      <c r="N14" s="245"/>
      <c r="O14" s="245">
        <v>11817.86</v>
      </c>
      <c r="P14" s="246">
        <f>SUM(compras_mes9[[#This Row],[NETO GRAVADO]:[Otros / No Grav.]])</f>
        <v>48909.950199999999</v>
      </c>
      <c r="Q14" s="247" t="str">
        <f>IFERROR(IF(compras_mes9[[#This Row],[CUIT]]="","-",VLOOKUP(compras_mes9[[#This Row],[CUIT]],Lista_CUIT[#All],3,0)),"CUIT NO CARGADO")</f>
        <v>Combustible</v>
      </c>
      <c r="R14" s="247" t="str">
        <f>IFERROR(IF(compras_mes9[[#This Row],[CUIT]]="","-",VLOOKUP(compras_mes9[[#This Row],[CUIT]],Lista_CUIT[#All],4,0)),"CUIT NO CARGADO")</f>
        <v>CABA</v>
      </c>
    </row>
    <row r="15" spans="1:26">
      <c r="B15" s="239" t="s">
        <v>2463</v>
      </c>
      <c r="C15" s="240">
        <v>1</v>
      </c>
      <c r="D15" s="241">
        <v>2004</v>
      </c>
      <c r="E15" s="257">
        <v>144574</v>
      </c>
      <c r="F15" s="242">
        <v>30516186670</v>
      </c>
      <c r="G15" s="243" t="str">
        <f>IFERROR(IF(compras_mes9[[#This Row],[CUIT]]="","-",VLOOKUP(compras_mes9[[#This Row],[CUIT]],Lista_CUIT[#All],2,0)),"CUIT NO CARGADO")</f>
        <v>DEHEZA S.A.I.C.F. e I.</v>
      </c>
      <c r="H15" s="244">
        <v>7124.19</v>
      </c>
      <c r="I15" s="85">
        <f>IF(compras_mes9[[#This Row],[NETO GRAVADO]]="","",compras_mes9[[#This Row],[NETO GRAVADO]]*0.21)</f>
        <v>1496.0799</v>
      </c>
      <c r="J15" s="245"/>
      <c r="K15" s="245"/>
      <c r="L15" s="245">
        <v>213.73</v>
      </c>
      <c r="M15" s="245"/>
      <c r="N15" s="245">
        <v>510.23</v>
      </c>
      <c r="O15" s="245">
        <v>1379.6</v>
      </c>
      <c r="P15" s="246">
        <f>SUM(compras_mes9[[#This Row],[NETO GRAVADO]:[Otros / No Grav.]])</f>
        <v>10723.829899999999</v>
      </c>
      <c r="Q15" s="247" t="str">
        <f>IFERROR(IF(compras_mes9[[#This Row],[CUIT]]="","-",VLOOKUP(compras_mes9[[#This Row],[CUIT]],Lista_CUIT[#All],3,0)),"CUIT NO CARGADO")</f>
        <v>Combustible</v>
      </c>
      <c r="R15" s="247" t="str">
        <f>IFERROR(IF(compras_mes9[[#This Row],[CUIT]]="","-",VLOOKUP(compras_mes9[[#This Row],[CUIT]],Lista_CUIT[#All],4,0)),"CUIT NO CARGADO")</f>
        <v>CABA</v>
      </c>
    </row>
    <row r="16" spans="1:26">
      <c r="B16" s="239" t="s">
        <v>2439</v>
      </c>
      <c r="C16" s="240">
        <v>1</v>
      </c>
      <c r="D16" s="241">
        <v>6852</v>
      </c>
      <c r="E16" s="257">
        <v>26677</v>
      </c>
      <c r="F16" s="242">
        <v>30678774495</v>
      </c>
      <c r="G16" s="243" t="str">
        <f>IFERROR(IF(compras_mes9[[#This Row],[CUIT]]="","-",VLOOKUP(compras_mes9[[#This Row],[CUIT]],Lista_CUIT[#All],2,0)),"CUIT NO CARGADO")</f>
        <v>OPER. DE EST. DE SERV. SA</v>
      </c>
      <c r="H16" s="95">
        <v>14338.36</v>
      </c>
      <c r="I16" s="85">
        <f>IF(compras_mes9[[#This Row],[NETO GRAVADO]]="","",compras_mes9[[#This Row],[NETO GRAVADO]]*0.21)</f>
        <v>3011.0556000000001</v>
      </c>
      <c r="J16" s="85"/>
      <c r="K16" s="85"/>
      <c r="L16" s="85"/>
      <c r="M16" s="85"/>
      <c r="N16" s="85"/>
      <c r="O16" s="85">
        <v>2650.62</v>
      </c>
      <c r="P16" s="48">
        <f>SUM(compras_mes9[[#This Row],[NETO GRAVADO]:[Otros / No Grav.]])</f>
        <v>20000.035599999999</v>
      </c>
      <c r="Q16" s="247" t="str">
        <f>IFERROR(IF(compras_mes9[[#This Row],[CUIT]]="","-",VLOOKUP(compras_mes9[[#This Row],[CUIT]],Lista_CUIT[#All],3,0)),"CUIT NO CARGADO")</f>
        <v>Combustible</v>
      </c>
      <c r="R16" s="247">
        <f>IFERROR(IF(compras_mes9[[#This Row],[CUIT]]="","-",VLOOKUP(compras_mes9[[#This Row],[CUIT]],Lista_CUIT[#All],4,0)),"CUIT NO CARGADO")</f>
        <v>0</v>
      </c>
    </row>
    <row r="17" spans="2:18">
      <c r="B17" s="239" t="s">
        <v>2408</v>
      </c>
      <c r="C17" s="240">
        <v>1</v>
      </c>
      <c r="D17" s="241">
        <v>12</v>
      </c>
      <c r="E17" s="257">
        <v>51079</v>
      </c>
      <c r="F17" s="242">
        <v>30696131003</v>
      </c>
      <c r="G17" s="243" t="str">
        <f>IFERROR(IF(compras_mes9[[#This Row],[CUIT]]="","-",VLOOKUP(compras_mes9[[#This Row],[CUIT]],Lista_CUIT[#All],2,0)),"CUIT NO CARGADO")</f>
        <v>Petrolfe S.A.</v>
      </c>
      <c r="H17" s="46">
        <v>139402.69921875</v>
      </c>
      <c r="I17" s="85">
        <f>IF(compras_mes9[[#This Row],[NETO GRAVADO]]="","",compras_mes9[[#This Row],[NETO GRAVADO]]*0.21)</f>
        <v>29274.566835937498</v>
      </c>
      <c r="J17" s="245"/>
      <c r="K17" s="245"/>
      <c r="L17" s="245"/>
      <c r="M17" s="245"/>
      <c r="N17" s="245"/>
      <c r="O17" s="245">
        <v>49483.4</v>
      </c>
      <c r="P17" s="246">
        <f>SUM(compras_mes9[[#This Row],[NETO GRAVADO]:[Otros / No Grav.]])</f>
        <v>218160.66605468749</v>
      </c>
      <c r="Q17" s="247" t="str">
        <f>IFERROR(IF(compras_mes9[[#This Row],[CUIT]]="","-",VLOOKUP(compras_mes9[[#This Row],[CUIT]],Lista_CUIT[#All],3,0)),"CUIT NO CARGADO")</f>
        <v>Combustible</v>
      </c>
      <c r="R17" s="247">
        <f>IFERROR(IF(compras_mes9[[#This Row],[CUIT]]="","-",VLOOKUP(compras_mes9[[#This Row],[CUIT]],Lista_CUIT[#All],4,0)),"CUIT NO CARGADO")</f>
        <v>0</v>
      </c>
    </row>
    <row r="18" spans="2:18">
      <c r="B18" s="239" t="s">
        <v>2438</v>
      </c>
      <c r="C18" s="240">
        <v>1</v>
      </c>
      <c r="D18" s="241">
        <v>6852</v>
      </c>
      <c r="E18" s="257">
        <v>26758</v>
      </c>
      <c r="F18" s="242">
        <v>30678774495</v>
      </c>
      <c r="G18" s="243" t="str">
        <f>IFERROR(IF(compras_mes9[[#This Row],[CUIT]]="","-",VLOOKUP(compras_mes9[[#This Row],[CUIT]],Lista_CUIT[#All],2,0)),"CUIT NO CARGADO")</f>
        <v>OPER. DE EST. DE SERV. SA</v>
      </c>
      <c r="H18" s="95">
        <v>7169.18</v>
      </c>
      <c r="I18" s="85">
        <f>IF(compras_mes9[[#This Row],[NETO GRAVADO]]="","",compras_mes9[[#This Row],[NETO GRAVADO]]*0.21)</f>
        <v>1505.5278000000001</v>
      </c>
      <c r="J18" s="85"/>
      <c r="K18" s="85"/>
      <c r="L18" s="85"/>
      <c r="M18" s="85"/>
      <c r="N18" s="85"/>
      <c r="O18" s="85">
        <v>1325.31</v>
      </c>
      <c r="P18" s="48">
        <f>SUM(compras_mes9[[#This Row],[NETO GRAVADO]:[Otros / No Grav.]])</f>
        <v>10000.0178</v>
      </c>
      <c r="Q18" s="247" t="str">
        <f>IFERROR(IF(compras_mes9[[#This Row],[CUIT]]="","-",VLOOKUP(compras_mes9[[#This Row],[CUIT]],Lista_CUIT[#All],3,0)),"CUIT NO CARGADO")</f>
        <v>Combustible</v>
      </c>
      <c r="R18" s="247">
        <f>IFERROR(IF(compras_mes9[[#This Row],[CUIT]]="","-",VLOOKUP(compras_mes9[[#This Row],[CUIT]],Lista_CUIT[#All],4,0)),"CUIT NO CARGADO")</f>
        <v>0</v>
      </c>
    </row>
    <row r="19" spans="2:18">
      <c r="B19" s="239" t="s">
        <v>2456</v>
      </c>
      <c r="C19" s="240">
        <v>1</v>
      </c>
      <c r="D19" s="241">
        <v>23</v>
      </c>
      <c r="E19" s="257">
        <v>32991</v>
      </c>
      <c r="F19" s="242">
        <v>30515800219</v>
      </c>
      <c r="G19" s="243" t="str">
        <f>IFERROR(IF(compras_mes9[[#This Row],[CUIT]]="","-",VLOOKUP(compras_mes9[[#This Row],[CUIT]],Lista_CUIT[#All],2,0)),"CUIT NO CARGADO")</f>
        <v>INCAT SRL</v>
      </c>
      <c r="H19" s="244">
        <v>31371.759999999998</v>
      </c>
      <c r="I19" s="85">
        <f>IF(compras_mes9[[#This Row],[NETO GRAVADO]]="","",compras_mes9[[#This Row],[NETO GRAVADO]]*0.21)</f>
        <v>6588.0695999999998</v>
      </c>
      <c r="J19" s="245"/>
      <c r="K19" s="245"/>
      <c r="L19" s="245"/>
      <c r="M19" s="245"/>
      <c r="N19" s="245"/>
      <c r="O19" s="245">
        <v>12094.32</v>
      </c>
      <c r="P19" s="246">
        <f>SUM(compras_mes9[[#This Row],[NETO GRAVADO]:[Otros / No Grav.]])</f>
        <v>50054.149599999997</v>
      </c>
      <c r="Q19" s="247" t="str">
        <f>IFERROR(IF(compras_mes9[[#This Row],[CUIT]]="","-",VLOOKUP(compras_mes9[[#This Row],[CUIT]],Lista_CUIT[#All],3,0)),"CUIT NO CARGADO")</f>
        <v>Combustible</v>
      </c>
      <c r="R19" s="247" t="str">
        <f>IFERROR(IF(compras_mes9[[#This Row],[CUIT]]="","-",VLOOKUP(compras_mes9[[#This Row],[CUIT]],Lista_CUIT[#All],4,0)),"CUIT NO CARGADO")</f>
        <v>CABA</v>
      </c>
    </row>
    <row r="20" spans="2:18">
      <c r="B20" s="239" t="s">
        <v>2453</v>
      </c>
      <c r="C20" s="240">
        <v>1</v>
      </c>
      <c r="D20" s="241">
        <v>6854</v>
      </c>
      <c r="E20" s="257">
        <v>16743</v>
      </c>
      <c r="F20" s="242">
        <v>30678774495</v>
      </c>
      <c r="G20" s="243" t="str">
        <f>IFERROR(IF(compras_mes9[[#This Row],[CUIT]]="","-",VLOOKUP(compras_mes9[[#This Row],[CUIT]],Lista_CUIT[#All],2,0)),"CUIT NO CARGADO")</f>
        <v>OPER. DE EST. DE SERV. SA</v>
      </c>
      <c r="H20" s="95">
        <v>27779.06</v>
      </c>
      <c r="I20" s="85">
        <f>IF(compras_mes9[[#This Row],[NETO GRAVADO]]="","",compras_mes9[[#This Row],[NETO GRAVADO]]*0.21)</f>
        <v>5833.6026000000002</v>
      </c>
      <c r="J20" s="85"/>
      <c r="K20" s="85"/>
      <c r="L20" s="85"/>
      <c r="M20" s="85"/>
      <c r="N20" s="85"/>
      <c r="O20" s="85">
        <v>5135.29</v>
      </c>
      <c r="P20" s="48">
        <f>SUM(compras_mes9[[#This Row],[NETO GRAVADO]:[Otros / No Grav.]])</f>
        <v>38747.952600000004</v>
      </c>
      <c r="Q20" s="247" t="str">
        <f>IFERROR(IF(compras_mes9[[#This Row],[CUIT]]="","-",VLOOKUP(compras_mes9[[#This Row],[CUIT]],Lista_CUIT[#All],3,0)),"CUIT NO CARGADO")</f>
        <v>Combustible</v>
      </c>
      <c r="R20" s="247">
        <f>IFERROR(IF(compras_mes9[[#This Row],[CUIT]]="","-",VLOOKUP(compras_mes9[[#This Row],[CUIT]],Lista_CUIT[#All],4,0)),"CUIT NO CARGADO")</f>
        <v>0</v>
      </c>
    </row>
    <row r="21" spans="2:18">
      <c r="B21" s="239" t="s">
        <v>2412</v>
      </c>
      <c r="C21" s="240">
        <v>1</v>
      </c>
      <c r="D21" s="241">
        <v>12</v>
      </c>
      <c r="E21" s="257">
        <v>51114</v>
      </c>
      <c r="F21" s="242">
        <v>30696131003</v>
      </c>
      <c r="G21" s="243" t="str">
        <f>IFERROR(IF(compras_mes9[[#This Row],[CUIT]]="","-",VLOOKUP(compras_mes9[[#This Row],[CUIT]],Lista_CUIT[#All],2,0)),"CUIT NO CARGADO")</f>
        <v>Petrolfe S.A.</v>
      </c>
      <c r="H21" s="95">
        <v>91199.607421875</v>
      </c>
      <c r="I21" s="85">
        <f>IF(compras_mes9[[#This Row],[NETO GRAVADO]]="","",compras_mes9[[#This Row],[NETO GRAVADO]]*0.21)</f>
        <v>19151.917558593748</v>
      </c>
      <c r="J21" s="85"/>
      <c r="K21" s="85"/>
      <c r="L21" s="85"/>
      <c r="M21" s="85"/>
      <c r="N21" s="85"/>
      <c r="O21" s="85">
        <v>35158.959999999999</v>
      </c>
      <c r="P21" s="48">
        <f>SUM(compras_mes9[[#This Row],[NETO GRAVADO]:[Otros / No Grav.]])</f>
        <v>145510.48498046875</v>
      </c>
      <c r="Q21" s="247" t="str">
        <f>IFERROR(IF(compras_mes9[[#This Row],[CUIT]]="","-",VLOOKUP(compras_mes9[[#This Row],[CUIT]],Lista_CUIT[#All],3,0)),"CUIT NO CARGADO")</f>
        <v>Combustible</v>
      </c>
      <c r="R21" s="247">
        <f>IFERROR(IF(compras_mes9[[#This Row],[CUIT]]="","-",VLOOKUP(compras_mes9[[#This Row],[CUIT]],Lista_CUIT[#All],4,0)),"CUIT NO CARGADO")</f>
        <v>0</v>
      </c>
    </row>
    <row r="22" spans="2:18">
      <c r="B22" s="239" t="s">
        <v>2436</v>
      </c>
      <c r="C22" s="240">
        <v>1</v>
      </c>
      <c r="D22" s="241">
        <v>6852</v>
      </c>
      <c r="E22" s="257">
        <v>26853</v>
      </c>
      <c r="F22" s="242">
        <v>30678774495</v>
      </c>
      <c r="G22" s="243" t="str">
        <f>IFERROR(IF(compras_mes9[[#This Row],[CUIT]]="","-",VLOOKUP(compras_mes9[[#This Row],[CUIT]],Lista_CUIT[#All],2,0)),"CUIT NO CARGADO")</f>
        <v>OPER. DE EST. DE SERV. SA</v>
      </c>
      <c r="H22" s="244">
        <v>8602.99</v>
      </c>
      <c r="I22" s="85">
        <f>IF(compras_mes9[[#This Row],[NETO GRAVADO]]="","",compras_mes9[[#This Row],[NETO GRAVADO]]*0.21)</f>
        <v>1806.6279</v>
      </c>
      <c r="J22" s="245"/>
      <c r="K22" s="245"/>
      <c r="L22" s="245"/>
      <c r="M22" s="245"/>
      <c r="N22" s="245"/>
      <c r="O22" s="245">
        <v>1590.36</v>
      </c>
      <c r="P22" s="246">
        <f>SUM(compras_mes9[[#This Row],[NETO GRAVADO]:[Otros / No Grav.]])</f>
        <v>11999.9779</v>
      </c>
      <c r="Q22" s="247" t="str">
        <f>IFERROR(IF(compras_mes9[[#This Row],[CUIT]]="","-",VLOOKUP(compras_mes9[[#This Row],[CUIT]],Lista_CUIT[#All],3,0)),"CUIT NO CARGADO")</f>
        <v>Combustible</v>
      </c>
      <c r="R22" s="247">
        <f>IFERROR(IF(compras_mes9[[#This Row],[CUIT]]="","-",VLOOKUP(compras_mes9[[#This Row],[CUIT]],Lista_CUIT[#All],4,0)),"CUIT NO CARGADO")</f>
        <v>0</v>
      </c>
    </row>
    <row r="23" spans="2:18">
      <c r="B23" s="239" t="s">
        <v>2418</v>
      </c>
      <c r="C23" s="240">
        <v>1</v>
      </c>
      <c r="D23" s="241">
        <v>12</v>
      </c>
      <c r="E23" s="257">
        <v>51138</v>
      </c>
      <c r="F23" s="242">
        <v>30696131003</v>
      </c>
      <c r="G23" s="243" t="str">
        <f>IFERROR(IF(compras_mes9[[#This Row],[CUIT]]="","-",VLOOKUP(compras_mes9[[#This Row],[CUIT]],Lista_CUIT[#All],2,0)),"CUIT NO CARGADO")</f>
        <v>Petrolfe S.A.</v>
      </c>
      <c r="H23" s="244">
        <v>186143.0859375</v>
      </c>
      <c r="I23" s="85">
        <f>IF(compras_mes9[[#This Row],[NETO GRAVADO]]="","",compras_mes9[[#This Row],[NETO GRAVADO]]*0.21)</f>
        <v>39090.048046874996</v>
      </c>
      <c r="J23" s="245"/>
      <c r="K23" s="245"/>
      <c r="L23" s="245"/>
      <c r="M23" s="245"/>
      <c r="N23" s="245"/>
      <c r="O23" s="245">
        <v>64531.58</v>
      </c>
      <c r="P23" s="246">
        <f>SUM(compras_mes9[[#This Row],[NETO GRAVADO]:[Otros / No Grav.]])</f>
        <v>289764.713984375</v>
      </c>
      <c r="Q23" s="247" t="str">
        <f>IFERROR(IF(compras_mes9[[#This Row],[CUIT]]="","-",VLOOKUP(compras_mes9[[#This Row],[CUIT]],Lista_CUIT[#All],3,0)),"CUIT NO CARGADO")</f>
        <v>Combustible</v>
      </c>
      <c r="R23" s="247">
        <f>IFERROR(IF(compras_mes9[[#This Row],[CUIT]]="","-",VLOOKUP(compras_mes9[[#This Row],[CUIT]],Lista_CUIT[#All],4,0)),"CUIT NO CARGADO")</f>
        <v>0</v>
      </c>
    </row>
    <row r="24" spans="2:18">
      <c r="B24" s="239" t="s">
        <v>2449</v>
      </c>
      <c r="C24" s="240">
        <v>1</v>
      </c>
      <c r="D24" s="241">
        <v>309</v>
      </c>
      <c r="E24" s="257">
        <v>477</v>
      </c>
      <c r="F24" s="242">
        <v>30556565798</v>
      </c>
      <c r="G24" s="243" t="str">
        <f>IFERROR(IF(compras_mes9[[#This Row],[CUIT]]="","-",VLOOKUP(compras_mes9[[#This Row],[CUIT]],Lista_CUIT[#All],2,0)),"CUIT NO CARGADO")</f>
        <v>VICTOR MASSON TRANSPORTES CRUZ DEL SUR S A</v>
      </c>
      <c r="H24" s="244">
        <v>362024.19</v>
      </c>
      <c r="I24" s="85">
        <f>IF(compras_mes9[[#This Row],[NETO GRAVADO]]="","",compras_mes9[[#This Row],[NETO GRAVADO]]*0.21)</f>
        <v>76025.079899999997</v>
      </c>
      <c r="J24" s="245"/>
      <c r="K24" s="245"/>
      <c r="L24" s="245"/>
      <c r="M24" s="245"/>
      <c r="N24" s="245"/>
      <c r="O24" s="245"/>
      <c r="P24" s="246">
        <f>SUM(compras_mes9[[#This Row],[NETO GRAVADO]:[Otros / No Grav.]])</f>
        <v>438049.26990000001</v>
      </c>
      <c r="Q24" s="247" t="str">
        <f>IFERROR(IF(compras_mes9[[#This Row],[CUIT]]="","-",VLOOKUP(compras_mes9[[#This Row],[CUIT]],Lista_CUIT[#All],3,0)),"CUIT NO CARGADO")</f>
        <v>Gastos Comercializacion</v>
      </c>
      <c r="R24" s="247">
        <f>IFERROR(IF(compras_mes9[[#This Row],[CUIT]]="","-",VLOOKUP(compras_mes9[[#This Row],[CUIT]],Lista_CUIT[#All],4,0)),"CUIT NO CARGADO")</f>
        <v>0</v>
      </c>
    </row>
    <row r="25" spans="2:18">
      <c r="B25" s="239" t="s">
        <v>2433</v>
      </c>
      <c r="C25" s="240">
        <v>1</v>
      </c>
      <c r="D25" s="241">
        <v>11</v>
      </c>
      <c r="E25" s="257">
        <v>1050983</v>
      </c>
      <c r="F25" s="242">
        <v>33709585229</v>
      </c>
      <c r="G25" s="243" t="str">
        <f>IFERROR(IF(compras_mes9[[#This Row],[CUIT]]="","-",VLOOKUP(compras_mes9[[#This Row],[CUIT]],Lista_CUIT[#All],2,0)),"CUIT NO CARGADO")</f>
        <v>GOOGLE ARGENTINA S.R.L.</v>
      </c>
      <c r="H25" s="95">
        <v>31788.89</v>
      </c>
      <c r="I25" s="85">
        <f>IF(compras_mes9[[#This Row],[NETO GRAVADO]]="","",compras_mes9[[#This Row],[NETO GRAVADO]]*0.21)</f>
        <v>6675.6668999999993</v>
      </c>
      <c r="J25" s="85"/>
      <c r="K25" s="85"/>
      <c r="L25" s="85"/>
      <c r="M25" s="85">
        <v>6511.16</v>
      </c>
      <c r="N25" s="85"/>
      <c r="O25" s="85">
        <v>953.67</v>
      </c>
      <c r="P25" s="48">
        <f>SUM(compras_mes9[[#This Row],[NETO GRAVADO]:[Otros / No Grav.]])</f>
        <v>45929.386899999998</v>
      </c>
      <c r="Q25" s="247" t="str">
        <f>IFERROR(IF(compras_mes9[[#This Row],[CUIT]]="","-",VLOOKUP(compras_mes9[[#This Row],[CUIT]],Lista_CUIT[#All],3,0)),"CUIT NO CARGADO")</f>
        <v>Gastos Comercializacion</v>
      </c>
      <c r="R25" s="247">
        <f>IFERROR(IF(compras_mes9[[#This Row],[CUIT]]="","-",VLOOKUP(compras_mes9[[#This Row],[CUIT]],Lista_CUIT[#All],4,0)),"CUIT NO CARGADO")</f>
        <v>0</v>
      </c>
    </row>
    <row r="26" spans="2:18">
      <c r="B26" s="593" t="s">
        <v>2435</v>
      </c>
      <c r="C26" s="240">
        <v>1</v>
      </c>
      <c r="D26" s="594">
        <v>3034</v>
      </c>
      <c r="E26" s="595">
        <v>6932623</v>
      </c>
      <c r="F26" s="596">
        <v>30708574836</v>
      </c>
      <c r="G26" s="597" t="str">
        <f>IFERROR(IF(compras_mes9[[#This Row],[CUIT]]="","-",VLOOKUP(compras_mes9[[#This Row],[CUIT]],Lista_CUIT[#All],2,0)),"CUIT NO CARGADO")</f>
        <v>CORREO OFICIAL DE LA REPUBLICA ARGENTINA SOCIEDAD ANONIMA</v>
      </c>
      <c r="H26" s="598">
        <v>6699.17</v>
      </c>
      <c r="I26" s="599">
        <f>IF(compras_mes9[[#This Row],[NETO GRAVADO]]="","",compras_mes9[[#This Row],[NETO GRAVADO]]*0.21)</f>
        <v>1406.8256999999999</v>
      </c>
      <c r="J26" s="599"/>
      <c r="K26" s="599"/>
      <c r="L26" s="599"/>
      <c r="M26" s="599"/>
      <c r="N26" s="599"/>
      <c r="O26" s="599"/>
      <c r="P26" s="600">
        <f>SUM(compras_mes9[[#This Row],[NETO GRAVADO]:[Otros / No Grav.]])</f>
        <v>8105.9956999999995</v>
      </c>
      <c r="Q26" s="49" t="s">
        <v>2687</v>
      </c>
      <c r="R26" s="601">
        <f>IFERROR(IF(compras_mes9[[#This Row],[CUIT]]="","-",VLOOKUP(compras_mes9[[#This Row],[CUIT]],Lista_CUIT[#All],4,0)),"CUIT NO CARGADO")</f>
        <v>0</v>
      </c>
    </row>
    <row r="27" spans="2:18">
      <c r="B27" s="239" t="s">
        <v>2440</v>
      </c>
      <c r="C27" s="240">
        <v>3</v>
      </c>
      <c r="D27" s="241">
        <v>14</v>
      </c>
      <c r="E27" s="257">
        <v>78</v>
      </c>
      <c r="F27" s="242">
        <v>30715186256</v>
      </c>
      <c r="G27" s="243" t="str">
        <f>IFERROR(IF(compras_mes9[[#This Row],[CUIT]]="","-",VLOOKUP(compras_mes9[[#This Row],[CUIT]],Lista_CUIT[#All],2,0)),"CUIT NO CARGADO")</f>
        <v>FRIGORIFICO ALIMENTIC</v>
      </c>
      <c r="H27" s="244">
        <v>-10917.66</v>
      </c>
      <c r="I27" s="85"/>
      <c r="J27" s="245"/>
      <c r="K27" s="245">
        <f>compras_mes9[[#This Row],[NETO GRAVADO]]*0.105</f>
        <v>-1146.3543</v>
      </c>
      <c r="L27" s="245"/>
      <c r="M27" s="245"/>
      <c r="N27" s="245"/>
      <c r="O27" s="245"/>
      <c r="P27" s="246">
        <f>SUM(compras_mes9[[#This Row],[NETO GRAVADO]:[Otros / No Grav.]])</f>
        <v>-12064.014299999999</v>
      </c>
      <c r="Q27" s="247" t="str">
        <f>IFERROR(IF(compras_mes9[[#This Row],[CUIT]]="","-",VLOOKUP(compras_mes9[[#This Row],[CUIT]],Lista_CUIT[#All],3,0)),"CUIT NO CARGADO")</f>
        <v>Gastos Comercializacion - Feria</v>
      </c>
      <c r="R27" s="247">
        <f>IFERROR(IF(compras_mes9[[#This Row],[CUIT]]="","-",VLOOKUP(compras_mes9[[#This Row],[CUIT]],Lista_CUIT[#All],4,0)),"CUIT NO CARGADO")</f>
        <v>0</v>
      </c>
    </row>
    <row r="28" spans="2:18">
      <c r="B28" s="239" t="s">
        <v>2440</v>
      </c>
      <c r="C28" s="240">
        <v>1</v>
      </c>
      <c r="D28" s="241">
        <v>14</v>
      </c>
      <c r="E28" s="257">
        <v>14007</v>
      </c>
      <c r="F28" s="242">
        <v>30715186256</v>
      </c>
      <c r="G28" s="243" t="str">
        <f>IFERROR(IF(compras_mes9[[#This Row],[CUIT]]="","-",VLOOKUP(compras_mes9[[#This Row],[CUIT]],Lista_CUIT[#All],2,0)),"CUIT NO CARGADO")</f>
        <v>FRIGORIFICO ALIMENTIC</v>
      </c>
      <c r="H28" s="95">
        <v>76321.94</v>
      </c>
      <c r="I28" s="85">
        <v>1836.54</v>
      </c>
      <c r="J28" s="85"/>
      <c r="K28" s="85">
        <v>7095.53</v>
      </c>
      <c r="L28" s="85"/>
      <c r="M28" s="85"/>
      <c r="N28" s="85"/>
      <c r="O28" s="85"/>
      <c r="P28" s="48">
        <f>SUM(compras_mes9[[#This Row],[NETO GRAVADO]:[Otros / No Grav.]])</f>
        <v>85254.01</v>
      </c>
      <c r="Q28" s="247" t="str">
        <f>IFERROR(IF(compras_mes9[[#This Row],[CUIT]]="","-",VLOOKUP(compras_mes9[[#This Row],[CUIT]],Lista_CUIT[#All],3,0)),"CUIT NO CARGADO")</f>
        <v>Gastos Comercializacion - Feria</v>
      </c>
      <c r="R28" s="247">
        <f>IFERROR(IF(compras_mes9[[#This Row],[CUIT]]="","-",VLOOKUP(compras_mes9[[#This Row],[CUIT]],Lista_CUIT[#All],4,0)),"CUIT NO CARGADO")</f>
        <v>0</v>
      </c>
    </row>
    <row r="29" spans="2:18">
      <c r="B29" s="239" t="s">
        <v>2405</v>
      </c>
      <c r="C29" s="240">
        <v>1</v>
      </c>
      <c r="D29" s="241">
        <v>1</v>
      </c>
      <c r="E29" s="257">
        <v>783</v>
      </c>
      <c r="F29" s="242">
        <v>30715889486</v>
      </c>
      <c r="G29" s="243" t="str">
        <f>IFERROR(IF(compras_mes9[[#This Row],[CUIT]]="","-",VLOOKUP(compras_mes9[[#This Row],[CUIT]],Lista_CUIT[#All],2,0)),"CUIT NO CARGADO")</f>
        <v>EXPOESTETICA</v>
      </c>
      <c r="H29" s="244">
        <v>396000</v>
      </c>
      <c r="I29" s="85">
        <f>IF(compras_mes9[[#This Row],[NETO GRAVADO]]="","",compras_mes9[[#This Row],[NETO GRAVADO]]*0.21)</f>
        <v>83160</v>
      </c>
      <c r="J29" s="245"/>
      <c r="K29" s="245"/>
      <c r="L29" s="245"/>
      <c r="M29" s="245"/>
      <c r="N29" s="245"/>
      <c r="O29" s="245"/>
      <c r="P29" s="246">
        <f>SUM(compras_mes9[[#This Row],[NETO GRAVADO]:[Otros / No Grav.]])</f>
        <v>479160</v>
      </c>
      <c r="Q29" s="247" t="str">
        <f>IFERROR(IF(compras_mes9[[#This Row],[CUIT]]="","-",VLOOKUP(compras_mes9[[#This Row],[CUIT]],Lista_CUIT[#All],3,0)),"CUIT NO CARGADO")</f>
        <v>Gastos Comercializacion - Feria</v>
      </c>
      <c r="R29" s="247" t="str">
        <f>IFERROR(IF(compras_mes9[[#This Row],[CUIT]]="","-",VLOOKUP(compras_mes9[[#This Row],[CUIT]],Lista_CUIT[#All],4,0)),"CUIT NO CARGADO")</f>
        <v>BUENOS AIRES</v>
      </c>
    </row>
    <row r="30" spans="2:18">
      <c r="B30" s="239" t="s">
        <v>2457</v>
      </c>
      <c r="C30" s="240">
        <v>1</v>
      </c>
      <c r="D30" s="241">
        <v>14</v>
      </c>
      <c r="E30" s="257">
        <v>14105</v>
      </c>
      <c r="F30" s="242">
        <v>30715186256</v>
      </c>
      <c r="G30" s="243" t="str">
        <f>IFERROR(IF(compras_mes9[[#This Row],[CUIT]]="","-",VLOOKUP(compras_mes9[[#This Row],[CUIT]],Lista_CUIT[#All],2,0)),"CUIT NO CARGADO")</f>
        <v>FRIGORIFICO ALIMENTIC</v>
      </c>
      <c r="H30" s="95">
        <v>56425.46</v>
      </c>
      <c r="I30" s="85">
        <v>867.77</v>
      </c>
      <c r="J30" s="85"/>
      <c r="K30" s="85">
        <v>5490.79</v>
      </c>
      <c r="L30" s="85"/>
      <c r="M30" s="85"/>
      <c r="N30" s="85"/>
      <c r="O30" s="85"/>
      <c r="P30" s="48">
        <f>SUM(compras_mes9[[#This Row],[NETO GRAVADO]:[Otros / No Grav.]])</f>
        <v>62784.02</v>
      </c>
      <c r="Q30" s="247" t="str">
        <f>IFERROR(IF(compras_mes9[[#This Row],[CUIT]]="","-",VLOOKUP(compras_mes9[[#This Row],[CUIT]],Lista_CUIT[#All],3,0)),"CUIT NO CARGADO")</f>
        <v>Gastos Comercializacion - Feria</v>
      </c>
      <c r="R30" s="247">
        <f>IFERROR(IF(compras_mes9[[#This Row],[CUIT]]="","-",VLOOKUP(compras_mes9[[#This Row],[CUIT]],Lista_CUIT[#All],4,0)),"CUIT NO CARGADO")</f>
        <v>0</v>
      </c>
    </row>
    <row r="31" spans="2:18">
      <c r="B31" s="239" t="s">
        <v>2434</v>
      </c>
      <c r="C31" s="240">
        <v>1</v>
      </c>
      <c r="D31" s="241">
        <v>14</v>
      </c>
      <c r="E31" s="257">
        <v>14223</v>
      </c>
      <c r="F31" s="242">
        <v>30715186256</v>
      </c>
      <c r="G31" s="243" t="str">
        <f>IFERROR(IF(compras_mes9[[#This Row],[CUIT]]="","-",VLOOKUP(compras_mes9[[#This Row],[CUIT]],Lista_CUIT[#All],2,0)),"CUIT NO CARGADO")</f>
        <v>FRIGORIFICO ALIMENTIC</v>
      </c>
      <c r="H31" s="95">
        <v>53963.76</v>
      </c>
      <c r="I31" s="85">
        <v>5066.8999999999996</v>
      </c>
      <c r="J31" s="245"/>
      <c r="K31" s="245">
        <v>3132.74</v>
      </c>
      <c r="L31" s="245"/>
      <c r="M31" s="245"/>
      <c r="N31" s="245"/>
      <c r="O31" s="245"/>
      <c r="P31" s="246">
        <f>SUM(compras_mes9[[#This Row],[NETO GRAVADO]:[Otros / No Grav.]])</f>
        <v>62163.4</v>
      </c>
      <c r="Q31" s="247" t="str">
        <f>IFERROR(IF(compras_mes9[[#This Row],[CUIT]]="","-",VLOOKUP(compras_mes9[[#This Row],[CUIT]],Lista_CUIT[#All],3,0)),"CUIT NO CARGADO")</f>
        <v>Gastos Comercializacion - Feria</v>
      </c>
      <c r="R31" s="247">
        <f>IFERROR(IF(compras_mes9[[#This Row],[CUIT]]="","-",VLOOKUP(compras_mes9[[#This Row],[CUIT]],Lista_CUIT[#All],4,0)),"CUIT NO CARGADO")</f>
        <v>0</v>
      </c>
    </row>
    <row r="32" spans="2:18">
      <c r="B32" s="239" t="s">
        <v>2442</v>
      </c>
      <c r="C32" s="240">
        <v>1</v>
      </c>
      <c r="D32" s="241">
        <v>7</v>
      </c>
      <c r="E32" s="257">
        <v>27444</v>
      </c>
      <c r="F32" s="242">
        <v>30710819552</v>
      </c>
      <c r="G32" s="243" t="str">
        <f>IFERROR(IF(compras_mes9[[#This Row],[CUIT]]="","-",VLOOKUP(compras_mes9[[#This Row],[CUIT]],Lista_CUIT[#All],2,0)),"CUIT NO CARGADO")</f>
        <v>EL CACIQUE Gastos Limpieza SRL</v>
      </c>
      <c r="H32" s="95">
        <v>145303.96</v>
      </c>
      <c r="I32" s="85">
        <f>IF(compras_mes9[[#This Row],[NETO GRAVADO]]="","",compras_mes9[[#This Row],[NETO GRAVADO]]*0.21)</f>
        <v>30513.831599999998</v>
      </c>
      <c r="J32" s="85"/>
      <c r="K32" s="85"/>
      <c r="L32" s="85"/>
      <c r="M32" s="85"/>
      <c r="N32" s="85"/>
      <c r="O32" s="85"/>
      <c r="P32" s="48">
        <f>SUM(compras_mes9[[#This Row],[NETO GRAVADO]:[Otros / No Grav.]])</f>
        <v>175817.7916</v>
      </c>
      <c r="Q32" s="247" t="str">
        <f>IFERROR(IF(compras_mes9[[#This Row],[CUIT]]="","-",VLOOKUP(compras_mes9[[#This Row],[CUIT]],Lista_CUIT[#All],3,0)),"CUIT NO CARGADO")</f>
        <v>Gastos Limpieza</v>
      </c>
      <c r="R32" s="247">
        <f>IFERROR(IF(compras_mes9[[#This Row],[CUIT]]="","-",VLOOKUP(compras_mes9[[#This Row],[CUIT]],Lista_CUIT[#All],4,0)),"CUIT NO CARGADO")</f>
        <v>0</v>
      </c>
    </row>
    <row r="33" spans="2:18">
      <c r="B33" s="239" t="s">
        <v>2439</v>
      </c>
      <c r="C33" s="240">
        <v>1</v>
      </c>
      <c r="D33" s="241">
        <v>113</v>
      </c>
      <c r="E33" s="257">
        <v>3803904</v>
      </c>
      <c r="F33" s="242">
        <v>30577207190</v>
      </c>
      <c r="G33" s="243" t="str">
        <f>IFERROR(IF(compras_mes9[[#This Row],[CUIT]]="","-",VLOOKUP(compras_mes9[[#This Row],[CUIT]],Lista_CUIT[#All],2,0)),"CUIT NO CARGADO")</f>
        <v>COORDINACION ECOLOGICA AREA METROPOLITANA SOCIEDAD DEL ESTADO</v>
      </c>
      <c r="H33" s="46">
        <v>6497.52</v>
      </c>
      <c r="I33" s="85">
        <f>IF(compras_mes9[[#This Row],[NETO GRAVADO]]="","",compras_mes9[[#This Row],[NETO GRAVADO]]*0.21)</f>
        <v>1364.4792</v>
      </c>
      <c r="J33" s="245"/>
      <c r="K33" s="245"/>
      <c r="L33" s="245">
        <v>194.93</v>
      </c>
      <c r="M33" s="245"/>
      <c r="N33" s="245"/>
      <c r="O33" s="245"/>
      <c r="P33" s="246">
        <f>SUM(compras_mes9[[#This Row],[NETO GRAVADO]:[Otros / No Grav.]])</f>
        <v>8056.9292000000005</v>
      </c>
      <c r="Q33" s="247" t="str">
        <f>IFERROR(IF(compras_mes9[[#This Row],[CUIT]]="","-",VLOOKUP(compras_mes9[[#This Row],[CUIT]],Lista_CUIT[#All],3,0)),"CUIT NO CARGADO")</f>
        <v>Gastos Limpieza</v>
      </c>
      <c r="R33" s="247">
        <f>IFERROR(IF(compras_mes9[[#This Row],[CUIT]]="","-",VLOOKUP(compras_mes9[[#This Row],[CUIT]],Lista_CUIT[#All],4,0)),"CUIT NO CARGADO")</f>
        <v>0</v>
      </c>
    </row>
    <row r="34" spans="2:18">
      <c r="B34" s="239" t="s">
        <v>2412</v>
      </c>
      <c r="C34" s="240">
        <v>1</v>
      </c>
      <c r="D34" s="241">
        <v>1</v>
      </c>
      <c r="E34" s="257">
        <v>20230</v>
      </c>
      <c r="F34" s="242">
        <v>33714351309</v>
      </c>
      <c r="G34" s="243" t="str">
        <f>IFERROR(IF(compras_mes9[[#This Row],[CUIT]]="","-",VLOOKUP(compras_mes9[[#This Row],[CUIT]],Lista_CUIT[#All],2,0)),"CUIT NO CARGADO")</f>
        <v>DAFER S.A</v>
      </c>
      <c r="H34" s="244">
        <v>150000</v>
      </c>
      <c r="I34" s="85">
        <f>IF(compras_mes9[[#This Row],[NETO GRAVADO]]="","",compras_mes9[[#This Row],[NETO GRAVADO]]*0.21)</f>
        <v>31500</v>
      </c>
      <c r="J34" s="245"/>
      <c r="K34" s="245"/>
      <c r="L34" s="245"/>
      <c r="M34" s="245"/>
      <c r="N34" s="245"/>
      <c r="O34" s="245"/>
      <c r="P34" s="246">
        <f>SUM(compras_mes9[[#This Row],[NETO GRAVADO]:[Otros / No Grav.]])</f>
        <v>181500</v>
      </c>
      <c r="Q34" s="247" t="str">
        <f>IFERROR(IF(compras_mes9[[#This Row],[CUIT]]="","-",VLOOKUP(compras_mes9[[#This Row],[CUIT]],Lista_CUIT[#All],3,0)),"CUIT NO CARGADO")</f>
        <v>Gastos Limpieza</v>
      </c>
      <c r="R34" s="247">
        <f>IFERROR(IF(compras_mes9[[#This Row],[CUIT]]="","-",VLOOKUP(compras_mes9[[#This Row],[CUIT]],Lista_CUIT[#All],4,0)),"CUIT NO CARGADO")</f>
        <v>0</v>
      </c>
    </row>
    <row r="35" spans="2:18">
      <c r="B35" s="239" t="s">
        <v>2433</v>
      </c>
      <c r="C35" s="240">
        <v>1</v>
      </c>
      <c r="D35" s="241">
        <v>113</v>
      </c>
      <c r="E35" s="257">
        <v>3830991</v>
      </c>
      <c r="F35" s="242">
        <v>30577207190</v>
      </c>
      <c r="G35" s="243" t="str">
        <f>IFERROR(IF(compras_mes9[[#This Row],[CUIT]]="","-",VLOOKUP(compras_mes9[[#This Row],[CUIT]],Lista_CUIT[#All],2,0)),"CUIT NO CARGADO")</f>
        <v>COORDINACION ECOLOGICA AREA METROPOLITANA SOCIEDAD DEL ESTADO</v>
      </c>
      <c r="H35" s="244">
        <v>3966.94</v>
      </c>
      <c r="I35" s="85">
        <f>IF(compras_mes9[[#This Row],[NETO GRAVADO]]="","",compras_mes9[[#This Row],[NETO GRAVADO]]*0.21)</f>
        <v>833.05740000000003</v>
      </c>
      <c r="J35" s="245"/>
      <c r="K35" s="245"/>
      <c r="L35" s="245">
        <v>119.01</v>
      </c>
      <c r="M35" s="245"/>
      <c r="N35" s="245"/>
      <c r="O35" s="245"/>
      <c r="P35" s="246">
        <f>SUM(compras_mes9[[#This Row],[NETO GRAVADO]:[Otros / No Grav.]])</f>
        <v>4919.0074000000004</v>
      </c>
      <c r="Q35" s="247" t="str">
        <f>IFERROR(IF(compras_mes9[[#This Row],[CUIT]]="","-",VLOOKUP(compras_mes9[[#This Row],[CUIT]],Lista_CUIT[#All],3,0)),"CUIT NO CARGADO")</f>
        <v>Gastos Limpieza</v>
      </c>
      <c r="R35" s="247">
        <f>IFERROR(IF(compras_mes9[[#This Row],[CUIT]]="","-",VLOOKUP(compras_mes9[[#This Row],[CUIT]],Lista_CUIT[#All],4,0)),"CUIT NO CARGADO")</f>
        <v>0</v>
      </c>
    </row>
    <row r="36" spans="2:18">
      <c r="B36" s="239" t="s">
        <v>2460</v>
      </c>
      <c r="C36" s="240">
        <v>1</v>
      </c>
      <c r="D36" s="241">
        <v>2199</v>
      </c>
      <c r="E36" s="257">
        <v>31573</v>
      </c>
      <c r="F36" s="242">
        <v>30548083156</v>
      </c>
      <c r="G36" s="243" t="str">
        <f>IFERROR(IF(compras_mes9[[#This Row],[CUIT]]="","-",VLOOKUP(compras_mes9[[#This Row],[CUIT]],Lista_CUIT[#All],2,0)),"CUIT NO CARGADO")</f>
        <v>COTO CENTRO INTEGRAL DE COMERCIALIZACION SOCIEDAD ANONIMA</v>
      </c>
      <c r="H36" s="95">
        <v>55552.95</v>
      </c>
      <c r="I36" s="85">
        <v>6143.09</v>
      </c>
      <c r="J36" s="85"/>
      <c r="K36" s="85">
        <v>2761.52</v>
      </c>
      <c r="L36" s="85"/>
      <c r="M36" s="85"/>
      <c r="N36" s="85"/>
      <c r="O36" s="85">
        <v>3834.3</v>
      </c>
      <c r="P36" s="48">
        <f>SUM(compras_mes9[[#This Row],[NETO GRAVADO]:[Otros / No Grav.]])</f>
        <v>68291.859999999986</v>
      </c>
      <c r="Q36" s="247" t="str">
        <f>IFERROR(IF(compras_mes9[[#This Row],[CUIT]]="","-",VLOOKUP(compras_mes9[[#This Row],[CUIT]],Lista_CUIT[#All],3,0)),"CUIT NO CARGADO")</f>
        <v>Gastos Varios</v>
      </c>
      <c r="R36" s="247">
        <f>IFERROR(IF(compras_mes9[[#This Row],[CUIT]]="","-",VLOOKUP(compras_mes9[[#This Row],[CUIT]],Lista_CUIT[#All],4,0)),"CUIT NO CARGADO")</f>
        <v>0</v>
      </c>
    </row>
    <row r="37" spans="2:18">
      <c r="B37" s="239" t="s">
        <v>2455</v>
      </c>
      <c r="C37" s="240">
        <v>1</v>
      </c>
      <c r="D37" s="241">
        <v>4</v>
      </c>
      <c r="E37" s="257">
        <v>3567</v>
      </c>
      <c r="F37" s="242">
        <v>27247017491</v>
      </c>
      <c r="G37" s="243" t="str">
        <f>IFERROR(IF(compras_mes9[[#This Row],[CUIT]]="","-",VLOOKUP(compras_mes9[[#This Row],[CUIT]],Lista_CUIT[#All],2,0)),"CUIT NO CARGADO")</f>
        <v>GONZALEZ PATRICIA NOEMI</v>
      </c>
      <c r="H37" s="46">
        <v>14049.57</v>
      </c>
      <c r="I37" s="85">
        <f>IF(compras_mes9[[#This Row],[NETO GRAVADO]]="","",compras_mes9[[#This Row],[NETO GRAVADO]]*0.21)</f>
        <v>2950.4096999999997</v>
      </c>
      <c r="J37" s="245"/>
      <c r="K37" s="245"/>
      <c r="L37" s="245"/>
      <c r="M37" s="245"/>
      <c r="N37" s="245"/>
      <c r="O37" s="245"/>
      <c r="P37" s="246">
        <f>SUM(compras_mes9[[#This Row],[NETO GRAVADO]:[Otros / No Grav.]])</f>
        <v>16999.9797</v>
      </c>
      <c r="Q37" s="247" t="str">
        <f>IFERROR(IF(compras_mes9[[#This Row],[CUIT]]="","-",VLOOKUP(compras_mes9[[#This Row],[CUIT]],Lista_CUIT[#All],3,0)),"CUIT NO CARGADO")</f>
        <v>Gastos Varios</v>
      </c>
      <c r="R37" s="247">
        <f>IFERROR(IF(compras_mes9[[#This Row],[CUIT]]="","-",VLOOKUP(compras_mes9[[#This Row],[CUIT]],Lista_CUIT[#All],4,0)),"CUIT NO CARGADO")</f>
        <v>0</v>
      </c>
    </row>
    <row r="38" spans="2:18">
      <c r="B38" s="239" t="s">
        <v>2455</v>
      </c>
      <c r="C38" s="240">
        <v>1</v>
      </c>
      <c r="D38" s="241">
        <v>2215</v>
      </c>
      <c r="E38" s="257">
        <v>46221</v>
      </c>
      <c r="F38" s="242">
        <v>30548083156</v>
      </c>
      <c r="G38" s="243" t="str">
        <f>IFERROR(IF(compras_mes9[[#This Row],[CUIT]]="","-",VLOOKUP(compras_mes9[[#This Row],[CUIT]],Lista_CUIT[#All],2,0)),"CUIT NO CARGADO")</f>
        <v>COTO CENTRO INTEGRAL DE COMERCIALIZACION SOCIEDAD ANONIMA</v>
      </c>
      <c r="H38" s="95">
        <v>46610.92</v>
      </c>
      <c r="I38" s="85">
        <v>8885.3700000000008</v>
      </c>
      <c r="J38" s="245"/>
      <c r="K38" s="245">
        <v>451.46</v>
      </c>
      <c r="L38" s="245"/>
      <c r="M38" s="245"/>
      <c r="N38" s="245"/>
      <c r="O38" s="245">
        <v>4096.25</v>
      </c>
      <c r="P38" s="246">
        <f>SUM(compras_mes9[[#This Row],[NETO GRAVADO]:[Otros / No Grav.]])</f>
        <v>60044</v>
      </c>
      <c r="Q38" s="247" t="str">
        <f>IFERROR(IF(compras_mes9[[#This Row],[CUIT]]="","-",VLOOKUP(compras_mes9[[#This Row],[CUIT]],Lista_CUIT[#All],3,0)),"CUIT NO CARGADO")</f>
        <v>Gastos Varios</v>
      </c>
      <c r="R38" s="247">
        <f>IFERROR(IF(compras_mes9[[#This Row],[CUIT]]="","-",VLOOKUP(compras_mes9[[#This Row],[CUIT]],Lista_CUIT[#All],4,0)),"CUIT NO CARGADO")</f>
        <v>0</v>
      </c>
    </row>
    <row r="39" spans="2:18">
      <c r="B39" s="239" t="s">
        <v>2455</v>
      </c>
      <c r="C39" s="240">
        <v>1</v>
      </c>
      <c r="D39" s="241">
        <v>1677</v>
      </c>
      <c r="E39" s="257">
        <v>51212</v>
      </c>
      <c r="F39" s="242">
        <v>30589621499</v>
      </c>
      <c r="G39" s="243" t="str">
        <f>IFERROR(IF(compras_mes9[[#This Row],[CUIT]]="","-",VLOOKUP(compras_mes9[[#This Row],[CUIT]],Lista_CUIT[#All],2,0)),"CUIT NO CARGADO")</f>
        <v>MAKRO SA</v>
      </c>
      <c r="H39" s="95">
        <v>51797.22</v>
      </c>
      <c r="I39" s="85">
        <v>10047.76</v>
      </c>
      <c r="J39" s="85"/>
      <c r="K39" s="85">
        <v>414.83</v>
      </c>
      <c r="L39" s="85">
        <v>1494.65</v>
      </c>
      <c r="M39" s="85"/>
      <c r="N39" s="85">
        <v>3107.83</v>
      </c>
      <c r="O39" s="85">
        <v>62.98</v>
      </c>
      <c r="P39" s="48">
        <f>SUM(compras_mes9[[#This Row],[NETO GRAVADO]:[Otros / No Grav.]])</f>
        <v>66925.27</v>
      </c>
      <c r="Q39" s="247" t="str">
        <f>IFERROR(IF(compras_mes9[[#This Row],[CUIT]]="","-",VLOOKUP(compras_mes9[[#This Row],[CUIT]],Lista_CUIT[#All],3,0)),"CUIT NO CARGADO")</f>
        <v>Gastos Varios</v>
      </c>
      <c r="R39" s="247">
        <f>IFERROR(IF(compras_mes9[[#This Row],[CUIT]]="","-",VLOOKUP(compras_mes9[[#This Row],[CUIT]],Lista_CUIT[#All],4,0)),"CUIT NO CARGADO")</f>
        <v>0</v>
      </c>
    </row>
    <row r="40" spans="2:18">
      <c r="B40" s="239" t="s">
        <v>2401</v>
      </c>
      <c r="C40" s="240">
        <v>1</v>
      </c>
      <c r="D40" s="241">
        <v>2</v>
      </c>
      <c r="E40" s="257">
        <v>87711</v>
      </c>
      <c r="F40" s="242">
        <v>30714275824</v>
      </c>
      <c r="G40" s="243" t="str">
        <f>IFERROR(IF(compras_mes9[[#This Row],[CUIT]]="","-",VLOOKUP(compras_mes9[[#This Row],[CUIT]],Lista_CUIT[#All],2,0)),"CUIT NO CARGADO")</f>
        <v>ARG COLOR S.R.L.</v>
      </c>
      <c r="H40" s="244">
        <v>23137.200317382802</v>
      </c>
      <c r="I40" s="85">
        <f>IF(compras_mes9[[#This Row],[NETO GRAVADO]]="","",compras_mes9[[#This Row],[NETO GRAVADO]]*0.21)</f>
        <v>4858.8120666503883</v>
      </c>
      <c r="J40" s="245"/>
      <c r="K40" s="245"/>
      <c r="L40" s="245"/>
      <c r="M40" s="245"/>
      <c r="N40" s="245">
        <v>1388.23</v>
      </c>
      <c r="O40" s="245"/>
      <c r="P40" s="246">
        <f>SUM(compras_mes9[[#This Row],[NETO GRAVADO]:[Otros / No Grav.]])</f>
        <v>29384.24238403319</v>
      </c>
      <c r="Q40" s="247" t="str">
        <f>IFERROR(IF(compras_mes9[[#This Row],[CUIT]]="","-",VLOOKUP(compras_mes9[[#This Row],[CUIT]],Lista_CUIT[#All],3,0)),"CUIT NO CARGADO")</f>
        <v>Gastos Varios</v>
      </c>
      <c r="R40" s="247">
        <f>IFERROR(IF(compras_mes9[[#This Row],[CUIT]]="","-",VLOOKUP(compras_mes9[[#This Row],[CUIT]],Lista_CUIT[#All],4,0)),"CUIT NO CARGADO")</f>
        <v>0</v>
      </c>
    </row>
    <row r="41" spans="2:18">
      <c r="B41" s="239" t="s">
        <v>2401</v>
      </c>
      <c r="C41" s="240">
        <v>1</v>
      </c>
      <c r="D41" s="241">
        <v>2</v>
      </c>
      <c r="E41" s="257">
        <v>87955</v>
      </c>
      <c r="F41" s="242">
        <v>30714275824</v>
      </c>
      <c r="G41" s="243" t="str">
        <f>IFERROR(IF(compras_mes9[[#This Row],[CUIT]]="","-",VLOOKUP(compras_mes9[[#This Row],[CUIT]],Lista_CUIT[#All],2,0)),"CUIT NO CARGADO")</f>
        <v>ARG COLOR S.R.L.</v>
      </c>
      <c r="H41" s="244">
        <v>118988.40527343799</v>
      </c>
      <c r="I41" s="85">
        <f>IF(compras_mes9[[#This Row],[NETO GRAVADO]]="","",compras_mes9[[#This Row],[NETO GRAVADO]]*0.21)</f>
        <v>24987.565107421979</v>
      </c>
      <c r="J41" s="245"/>
      <c r="K41" s="245"/>
      <c r="L41" s="245"/>
      <c r="M41" s="245"/>
      <c r="N41" s="245">
        <v>7139.3</v>
      </c>
      <c r="O41" s="245"/>
      <c r="P41" s="246">
        <f>SUM(compras_mes9[[#This Row],[NETO GRAVADO]:[Otros / No Grav.]])</f>
        <v>151115.27038085996</v>
      </c>
      <c r="Q41" s="247" t="str">
        <f>IFERROR(IF(compras_mes9[[#This Row],[CUIT]]="","-",VLOOKUP(compras_mes9[[#This Row],[CUIT]],Lista_CUIT[#All],3,0)),"CUIT NO CARGADO")</f>
        <v>Gastos Varios</v>
      </c>
      <c r="R41" s="247">
        <f>IFERROR(IF(compras_mes9[[#This Row],[CUIT]]="","-",VLOOKUP(compras_mes9[[#This Row],[CUIT]],Lista_CUIT[#All],4,0)),"CUIT NO CARGADO")</f>
        <v>0</v>
      </c>
    </row>
    <row r="42" spans="2:18">
      <c r="B42" s="239" t="s">
        <v>2441</v>
      </c>
      <c r="C42" s="240">
        <v>1</v>
      </c>
      <c r="D42" s="241">
        <v>2188</v>
      </c>
      <c r="E42" s="257">
        <v>129125</v>
      </c>
      <c r="F42" s="242">
        <v>30548083156</v>
      </c>
      <c r="G42" s="243" t="str">
        <f>IFERROR(IF(compras_mes9[[#This Row],[CUIT]]="","-",VLOOKUP(compras_mes9[[#This Row],[CUIT]],Lista_CUIT[#All],2,0)),"CUIT NO CARGADO")</f>
        <v>COTO CENTRO INTEGRAL DE COMERCIALIZACION SOCIEDAD ANONIMA</v>
      </c>
      <c r="H42" s="95">
        <v>73908.81</v>
      </c>
      <c r="I42" s="85">
        <v>10365.83</v>
      </c>
      <c r="J42" s="245"/>
      <c r="K42" s="245">
        <v>2577.5100000000002</v>
      </c>
      <c r="L42" s="245"/>
      <c r="M42" s="245"/>
      <c r="N42" s="245"/>
      <c r="O42" s="245">
        <v>5466.35</v>
      </c>
      <c r="P42" s="246">
        <f>SUM(compras_mes9[[#This Row],[NETO GRAVADO]:[Otros / No Grav.]])</f>
        <v>92318.5</v>
      </c>
      <c r="Q42" s="247" t="str">
        <f>IFERROR(IF(compras_mes9[[#This Row],[CUIT]]="","-",VLOOKUP(compras_mes9[[#This Row],[CUIT]],Lista_CUIT[#All],3,0)),"CUIT NO CARGADO")</f>
        <v>Gastos Varios</v>
      </c>
      <c r="R42" s="247">
        <f>IFERROR(IF(compras_mes9[[#This Row],[CUIT]]="","-",VLOOKUP(compras_mes9[[#This Row],[CUIT]],Lista_CUIT[#All],4,0)),"CUIT NO CARGADO")</f>
        <v>0</v>
      </c>
    </row>
    <row r="43" spans="2:18">
      <c r="B43" s="239" t="s">
        <v>2458</v>
      </c>
      <c r="C43" s="240">
        <v>1</v>
      </c>
      <c r="D43" s="241">
        <v>3</v>
      </c>
      <c r="E43" s="257">
        <v>16930</v>
      </c>
      <c r="F43" s="242">
        <v>30540396295</v>
      </c>
      <c r="G43" s="243" t="str">
        <f>IFERROR(IF(compras_mes9[[#This Row],[CUIT]]="","-",VLOOKUP(compras_mes9[[#This Row],[CUIT]],Lista_CUIT[#All],2,0)),"CUIT NO CARGADO")</f>
        <v>ELECTRICIDAD JUJUY S A C E I</v>
      </c>
      <c r="H43" s="244">
        <v>1983.47</v>
      </c>
      <c r="I43" s="85">
        <f>IF(compras_mes9[[#This Row],[NETO GRAVADO]]="","",compras_mes9[[#This Row],[NETO GRAVADO]]*0.21)</f>
        <v>416.52870000000001</v>
      </c>
      <c r="J43" s="245"/>
      <c r="K43" s="245"/>
      <c r="L43" s="245"/>
      <c r="M43" s="245"/>
      <c r="N43" s="245"/>
      <c r="O43" s="245"/>
      <c r="P43" s="246">
        <f>SUM(compras_mes9[[#This Row],[NETO GRAVADO]:[Otros / No Grav.]])</f>
        <v>2399.9987000000001</v>
      </c>
      <c r="Q43" s="247" t="str">
        <f>IFERROR(IF(compras_mes9[[#This Row],[CUIT]]="","-",VLOOKUP(compras_mes9[[#This Row],[CUIT]],Lista_CUIT[#All],3,0)),"CUIT NO CARGADO")</f>
        <v>Gastos Varios</v>
      </c>
      <c r="R43" s="247">
        <f>IFERROR(IF(compras_mes9[[#This Row],[CUIT]]="","-",VLOOKUP(compras_mes9[[#This Row],[CUIT]],Lista_CUIT[#All],4,0)),"CUIT NO CARGADO")</f>
        <v>0</v>
      </c>
    </row>
    <row r="44" spans="2:18">
      <c r="B44" s="239" t="s">
        <v>2403</v>
      </c>
      <c r="C44" s="240">
        <v>1</v>
      </c>
      <c r="D44" s="241">
        <v>13</v>
      </c>
      <c r="E44" s="257">
        <v>8103</v>
      </c>
      <c r="F44" s="242">
        <v>20936208690</v>
      </c>
      <c r="G44" s="243" t="str">
        <f>IFERROR(IF(compras_mes9[[#This Row],[CUIT]]="","-",VLOOKUP(compras_mes9[[#This Row],[CUIT]],Lista_CUIT[#All],2,0)),"CUIT NO CARGADO")</f>
        <v>D.J.P.</v>
      </c>
      <c r="H44" s="95">
        <v>37504.130859375</v>
      </c>
      <c r="I44" s="85">
        <f>IF(compras_mes9[[#This Row],[NETO GRAVADO]]="","",compras_mes9[[#This Row],[NETO GRAVADO]]*0.21)</f>
        <v>7875.8674804687498</v>
      </c>
      <c r="J44" s="85"/>
      <c r="K44" s="85"/>
      <c r="L44" s="85"/>
      <c r="M44" s="85"/>
      <c r="N44" s="85"/>
      <c r="O44" s="85"/>
      <c r="P44" s="48">
        <f>SUM(compras_mes9[[#This Row],[NETO GRAVADO]:[Otros / No Grav.]])</f>
        <v>45379.998339843747</v>
      </c>
      <c r="Q44" s="247" t="str">
        <f>IFERROR(IF(compras_mes9[[#This Row],[CUIT]]="","-",VLOOKUP(compras_mes9[[#This Row],[CUIT]],Lista_CUIT[#All],3,0)),"CUIT NO CARGADO")</f>
        <v>Gastos Varios</v>
      </c>
      <c r="R44" s="247">
        <f>IFERROR(IF(compras_mes9[[#This Row],[CUIT]]="","-",VLOOKUP(compras_mes9[[#This Row],[CUIT]],Lista_CUIT[#All],4,0)),"CUIT NO CARGADO")</f>
        <v>0</v>
      </c>
    </row>
    <row r="45" spans="2:18">
      <c r="B45" s="239" t="s">
        <v>2398</v>
      </c>
      <c r="C45" s="240">
        <v>1</v>
      </c>
      <c r="D45" s="241">
        <v>2</v>
      </c>
      <c r="E45" s="257">
        <v>8946</v>
      </c>
      <c r="F45" s="242">
        <v>20317427361</v>
      </c>
      <c r="G45" s="243" t="str">
        <f>IFERROR(IF(compras_mes9[[#This Row],[CUIT]]="","-",VLOOKUP(compras_mes9[[#This Row],[CUIT]],Lista_CUIT[#All],2,0)),"CUIT NO CARGADO")</f>
        <v>Dadone Marco Polo</v>
      </c>
      <c r="H45" s="244">
        <v>34544.6298828125</v>
      </c>
      <c r="I45" s="85">
        <f>IF(compras_mes9[[#This Row],[NETO GRAVADO]]="","",compras_mes9[[#This Row],[NETO GRAVADO]]*0.21)</f>
        <v>7254.372275390625</v>
      </c>
      <c r="J45" s="245"/>
      <c r="K45" s="245"/>
      <c r="L45" s="245"/>
      <c r="M45" s="245"/>
      <c r="N45" s="245"/>
      <c r="O45" s="245"/>
      <c r="P45" s="246">
        <f>SUM(compras_mes9[[#This Row],[NETO GRAVADO]:[Otros / No Grav.]])</f>
        <v>41799.002158203126</v>
      </c>
      <c r="Q45" s="247" t="str">
        <f>IFERROR(IF(compras_mes9[[#This Row],[CUIT]]="","-",VLOOKUP(compras_mes9[[#This Row],[CUIT]],Lista_CUIT[#All],3,0)),"CUIT NO CARGADO")</f>
        <v>Gastos Varios</v>
      </c>
      <c r="R45" s="247">
        <f>IFERROR(IF(compras_mes9[[#This Row],[CUIT]]="","-",VLOOKUP(compras_mes9[[#This Row],[CUIT]],Lista_CUIT[#All],4,0)),"CUIT NO CARGADO")</f>
        <v>0</v>
      </c>
    </row>
    <row r="46" spans="2:18">
      <c r="B46" s="239" t="s">
        <v>2398</v>
      </c>
      <c r="C46" s="240">
        <v>1</v>
      </c>
      <c r="D46" s="241">
        <v>1</v>
      </c>
      <c r="E46" s="257">
        <v>2</v>
      </c>
      <c r="F46" s="242">
        <v>30718145534</v>
      </c>
      <c r="G46" s="243" t="str">
        <f>IFERROR(IF(compras_mes9[[#This Row],[CUIT]]="","-",VLOOKUP(compras_mes9[[#This Row],[CUIT]],Lista_CUIT[#All],2,0)),"CUIT NO CARGADO")</f>
        <v>Go Ideas SRL</v>
      </c>
      <c r="H46" s="46">
        <v>19832.999511718801</v>
      </c>
      <c r="I46" s="85">
        <f>IF(compras_mes9[[#This Row],[NETO GRAVADO]]="","",compras_mes9[[#This Row],[NETO GRAVADO]]*0.21)</f>
        <v>4164.9298974609483</v>
      </c>
      <c r="J46" s="245"/>
      <c r="K46" s="245"/>
      <c r="L46" s="245"/>
      <c r="M46" s="245"/>
      <c r="N46" s="245"/>
      <c r="O46" s="245"/>
      <c r="P46" s="246">
        <f>SUM(compras_mes9[[#This Row],[NETO GRAVADO]:[Otros / No Grav.]])</f>
        <v>23997.929409179749</v>
      </c>
      <c r="Q46" s="247" t="str">
        <f>IFERROR(IF(compras_mes9[[#This Row],[CUIT]]="","-",VLOOKUP(compras_mes9[[#This Row],[CUIT]],Lista_CUIT[#All],3,0)),"CUIT NO CARGADO")</f>
        <v>Gastos Varios</v>
      </c>
      <c r="R46" s="247">
        <f>IFERROR(IF(compras_mes9[[#This Row],[CUIT]]="","-",VLOOKUP(compras_mes9[[#This Row],[CUIT]],Lista_CUIT[#All],4,0)),"CUIT NO CARGADO")</f>
        <v>0</v>
      </c>
    </row>
    <row r="47" spans="2:18">
      <c r="B47" s="239" t="s">
        <v>2462</v>
      </c>
      <c r="C47" s="240">
        <v>1</v>
      </c>
      <c r="D47" s="241">
        <v>2215</v>
      </c>
      <c r="E47" s="257">
        <v>46475</v>
      </c>
      <c r="F47" s="242">
        <v>30548083156</v>
      </c>
      <c r="G47" s="243" t="str">
        <f>IFERROR(IF(compras_mes9[[#This Row],[CUIT]]="","-",VLOOKUP(compras_mes9[[#This Row],[CUIT]],Lista_CUIT[#All],2,0)),"CUIT NO CARGADO")</f>
        <v>COTO CENTRO INTEGRAL DE COMERCIALIZACION SOCIEDAD ANONIMA</v>
      </c>
      <c r="H47" s="46">
        <v>61851.17</v>
      </c>
      <c r="I47" s="85">
        <v>12584.36</v>
      </c>
      <c r="J47" s="245"/>
      <c r="K47" s="245">
        <v>202.19</v>
      </c>
      <c r="L47" s="245"/>
      <c r="M47" s="245"/>
      <c r="N47" s="245"/>
      <c r="O47" s="245">
        <v>5207.5600000000004</v>
      </c>
      <c r="P47" s="246">
        <f>SUM(compras_mes9[[#This Row],[NETO GRAVADO]:[Otros / No Grav.]])</f>
        <v>79845.279999999999</v>
      </c>
      <c r="Q47" s="247" t="str">
        <f>IFERROR(IF(compras_mes9[[#This Row],[CUIT]]="","-",VLOOKUP(compras_mes9[[#This Row],[CUIT]],Lista_CUIT[#All],3,0)),"CUIT NO CARGADO")</f>
        <v>Gastos Varios</v>
      </c>
      <c r="R47" s="247">
        <f>IFERROR(IF(compras_mes9[[#This Row],[CUIT]]="","-",VLOOKUP(compras_mes9[[#This Row],[CUIT]],Lista_CUIT[#All],4,0)),"CUIT NO CARGADO")</f>
        <v>0</v>
      </c>
    </row>
    <row r="48" spans="2:18">
      <c r="B48" s="239" t="s">
        <v>2450</v>
      </c>
      <c r="C48" s="240">
        <v>1</v>
      </c>
      <c r="D48" s="241">
        <v>2001</v>
      </c>
      <c r="E48" s="257">
        <v>981</v>
      </c>
      <c r="F48" s="242">
        <v>30712289046</v>
      </c>
      <c r="G48" s="243" t="str">
        <f>IFERROR(IF(compras_mes9[[#This Row],[CUIT]]="","-",VLOOKUP(compras_mes9[[#This Row],[CUIT]],Lista_CUIT[#All],2,0)),"CUIT NO CARGADO")</f>
        <v>IMPIERI PIÑEIRO RIZZO Y ASOC SA</v>
      </c>
      <c r="H48" s="244">
        <v>7099.59</v>
      </c>
      <c r="I48" s="85">
        <f>IF(compras_mes9[[#This Row],[NETO GRAVADO]]="","",compras_mes9[[#This Row],[NETO GRAVADO]]*0.21)</f>
        <v>1490.9139</v>
      </c>
      <c r="J48" s="245"/>
      <c r="K48" s="245"/>
      <c r="L48" s="245"/>
      <c r="M48" s="245"/>
      <c r="N48" s="245"/>
      <c r="O48" s="245">
        <v>1409.46</v>
      </c>
      <c r="P48" s="246">
        <f>SUM(compras_mes9[[#This Row],[NETO GRAVADO]:[Otros / No Grav.]])</f>
        <v>9999.9638999999988</v>
      </c>
      <c r="Q48" s="247" t="str">
        <f>IFERROR(IF(compras_mes9[[#This Row],[CUIT]]="","-",VLOOKUP(compras_mes9[[#This Row],[CUIT]],Lista_CUIT[#All],3,0)),"CUIT NO CARGADO")</f>
        <v>Gastos Varios</v>
      </c>
      <c r="R48" s="247">
        <f>IFERROR(IF(compras_mes9[[#This Row],[CUIT]]="","-",VLOOKUP(compras_mes9[[#This Row],[CUIT]],Lista_CUIT[#All],4,0)),"CUIT NO CARGADO")</f>
        <v>0</v>
      </c>
    </row>
    <row r="49" spans="2:18">
      <c r="B49" s="239" t="s">
        <v>2450</v>
      </c>
      <c r="C49" s="240">
        <v>1</v>
      </c>
      <c r="D49" s="241">
        <v>8</v>
      </c>
      <c r="E49" s="257">
        <v>1943</v>
      </c>
      <c r="F49" s="242">
        <v>20167931732</v>
      </c>
      <c r="G49" s="243" t="str">
        <f>IFERROR(IF(compras_mes9[[#This Row],[CUIT]]="","-",VLOOKUP(compras_mes9[[#This Row],[CUIT]],Lista_CUIT[#All],2,0)),"CUIT NO CARGADO")</f>
        <v>MEDICINA RICARDO FLORENCIO</v>
      </c>
      <c r="H49" s="95">
        <v>8677.69</v>
      </c>
      <c r="I49" s="85">
        <f>IF(compras_mes9[[#This Row],[NETO GRAVADO]]="","",compras_mes9[[#This Row],[NETO GRAVADO]]*0.21)</f>
        <v>1822.3149000000001</v>
      </c>
      <c r="J49" s="85"/>
      <c r="K49" s="85"/>
      <c r="L49" s="85"/>
      <c r="M49" s="85"/>
      <c r="N49" s="85"/>
      <c r="O49" s="85"/>
      <c r="P49" s="48">
        <f>SUM(compras_mes9[[#This Row],[NETO GRAVADO]:[Otros / No Grav.]])</f>
        <v>10500.0049</v>
      </c>
      <c r="Q49" s="247" t="str">
        <f>IFERROR(IF(compras_mes9[[#This Row],[CUIT]]="","-",VLOOKUP(compras_mes9[[#This Row],[CUIT]],Lista_CUIT[#All],3,0)),"CUIT NO CARGADO")</f>
        <v>Gastos Varios</v>
      </c>
      <c r="R49" s="247">
        <f>IFERROR(IF(compras_mes9[[#This Row],[CUIT]]="","-",VLOOKUP(compras_mes9[[#This Row],[CUIT]],Lista_CUIT[#All],4,0)),"CUIT NO CARGADO")</f>
        <v>0</v>
      </c>
    </row>
    <row r="50" spans="2:18">
      <c r="B50" s="239" t="s">
        <v>2450</v>
      </c>
      <c r="C50" s="240">
        <v>1</v>
      </c>
      <c r="D50" s="241">
        <v>2084</v>
      </c>
      <c r="E50" s="257">
        <v>24578</v>
      </c>
      <c r="F50" s="242">
        <v>30548083156</v>
      </c>
      <c r="G50" s="243" t="str">
        <f>IFERROR(IF(compras_mes9[[#This Row],[CUIT]]="","-",VLOOKUP(compras_mes9[[#This Row],[CUIT]],Lista_CUIT[#All],2,0)),"CUIT NO CARGADO")</f>
        <v>COTO CENTRO INTEGRAL DE COMERCIALIZACION SOCIEDAD ANONIMA</v>
      </c>
      <c r="H50" s="244">
        <v>50278.720000000001</v>
      </c>
      <c r="I50" s="85">
        <v>9595.48</v>
      </c>
      <c r="J50" s="245"/>
      <c r="K50" s="245">
        <v>481.53</v>
      </c>
      <c r="L50" s="245"/>
      <c r="M50" s="245"/>
      <c r="N50" s="245"/>
      <c r="O50" s="245">
        <v>4178.04</v>
      </c>
      <c r="P50" s="246">
        <f>SUM(compras_mes9[[#This Row],[NETO GRAVADO]:[Otros / No Grav.]])</f>
        <v>64533.77</v>
      </c>
      <c r="Q50" s="247" t="str">
        <f>IFERROR(IF(compras_mes9[[#This Row],[CUIT]]="","-",VLOOKUP(compras_mes9[[#This Row],[CUIT]],Lista_CUIT[#All],3,0)),"CUIT NO CARGADO")</f>
        <v>Gastos Varios</v>
      </c>
      <c r="R50" s="247">
        <f>IFERROR(IF(compras_mes9[[#This Row],[CUIT]]="","-",VLOOKUP(compras_mes9[[#This Row],[CUIT]],Lista_CUIT[#All],4,0)),"CUIT NO CARGADO")</f>
        <v>0</v>
      </c>
    </row>
    <row r="51" spans="2:18">
      <c r="B51" s="239" t="s">
        <v>2450</v>
      </c>
      <c r="C51" s="240">
        <v>1</v>
      </c>
      <c r="D51" s="241">
        <v>2188</v>
      </c>
      <c r="E51" s="257">
        <v>129702</v>
      </c>
      <c r="F51" s="242">
        <v>30548083156</v>
      </c>
      <c r="G51" s="243" t="str">
        <f>IFERROR(IF(compras_mes9[[#This Row],[CUIT]]="","-",VLOOKUP(compras_mes9[[#This Row],[CUIT]],Lista_CUIT[#All],2,0)),"CUIT NO CARGADO")</f>
        <v>COTO CENTRO INTEGRAL DE COMERCIALIZACION SOCIEDAD ANONIMA</v>
      </c>
      <c r="H51" s="95">
        <v>91988.62</v>
      </c>
      <c r="I51" s="85">
        <v>15280.92</v>
      </c>
      <c r="J51" s="85"/>
      <c r="K51" s="85">
        <v>2018.34</v>
      </c>
      <c r="L51" s="85"/>
      <c r="M51" s="85"/>
      <c r="N51" s="85"/>
      <c r="O51" s="85">
        <v>7329.57</v>
      </c>
      <c r="P51" s="48">
        <f>SUM(compras_mes9[[#This Row],[NETO GRAVADO]:[Otros / No Grav.]])</f>
        <v>116617.44999999998</v>
      </c>
      <c r="Q51" s="247" t="str">
        <f>IFERROR(IF(compras_mes9[[#This Row],[CUIT]]="","-",VLOOKUP(compras_mes9[[#This Row],[CUIT]],Lista_CUIT[#All],3,0)),"CUIT NO CARGADO")</f>
        <v>Gastos Varios</v>
      </c>
      <c r="R51" s="247">
        <f>IFERROR(IF(compras_mes9[[#This Row],[CUIT]]="","-",VLOOKUP(compras_mes9[[#This Row],[CUIT]],Lista_CUIT[#All],4,0)),"CUIT NO CARGADO")</f>
        <v>0</v>
      </c>
    </row>
    <row r="52" spans="2:18">
      <c r="B52" s="239" t="s">
        <v>2452</v>
      </c>
      <c r="C52" s="240">
        <v>1</v>
      </c>
      <c r="D52" s="241">
        <v>11039</v>
      </c>
      <c r="E52" s="257">
        <v>1561</v>
      </c>
      <c r="F52" s="242">
        <v>30590360763</v>
      </c>
      <c r="G52" s="243" t="str">
        <f>IFERROR(IF(compras_mes9[[#This Row],[CUIT]]="","-",VLOOKUP(compras_mes9[[#This Row],[CUIT]],Lista_CUIT[#All],2,0)),"CUIT NO CARGADO")</f>
        <v>CENCOSUD S.A</v>
      </c>
      <c r="H52" s="95">
        <v>16098.35</v>
      </c>
      <c r="I52" s="85">
        <f>IF(compras_mes9[[#This Row],[NETO GRAVADO]]="","",compras_mes9[[#This Row],[NETO GRAVADO]]*0.21)</f>
        <v>3380.6534999999999</v>
      </c>
      <c r="J52" s="85"/>
      <c r="K52" s="85"/>
      <c r="L52" s="85">
        <v>482.95</v>
      </c>
      <c r="M52" s="85">
        <v>965.9</v>
      </c>
      <c r="N52" s="85"/>
      <c r="O52" s="85"/>
      <c r="P52" s="48">
        <f>SUM(compras_mes9[[#This Row],[NETO GRAVADO]:[Otros / No Grav.]])</f>
        <v>20927.853500000001</v>
      </c>
      <c r="Q52" s="247" t="str">
        <f>IFERROR(IF(compras_mes9[[#This Row],[CUIT]]="","-",VLOOKUP(compras_mes9[[#This Row],[CUIT]],Lista_CUIT[#All],3,0)),"CUIT NO CARGADO")</f>
        <v>Gastos Varios</v>
      </c>
      <c r="R52" s="247">
        <f>IFERROR(IF(compras_mes9[[#This Row],[CUIT]]="","-",VLOOKUP(compras_mes9[[#This Row],[CUIT]],Lista_CUIT[#All],4,0)),"CUIT NO CARGADO")</f>
        <v>0</v>
      </c>
    </row>
    <row r="53" spans="2:18">
      <c r="B53" s="239" t="s">
        <v>2408</v>
      </c>
      <c r="C53" s="240">
        <v>1</v>
      </c>
      <c r="D53" s="241">
        <v>2</v>
      </c>
      <c r="E53" s="257">
        <v>8583</v>
      </c>
      <c r="F53" s="242">
        <v>30714284963</v>
      </c>
      <c r="G53" s="243" t="str">
        <f>IFERROR(IF(compras_mes9[[#This Row],[CUIT]]="","-",VLOOKUP(compras_mes9[[#This Row],[CUIT]],Lista_CUIT[#All],2,0)),"CUIT NO CARGADO")</f>
        <v>ENGYMAN SRL</v>
      </c>
      <c r="H53" s="46">
        <v>179000</v>
      </c>
      <c r="I53" s="85">
        <f>IF(compras_mes9[[#This Row],[NETO GRAVADO]]="","",compras_mes9[[#This Row],[NETO GRAVADO]]*0.21)</f>
        <v>37590</v>
      </c>
      <c r="J53" s="245"/>
      <c r="K53" s="245"/>
      <c r="L53" s="245"/>
      <c r="M53" s="245"/>
      <c r="N53" s="245"/>
      <c r="O53" s="245"/>
      <c r="P53" s="246">
        <f>SUM(compras_mes9[[#This Row],[NETO GRAVADO]:[Otros / No Grav.]])</f>
        <v>216590</v>
      </c>
      <c r="Q53" s="247" t="str">
        <f>IFERROR(IF(compras_mes9[[#This Row],[CUIT]]="","-",VLOOKUP(compras_mes9[[#This Row],[CUIT]],Lista_CUIT[#All],3,0)),"CUIT NO CARGADO")</f>
        <v>Gastos Varios</v>
      </c>
      <c r="R53" s="247">
        <f>IFERROR(IF(compras_mes9[[#This Row],[CUIT]]="","-",VLOOKUP(compras_mes9[[#This Row],[CUIT]],Lista_CUIT[#All],4,0)),"CUIT NO CARGADO")</f>
        <v>0</v>
      </c>
    </row>
    <row r="54" spans="2:18">
      <c r="B54" s="239" t="s">
        <v>2408</v>
      </c>
      <c r="C54" s="240">
        <v>1</v>
      </c>
      <c r="D54" s="241">
        <v>4</v>
      </c>
      <c r="E54" s="257">
        <v>9431</v>
      </c>
      <c r="F54" s="242">
        <v>20337162879</v>
      </c>
      <c r="G54" s="243" t="str">
        <f>IFERROR(IF(compras_mes9[[#This Row],[CUIT]]="","-",VLOOKUP(compras_mes9[[#This Row],[CUIT]],Lista_CUIT[#All],2,0)),"CUIT NO CARGADO")</f>
        <v>PELAEZ ESTEBAN CRUZ</v>
      </c>
      <c r="H54" s="46">
        <v>85628.220703125</v>
      </c>
      <c r="I54" s="85">
        <f>IF(compras_mes9[[#This Row],[NETO GRAVADO]]="","",compras_mes9[[#This Row],[NETO GRAVADO]]*0.21)</f>
        <v>17981.926347656248</v>
      </c>
      <c r="J54" s="245"/>
      <c r="K54" s="245"/>
      <c r="L54" s="245"/>
      <c r="M54" s="245"/>
      <c r="N54" s="245"/>
      <c r="O54" s="245"/>
      <c r="P54" s="246">
        <f>SUM(compras_mes9[[#This Row],[NETO GRAVADO]:[Otros / No Grav.]])</f>
        <v>103610.14705078125</v>
      </c>
      <c r="Q54" s="247" t="str">
        <f>IFERROR(IF(compras_mes9[[#This Row],[CUIT]]="","-",VLOOKUP(compras_mes9[[#This Row],[CUIT]],Lista_CUIT[#All],3,0)),"CUIT NO CARGADO")</f>
        <v>Gastos Varios</v>
      </c>
      <c r="R54" s="247">
        <f>IFERROR(IF(compras_mes9[[#This Row],[CUIT]]="","-",VLOOKUP(compras_mes9[[#This Row],[CUIT]],Lista_CUIT[#All],4,0)),"CUIT NO CARGADO")</f>
        <v>0</v>
      </c>
    </row>
    <row r="55" spans="2:18">
      <c r="B55" s="239" t="s">
        <v>2451</v>
      </c>
      <c r="C55" s="240">
        <v>1</v>
      </c>
      <c r="D55" s="241">
        <v>4</v>
      </c>
      <c r="E55" s="257">
        <v>1478</v>
      </c>
      <c r="F55" s="242">
        <v>20141890159</v>
      </c>
      <c r="G55" s="243" t="str">
        <f>IFERROR(IF(compras_mes9[[#This Row],[CUIT]]="","-",VLOOKUP(compras_mes9[[#This Row],[CUIT]],Lista_CUIT[#All],2,0)),"CUIT NO CARGADO")</f>
        <v>GARBARSKY JAIME GERARDO</v>
      </c>
      <c r="H55" s="46">
        <v>11570.25</v>
      </c>
      <c r="I55" s="85">
        <f>IF(compras_mes9[[#This Row],[NETO GRAVADO]]="","",compras_mes9[[#This Row],[NETO GRAVADO]]*0.21)</f>
        <v>2429.7525000000001</v>
      </c>
      <c r="J55" s="245"/>
      <c r="K55" s="245"/>
      <c r="L55" s="245"/>
      <c r="M55" s="245"/>
      <c r="N55" s="245"/>
      <c r="O55" s="245"/>
      <c r="P55" s="246">
        <f>SUM(compras_mes9[[#This Row],[NETO GRAVADO]:[Otros / No Grav.]])</f>
        <v>14000.002500000001</v>
      </c>
      <c r="Q55" s="247" t="str">
        <f>IFERROR(IF(compras_mes9[[#This Row],[CUIT]]="","-",VLOOKUP(compras_mes9[[#This Row],[CUIT]],Lista_CUIT[#All],3,0)),"CUIT NO CARGADO")</f>
        <v>Gastos Varios</v>
      </c>
      <c r="R55" s="247">
        <f>IFERROR(IF(compras_mes9[[#This Row],[CUIT]]="","-",VLOOKUP(compras_mes9[[#This Row],[CUIT]],Lista_CUIT[#All],4,0)),"CUIT NO CARGADO")</f>
        <v>0</v>
      </c>
    </row>
    <row r="56" spans="2:18">
      <c r="B56" s="239" t="s">
        <v>2451</v>
      </c>
      <c r="C56" s="240">
        <v>1</v>
      </c>
      <c r="D56" s="241">
        <v>1679</v>
      </c>
      <c r="E56" s="257">
        <v>8605</v>
      </c>
      <c r="F56" s="242">
        <v>30589621499</v>
      </c>
      <c r="G56" s="243" t="str">
        <f>IFERROR(IF(compras_mes9[[#This Row],[CUIT]]="","-",VLOOKUP(compras_mes9[[#This Row],[CUIT]],Lista_CUIT[#All],2,0)),"CUIT NO CARGADO")</f>
        <v>MAKRO SA</v>
      </c>
      <c r="H56" s="244">
        <v>33937.24</v>
      </c>
      <c r="I56" s="85">
        <v>6712.9</v>
      </c>
      <c r="J56" s="245"/>
      <c r="K56" s="245">
        <v>206.96</v>
      </c>
      <c r="L56" s="245">
        <v>988.56</v>
      </c>
      <c r="M56" s="245"/>
      <c r="N56" s="245">
        <v>2036.23</v>
      </c>
      <c r="O56" s="245"/>
      <c r="P56" s="246">
        <f>SUM(compras_mes9[[#This Row],[NETO GRAVADO]:[Otros / No Grav.]])</f>
        <v>43881.89</v>
      </c>
      <c r="Q56" s="247" t="str">
        <f>IFERROR(IF(compras_mes9[[#This Row],[CUIT]]="","-",VLOOKUP(compras_mes9[[#This Row],[CUIT]],Lista_CUIT[#All],3,0)),"CUIT NO CARGADO")</f>
        <v>Gastos Varios</v>
      </c>
      <c r="R56" s="247">
        <f>IFERROR(IF(compras_mes9[[#This Row],[CUIT]]="","-",VLOOKUP(compras_mes9[[#This Row],[CUIT]],Lista_CUIT[#All],4,0)),"CUIT NO CARGADO")</f>
        <v>0</v>
      </c>
    </row>
    <row r="57" spans="2:18">
      <c r="B57" s="239" t="s">
        <v>2457</v>
      </c>
      <c r="C57" s="240">
        <v>1</v>
      </c>
      <c r="D57" s="241">
        <v>2188</v>
      </c>
      <c r="E57" s="257">
        <v>129995</v>
      </c>
      <c r="F57" s="242">
        <v>30548083156</v>
      </c>
      <c r="G57" s="243" t="str">
        <f>IFERROR(IF(compras_mes9[[#This Row],[CUIT]]="","-",VLOOKUP(compras_mes9[[#This Row],[CUIT]],Lista_CUIT[#All],2,0)),"CUIT NO CARGADO")</f>
        <v>COTO CENTRO INTEGRAL DE COMERCIALIZACION SOCIEDAD ANONIMA</v>
      </c>
      <c r="H57" s="95">
        <v>40799.599999999999</v>
      </c>
      <c r="I57" s="85">
        <v>7076.78</v>
      </c>
      <c r="J57" s="85"/>
      <c r="K57" s="85">
        <v>745.57</v>
      </c>
      <c r="L57" s="85"/>
      <c r="M57" s="85"/>
      <c r="N57" s="85"/>
      <c r="O57" s="85">
        <v>3438.42</v>
      </c>
      <c r="P57" s="48">
        <f>SUM(compras_mes9[[#This Row],[NETO GRAVADO]:[Otros / No Grav.]])</f>
        <v>52060.369999999995</v>
      </c>
      <c r="Q57" s="247" t="str">
        <f>IFERROR(IF(compras_mes9[[#This Row],[CUIT]]="","-",VLOOKUP(compras_mes9[[#This Row],[CUIT]],Lista_CUIT[#All],3,0)),"CUIT NO CARGADO")</f>
        <v>Gastos Varios</v>
      </c>
      <c r="R57" s="247">
        <f>IFERROR(IF(compras_mes9[[#This Row],[CUIT]]="","-",VLOOKUP(compras_mes9[[#This Row],[CUIT]],Lista_CUIT[#All],4,0)),"CUIT NO CARGADO")</f>
        <v>0</v>
      </c>
    </row>
    <row r="58" spans="2:18">
      <c r="B58" s="239" t="s">
        <v>2409</v>
      </c>
      <c r="C58" s="240">
        <v>1</v>
      </c>
      <c r="D58" s="241">
        <v>2</v>
      </c>
      <c r="E58" s="257">
        <v>1010</v>
      </c>
      <c r="F58" s="242">
        <v>20316477110</v>
      </c>
      <c r="G58" s="243" t="str">
        <f>IFERROR(IF(compras_mes9[[#This Row],[CUIT]]="","-",VLOOKUP(compras_mes9[[#This Row],[CUIT]],Lista_CUIT[#All],2,0)),"CUIT NO CARGADO")</f>
        <v xml:space="preserve">JARCHUM NICOLAS </v>
      </c>
      <c r="H58" s="95">
        <v>17760.3293457031</v>
      </c>
      <c r="I58" s="85">
        <f>IF(compras_mes9[[#This Row],[NETO GRAVADO]]="","",compras_mes9[[#This Row],[NETO GRAVADO]]*0.21)</f>
        <v>3729.6691625976509</v>
      </c>
      <c r="J58" s="245"/>
      <c r="K58" s="245"/>
      <c r="L58" s="245"/>
      <c r="M58" s="245"/>
      <c r="N58" s="245"/>
      <c r="O58" s="245"/>
      <c r="P58" s="246">
        <f>SUM(compras_mes9[[#This Row],[NETO GRAVADO]:[Otros / No Grav.]])</f>
        <v>21489.998508300749</v>
      </c>
      <c r="Q58" s="247" t="str">
        <f>IFERROR(IF(compras_mes9[[#This Row],[CUIT]]="","-",VLOOKUP(compras_mes9[[#This Row],[CUIT]],Lista_CUIT[#All],3,0)),"CUIT NO CARGADO")</f>
        <v>Gastos Varios</v>
      </c>
      <c r="R58" s="247">
        <f>IFERROR(IF(compras_mes9[[#This Row],[CUIT]]="","-",VLOOKUP(compras_mes9[[#This Row],[CUIT]],Lista_CUIT[#All],4,0)),"CUIT NO CARGADO")</f>
        <v>0</v>
      </c>
    </row>
    <row r="59" spans="2:18" ht="15" customHeight="1">
      <c r="B59" s="239" t="s">
        <v>2456</v>
      </c>
      <c r="C59" s="240">
        <v>1</v>
      </c>
      <c r="D59" s="241">
        <v>1907</v>
      </c>
      <c r="E59" s="257">
        <v>8625</v>
      </c>
      <c r="F59" s="242">
        <v>30589621499</v>
      </c>
      <c r="G59" s="243" t="str">
        <f>IFERROR(IF(compras_mes9[[#This Row],[CUIT]]="","-",VLOOKUP(compras_mes9[[#This Row],[CUIT]],Lista_CUIT[#All],2,0)),"CUIT NO CARGADO")</f>
        <v>MAKRO SA</v>
      </c>
      <c r="H59" s="244">
        <v>266771</v>
      </c>
      <c r="I59" s="85">
        <v>55579.15</v>
      </c>
      <c r="J59" s="245"/>
      <c r="K59" s="245">
        <v>221.38</v>
      </c>
      <c r="L59" s="245">
        <v>7971.51</v>
      </c>
      <c r="M59" s="245"/>
      <c r="N59" s="245">
        <v>16006.26</v>
      </c>
      <c r="O59" s="245">
        <v>327.06</v>
      </c>
      <c r="P59" s="246">
        <f>SUM(compras_mes9[[#This Row],[NETO GRAVADO]:[Otros / No Grav.]])</f>
        <v>346876.36000000004</v>
      </c>
      <c r="Q59" s="247" t="str">
        <f>IFERROR(IF(compras_mes9[[#This Row],[CUIT]]="","-",VLOOKUP(compras_mes9[[#This Row],[CUIT]],Lista_CUIT[#All],3,0)),"CUIT NO CARGADO")</f>
        <v>Gastos Varios</v>
      </c>
      <c r="R59" s="247">
        <f>IFERROR(IF(compras_mes9[[#This Row],[CUIT]]="","-",VLOOKUP(compras_mes9[[#This Row],[CUIT]],Lista_CUIT[#All],4,0)),"CUIT NO CARGADO")</f>
        <v>0</v>
      </c>
    </row>
    <row r="60" spans="2:18" ht="15" customHeight="1">
      <c r="B60" s="239" t="s">
        <v>2456</v>
      </c>
      <c r="C60" s="240">
        <v>1</v>
      </c>
      <c r="D60" s="241">
        <v>2199</v>
      </c>
      <c r="E60" s="257">
        <v>32010</v>
      </c>
      <c r="F60" s="242">
        <v>30548083156</v>
      </c>
      <c r="G60" s="243" t="str">
        <f>IFERROR(IF(compras_mes9[[#This Row],[CUIT]]="","-",VLOOKUP(compras_mes9[[#This Row],[CUIT]],Lista_CUIT[#All],2,0)),"CUIT NO CARGADO")</f>
        <v>COTO CENTRO INTEGRAL DE COMERCIALIZACION SOCIEDAD ANONIMA</v>
      </c>
      <c r="H60" s="95">
        <v>62699.73</v>
      </c>
      <c r="I60" s="85">
        <v>11727.48</v>
      </c>
      <c r="J60" s="85"/>
      <c r="K60" s="85">
        <v>719.73</v>
      </c>
      <c r="L60" s="85"/>
      <c r="M60" s="85"/>
      <c r="N60" s="85"/>
      <c r="O60" s="85">
        <v>4871.18</v>
      </c>
      <c r="P60" s="48">
        <f>SUM(compras_mes9[[#This Row],[NETO GRAVADO]:[Otros / No Grav.]])</f>
        <v>80018.12</v>
      </c>
      <c r="Q60" s="247" t="str">
        <f>IFERROR(IF(compras_mes9[[#This Row],[CUIT]]="","-",VLOOKUP(compras_mes9[[#This Row],[CUIT]],Lista_CUIT[#All],3,0)),"CUIT NO CARGADO")</f>
        <v>Gastos Varios</v>
      </c>
      <c r="R60" s="247">
        <f>IFERROR(IF(compras_mes9[[#This Row],[CUIT]]="","-",VLOOKUP(compras_mes9[[#This Row],[CUIT]],Lista_CUIT[#All],4,0)),"CUIT NO CARGADO")</f>
        <v>0</v>
      </c>
    </row>
    <row r="61" spans="2:18" ht="15" customHeight="1">
      <c r="B61" s="239" t="s">
        <v>2456</v>
      </c>
      <c r="C61" s="240">
        <v>1</v>
      </c>
      <c r="D61" s="241">
        <v>2188</v>
      </c>
      <c r="E61" s="257">
        <v>130217</v>
      </c>
      <c r="F61" s="242">
        <v>30548083156</v>
      </c>
      <c r="G61" s="243" t="str">
        <f>IFERROR(IF(compras_mes9[[#This Row],[CUIT]]="","-",VLOOKUP(compras_mes9[[#This Row],[CUIT]],Lista_CUIT[#All],2,0)),"CUIT NO CARGADO")</f>
        <v>COTO CENTRO INTEGRAL DE COMERCIALIZACION SOCIEDAD ANONIMA</v>
      </c>
      <c r="H61" s="46">
        <v>65661.279999999999</v>
      </c>
      <c r="I61" s="85">
        <v>9586.2999999999993</v>
      </c>
      <c r="J61" s="245"/>
      <c r="K61" s="245">
        <v>2101.2800000000002</v>
      </c>
      <c r="L61" s="245"/>
      <c r="M61" s="245"/>
      <c r="N61" s="245"/>
      <c r="O61" s="245">
        <v>4660.46</v>
      </c>
      <c r="P61" s="246">
        <f>SUM(compras_mes9[[#This Row],[NETO GRAVADO]:[Otros / No Grav.]])</f>
        <v>82009.320000000007</v>
      </c>
      <c r="Q61" s="247" t="str">
        <f>IFERROR(IF(compras_mes9[[#This Row],[CUIT]]="","-",VLOOKUP(compras_mes9[[#This Row],[CUIT]],Lista_CUIT[#All],3,0)),"CUIT NO CARGADO")</f>
        <v>Gastos Varios</v>
      </c>
      <c r="R61" s="247">
        <f>IFERROR(IF(compras_mes9[[#This Row],[CUIT]]="","-",VLOOKUP(compras_mes9[[#This Row],[CUIT]],Lista_CUIT[#All],4,0)),"CUIT NO CARGADO")</f>
        <v>0</v>
      </c>
    </row>
    <row r="62" spans="2:18" ht="15" customHeight="1">
      <c r="B62" s="239" t="s">
        <v>2453</v>
      </c>
      <c r="C62" s="240">
        <v>1</v>
      </c>
      <c r="D62" s="241">
        <v>4</v>
      </c>
      <c r="E62" s="257">
        <v>2136</v>
      </c>
      <c r="F62" s="242">
        <v>23177130079</v>
      </c>
      <c r="G62" s="243" t="str">
        <f>IFERROR(IF(compras_mes9[[#This Row],[CUIT]]="","-",VLOOKUP(compras_mes9[[#This Row],[CUIT]],Lista_CUIT[#All],2,0)),"CUIT NO CARGADO")</f>
        <v>NATALI HUGO ARIEL</v>
      </c>
      <c r="H62" s="46">
        <v>12396.69</v>
      </c>
      <c r="I62" s="85">
        <f>IF(compras_mes9[[#This Row],[NETO GRAVADO]]="","",compras_mes9[[#This Row],[NETO GRAVADO]]*0.21)</f>
        <v>2603.3049000000001</v>
      </c>
      <c r="J62" s="245"/>
      <c r="K62" s="245"/>
      <c r="L62" s="245"/>
      <c r="M62" s="245"/>
      <c r="N62" s="245"/>
      <c r="O62" s="245"/>
      <c r="P62" s="246">
        <f>SUM(compras_mes9[[#This Row],[NETO GRAVADO]:[Otros / No Grav.]])</f>
        <v>14999.994900000002</v>
      </c>
      <c r="Q62" s="247" t="str">
        <f>IFERROR(IF(compras_mes9[[#This Row],[CUIT]]="","-",VLOOKUP(compras_mes9[[#This Row],[CUIT]],Lista_CUIT[#All],3,0)),"CUIT NO CARGADO")</f>
        <v>Gastos Varios</v>
      </c>
      <c r="R62" s="247">
        <f>IFERROR(IF(compras_mes9[[#This Row],[CUIT]]="","-",VLOOKUP(compras_mes9[[#This Row],[CUIT]],Lista_CUIT[#All],4,0)),"CUIT NO CARGADO")</f>
        <v>0</v>
      </c>
    </row>
    <row r="63" spans="2:18" ht="15" customHeight="1">
      <c r="B63" s="239" t="s">
        <v>2454</v>
      </c>
      <c r="C63" s="240">
        <v>1</v>
      </c>
      <c r="D63" s="241">
        <v>8997</v>
      </c>
      <c r="E63" s="257">
        <v>2562</v>
      </c>
      <c r="F63" s="242">
        <v>30590360763</v>
      </c>
      <c r="G63" s="243" t="str">
        <f>IFERROR(IF(compras_mes9[[#This Row],[CUIT]]="","-",VLOOKUP(compras_mes9[[#This Row],[CUIT]],Lista_CUIT[#All],2,0)),"CUIT NO CARGADO")</f>
        <v>CENCOSUD S.A</v>
      </c>
      <c r="H63" s="244">
        <v>4698.3500000000004</v>
      </c>
      <c r="I63" s="85">
        <f>IF(compras_mes9[[#This Row],[NETO GRAVADO]]="","",compras_mes9[[#This Row],[NETO GRAVADO]]*0.21)</f>
        <v>986.65350000000001</v>
      </c>
      <c r="J63" s="245"/>
      <c r="K63" s="245"/>
      <c r="L63" s="245">
        <v>140.94999999999999</v>
      </c>
      <c r="M63" s="245"/>
      <c r="N63" s="245">
        <v>281.89999999999998</v>
      </c>
      <c r="O63" s="245"/>
      <c r="P63" s="246">
        <f>SUM(compras_mes9[[#This Row],[NETO GRAVADO]:[Otros / No Grav.]])</f>
        <v>6107.8535000000002</v>
      </c>
      <c r="Q63" s="247" t="str">
        <f>IFERROR(IF(compras_mes9[[#This Row],[CUIT]]="","-",VLOOKUP(compras_mes9[[#This Row],[CUIT]],Lista_CUIT[#All],3,0)),"CUIT NO CARGADO")</f>
        <v>Gastos Varios</v>
      </c>
      <c r="R63" s="247">
        <f>IFERROR(IF(compras_mes9[[#This Row],[CUIT]]="","-",VLOOKUP(compras_mes9[[#This Row],[CUIT]],Lista_CUIT[#All],4,0)),"CUIT NO CARGADO")</f>
        <v>0</v>
      </c>
    </row>
    <row r="64" spans="2:18" ht="15" customHeight="1">
      <c r="B64" s="239" t="s">
        <v>2412</v>
      </c>
      <c r="C64" s="240">
        <v>1</v>
      </c>
      <c r="D64" s="241">
        <v>1</v>
      </c>
      <c r="E64" s="257">
        <v>1549</v>
      </c>
      <c r="F64" s="242">
        <v>30718386515</v>
      </c>
      <c r="G64" s="243" t="str">
        <f>IFERROR(IF(compras_mes9[[#This Row],[CUIT]]="","-",VLOOKUP(compras_mes9[[#This Row],[CUIT]],Lista_CUIT[#All],2,0)),"CUIT NO CARGADO")</f>
        <v>UTITES SRL</v>
      </c>
      <c r="H64" s="95">
        <v>41322.3017578125</v>
      </c>
      <c r="I64" s="85">
        <f>IF(compras_mes9[[#This Row],[NETO GRAVADO]]="","",compras_mes9[[#This Row],[NETO GRAVADO]]*0.21)</f>
        <v>8677.6833691406246</v>
      </c>
      <c r="J64" s="85"/>
      <c r="K64" s="85"/>
      <c r="L64" s="85"/>
      <c r="M64" s="85"/>
      <c r="N64" s="85"/>
      <c r="O64" s="85"/>
      <c r="P64" s="48">
        <f>SUM(compras_mes9[[#This Row],[NETO GRAVADO]:[Otros / No Grav.]])</f>
        <v>49999.985126953121</v>
      </c>
      <c r="Q64" s="247" t="str">
        <f>IFERROR(IF(compras_mes9[[#This Row],[CUIT]]="","-",VLOOKUP(compras_mes9[[#This Row],[CUIT]],Lista_CUIT[#All],3,0)),"CUIT NO CARGADO")</f>
        <v>Gastos Varios</v>
      </c>
      <c r="R64" s="247">
        <f>IFERROR(IF(compras_mes9[[#This Row],[CUIT]]="","-",VLOOKUP(compras_mes9[[#This Row],[CUIT]],Lista_CUIT[#All],4,0)),"CUIT NO CARGADO")</f>
        <v>0</v>
      </c>
    </row>
    <row r="65" spans="2:18" ht="15" customHeight="1">
      <c r="B65" s="602" t="s">
        <v>2414</v>
      </c>
      <c r="C65" s="603">
        <v>1</v>
      </c>
      <c r="D65" s="604">
        <v>1</v>
      </c>
      <c r="E65" s="605">
        <v>217</v>
      </c>
      <c r="F65" s="606">
        <v>20302234389</v>
      </c>
      <c r="G65" s="607" t="str">
        <f>IFERROR(IF(compras_mes9[[#This Row],[CUIT]]="","-",VLOOKUP(compras_mes9[[#This Row],[CUIT]],Lista_CUIT[#All],2,0)),"CUIT NO CARGADO")</f>
        <v>VIGORELLI GUILLERMO DANIEL</v>
      </c>
      <c r="H65" s="612">
        <v>160000</v>
      </c>
      <c r="I65" s="609">
        <f>IF(compras_mes9[[#This Row],[NETO GRAVADO]]="","",compras_mes9[[#This Row],[NETO GRAVADO]]*0.21)</f>
        <v>33600</v>
      </c>
      <c r="J65" s="613"/>
      <c r="K65" s="613"/>
      <c r="L65" s="613"/>
      <c r="M65" s="613"/>
      <c r="N65" s="613"/>
      <c r="O65" s="613"/>
      <c r="P65" s="614">
        <f>SUM(compras_mes9[[#This Row],[NETO GRAVADO]:[Otros / No Grav.]])</f>
        <v>193600</v>
      </c>
      <c r="Q65" s="611" t="str">
        <f>IFERROR(IF(compras_mes9[[#This Row],[CUIT]]="","-",VLOOKUP(compras_mes9[[#This Row],[CUIT]],Lista_CUIT[#All],3,0)),"CUIT NO CARGADO")</f>
        <v>Gastos Varios</v>
      </c>
      <c r="R65" s="611">
        <f>IFERROR(IF(compras_mes9[[#This Row],[CUIT]]="","-",VLOOKUP(compras_mes9[[#This Row],[CUIT]],Lista_CUIT[#All],4,0)),"CUIT NO CARGADO")</f>
        <v>0</v>
      </c>
    </row>
    <row r="66" spans="2:18" ht="15" customHeight="1">
      <c r="B66" s="239" t="s">
        <v>2436</v>
      </c>
      <c r="C66" s="240">
        <v>1</v>
      </c>
      <c r="D66" s="241">
        <v>1677</v>
      </c>
      <c r="E66" s="257">
        <v>52636</v>
      </c>
      <c r="F66" s="242">
        <v>30589621499</v>
      </c>
      <c r="G66" s="243" t="str">
        <f>IFERROR(IF(compras_mes9[[#This Row],[CUIT]]="","-",VLOOKUP(compras_mes9[[#This Row],[CUIT]],Lista_CUIT[#All],2,0)),"CUIT NO CARGADO")</f>
        <v>MAKRO SA</v>
      </c>
      <c r="H66" s="244">
        <v>75774.490000000005</v>
      </c>
      <c r="I66" s="85">
        <v>15742.69</v>
      </c>
      <c r="J66" s="245"/>
      <c r="K66" s="245">
        <v>84.98</v>
      </c>
      <c r="L66" s="245">
        <v>2261.1</v>
      </c>
      <c r="M66" s="245"/>
      <c r="N66" s="245">
        <v>4546.47</v>
      </c>
      <c r="O66" s="245">
        <v>31.49</v>
      </c>
      <c r="P66" s="246">
        <f>SUM(compras_mes9[[#This Row],[NETO GRAVADO]:[Otros / No Grav.]])</f>
        <v>98441.220000000016</v>
      </c>
      <c r="Q66" s="247" t="str">
        <f>IFERROR(IF(compras_mes9[[#This Row],[CUIT]]="","-",VLOOKUP(compras_mes9[[#This Row],[CUIT]],Lista_CUIT[#All],3,0)),"CUIT NO CARGADO")</f>
        <v>Gastos Varios</v>
      </c>
      <c r="R66" s="247">
        <f>IFERROR(IF(compras_mes9[[#This Row],[CUIT]]="","-",VLOOKUP(compras_mes9[[#This Row],[CUIT]],Lista_CUIT[#All],4,0)),"CUIT NO CARGADO")</f>
        <v>0</v>
      </c>
    </row>
    <row r="67" spans="2:18" ht="15" customHeight="1">
      <c r="B67" s="239" t="s">
        <v>2415</v>
      </c>
      <c r="C67" s="240">
        <v>1</v>
      </c>
      <c r="D67" s="241">
        <v>7</v>
      </c>
      <c r="E67" s="257">
        <v>66684</v>
      </c>
      <c r="F67" s="242">
        <v>30715327712</v>
      </c>
      <c r="G67" s="243" t="str">
        <f>IFERROR(IF(compras_mes9[[#This Row],[CUIT]]="","-",VLOOKUP(compras_mes9[[#This Row],[CUIT]],Lista_CUIT[#All],2,0)),"CUIT NO CARGADO")</f>
        <v xml:space="preserve">BP IMPORT SRL </v>
      </c>
      <c r="H67" s="95">
        <v>34932.500488281301</v>
      </c>
      <c r="I67" s="85">
        <f>IF(compras_mes9[[#This Row],[NETO GRAVADO]]="","",compras_mes9[[#This Row],[NETO GRAVADO]]*0.21)</f>
        <v>7335.8251025390728</v>
      </c>
      <c r="J67" s="245"/>
      <c r="K67" s="245"/>
      <c r="L67" s="245"/>
      <c r="M67" s="245"/>
      <c r="N67" s="245"/>
      <c r="O67" s="245"/>
      <c r="P67" s="246">
        <f>SUM(compras_mes9[[#This Row],[NETO GRAVADO]:[Otros / No Grav.]])</f>
        <v>42268.325590820372</v>
      </c>
      <c r="Q67" s="247" t="str">
        <f>IFERROR(IF(compras_mes9[[#This Row],[CUIT]]="","-",VLOOKUP(compras_mes9[[#This Row],[CUIT]],Lista_CUIT[#All],3,0)),"CUIT NO CARGADO")</f>
        <v>Gastos Varios</v>
      </c>
      <c r="R67" s="247">
        <f>IFERROR(IF(compras_mes9[[#This Row],[CUIT]]="","-",VLOOKUP(compras_mes9[[#This Row],[CUIT]],Lista_CUIT[#All],4,0)),"CUIT NO CARGADO")</f>
        <v>0</v>
      </c>
    </row>
    <row r="68" spans="2:18" ht="15" customHeight="1">
      <c r="B68" s="239" t="s">
        <v>2448</v>
      </c>
      <c r="C68" s="240">
        <v>1</v>
      </c>
      <c r="D68" s="241">
        <v>2188</v>
      </c>
      <c r="E68" s="257">
        <v>130744</v>
      </c>
      <c r="F68" s="242">
        <v>30548083156</v>
      </c>
      <c r="G68" s="243" t="str">
        <f>IFERROR(IF(compras_mes9[[#This Row],[CUIT]]="","-",VLOOKUP(compras_mes9[[#This Row],[CUIT]],Lista_CUIT[#All],2,0)),"CUIT NO CARGADO")</f>
        <v>COTO CENTRO INTEGRAL DE COMERCIALIZACION SOCIEDAD ANONIMA</v>
      </c>
      <c r="H68" s="46">
        <v>64372.72</v>
      </c>
      <c r="I68" s="85">
        <v>11510.81</v>
      </c>
      <c r="J68" s="245"/>
      <c r="K68" s="245">
        <v>1003.73</v>
      </c>
      <c r="L68" s="245"/>
      <c r="M68" s="245"/>
      <c r="N68" s="245"/>
      <c r="O68" s="245">
        <v>5540.54</v>
      </c>
      <c r="P68" s="246">
        <f>SUM(compras_mes9[[#This Row],[NETO GRAVADO]:[Otros / No Grav.]])</f>
        <v>82427.799999999988</v>
      </c>
      <c r="Q68" s="247" t="str">
        <f>IFERROR(IF(compras_mes9[[#This Row],[CUIT]]="","-",VLOOKUP(compras_mes9[[#This Row],[CUIT]],Lista_CUIT[#All],3,0)),"CUIT NO CARGADO")</f>
        <v>Gastos Varios</v>
      </c>
      <c r="R68" s="247">
        <f>IFERROR(IF(compras_mes9[[#This Row],[CUIT]]="","-",VLOOKUP(compras_mes9[[#This Row],[CUIT]],Lista_CUIT[#All],4,0)),"CUIT NO CARGADO")</f>
        <v>0</v>
      </c>
    </row>
    <row r="69" spans="2:18" ht="15" customHeight="1">
      <c r="B69" s="239" t="s">
        <v>2461</v>
      </c>
      <c r="C69" s="240">
        <v>1</v>
      </c>
      <c r="D69" s="241">
        <v>2199</v>
      </c>
      <c r="E69" s="257">
        <v>32204</v>
      </c>
      <c r="F69" s="242">
        <v>30548083156</v>
      </c>
      <c r="G69" s="243" t="str">
        <f>IFERROR(IF(compras_mes9[[#This Row],[CUIT]]="","-",VLOOKUP(compras_mes9[[#This Row],[CUIT]],Lista_CUIT[#All],2,0)),"CUIT NO CARGADO")</f>
        <v>COTO CENTRO INTEGRAL DE COMERCIALIZACION SOCIEDAD ANONIMA</v>
      </c>
      <c r="H69" s="95">
        <v>45479.56</v>
      </c>
      <c r="I69" s="85">
        <f>IF(compras_mes9[[#This Row],[NETO GRAVADO]]="","",compras_mes9[[#This Row],[NETO GRAVADO]]*0.21)</f>
        <v>9550.7075999999997</v>
      </c>
      <c r="J69" s="85"/>
      <c r="K69" s="85"/>
      <c r="L69" s="85"/>
      <c r="M69" s="85"/>
      <c r="N69" s="85"/>
      <c r="O69" s="85">
        <v>3531.13</v>
      </c>
      <c r="P69" s="48">
        <f>SUM(compras_mes9[[#This Row],[NETO GRAVADO]:[Otros / No Grav.]])</f>
        <v>58561.397599999997</v>
      </c>
      <c r="Q69" s="247" t="str">
        <f>IFERROR(IF(compras_mes9[[#This Row],[CUIT]]="","-",VLOOKUP(compras_mes9[[#This Row],[CUIT]],Lista_CUIT[#All],3,0)),"CUIT NO CARGADO")</f>
        <v>Gastos Varios</v>
      </c>
      <c r="R69" s="247">
        <f>IFERROR(IF(compras_mes9[[#This Row],[CUIT]]="","-",VLOOKUP(compras_mes9[[#This Row],[CUIT]],Lista_CUIT[#All],4,0)),"CUIT NO CARGADO")</f>
        <v>0</v>
      </c>
    </row>
    <row r="70" spans="2:18" ht="15" customHeight="1">
      <c r="B70" s="239" t="s">
        <v>2461</v>
      </c>
      <c r="C70" s="240">
        <v>3</v>
      </c>
      <c r="D70" s="241">
        <v>24</v>
      </c>
      <c r="E70" s="257">
        <v>102100</v>
      </c>
      <c r="F70" s="242">
        <v>30703088534</v>
      </c>
      <c r="G70" s="243" t="str">
        <f>IFERROR(IF(compras_mes9[[#This Row],[CUIT]]="","-",VLOOKUP(compras_mes9[[#This Row],[CUIT]],Lista_CUIT[#All],2,0)),"CUIT NO CARGADO")</f>
        <v>MERCADO LIBRE SRL</v>
      </c>
      <c r="H70" s="95">
        <v>-884.38</v>
      </c>
      <c r="I70" s="85">
        <f>IF(compras_mes9[[#This Row],[NETO GRAVADO]]="","",compras_mes9[[#This Row],[NETO GRAVADO]]*0.21)</f>
        <v>-185.71979999999999</v>
      </c>
      <c r="J70" s="85"/>
      <c r="K70" s="85"/>
      <c r="L70" s="85"/>
      <c r="M70" s="85"/>
      <c r="N70" s="85"/>
      <c r="O70" s="85">
        <v>-35.369999999999997</v>
      </c>
      <c r="P70" s="48">
        <f>SUM(compras_mes9[[#This Row],[NETO GRAVADO]:[Otros / No Grav.]])</f>
        <v>-1105.4697999999999</v>
      </c>
      <c r="Q70" s="247" t="str">
        <f>IFERROR(IF(compras_mes9[[#This Row],[CUIT]]="","-",VLOOKUP(compras_mes9[[#This Row],[CUIT]],Lista_CUIT[#All],3,0)),"CUIT NO CARGADO")</f>
        <v>Gastos Varios</v>
      </c>
      <c r="R70" s="247" t="str">
        <f>IFERROR(IF(compras_mes9[[#This Row],[CUIT]]="","-",VLOOKUP(compras_mes9[[#This Row],[CUIT]],Lista_CUIT[#All],4,0)),"CUIT NO CARGADO")</f>
        <v>CABA</v>
      </c>
    </row>
    <row r="71" spans="2:18" ht="15" customHeight="1">
      <c r="B71" s="239" t="s">
        <v>2461</v>
      </c>
      <c r="C71" s="240">
        <v>1</v>
      </c>
      <c r="D71" s="241">
        <v>28</v>
      </c>
      <c r="E71" s="257">
        <v>2905639</v>
      </c>
      <c r="F71" s="242">
        <v>30703088534</v>
      </c>
      <c r="G71" s="243" t="str">
        <f>IFERROR(IF(compras_mes9[[#This Row],[CUIT]]="","-",VLOOKUP(compras_mes9[[#This Row],[CUIT]],Lista_CUIT[#All],2,0)),"CUIT NO CARGADO")</f>
        <v>MERCADO LIBRE SRL</v>
      </c>
      <c r="H71" s="244">
        <v>1366725.91</v>
      </c>
      <c r="I71" s="85">
        <f>IF(compras_mes9[[#This Row],[NETO GRAVADO]]="","",compras_mes9[[#This Row],[NETO GRAVADO]]*0.21)</f>
        <v>287012.4411</v>
      </c>
      <c r="J71" s="245"/>
      <c r="K71" s="245"/>
      <c r="L71" s="245"/>
      <c r="M71" s="245"/>
      <c r="N71" s="245"/>
      <c r="O71" s="245">
        <v>136672.43</v>
      </c>
      <c r="P71" s="246">
        <f>SUM(compras_mes9[[#This Row],[NETO GRAVADO]:[Otros / No Grav.]])</f>
        <v>1790410.7810999998</v>
      </c>
      <c r="Q71" s="247" t="str">
        <f>IFERROR(IF(compras_mes9[[#This Row],[CUIT]]="","-",VLOOKUP(compras_mes9[[#This Row],[CUIT]],Lista_CUIT[#All],3,0)),"CUIT NO CARGADO")</f>
        <v>Gastos Varios</v>
      </c>
      <c r="R71" s="247" t="str">
        <f>IFERROR(IF(compras_mes9[[#This Row],[CUIT]]="","-",VLOOKUP(compras_mes9[[#This Row],[CUIT]],Lista_CUIT[#All],4,0)),"CUIT NO CARGADO")</f>
        <v>CABA</v>
      </c>
    </row>
    <row r="72" spans="2:18" ht="15" customHeight="1">
      <c r="B72" s="239" t="s">
        <v>2433</v>
      </c>
      <c r="C72" s="240">
        <v>1</v>
      </c>
      <c r="D72" s="241">
        <v>6</v>
      </c>
      <c r="E72" s="257">
        <v>6441</v>
      </c>
      <c r="F72" s="242">
        <v>27286944588</v>
      </c>
      <c r="G72" s="243" t="str">
        <f>IFERROR(IF(compras_mes9[[#This Row],[CUIT]]="","-",VLOOKUP(compras_mes9[[#This Row],[CUIT]],Lista_CUIT[#All],2,0)),"CUIT NO CARGADO")</f>
        <v>CUSATI MARIA TERESA</v>
      </c>
      <c r="H72" s="95">
        <v>45741.31</v>
      </c>
      <c r="I72" s="85">
        <f>IF(compras_mes9[[#This Row],[NETO GRAVADO]]="","",compras_mes9[[#This Row],[NETO GRAVADO]]*0.21)</f>
        <v>9605.6750999999986</v>
      </c>
      <c r="J72" s="245"/>
      <c r="K72" s="245"/>
      <c r="L72" s="245"/>
      <c r="M72" s="245"/>
      <c r="N72" s="245"/>
      <c r="O72" s="245"/>
      <c r="P72" s="246">
        <f>SUM(compras_mes9[[#This Row],[NETO GRAVADO]:[Otros / No Grav.]])</f>
        <v>55346.985099999998</v>
      </c>
      <c r="Q72" s="247" t="str">
        <f>IFERROR(IF(compras_mes9[[#This Row],[CUIT]]="","-",VLOOKUP(compras_mes9[[#This Row],[CUIT]],Lista_CUIT[#All],3,0)),"CUIT NO CARGADO")</f>
        <v>Gastos Varios</v>
      </c>
      <c r="R72" s="247">
        <f>IFERROR(IF(compras_mes9[[#This Row],[CUIT]]="","-",VLOOKUP(compras_mes9[[#This Row],[CUIT]],Lista_CUIT[#All],4,0)),"CUIT NO CARGADO")</f>
        <v>0</v>
      </c>
    </row>
    <row r="73" spans="2:18" ht="15" customHeight="1">
      <c r="B73" s="40" t="s">
        <v>2411</v>
      </c>
      <c r="C73" s="240">
        <v>1</v>
      </c>
      <c r="D73" s="42">
        <v>3</v>
      </c>
      <c r="E73" s="43">
        <v>9518</v>
      </c>
      <c r="F73" s="44">
        <v>27412102431</v>
      </c>
      <c r="G73" s="45" t="str">
        <f>IFERROR(IF(compras_mes9[[#This Row],[CUIT]]="","-",VLOOKUP(compras_mes9[[#This Row],[CUIT]],Lista_CUIT[#All],2,0)),"CUIT NO CARGADO")</f>
        <v>ALVEZ ARIANA SOL</v>
      </c>
      <c r="H73" s="46">
        <v>24545.4287109375</v>
      </c>
      <c r="I73" s="85">
        <f>IF(compras_mes9[[#This Row],[NETO GRAVADO]]="","",compras_mes9[[#This Row],[NETO GRAVADO]]*0.21)</f>
        <v>5154.5400292968752</v>
      </c>
      <c r="J73" s="85"/>
      <c r="K73" s="85"/>
      <c r="L73" s="85"/>
      <c r="M73" s="85"/>
      <c r="N73" s="85"/>
      <c r="O73" s="85"/>
      <c r="P73" s="48">
        <f>SUM(compras_mes9[[#This Row],[NETO GRAVADO]:[Otros / No Grav.]])</f>
        <v>29699.968740234377</v>
      </c>
      <c r="Q73" s="49" t="s">
        <v>79</v>
      </c>
      <c r="R73" s="49">
        <f>IFERROR(IF(compras_mes9[[#This Row],[CUIT]]="","-",VLOOKUP(compras_mes9[[#This Row],[CUIT]],Lista_CUIT[#All],4,0)),"CUIT NO CARGADO")</f>
        <v>0</v>
      </c>
    </row>
    <row r="74" spans="2:18" ht="15" customHeight="1">
      <c r="B74" s="239" t="s">
        <v>2399</v>
      </c>
      <c r="C74" s="240">
        <v>1</v>
      </c>
      <c r="D74" s="241">
        <v>2</v>
      </c>
      <c r="E74" s="257">
        <v>9480</v>
      </c>
      <c r="F74" s="242">
        <v>20236922880</v>
      </c>
      <c r="G74" s="243" t="str">
        <f>IFERROR(IF(compras_mes9[[#This Row],[CUIT]]="","-",VLOOKUP(compras_mes9[[#This Row],[CUIT]],Lista_CUIT[#All],2,0)),"CUIT NO CARGADO")</f>
        <v xml:space="preserve">MUIΥOS JUAN V. </v>
      </c>
      <c r="H74" s="95">
        <v>44038.01953125</v>
      </c>
      <c r="I74" s="85">
        <f>IF(compras_mes9[[#This Row],[NETO GRAVADO]]="","",compras_mes9[[#This Row],[NETO GRAVADO]]*0.21)</f>
        <v>9247.9841015624988</v>
      </c>
      <c r="J74" s="85"/>
      <c r="K74" s="85"/>
      <c r="L74" s="85"/>
      <c r="M74" s="85"/>
      <c r="N74" s="85"/>
      <c r="O74" s="85"/>
      <c r="P74" s="48">
        <f>SUM(compras_mes9[[#This Row],[NETO GRAVADO]:[Otros / No Grav.]])</f>
        <v>53286.003632812499</v>
      </c>
      <c r="Q74" s="247" t="str">
        <f>IFERROR(IF(compras_mes9[[#This Row],[CUIT]]="","-",VLOOKUP(compras_mes9[[#This Row],[CUIT]],Lista_CUIT[#All],3,0)),"CUIT NO CARGADO")</f>
        <v>LIBRERÍA</v>
      </c>
      <c r="R74" s="247">
        <f>IFERROR(IF(compras_mes9[[#This Row],[CUIT]]="","-",VLOOKUP(compras_mes9[[#This Row],[CUIT]],Lista_CUIT[#All],4,0)),"CUIT NO CARGADO")</f>
        <v>0</v>
      </c>
    </row>
    <row r="75" spans="2:18" ht="15" customHeight="1">
      <c r="B75" s="239" t="s">
        <v>2446</v>
      </c>
      <c r="C75" s="240">
        <v>1</v>
      </c>
      <c r="D75" s="241">
        <v>24</v>
      </c>
      <c r="E75" s="257">
        <v>91550</v>
      </c>
      <c r="F75" s="242">
        <v>30707838260</v>
      </c>
      <c r="G75" s="243" t="str">
        <f>IFERROR(IF(compras_mes9[[#This Row],[CUIT]]="","-",VLOOKUP(compras_mes9[[#This Row],[CUIT]],Lista_CUIT[#All],2,0)),"CUIT NO CARGADO")</f>
        <v>EL INSUMO S.R.L.</v>
      </c>
      <c r="H75" s="95">
        <v>75388.429999999993</v>
      </c>
      <c r="I75" s="85">
        <f>IF(compras_mes9[[#This Row],[NETO GRAVADO]]="","",compras_mes9[[#This Row],[NETO GRAVADO]]*0.21)</f>
        <v>15831.570299999998</v>
      </c>
      <c r="J75" s="85"/>
      <c r="K75" s="85"/>
      <c r="L75" s="85"/>
      <c r="M75" s="85">
        <v>4523.3100000000004</v>
      </c>
      <c r="N75" s="85"/>
      <c r="O75" s="85"/>
      <c r="P75" s="48">
        <f>SUM(compras_mes9[[#This Row],[NETO GRAVADO]:[Otros / No Grav.]])</f>
        <v>95743.310299999983</v>
      </c>
      <c r="Q75" s="247" t="str">
        <f>IFERROR(IF(compras_mes9[[#This Row],[CUIT]]="","-",VLOOKUP(compras_mes9[[#This Row],[CUIT]],Lista_CUIT[#All],3,0)),"CUIT NO CARGADO")</f>
        <v>LIBRERÍA</v>
      </c>
      <c r="R75" s="247">
        <f>IFERROR(IF(compras_mes9[[#This Row],[CUIT]]="","-",VLOOKUP(compras_mes9[[#This Row],[CUIT]],Lista_CUIT[#All],4,0)),"CUIT NO CARGADO")</f>
        <v>0</v>
      </c>
    </row>
    <row r="76" spans="2:18" ht="15" customHeight="1">
      <c r="B76" s="239" t="s">
        <v>2404</v>
      </c>
      <c r="C76" s="240">
        <v>1</v>
      </c>
      <c r="D76" s="241">
        <v>11</v>
      </c>
      <c r="E76" s="257">
        <v>6173</v>
      </c>
      <c r="F76" s="242">
        <v>30710184816</v>
      </c>
      <c r="G76" s="243" t="str">
        <f>IFERROR(IF(compras_mes9[[#This Row],[CUIT]]="","-",VLOOKUP(compras_mes9[[#This Row],[CUIT]],Lista_CUIT[#All],2,0)),"CUIT NO CARGADO")</f>
        <v>INSUMOS SERVICOMP SA</v>
      </c>
      <c r="H76" s="244">
        <v>80144.701171875</v>
      </c>
      <c r="I76" s="85">
        <f>IF(compras_mes9[[#This Row],[NETO GRAVADO]]="","",compras_mes9[[#This Row],[NETO GRAVADO]]*0.21)</f>
        <v>16830.387246093749</v>
      </c>
      <c r="J76" s="245"/>
      <c r="K76" s="245"/>
      <c r="L76" s="245"/>
      <c r="M76" s="245"/>
      <c r="N76" s="245"/>
      <c r="O76" s="245"/>
      <c r="P76" s="246">
        <f>SUM(compras_mes9[[#This Row],[NETO GRAVADO]:[Otros / No Grav.]])</f>
        <v>96975.088417968742</v>
      </c>
      <c r="Q76" s="247" t="str">
        <f>IFERROR(IF(compras_mes9[[#This Row],[CUIT]]="","-",VLOOKUP(compras_mes9[[#This Row],[CUIT]],Lista_CUIT[#All],3,0)),"CUIT NO CARGADO")</f>
        <v>LIBRERÍA</v>
      </c>
      <c r="R76" s="247">
        <f>IFERROR(IF(compras_mes9[[#This Row],[CUIT]]="","-",VLOOKUP(compras_mes9[[#This Row],[CUIT]],Lista_CUIT[#All],4,0)),"CUIT NO CARGADO")</f>
        <v>0</v>
      </c>
    </row>
    <row r="77" spans="2:18" ht="15" customHeight="1">
      <c r="B77" s="239" t="s">
        <v>2408</v>
      </c>
      <c r="C77" s="240">
        <v>1</v>
      </c>
      <c r="D77" s="241">
        <v>2</v>
      </c>
      <c r="E77" s="257">
        <v>3067</v>
      </c>
      <c r="F77" s="242">
        <v>20240305128</v>
      </c>
      <c r="G77" s="243" t="str">
        <f>IFERROR(IF(compras_mes9[[#This Row],[CUIT]]="","-",VLOOKUP(compras_mes9[[#This Row],[CUIT]],Lista_CUIT[#All],2,0)),"CUIT NO CARGADO")</f>
        <v>Abraldes Diego Roberto</v>
      </c>
      <c r="H77" s="95">
        <v>105329.99609375</v>
      </c>
      <c r="I77" s="85">
        <f>IF(compras_mes9[[#This Row],[NETO GRAVADO]]="","",compras_mes9[[#This Row],[NETO GRAVADO]]*0.21)</f>
        <v>22119.299179687499</v>
      </c>
      <c r="J77" s="245"/>
      <c r="K77" s="245"/>
      <c r="L77" s="245"/>
      <c r="M77" s="245"/>
      <c r="N77" s="245"/>
      <c r="O77" s="245"/>
      <c r="P77" s="246">
        <f>SUM(compras_mes9[[#This Row],[NETO GRAVADO]:[Otros / No Grav.]])</f>
        <v>127449.2952734375</v>
      </c>
      <c r="Q77" s="247" t="str">
        <f>IFERROR(IF(compras_mes9[[#This Row],[CUIT]]="","-",VLOOKUP(compras_mes9[[#This Row],[CUIT]],Lista_CUIT[#All],3,0)),"CUIT NO CARGADO")</f>
        <v>LIBRERÍA</v>
      </c>
      <c r="R77" s="247">
        <f>IFERROR(IF(compras_mes9[[#This Row],[CUIT]]="","-",VLOOKUP(compras_mes9[[#This Row],[CUIT]],Lista_CUIT[#All],4,0)),"CUIT NO CARGADO")</f>
        <v>0</v>
      </c>
    </row>
    <row r="78" spans="2:18" ht="15" customHeight="1">
      <c r="B78" s="239" t="s">
        <v>2415</v>
      </c>
      <c r="C78" s="240">
        <v>1</v>
      </c>
      <c r="D78" s="241">
        <v>13</v>
      </c>
      <c r="E78" s="257">
        <v>14625</v>
      </c>
      <c r="F78" s="242">
        <v>20172002448</v>
      </c>
      <c r="G78" s="243" t="str">
        <f>IFERROR(IF(compras_mes9[[#This Row],[CUIT]]="","-",VLOOKUP(compras_mes9[[#This Row],[CUIT]],Lista_CUIT[#All],2,0)),"CUIT NO CARGADO")</f>
        <v>ALVAREZ MIGUEL ANGEL</v>
      </c>
      <c r="H78" s="95">
        <v>66965.998046875</v>
      </c>
      <c r="I78" s="85">
        <f>IF(compras_mes9[[#This Row],[NETO GRAVADO]]="","",compras_mes9[[#This Row],[NETO GRAVADO]]*0.21)</f>
        <v>14062.859589843749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81028.857636718749</v>
      </c>
      <c r="Q78" s="247" t="str">
        <f>IFERROR(IF(compras_mes9[[#This Row],[CUIT]]="","-",VLOOKUP(compras_mes9[[#This Row],[CUIT]],Lista_CUIT[#All],3,0)),"CUIT NO CARGADO")</f>
        <v>LIBRERÍA</v>
      </c>
      <c r="R78" s="247">
        <f>IFERROR(IF(compras_mes9[[#This Row],[CUIT]]="","-",VLOOKUP(compras_mes9[[#This Row],[CUIT]],Lista_CUIT[#All],4,0)),"CUIT NO CARGADO")</f>
        <v>0</v>
      </c>
    </row>
    <row r="79" spans="2:18" ht="15" customHeight="1">
      <c r="B79" s="239" t="s">
        <v>2416</v>
      </c>
      <c r="C79" s="240">
        <v>1</v>
      </c>
      <c r="D79" s="241">
        <v>12</v>
      </c>
      <c r="E79" s="257">
        <v>13824</v>
      </c>
      <c r="F79" s="242">
        <v>20303568590</v>
      </c>
      <c r="G79" s="243" t="str">
        <f>IFERROR(IF(compras_mes9[[#This Row],[CUIT]]="","-",VLOOKUP(compras_mes9[[#This Row],[CUIT]],Lista_CUIT[#All],2,0)),"CUIT NO CARGADO")</f>
        <v xml:space="preserve">LISANDRO VELASCO </v>
      </c>
      <c r="H79" s="46">
        <v>90909.099609375</v>
      </c>
      <c r="I79" s="85">
        <f>IF(compras_mes9[[#This Row],[NETO GRAVADO]]="","",compras_mes9[[#This Row],[NETO GRAVADO]]*0.21)</f>
        <v>19090.910917968748</v>
      </c>
      <c r="J79" s="245"/>
      <c r="K79" s="245"/>
      <c r="L79" s="245"/>
      <c r="M79" s="245"/>
      <c r="N79" s="245"/>
      <c r="O79" s="245"/>
      <c r="P79" s="246">
        <f>SUM(compras_mes9[[#This Row],[NETO GRAVADO]:[Otros / No Grav.]])</f>
        <v>110000.01052734375</v>
      </c>
      <c r="Q79" s="247" t="str">
        <f>IFERROR(IF(compras_mes9[[#This Row],[CUIT]]="","-",VLOOKUP(compras_mes9[[#This Row],[CUIT]],Lista_CUIT[#All],3,0)),"CUIT NO CARGADO")</f>
        <v>LIBRERÍA</v>
      </c>
      <c r="R79" s="247">
        <f>IFERROR(IF(compras_mes9[[#This Row],[CUIT]]="","-",VLOOKUP(compras_mes9[[#This Row],[CUIT]],Lista_CUIT[#All],4,0)),"CUIT NO CARGADO")</f>
        <v>0</v>
      </c>
    </row>
    <row r="80" spans="2:18" ht="15" customHeight="1">
      <c r="B80" s="239" t="s">
        <v>2448</v>
      </c>
      <c r="C80" s="240">
        <v>1</v>
      </c>
      <c r="D80" s="241">
        <v>4</v>
      </c>
      <c r="E80" s="257">
        <v>360</v>
      </c>
      <c r="F80" s="242">
        <v>20104345221</v>
      </c>
      <c r="G80" s="243" t="str">
        <f>IFERROR(IF(compras_mes9[[#This Row],[CUIT]]="","-",VLOOKUP(compras_mes9[[#This Row],[CUIT]],Lista_CUIT[#All],2,0)),"CUIT NO CARGADO")</f>
        <v>ARAYA SERGIO ALEJANDRO</v>
      </c>
      <c r="H80" s="244">
        <v>4545.4799999999996</v>
      </c>
      <c r="I80" s="85">
        <f>IF(compras_mes9[[#This Row],[NETO GRAVADO]]="","",compras_mes9[[#This Row],[NETO GRAVADO]]*0.21)</f>
        <v>954.55079999999987</v>
      </c>
      <c r="J80" s="245"/>
      <c r="K80" s="245"/>
      <c r="L80" s="245"/>
      <c r="M80" s="245"/>
      <c r="N80" s="245"/>
      <c r="O80" s="245"/>
      <c r="P80" s="246">
        <f>SUM(compras_mes9[[#This Row],[NETO GRAVADO]:[Otros / No Grav.]])</f>
        <v>5500.0307999999995</v>
      </c>
      <c r="Q80" s="247" t="str">
        <f>IFERROR(IF(compras_mes9[[#This Row],[CUIT]]="","-",VLOOKUP(compras_mes9[[#This Row],[CUIT]],Lista_CUIT[#All],3,0)),"CUIT NO CARGADO")</f>
        <v>LIBRERÍA</v>
      </c>
      <c r="R80" s="247">
        <f>IFERROR(IF(compras_mes9[[#This Row],[CUIT]]="","-",VLOOKUP(compras_mes9[[#This Row],[CUIT]],Lista_CUIT[#All],4,0)),"CUIT NO CARGADO")</f>
        <v>0</v>
      </c>
    </row>
    <row r="81" spans="2:18" ht="15" customHeight="1">
      <c r="B81" s="239" t="s">
        <v>2418</v>
      </c>
      <c r="C81" s="240">
        <v>1</v>
      </c>
      <c r="D81" s="241">
        <v>4</v>
      </c>
      <c r="E81" s="257">
        <v>2466</v>
      </c>
      <c r="F81" s="242">
        <v>30718201760</v>
      </c>
      <c r="G81" s="243" t="str">
        <f>IFERROR(IF(compras_mes9[[#This Row],[CUIT]]="","-",VLOOKUP(compras_mes9[[#This Row],[CUIT]],Lista_CUIT[#All],2,0)),"CUIT NO CARGADO")</f>
        <v>JM FACTIRY S.R.L.</v>
      </c>
      <c r="H81" s="46">
        <v>79332.23046875</v>
      </c>
      <c r="I81" s="85">
        <f>IF(compras_mes9[[#This Row],[NETO GRAVADO]]="","",compras_mes9[[#This Row],[NETO GRAVADO]]*0.21)</f>
        <v>16659.7683984375</v>
      </c>
      <c r="J81" s="245"/>
      <c r="K81" s="245"/>
      <c r="L81" s="245"/>
      <c r="M81" s="245"/>
      <c r="N81" s="245"/>
      <c r="O81" s="245"/>
      <c r="P81" s="246">
        <f>SUM(compras_mes9[[#This Row],[NETO GRAVADO]:[Otros / No Grav.]])</f>
        <v>95991.998867187503</v>
      </c>
      <c r="Q81" s="247" t="str">
        <f>IFERROR(IF(compras_mes9[[#This Row],[CUIT]]="","-",VLOOKUP(compras_mes9[[#This Row],[CUIT]],Lista_CUIT[#All],3,0)),"CUIT NO CARGADO")</f>
        <v>LIBRERÍA</v>
      </c>
      <c r="R81" s="247">
        <f>IFERROR(IF(compras_mes9[[#This Row],[CUIT]]="","-",VLOOKUP(compras_mes9[[#This Row],[CUIT]],Lista_CUIT[#All],4,0)),"CUIT NO CARGADO")</f>
        <v>0</v>
      </c>
    </row>
    <row r="82" spans="2:18" ht="15" customHeight="1">
      <c r="B82" s="239" t="s">
        <v>2397</v>
      </c>
      <c r="C82" s="240">
        <v>1</v>
      </c>
      <c r="D82" s="241">
        <v>1</v>
      </c>
      <c r="E82" s="257">
        <v>3121</v>
      </c>
      <c r="F82" s="242">
        <v>30716154102</v>
      </c>
      <c r="G82" s="243" t="str">
        <f>IFERROR(IF(compras_mes9[[#This Row],[CUIT]]="","-",VLOOKUP(compras_mes9[[#This Row],[CUIT]],Lista_CUIT[#All],2,0)),"CUIT NO CARGADO")</f>
        <v>IDZONE SRL</v>
      </c>
      <c r="H82" s="244">
        <v>575544.9765625</v>
      </c>
      <c r="I82" s="85">
        <f>IF(compras_mes9[[#This Row],[NETO GRAVADO]]="","",compras_mes9[[#This Row],[NETO GRAVADO]]*0.21)</f>
        <v>120864.44507812499</v>
      </c>
      <c r="J82" s="245"/>
      <c r="K82" s="245"/>
      <c r="L82" s="245"/>
      <c r="M82" s="245"/>
      <c r="N82" s="245"/>
      <c r="O82" s="245"/>
      <c r="P82" s="246">
        <f>SUM(compras_mes9[[#This Row],[NETO GRAVADO]:[Otros / No Grav.]])</f>
        <v>696409.42164062499</v>
      </c>
      <c r="Q82" s="247" t="str">
        <f>IFERROR(IF(compras_mes9[[#This Row],[CUIT]]="","-",VLOOKUP(compras_mes9[[#This Row],[CUIT]],Lista_CUIT[#All],3,0)),"CUIT NO CARGADO")</f>
        <v>Mantenimiento</v>
      </c>
      <c r="R82" s="247">
        <f>IFERROR(IF(compras_mes9[[#This Row],[CUIT]]="","-",VLOOKUP(compras_mes9[[#This Row],[CUIT]],Lista_CUIT[#All],4,0)),"CUIT NO CARGADO")</f>
        <v>0</v>
      </c>
    </row>
    <row r="83" spans="2:18" ht="15" customHeight="1">
      <c r="B83" s="239" t="s">
        <v>2446</v>
      </c>
      <c r="C83" s="240">
        <v>1</v>
      </c>
      <c r="D83" s="241">
        <v>1</v>
      </c>
      <c r="E83" s="257">
        <v>7</v>
      </c>
      <c r="F83" s="242">
        <v>30717504824</v>
      </c>
      <c r="G83" s="243" t="str">
        <f>IFERROR(IF(compras_mes9[[#This Row],[CUIT]]="","-",VLOOKUP(compras_mes9[[#This Row],[CUIT]],Lista_CUIT[#All],2,0)),"CUIT NO CARGADO")</f>
        <v>FIDEICOMISO MAMBA</v>
      </c>
      <c r="H83" s="244">
        <v>2468054.29</v>
      </c>
      <c r="I83" s="85"/>
      <c r="J83" s="245"/>
      <c r="K83" s="245">
        <v>259145.7</v>
      </c>
      <c r="L83" s="245"/>
      <c r="M83" s="245"/>
      <c r="N83" s="245"/>
      <c r="O83" s="245"/>
      <c r="P83" s="246">
        <f>SUM(compras_mes9[[#This Row],[NETO GRAVADO]:[Otros / No Grav.]])</f>
        <v>2727199.99</v>
      </c>
      <c r="Q83" s="247" t="str">
        <f>IFERROR(IF(compras_mes9[[#This Row],[CUIT]]="","-",VLOOKUP(compras_mes9[[#This Row],[CUIT]],Lista_CUIT[#All],3,0)),"CUIT NO CARGADO")</f>
        <v>MANTENIMIENTO</v>
      </c>
      <c r="R83" s="247">
        <f>IFERROR(IF(compras_mes9[[#This Row],[CUIT]]="","-",VLOOKUP(compras_mes9[[#This Row],[CUIT]],Lista_CUIT[#All],4,0)),"CUIT NO CARGADO")</f>
        <v>0</v>
      </c>
    </row>
    <row r="84" spans="2:18" ht="15" customHeight="1">
      <c r="B84" s="239" t="s">
        <v>2415</v>
      </c>
      <c r="C84" s="240">
        <v>1</v>
      </c>
      <c r="D84" s="241">
        <v>1</v>
      </c>
      <c r="E84" s="257">
        <v>233</v>
      </c>
      <c r="F84" s="242">
        <v>30716154102</v>
      </c>
      <c r="G84" s="243" t="str">
        <f>IFERROR(IF(compras_mes9[[#This Row],[CUIT]]="","-",VLOOKUP(compras_mes9[[#This Row],[CUIT]],Lista_CUIT[#All],2,0)),"CUIT NO CARGADO")</f>
        <v>IDZONE SRL</v>
      </c>
      <c r="H84" s="244">
        <v>7670.0002441406295</v>
      </c>
      <c r="I84" s="85">
        <f>IF(compras_mes9[[#This Row],[NETO GRAVADO]]="","",compras_mes9[[#This Row],[NETO GRAVADO]]*0.21)</f>
        <v>1610.7000512695322</v>
      </c>
      <c r="J84" s="245"/>
      <c r="K84" s="245"/>
      <c r="L84" s="245"/>
      <c r="M84" s="245"/>
      <c r="N84" s="245"/>
      <c r="O84" s="245"/>
      <c r="P84" s="246">
        <f>SUM(compras_mes9[[#This Row],[NETO GRAVADO]:[Otros / No Grav.]])</f>
        <v>9280.7002954101627</v>
      </c>
      <c r="Q84" s="247" t="str">
        <f>IFERROR(IF(compras_mes9[[#This Row],[CUIT]]="","-",VLOOKUP(compras_mes9[[#This Row],[CUIT]],Lista_CUIT[#All],3,0)),"CUIT NO CARGADO")</f>
        <v>Mantenimiento</v>
      </c>
      <c r="R84" s="247">
        <f>IFERROR(IF(compras_mes9[[#This Row],[CUIT]]="","-",VLOOKUP(compras_mes9[[#This Row],[CUIT]],Lista_CUIT[#All],4,0)),"CUIT NO CARGADO")</f>
        <v>0</v>
      </c>
    </row>
    <row r="85" spans="2:18" ht="15" customHeight="1">
      <c r="B85" s="239" t="s">
        <v>2417</v>
      </c>
      <c r="C85" s="240">
        <v>1</v>
      </c>
      <c r="D85" s="241">
        <v>3</v>
      </c>
      <c r="E85" s="257">
        <v>11296</v>
      </c>
      <c r="F85" s="242">
        <v>30679163317</v>
      </c>
      <c r="G85" s="243" t="str">
        <f>IFERROR(IF(compras_mes9[[#This Row],[CUIT]]="","-",VLOOKUP(compras_mes9[[#This Row],[CUIT]],Lista_CUIT[#All],2,0)),"CUIT NO CARGADO")</f>
        <v>RANKO S R L</v>
      </c>
      <c r="H85" s="244">
        <v>24793.390136718801</v>
      </c>
      <c r="I85" s="85">
        <f>IF(compras_mes9[[#This Row],[NETO GRAVADO]]="","",compras_mes9[[#This Row],[NETO GRAVADO]]*0.21)</f>
        <v>5206.6119287109477</v>
      </c>
      <c r="J85" s="245"/>
      <c r="K85" s="245"/>
      <c r="L85" s="245"/>
      <c r="M85" s="245"/>
      <c r="N85" s="245"/>
      <c r="O85" s="245"/>
      <c r="P85" s="246">
        <f>SUM(compras_mes9[[#This Row],[NETO GRAVADO]:[Otros / No Grav.]])</f>
        <v>30000.002065429748</v>
      </c>
      <c r="Q85" s="247" t="str">
        <f>IFERROR(IF(compras_mes9[[#This Row],[CUIT]]="","-",VLOOKUP(compras_mes9[[#This Row],[CUIT]],Lista_CUIT[#All],3,0)),"CUIT NO CARGADO")</f>
        <v>Mantenimiento</v>
      </c>
      <c r="R85" s="247">
        <f>IFERROR(IF(compras_mes9[[#This Row],[CUIT]]="","-",VLOOKUP(compras_mes9[[#This Row],[CUIT]],Lista_CUIT[#All],4,0)),"CUIT NO CARGADO")</f>
        <v>0</v>
      </c>
    </row>
    <row r="86" spans="2:18" ht="15" customHeight="1">
      <c r="B86" s="239" t="s">
        <v>2437</v>
      </c>
      <c r="C86" s="240">
        <v>3</v>
      </c>
      <c r="D86" s="241">
        <v>464</v>
      </c>
      <c r="E86" s="257">
        <v>2757</v>
      </c>
      <c r="F86" s="242">
        <v>30646512952</v>
      </c>
      <c r="G86" s="243" t="str">
        <f>IFERROR(IF(compras_mes9[[#This Row],[CUIT]]="","-",VLOOKUP(compras_mes9[[#This Row],[CUIT]],Lista_CUIT[#All],2,0)),"CUIT NO CARGADO")</f>
        <v xml:space="preserve">PINTURERIA REX </v>
      </c>
      <c r="H86" s="244">
        <v>-86775.44</v>
      </c>
      <c r="I86" s="85">
        <f>IF(compras_mes9[[#This Row],[NETO GRAVADO]]="","",compras_mes9[[#This Row],[NETO GRAVADO]]*0.21)</f>
        <v>-18222.842400000001</v>
      </c>
      <c r="J86" s="245"/>
      <c r="K86" s="245"/>
      <c r="L86" s="245"/>
      <c r="M86" s="245"/>
      <c r="N86" s="245"/>
      <c r="O86" s="245"/>
      <c r="P86" s="246">
        <f>SUM(compras_mes9[[#This Row],[NETO GRAVADO]:[Otros / No Grav.]])</f>
        <v>-104998.2824</v>
      </c>
      <c r="Q86" s="247" t="str">
        <f>IFERROR(IF(compras_mes9[[#This Row],[CUIT]]="","-",VLOOKUP(compras_mes9[[#This Row],[CUIT]],Lista_CUIT[#All],3,0)),"CUIT NO CARGADO")</f>
        <v>Mantenimiento Locales</v>
      </c>
      <c r="R86" s="247">
        <f>IFERROR(IF(compras_mes9[[#This Row],[CUIT]]="","-",VLOOKUP(compras_mes9[[#This Row],[CUIT]],Lista_CUIT[#All],4,0)),"CUIT NO CARGADO")</f>
        <v>0</v>
      </c>
    </row>
    <row r="87" spans="2:18" ht="15" customHeight="1">
      <c r="B87" s="239" t="s">
        <v>2437</v>
      </c>
      <c r="C87" s="240">
        <v>1</v>
      </c>
      <c r="D87" s="241">
        <v>464</v>
      </c>
      <c r="E87" s="257">
        <v>19477</v>
      </c>
      <c r="F87" s="242">
        <v>30646512952</v>
      </c>
      <c r="G87" s="243" t="str">
        <f>IFERROR(IF(compras_mes9[[#This Row],[CUIT]]="","-",VLOOKUP(compras_mes9[[#This Row],[CUIT]],Lista_CUIT[#All],2,0)),"CUIT NO CARGADO")</f>
        <v xml:space="preserve">PINTURERIA REX </v>
      </c>
      <c r="H87" s="95">
        <v>289251.48</v>
      </c>
      <c r="I87" s="85">
        <f>IF(compras_mes9[[#This Row],[NETO GRAVADO]]="","",compras_mes9[[#This Row],[NETO GRAVADO]]*0.21)</f>
        <v>60742.810799999992</v>
      </c>
      <c r="J87" s="85"/>
      <c r="K87" s="85"/>
      <c r="L87" s="85"/>
      <c r="M87" s="85"/>
      <c r="N87" s="85">
        <v>17355.09</v>
      </c>
      <c r="O87" s="85"/>
      <c r="P87" s="48">
        <f>SUM(compras_mes9[[#This Row],[NETO GRAVADO]:[Otros / No Grav.]])</f>
        <v>367349.38079999998</v>
      </c>
      <c r="Q87" s="247" t="str">
        <f>IFERROR(IF(compras_mes9[[#This Row],[CUIT]]="","-",VLOOKUP(compras_mes9[[#This Row],[CUIT]],Lista_CUIT[#All],3,0)),"CUIT NO CARGADO")</f>
        <v>Mantenimiento Locales</v>
      </c>
      <c r="R87" s="247">
        <f>IFERROR(IF(compras_mes9[[#This Row],[CUIT]]="","-",VLOOKUP(compras_mes9[[#This Row],[CUIT]],Lista_CUIT[#All],4,0)),"CUIT NO CARGADO")</f>
        <v>0</v>
      </c>
    </row>
    <row r="88" spans="2:18" ht="15" customHeight="1">
      <c r="B88" s="239" t="s">
        <v>2447</v>
      </c>
      <c r="C88" s="240">
        <v>1</v>
      </c>
      <c r="D88" s="241">
        <v>3</v>
      </c>
      <c r="E88" s="257">
        <v>325472</v>
      </c>
      <c r="F88" s="242">
        <v>30709131865</v>
      </c>
      <c r="G88" s="243" t="str">
        <f>IFERROR(IF(compras_mes9[[#This Row],[CUIT]]="","-",VLOOKUP(compras_mes9[[#This Row],[CUIT]],Lista_CUIT[#All],2,0)),"CUIT NO CARGADO")</f>
        <v>EMPRENDIMIENTOS SATELITALES SA</v>
      </c>
      <c r="H88" s="95">
        <v>3474</v>
      </c>
      <c r="I88" s="85">
        <f>IF(compras_mes9[[#This Row],[NETO GRAVADO]]="","",compras_mes9[[#This Row],[NETO GRAVADO]]*0.21)</f>
        <v>729.54</v>
      </c>
      <c r="J88" s="245"/>
      <c r="K88" s="245"/>
      <c r="L88" s="245"/>
      <c r="M88" s="245"/>
      <c r="N88" s="245"/>
      <c r="O88" s="245"/>
      <c r="P88" s="246">
        <f>SUM(compras_mes9[[#This Row],[NETO GRAVADO]:[Otros / No Grav.]])</f>
        <v>4203.54</v>
      </c>
      <c r="Q88" s="247" t="str">
        <f>IFERROR(IF(compras_mes9[[#This Row],[CUIT]]="","-",VLOOKUP(compras_mes9[[#This Row],[CUIT]],Lista_CUIT[#All],3,0)),"CUIT NO CARGADO")</f>
        <v>Mantenimiento Rodado</v>
      </c>
      <c r="R88" s="247">
        <f>IFERROR(IF(compras_mes9[[#This Row],[CUIT]]="","-",VLOOKUP(compras_mes9[[#This Row],[CUIT]],Lista_CUIT[#All],4,0)),"CUIT NO CARGADO")</f>
        <v>0</v>
      </c>
    </row>
    <row r="89" spans="2:18" ht="15" customHeight="1">
      <c r="B89" s="239" t="s">
        <v>2436</v>
      </c>
      <c r="C89" s="240">
        <v>1</v>
      </c>
      <c r="D89" s="241">
        <v>8</v>
      </c>
      <c r="E89" s="257">
        <v>1849</v>
      </c>
      <c r="F89" s="242">
        <v>30715173030</v>
      </c>
      <c r="G89" s="243" t="str">
        <f>IFERROR(IF(compras_mes9[[#This Row],[CUIT]]="","-",VLOOKUP(compras_mes9[[#This Row],[CUIT]],Lista_CUIT[#All],2,0)),"CUIT NO CARGADO")</f>
        <v>AUTOGEN S.A.</v>
      </c>
      <c r="H89" s="95">
        <v>5984.24</v>
      </c>
      <c r="I89" s="85">
        <f>IF(compras_mes9[[#This Row],[NETO GRAVADO]]="","",compras_mes9[[#This Row],[NETO GRAVADO]]*0.21)</f>
        <v>1256.6904</v>
      </c>
      <c r="J89" s="85"/>
      <c r="K89" s="85"/>
      <c r="L89" s="85"/>
      <c r="M89" s="85"/>
      <c r="N89" s="85">
        <v>359.05</v>
      </c>
      <c r="O89" s="85"/>
      <c r="P89" s="48">
        <f>SUM(compras_mes9[[#This Row],[NETO GRAVADO]:[Otros / No Grav.]])</f>
        <v>7599.9803999999995</v>
      </c>
      <c r="Q89" s="247" t="str">
        <f>IFERROR(IF(compras_mes9[[#This Row],[CUIT]]="","-",VLOOKUP(compras_mes9[[#This Row],[CUIT]],Lista_CUIT[#All],3,0)),"CUIT NO CARGADO")</f>
        <v>Mantenimiento Rodado</v>
      </c>
      <c r="R89" s="247">
        <f>IFERROR(IF(compras_mes9[[#This Row],[CUIT]]="","-",VLOOKUP(compras_mes9[[#This Row],[CUIT]],Lista_CUIT[#All],4,0)),"CUIT NO CARGADO")</f>
        <v>0</v>
      </c>
    </row>
    <row r="90" spans="2:18" ht="15" customHeight="1">
      <c r="B90" s="239" t="s">
        <v>2435</v>
      </c>
      <c r="C90" s="240">
        <v>1</v>
      </c>
      <c r="D90" s="241">
        <v>3</v>
      </c>
      <c r="E90" s="257">
        <v>50140</v>
      </c>
      <c r="F90" s="242">
        <v>30714930490</v>
      </c>
      <c r="G90" s="243" t="str">
        <f>IFERROR(IF(compras_mes9[[#This Row],[CUIT]]="","-",VLOOKUP(compras_mes9[[#This Row],[CUIT]],Lista_CUIT[#All],2,0)),"CUIT NO CARGADO")</f>
        <v>APPLUS SANTA MARIA DEL BUEN AYRE SA</v>
      </c>
      <c r="H90" s="95">
        <v>8339</v>
      </c>
      <c r="I90" s="85">
        <f>IF(compras_mes9[[#This Row],[NETO GRAVADO]]="","",compras_mes9[[#This Row],[NETO GRAVADO]]*0.21)</f>
        <v>1751.1899999999998</v>
      </c>
      <c r="J90" s="85"/>
      <c r="K90" s="85"/>
      <c r="L90" s="85"/>
      <c r="M90" s="85"/>
      <c r="N90" s="85"/>
      <c r="O90" s="85"/>
      <c r="P90" s="48">
        <f>SUM(compras_mes9[[#This Row],[NETO GRAVADO]:[Otros / No Grav.]])</f>
        <v>10090.19</v>
      </c>
      <c r="Q90" s="247" t="str">
        <f>IFERROR(IF(compras_mes9[[#This Row],[CUIT]]="","-",VLOOKUP(compras_mes9[[#This Row],[CUIT]],Lista_CUIT[#All],3,0)),"CUIT NO CARGADO")</f>
        <v>Mantenimiento Rodado</v>
      </c>
      <c r="R90" s="247">
        <f>IFERROR(IF(compras_mes9[[#This Row],[CUIT]]="","-",VLOOKUP(compras_mes9[[#This Row],[CUIT]],Lista_CUIT[#All],4,0)),"CUIT NO CARGADO")</f>
        <v>0</v>
      </c>
    </row>
    <row r="91" spans="2:18" ht="15" customHeight="1">
      <c r="B91" s="239" t="s">
        <v>2397</v>
      </c>
      <c r="C91" s="240">
        <v>1</v>
      </c>
      <c r="D91" s="241">
        <v>4</v>
      </c>
      <c r="E91" s="257">
        <v>47239</v>
      </c>
      <c r="F91" s="242">
        <v>30709863076</v>
      </c>
      <c r="G91" s="243" t="str">
        <f>IFERROR(IF(compras_mes9[[#This Row],[CUIT]]="","-",VLOOKUP(compras_mes9[[#This Row],[CUIT]],Lista_CUIT[#All],2,0)),"CUIT NO CARGADO")</f>
        <v>INDUSTRIAS PLASTICOS SALTA S.R.L.</v>
      </c>
      <c r="H91" s="46">
        <v>348842.9140625</v>
      </c>
      <c r="I91" s="85">
        <f>IF(compras_mes9[[#This Row],[NETO GRAVADO]]="","",compras_mes9[[#This Row],[NETO GRAVADO]]*0.21)</f>
        <v>73257.011953124995</v>
      </c>
      <c r="J91" s="245"/>
      <c r="K91" s="245"/>
      <c r="L91" s="245"/>
      <c r="M91" s="245"/>
      <c r="N91" s="245"/>
      <c r="O91" s="245"/>
      <c r="P91" s="246">
        <f>SUM(compras_mes9[[#This Row],[NETO GRAVADO]:[Otros / No Grav.]])</f>
        <v>422099.92601562501</v>
      </c>
      <c r="Q91" s="247" t="str">
        <f>IFERROR(IF(compras_mes9[[#This Row],[CUIT]]="","-",VLOOKUP(compras_mes9[[#This Row],[CUIT]],Lista_CUIT[#All],3,0)),"CUIT NO CARGADO")</f>
        <v>Materia Prima</v>
      </c>
      <c r="R91" s="247">
        <f>IFERROR(IF(compras_mes9[[#This Row],[CUIT]]="","-",VLOOKUP(compras_mes9[[#This Row],[CUIT]],Lista_CUIT[#All],4,0)),"CUIT NO CARGADO")</f>
        <v>0</v>
      </c>
    </row>
    <row r="92" spans="2:18" ht="15" customHeight="1">
      <c r="B92" s="239" t="s">
        <v>2443</v>
      </c>
      <c r="C92" s="240">
        <v>1</v>
      </c>
      <c r="D92" s="241">
        <v>11</v>
      </c>
      <c r="E92" s="257">
        <v>80176</v>
      </c>
      <c r="F92" s="242">
        <v>30534051049</v>
      </c>
      <c r="G92" s="243" t="str">
        <f>IFERROR(IF(compras_mes9[[#This Row],[CUIT]]="","-",VLOOKUP(compras_mes9[[#This Row],[CUIT]],Lista_CUIT[#All],2,0)),"CUIT NO CARGADO")</f>
        <v>PLIN METAL S A</v>
      </c>
      <c r="H92" s="244">
        <v>36369.660000000003</v>
      </c>
      <c r="I92" s="85">
        <f>IF(compras_mes9[[#This Row],[NETO GRAVADO]]="","",compras_mes9[[#This Row],[NETO GRAVADO]]*0.21)</f>
        <v>7637.6286</v>
      </c>
      <c r="J92" s="245"/>
      <c r="K92" s="245"/>
      <c r="L92" s="245"/>
      <c r="M92" s="245"/>
      <c r="N92" s="245"/>
      <c r="O92" s="245"/>
      <c r="P92" s="246">
        <f>SUM(compras_mes9[[#This Row],[NETO GRAVADO]:[Otros / No Grav.]])</f>
        <v>44007.2886</v>
      </c>
      <c r="Q92" s="247" t="str">
        <f>IFERROR(IF(compras_mes9[[#This Row],[CUIT]]="","-",VLOOKUP(compras_mes9[[#This Row],[CUIT]],Lista_CUIT[#All],3,0)),"CUIT NO CARGADO")</f>
        <v>Materia Prima</v>
      </c>
      <c r="R92" s="247">
        <f>IFERROR(IF(compras_mes9[[#This Row],[CUIT]]="","-",VLOOKUP(compras_mes9[[#This Row],[CUIT]],Lista_CUIT[#All],4,0)),"CUIT NO CARGADO")</f>
        <v>0</v>
      </c>
    </row>
    <row r="93" spans="2:18" ht="15" customHeight="1">
      <c r="B93" s="40" t="s">
        <v>2462</v>
      </c>
      <c r="C93" s="240">
        <v>1</v>
      </c>
      <c r="D93" s="42">
        <v>11</v>
      </c>
      <c r="E93" s="43">
        <v>80367</v>
      </c>
      <c r="F93" s="44">
        <v>30534051049</v>
      </c>
      <c r="G93" s="45" t="str">
        <f>IFERROR(IF(compras_mes9[[#This Row],[CUIT]]="","-",VLOOKUP(compras_mes9[[#This Row],[CUIT]],Lista_CUIT[#All],2,0)),"CUIT NO CARGADO")</f>
        <v>PLIN METAL S A</v>
      </c>
      <c r="H93" s="95">
        <v>6551.2</v>
      </c>
      <c r="I93" s="85"/>
      <c r="J93" s="85"/>
      <c r="K93" s="85">
        <f>compras_mes9[[#This Row],[NETO GRAVADO]]*0.105</f>
        <v>687.87599999999998</v>
      </c>
      <c r="L93" s="85"/>
      <c r="M93" s="85"/>
      <c r="N93" s="85"/>
      <c r="O93" s="85"/>
      <c r="P93" s="48">
        <f>SUM(compras_mes9[[#This Row],[NETO GRAVADO]:[Otros / No Grav.]])</f>
        <v>7239.076</v>
      </c>
      <c r="Q93" s="49" t="str">
        <f>IFERROR(IF(compras_mes9[[#This Row],[CUIT]]="","-",VLOOKUP(compras_mes9[[#This Row],[CUIT]],Lista_CUIT[#All],3,0)),"CUIT NO CARGADO")</f>
        <v>Materia Prima</v>
      </c>
      <c r="R93" s="49">
        <f>IFERROR(IF(compras_mes9[[#This Row],[CUIT]]="","-",VLOOKUP(compras_mes9[[#This Row],[CUIT]],Lista_CUIT[#All],4,0)),"CUIT NO CARGADO")</f>
        <v>0</v>
      </c>
    </row>
    <row r="94" spans="2:18" ht="15" customHeight="1">
      <c r="B94" s="239" t="s">
        <v>2408</v>
      </c>
      <c r="C94" s="240">
        <v>1</v>
      </c>
      <c r="D94" s="241">
        <v>4</v>
      </c>
      <c r="E94" s="257">
        <v>47409</v>
      </c>
      <c r="F94" s="242">
        <v>30709863076</v>
      </c>
      <c r="G94" s="243" t="str">
        <f>IFERROR(IF(compras_mes9[[#This Row],[CUIT]]="","-",VLOOKUP(compras_mes9[[#This Row],[CUIT]],Lista_CUIT[#All],2,0)),"CUIT NO CARGADO")</f>
        <v>INDUSTRIAS PLASTICOS SALTA S.R.L.</v>
      </c>
      <c r="H94" s="95">
        <v>109421.474609375</v>
      </c>
      <c r="I94" s="85">
        <f>IF(compras_mes9[[#This Row],[NETO GRAVADO]]="","",compras_mes9[[#This Row],[NETO GRAVADO]]*0.21)</f>
        <v>22978.509667968749</v>
      </c>
      <c r="J94" s="85"/>
      <c r="K94" s="85"/>
      <c r="L94" s="85"/>
      <c r="M94" s="85"/>
      <c r="N94" s="85"/>
      <c r="O94" s="85"/>
      <c r="P94" s="48">
        <f>SUM(compras_mes9[[#This Row],[NETO GRAVADO]:[Otros / No Grav.]])</f>
        <v>132399.98427734376</v>
      </c>
      <c r="Q94" s="247" t="str">
        <f>IFERROR(IF(compras_mes9[[#This Row],[CUIT]]="","-",VLOOKUP(compras_mes9[[#This Row],[CUIT]],Lista_CUIT[#All],3,0)),"CUIT NO CARGADO")</f>
        <v>Materia Prima</v>
      </c>
      <c r="R94" s="247">
        <f>IFERROR(IF(compras_mes9[[#This Row],[CUIT]]="","-",VLOOKUP(compras_mes9[[#This Row],[CUIT]],Lista_CUIT[#All],4,0)),"CUIT NO CARGADO")</f>
        <v>0</v>
      </c>
    </row>
    <row r="95" spans="2:18" ht="15" customHeight="1">
      <c r="B95" s="239" t="s">
        <v>2411</v>
      </c>
      <c r="C95" s="240">
        <v>1</v>
      </c>
      <c r="D95" s="241">
        <v>3</v>
      </c>
      <c r="E95" s="257">
        <v>21394</v>
      </c>
      <c r="F95" s="242">
        <v>30707463143</v>
      </c>
      <c r="G95" s="243" t="str">
        <f>IFERROR(IF(compras_mes9[[#This Row],[CUIT]]="","-",VLOOKUP(compras_mes9[[#This Row],[CUIT]],Lista_CUIT[#All],2,0)),"CUIT NO CARGADO")</f>
        <v>AROMATICA S.A.</v>
      </c>
      <c r="H95" s="95">
        <v>2120902.09375</v>
      </c>
      <c r="I95" s="85">
        <f>IF(compras_mes9[[#This Row],[NETO GRAVADO]]="","",compras_mes9[[#This Row],[NETO GRAVADO]]*0.21)</f>
        <v>445389.43968750001</v>
      </c>
      <c r="J95" s="85"/>
      <c r="K95" s="85"/>
      <c r="L95" s="85"/>
      <c r="M95" s="85"/>
      <c r="N95" s="85"/>
      <c r="O95" s="85"/>
      <c r="P95" s="48">
        <f>SUM(compras_mes9[[#This Row],[NETO GRAVADO]:[Otros / No Grav.]])</f>
        <v>2566291.5334374998</v>
      </c>
      <c r="Q95" s="247" t="str">
        <f>IFERROR(IF(compras_mes9[[#This Row],[CUIT]]="","-",VLOOKUP(compras_mes9[[#This Row],[CUIT]],Lista_CUIT[#All],3,0)),"CUIT NO CARGADO")</f>
        <v>Materia Prima</v>
      </c>
      <c r="R95" s="247">
        <f>IFERROR(IF(compras_mes9[[#This Row],[CUIT]]="","-",VLOOKUP(compras_mes9[[#This Row],[CUIT]],Lista_CUIT[#All],4,0)),"CUIT NO CARGADO")</f>
        <v>0</v>
      </c>
    </row>
    <row r="96" spans="2:18" ht="15" customHeight="1">
      <c r="B96" s="239" t="s">
        <v>2412</v>
      </c>
      <c r="C96" s="240">
        <v>1</v>
      </c>
      <c r="D96" s="241">
        <v>4</v>
      </c>
      <c r="E96" s="257">
        <v>47479</v>
      </c>
      <c r="F96" s="242">
        <v>30709863076</v>
      </c>
      <c r="G96" s="243" t="str">
        <f>IFERROR(IF(compras_mes9[[#This Row],[CUIT]]="","-",VLOOKUP(compras_mes9[[#This Row],[CUIT]],Lista_CUIT[#All],2,0)),"CUIT NO CARGADO")</f>
        <v>INDUSTRIAS PLASTICOS SALTA S.R.L.</v>
      </c>
      <c r="H96" s="95">
        <v>686550</v>
      </c>
      <c r="I96" s="85">
        <f>IF(compras_mes9[[#This Row],[NETO GRAVADO]]="","",compras_mes9[[#This Row],[NETO GRAVADO]]*0.21)</f>
        <v>144175.5</v>
      </c>
      <c r="J96" s="245"/>
      <c r="K96" s="245"/>
      <c r="L96" s="245"/>
      <c r="M96" s="245"/>
      <c r="N96" s="245"/>
      <c r="O96" s="245"/>
      <c r="P96" s="246">
        <f>SUM(compras_mes9[[#This Row],[NETO GRAVADO]:[Otros / No Grav.]])</f>
        <v>830725.5</v>
      </c>
      <c r="Q96" s="247" t="str">
        <f>IFERROR(IF(compras_mes9[[#This Row],[CUIT]]="","-",VLOOKUP(compras_mes9[[#This Row],[CUIT]],Lista_CUIT[#All],3,0)),"CUIT NO CARGADO")</f>
        <v>Materia Prima</v>
      </c>
      <c r="R96" s="247">
        <f>IFERROR(IF(compras_mes9[[#This Row],[CUIT]]="","-",VLOOKUP(compras_mes9[[#This Row],[CUIT]],Lista_CUIT[#All],4,0)),"CUIT NO CARGADO")</f>
        <v>0</v>
      </c>
    </row>
    <row r="97" spans="2:18" ht="15" customHeight="1">
      <c r="B97" s="602" t="s">
        <v>2412</v>
      </c>
      <c r="C97" s="603">
        <v>1</v>
      </c>
      <c r="D97" s="604">
        <v>1</v>
      </c>
      <c r="E97" s="605">
        <v>4121</v>
      </c>
      <c r="F97" s="606">
        <v>30708041722</v>
      </c>
      <c r="G97" s="607" t="str">
        <f>IFERROR(IF(compras_mes9[[#This Row],[CUIT]]="","-",VLOOKUP(compras_mes9[[#This Row],[CUIT]],Lista_CUIT[#All],2,0)),"CUIT NO CARGADO")</f>
        <v>QUETZAL QUIMICA S R L</v>
      </c>
      <c r="H97" s="615">
        <v>1301520.0625</v>
      </c>
      <c r="I97" s="609">
        <f>IF(compras_mes9[[#This Row],[NETO GRAVADO]]="","",compras_mes9[[#This Row],[NETO GRAVADO]]*0.21)</f>
        <v>273319.21312500001</v>
      </c>
      <c r="J97" s="613"/>
      <c r="K97" s="613"/>
      <c r="L97" s="613"/>
      <c r="M97" s="613"/>
      <c r="N97" s="613"/>
      <c r="O97" s="613"/>
      <c r="P97" s="614">
        <f>SUM(compras_mes9[[#This Row],[NETO GRAVADO]:[Otros / No Grav.]])</f>
        <v>1574839.275625</v>
      </c>
      <c r="Q97" s="611" t="str">
        <f>IFERROR(IF(compras_mes9[[#This Row],[CUIT]]="","-",VLOOKUP(compras_mes9[[#This Row],[CUIT]],Lista_CUIT[#All],3,0)),"CUIT NO CARGADO")</f>
        <v>Materia Prima</v>
      </c>
      <c r="R97" s="611">
        <f>IFERROR(IF(compras_mes9[[#This Row],[CUIT]]="","-",VLOOKUP(compras_mes9[[#This Row],[CUIT]],Lista_CUIT[#All],4,0)),"CUIT NO CARGADO")</f>
        <v>0</v>
      </c>
    </row>
    <row r="98" spans="2:18" ht="15" customHeight="1">
      <c r="B98" s="239" t="s">
        <v>2436</v>
      </c>
      <c r="C98" s="240">
        <v>1</v>
      </c>
      <c r="D98" s="241">
        <v>5</v>
      </c>
      <c r="E98" s="257">
        <v>5713</v>
      </c>
      <c r="F98" s="242">
        <v>20367393042</v>
      </c>
      <c r="G98" s="243" t="str">
        <f>IFERROR(IF(compras_mes9[[#This Row],[CUIT]]="","-",VLOOKUP(compras_mes9[[#This Row],[CUIT]],Lista_CUIT[#All],2,0)),"CUIT NO CARGADO")</f>
        <v>RITACCO RODRIGO</v>
      </c>
      <c r="H98" s="46">
        <v>342892.56</v>
      </c>
      <c r="I98" s="85">
        <f>IF(compras_mes9[[#This Row],[NETO GRAVADO]]="","",compras_mes9[[#This Row],[NETO GRAVADO]]*0.21)</f>
        <v>72007.43759999999</v>
      </c>
      <c r="J98" s="245"/>
      <c r="K98" s="245"/>
      <c r="L98" s="245"/>
      <c r="M98" s="245"/>
      <c r="N98" s="245"/>
      <c r="O98" s="245"/>
      <c r="P98" s="246">
        <f>SUM(compras_mes9[[#This Row],[NETO GRAVADO]:[Otros / No Grav.]])</f>
        <v>414899.9976</v>
      </c>
      <c r="Q98" s="247" t="str">
        <f>IFERROR(IF(compras_mes9[[#This Row],[CUIT]]="","-",VLOOKUP(compras_mes9[[#This Row],[CUIT]],Lista_CUIT[#All],3,0)),"CUIT NO CARGADO")</f>
        <v>Materia Prima</v>
      </c>
      <c r="R98" s="247">
        <f>IFERROR(IF(compras_mes9[[#This Row],[CUIT]]="","-",VLOOKUP(compras_mes9[[#This Row],[CUIT]],Lista_CUIT[#All],4,0)),"CUIT NO CARGADO")</f>
        <v>0</v>
      </c>
    </row>
    <row r="99" spans="2:18" ht="15" customHeight="1">
      <c r="B99" s="239" t="s">
        <v>2434</v>
      </c>
      <c r="C99" s="240">
        <v>1</v>
      </c>
      <c r="D99" s="241">
        <v>5</v>
      </c>
      <c r="E99" s="257">
        <v>23988</v>
      </c>
      <c r="F99" s="242">
        <v>30708041722</v>
      </c>
      <c r="G99" s="243" t="str">
        <f>IFERROR(IF(compras_mes9[[#This Row],[CUIT]]="","-",VLOOKUP(compras_mes9[[#This Row],[CUIT]],Lista_CUIT[#All],2,0)),"CUIT NO CARGADO")</f>
        <v>QUETZAL QUIMICA S R L</v>
      </c>
      <c r="H99" s="95">
        <v>1301520</v>
      </c>
      <c r="I99" s="85">
        <f>IF(compras_mes9[[#This Row],[NETO GRAVADO]]="","",compras_mes9[[#This Row],[NETO GRAVADO]]*0.21)</f>
        <v>273319.2</v>
      </c>
      <c r="J99" s="85"/>
      <c r="K99" s="85"/>
      <c r="L99" s="85"/>
      <c r="M99" s="85"/>
      <c r="N99" s="85"/>
      <c r="O99" s="85"/>
      <c r="P99" s="48">
        <f>SUM(compras_mes9[[#This Row],[NETO GRAVADO]:[Otros / No Grav.]])</f>
        <v>1574839.2</v>
      </c>
      <c r="Q99" s="247" t="str">
        <f>IFERROR(IF(compras_mes9[[#This Row],[CUIT]]="","-",VLOOKUP(compras_mes9[[#This Row],[CUIT]],Lista_CUIT[#All],3,0)),"CUIT NO CARGADO")</f>
        <v>Materia Prima</v>
      </c>
      <c r="R99" s="247">
        <f>IFERROR(IF(compras_mes9[[#This Row],[CUIT]]="","-",VLOOKUP(compras_mes9[[#This Row],[CUIT]],Lista_CUIT[#All],4,0)),"CUIT NO CARGADO")</f>
        <v>0</v>
      </c>
    </row>
    <row r="100" spans="2:18" ht="15" customHeight="1">
      <c r="B100" s="239" t="s">
        <v>2434</v>
      </c>
      <c r="C100" s="240">
        <v>1</v>
      </c>
      <c r="D100" s="241">
        <v>4</v>
      </c>
      <c r="E100" s="257">
        <v>47541</v>
      </c>
      <c r="F100" s="242">
        <v>30709863076</v>
      </c>
      <c r="G100" s="243" t="str">
        <f>IFERROR(IF(compras_mes9[[#This Row],[CUIT]]="","-",VLOOKUP(compras_mes9[[#This Row],[CUIT]],Lista_CUIT[#All],2,0)),"CUIT NO CARGADO")</f>
        <v>INDUSTRIAS PLASTICOS SALTA S.R.L.</v>
      </c>
      <c r="H100" s="46">
        <v>1422000</v>
      </c>
      <c r="I100" s="85">
        <f>IF(compras_mes9[[#This Row],[NETO GRAVADO]]="","",compras_mes9[[#This Row],[NETO GRAVADO]]*0.21)</f>
        <v>298620</v>
      </c>
      <c r="J100" s="245"/>
      <c r="K100" s="245"/>
      <c r="L100" s="245"/>
      <c r="M100" s="245"/>
      <c r="N100" s="245"/>
      <c r="O100" s="245"/>
      <c r="P100" s="246">
        <f>SUM(compras_mes9[[#This Row],[NETO GRAVADO]:[Otros / No Grav.]])</f>
        <v>1720620</v>
      </c>
      <c r="Q100" s="247" t="str">
        <f>IFERROR(IF(compras_mes9[[#This Row],[CUIT]]="","-",VLOOKUP(compras_mes9[[#This Row],[CUIT]],Lista_CUIT[#All],3,0)),"CUIT NO CARGADO")</f>
        <v>Materia Prima</v>
      </c>
      <c r="R100" s="247">
        <f>IFERROR(IF(compras_mes9[[#This Row],[CUIT]]="","-",VLOOKUP(compras_mes9[[#This Row],[CUIT]],Lista_CUIT[#All],4,0)),"CUIT NO CARGADO")</f>
        <v>0</v>
      </c>
    </row>
    <row r="101" spans="2:18" ht="15" customHeight="1">
      <c r="B101" s="239" t="s">
        <v>2417</v>
      </c>
      <c r="C101" s="240">
        <v>1</v>
      </c>
      <c r="D101" s="241">
        <v>4</v>
      </c>
      <c r="E101" s="257">
        <v>47561</v>
      </c>
      <c r="F101" s="242">
        <v>30709863076</v>
      </c>
      <c r="G101" s="243" t="str">
        <f>IFERROR(IF(compras_mes9[[#This Row],[CUIT]]="","-",VLOOKUP(compras_mes9[[#This Row],[CUIT]],Lista_CUIT[#All],2,0)),"CUIT NO CARGADO")</f>
        <v>INDUSTRIAS PLASTICOS SALTA S.R.L.</v>
      </c>
      <c r="H101" s="244">
        <v>417500</v>
      </c>
      <c r="I101" s="85">
        <f>IF(compras_mes9[[#This Row],[NETO GRAVADO]]="","",compras_mes9[[#This Row],[NETO GRAVADO]]*0.21)</f>
        <v>87675</v>
      </c>
      <c r="J101" s="245"/>
      <c r="K101" s="245"/>
      <c r="L101" s="245"/>
      <c r="M101" s="245"/>
      <c r="N101" s="245"/>
      <c r="O101" s="245"/>
      <c r="P101" s="246">
        <f>SUM(compras_mes9[[#This Row],[NETO GRAVADO]:[Otros / No Grav.]])</f>
        <v>505175</v>
      </c>
      <c r="Q101" s="247" t="str">
        <f>IFERROR(IF(compras_mes9[[#This Row],[CUIT]]="","-",VLOOKUP(compras_mes9[[#This Row],[CUIT]],Lista_CUIT[#All],3,0)),"CUIT NO CARGADO")</f>
        <v>Materia Prima</v>
      </c>
      <c r="R101" s="247">
        <f>IFERROR(IF(compras_mes9[[#This Row],[CUIT]]="","-",VLOOKUP(compras_mes9[[#This Row],[CUIT]],Lista_CUIT[#All],4,0)),"CUIT NO CARGADO")</f>
        <v>0</v>
      </c>
    </row>
    <row r="102" spans="2:18" ht="15" customHeight="1">
      <c r="B102" s="239" t="s">
        <v>2399</v>
      </c>
      <c r="C102" s="240">
        <v>1</v>
      </c>
      <c r="D102" s="241">
        <v>5</v>
      </c>
      <c r="E102" s="257">
        <v>54283</v>
      </c>
      <c r="F102" s="242">
        <v>30709932876</v>
      </c>
      <c r="G102" s="243" t="str">
        <f>IFERROR(IF(compras_mes9[[#This Row],[CUIT]]="","-",VLOOKUP(compras_mes9[[#This Row],[CUIT]],Lista_CUIT[#All],2,0)),"CUIT NO CARGADO")</f>
        <v>Mega Envases S.A.</v>
      </c>
      <c r="H102" s="46">
        <v>3731692.1875</v>
      </c>
      <c r="I102" s="85">
        <f>IF(compras_mes9[[#This Row],[NETO GRAVADO]]="","",compras_mes9[[#This Row],[NETO GRAVADO]]*0.21)</f>
        <v>783655.359375</v>
      </c>
      <c r="J102" s="245"/>
      <c r="K102" s="245"/>
      <c r="L102" s="245"/>
      <c r="M102" s="245"/>
      <c r="N102" s="245">
        <v>223901.53</v>
      </c>
      <c r="O102" s="245"/>
      <c r="P102" s="246">
        <f>SUM(compras_mes9[[#This Row],[NETO GRAVADO]:[Otros / No Grav.]])</f>
        <v>4739249.0768750003</v>
      </c>
      <c r="Q102" s="247" t="str">
        <f>IFERROR(IF(compras_mes9[[#This Row],[CUIT]]="","-",VLOOKUP(compras_mes9[[#This Row],[CUIT]],Lista_CUIT[#All],3,0)),"CUIT NO CARGADO")</f>
        <v>Material de Empaque</v>
      </c>
      <c r="R102" s="247">
        <f>IFERROR(IF(compras_mes9[[#This Row],[CUIT]]="","-",VLOOKUP(compras_mes9[[#This Row],[CUIT]],Lista_CUIT[#All],4,0)),"CUIT NO CARGADO")</f>
        <v>0</v>
      </c>
    </row>
    <row r="103" spans="2:18" ht="15" customHeight="1">
      <c r="B103" s="239" t="s">
        <v>2399</v>
      </c>
      <c r="C103" s="240">
        <v>1</v>
      </c>
      <c r="D103" s="241">
        <v>3</v>
      </c>
      <c r="E103" s="257">
        <v>2505</v>
      </c>
      <c r="F103" s="242">
        <v>30715434276</v>
      </c>
      <c r="G103" s="243" t="str">
        <f>IFERROR(IF(compras_mes9[[#This Row],[CUIT]]="","-",VLOOKUP(compras_mes9[[#This Row],[CUIT]],Lista_CUIT[#All],2,0)),"CUIT NO CARGADO")</f>
        <v>BRUAYAFA S.A.</v>
      </c>
      <c r="H103" s="95">
        <v>923725.96875</v>
      </c>
      <c r="I103" s="85">
        <f>IF(compras_mes9[[#This Row],[NETO GRAVADO]]="","",compras_mes9[[#This Row],[NETO GRAVADO]]*0.21)</f>
        <v>193982.45343749999</v>
      </c>
      <c r="J103" s="245"/>
      <c r="K103" s="245"/>
      <c r="L103" s="245"/>
      <c r="M103" s="245"/>
      <c r="N103" s="245"/>
      <c r="O103" s="245"/>
      <c r="P103" s="246">
        <f>SUM(compras_mes9[[#This Row],[NETO GRAVADO]:[Otros / No Grav.]])</f>
        <v>1117708.4221874999</v>
      </c>
      <c r="Q103" s="247" t="str">
        <f>IFERROR(IF(compras_mes9[[#This Row],[CUIT]]="","-",VLOOKUP(compras_mes9[[#This Row],[CUIT]],Lista_CUIT[#All],3,0)),"CUIT NO CARGADO")</f>
        <v>Material de Empaque</v>
      </c>
      <c r="R103" s="247">
        <f>IFERROR(IF(compras_mes9[[#This Row],[CUIT]]="","-",VLOOKUP(compras_mes9[[#This Row],[CUIT]],Lista_CUIT[#All],4,0)),"CUIT NO CARGADO")</f>
        <v>0</v>
      </c>
    </row>
    <row r="104" spans="2:18" ht="15" customHeight="1">
      <c r="B104" s="239" t="s">
        <v>2401</v>
      </c>
      <c r="C104" s="240">
        <v>1</v>
      </c>
      <c r="D104" s="241">
        <v>3</v>
      </c>
      <c r="E104" s="257">
        <v>1067</v>
      </c>
      <c r="F104" s="242">
        <v>20320262195</v>
      </c>
      <c r="G104" s="243" t="str">
        <f>IFERROR(IF(compras_mes9[[#This Row],[CUIT]]="","-",VLOOKUP(compras_mes9[[#This Row],[CUIT]],Lista_CUIT[#All],2,0)),"CUIT NO CARGADO")</f>
        <v>FRAIRE MARIO ANDRES</v>
      </c>
      <c r="H104" s="46">
        <v>59504.1611328125</v>
      </c>
      <c r="I104" s="85">
        <f>IF(compras_mes9[[#This Row],[NETO GRAVADO]]="","",compras_mes9[[#This Row],[NETO GRAVADO]]*0.21)</f>
        <v>12495.873837890624</v>
      </c>
      <c r="J104" s="245"/>
      <c r="K104" s="245"/>
      <c r="L104" s="245"/>
      <c r="M104" s="245"/>
      <c r="N104" s="245"/>
      <c r="O104" s="245"/>
      <c r="P104" s="246">
        <f>SUM(compras_mes9[[#This Row],[NETO GRAVADO]:[Otros / No Grav.]])</f>
        <v>72000.034970703127</v>
      </c>
      <c r="Q104" s="247" t="str">
        <f>IFERROR(IF(compras_mes9[[#This Row],[CUIT]]="","-",VLOOKUP(compras_mes9[[#This Row],[CUIT]],Lista_CUIT[#All],3,0)),"CUIT NO CARGADO")</f>
        <v>Material de Empaque</v>
      </c>
      <c r="R104" s="247">
        <f>IFERROR(IF(compras_mes9[[#This Row],[CUIT]]="","-",VLOOKUP(compras_mes9[[#This Row],[CUIT]],Lista_CUIT[#All],4,0)),"CUIT NO CARGADO")</f>
        <v>0</v>
      </c>
    </row>
    <row r="105" spans="2:18" ht="15" customHeight="1">
      <c r="B105" s="40" t="s">
        <v>2398</v>
      </c>
      <c r="C105" s="240">
        <v>1</v>
      </c>
      <c r="D105" s="42">
        <v>10</v>
      </c>
      <c r="E105" s="43">
        <v>13446</v>
      </c>
      <c r="F105" s="44">
        <v>30708157755</v>
      </c>
      <c r="G105" s="45" t="str">
        <f>IFERROR(IF(compras_mes9[[#This Row],[CUIT]]="","-",VLOOKUP(compras_mes9[[#This Row],[CUIT]],Lista_CUIT[#All],2,0)),"CUIT NO CARGADO")</f>
        <v>EXPOENVASE SRL</v>
      </c>
      <c r="H105" s="46">
        <v>277300</v>
      </c>
      <c r="I105" s="85">
        <f>IF(compras_mes9[[#This Row],[NETO GRAVADO]]="","",compras_mes9[[#This Row],[NETO GRAVADO]]*0.21)</f>
        <v>58233</v>
      </c>
      <c r="J105" s="85"/>
      <c r="K105" s="85"/>
      <c r="L105" s="85"/>
      <c r="M105" s="85"/>
      <c r="N105" s="85"/>
      <c r="O105" s="85"/>
      <c r="P105" s="48">
        <f>SUM(compras_mes9[[#This Row],[NETO GRAVADO]:[Otros / No Grav.]])</f>
        <v>335533</v>
      </c>
      <c r="Q105" s="49" t="str">
        <f>IFERROR(IF(compras_mes9[[#This Row],[CUIT]]="","-",VLOOKUP(compras_mes9[[#This Row],[CUIT]],Lista_CUIT[#All],3,0)),"CUIT NO CARGADO")</f>
        <v>Material de Empaque</v>
      </c>
      <c r="R105" s="49">
        <f>IFERROR(IF(compras_mes9[[#This Row],[CUIT]]="","-",VLOOKUP(compras_mes9[[#This Row],[CUIT]],Lista_CUIT[#All],4,0)),"CUIT NO CARGADO")</f>
        <v>0</v>
      </c>
    </row>
    <row r="106" spans="2:18" ht="15" customHeight="1">
      <c r="B106" s="239" t="s">
        <v>2398</v>
      </c>
      <c r="C106" s="240">
        <v>1</v>
      </c>
      <c r="D106" s="241">
        <v>7</v>
      </c>
      <c r="E106" s="257">
        <v>51168</v>
      </c>
      <c r="F106" s="242">
        <v>30624066827</v>
      </c>
      <c r="G106" s="243" t="str">
        <f>IFERROR(IF(compras_mes9[[#This Row],[CUIT]]="","-",VLOOKUP(compras_mes9[[#This Row],[CUIT]],Lista_CUIT[#All],2,0)),"CUIT NO CARGADO")</f>
        <v>HECTOR HALABE Y OTROS</v>
      </c>
      <c r="H106" s="244">
        <v>34631.3984375</v>
      </c>
      <c r="I106" s="85">
        <f>IF(compras_mes9[[#This Row],[NETO GRAVADO]]="","",compras_mes9[[#This Row],[NETO GRAVADO]]*0.21)</f>
        <v>7272.5936718749999</v>
      </c>
      <c r="J106" s="245"/>
      <c r="K106" s="245"/>
      <c r="L106" s="245"/>
      <c r="M106" s="245"/>
      <c r="N106" s="245"/>
      <c r="O106" s="245"/>
      <c r="P106" s="246">
        <f>SUM(compras_mes9[[#This Row],[NETO GRAVADO]:[Otros / No Grav.]])</f>
        <v>41903.992109375002</v>
      </c>
      <c r="Q106" s="247" t="str">
        <f>IFERROR(IF(compras_mes9[[#This Row],[CUIT]]="","-",VLOOKUP(compras_mes9[[#This Row],[CUIT]],Lista_CUIT[#All],3,0)),"CUIT NO CARGADO")</f>
        <v>Material de Empaque</v>
      </c>
      <c r="R106" s="247">
        <f>IFERROR(IF(compras_mes9[[#This Row],[CUIT]]="","-",VLOOKUP(compras_mes9[[#This Row],[CUIT]],Lista_CUIT[#All],4,0)),"CUIT NO CARGADO")</f>
        <v>0</v>
      </c>
    </row>
    <row r="107" spans="2:18" ht="15" customHeight="1">
      <c r="B107" s="239" t="s">
        <v>2404</v>
      </c>
      <c r="C107" s="240">
        <v>1</v>
      </c>
      <c r="D107" s="241">
        <v>1</v>
      </c>
      <c r="E107" s="257">
        <v>811</v>
      </c>
      <c r="F107" s="242">
        <v>20103069832</v>
      </c>
      <c r="G107" s="243" t="str">
        <f>IFERROR(IF(compras_mes9[[#This Row],[CUIT]]="","-",VLOOKUP(compras_mes9[[#This Row],[CUIT]],Lista_CUIT[#All],2,0)),"CUIT NO CARGADO")</f>
        <v>DE LUCA HECTOR RAFAEL FRANCI</v>
      </c>
      <c r="H107" s="95">
        <v>2700000</v>
      </c>
      <c r="I107" s="85">
        <f>IF(compras_mes9[[#This Row],[NETO GRAVADO]]="","",compras_mes9[[#This Row],[NETO GRAVADO]]*0.21)</f>
        <v>567000</v>
      </c>
      <c r="J107" s="245"/>
      <c r="K107" s="245"/>
      <c r="L107" s="245"/>
      <c r="M107" s="245"/>
      <c r="N107" s="245"/>
      <c r="O107" s="245"/>
      <c r="P107" s="246">
        <f>SUM(compras_mes9[[#This Row],[NETO GRAVADO]:[Otros / No Grav.]])</f>
        <v>3267000</v>
      </c>
      <c r="Q107" s="247" t="str">
        <f>IFERROR(IF(compras_mes9[[#This Row],[CUIT]]="","-",VLOOKUP(compras_mes9[[#This Row],[CUIT]],Lista_CUIT[#All],3,0)),"CUIT NO CARGADO")</f>
        <v>Material de Empaque</v>
      </c>
      <c r="R107" s="247">
        <f>IFERROR(IF(compras_mes9[[#This Row],[CUIT]]="","-",VLOOKUP(compras_mes9[[#This Row],[CUIT]],Lista_CUIT[#All],4,0)),"CUIT NO CARGADO")</f>
        <v>0</v>
      </c>
    </row>
    <row r="108" spans="2:18" ht="15" customHeight="1">
      <c r="B108" s="239" t="s">
        <v>2408</v>
      </c>
      <c r="C108" s="240">
        <v>1</v>
      </c>
      <c r="D108" s="241">
        <v>6</v>
      </c>
      <c r="E108" s="257">
        <v>9963</v>
      </c>
      <c r="F108" s="242">
        <v>30707603123</v>
      </c>
      <c r="G108" s="243" t="str">
        <f>IFERROR(IF(compras_mes9[[#This Row],[CUIT]]="","-",VLOOKUP(compras_mes9[[#This Row],[CUIT]],Lista_CUIT[#All],2,0)),"CUIT NO CARGADO")</f>
        <v>BI-ORIENT S.A.</v>
      </c>
      <c r="H108" s="95">
        <v>1406800</v>
      </c>
      <c r="I108" s="85">
        <f>IF(compras_mes9[[#This Row],[NETO GRAVADO]]="","",compras_mes9[[#This Row],[NETO GRAVADO]]*0.21)</f>
        <v>295428</v>
      </c>
      <c r="J108" s="245"/>
      <c r="K108" s="245"/>
      <c r="L108" s="245"/>
      <c r="M108" s="245"/>
      <c r="N108" s="245"/>
      <c r="O108" s="245"/>
      <c r="P108" s="246">
        <f>SUM(compras_mes9[[#This Row],[NETO GRAVADO]:[Otros / No Grav.]])</f>
        <v>1702228</v>
      </c>
      <c r="Q108" s="247" t="str">
        <f>IFERROR(IF(compras_mes9[[#This Row],[CUIT]]="","-",VLOOKUP(compras_mes9[[#This Row],[CUIT]],Lista_CUIT[#All],3,0)),"CUIT NO CARGADO")</f>
        <v>Material de Empaque</v>
      </c>
      <c r="R108" s="247">
        <f>IFERROR(IF(compras_mes9[[#This Row],[CUIT]]="","-",VLOOKUP(compras_mes9[[#This Row],[CUIT]],Lista_CUIT[#All],4,0)),"CUIT NO CARGADO")</f>
        <v>0</v>
      </c>
    </row>
    <row r="109" spans="2:18" ht="15" customHeight="1">
      <c r="B109" s="239" t="s">
        <v>2408</v>
      </c>
      <c r="C109" s="240">
        <v>1</v>
      </c>
      <c r="D109" s="241">
        <v>1</v>
      </c>
      <c r="E109" s="257">
        <v>2810</v>
      </c>
      <c r="F109" s="242">
        <v>27181689183</v>
      </c>
      <c r="G109" s="243" t="str">
        <f>IFERROR(IF(compras_mes9[[#This Row],[CUIT]]="","-",VLOOKUP(compras_mes9[[#This Row],[CUIT]],Lista_CUIT[#All],2,0)),"CUIT NO CARGADO")</f>
        <v>REPETTO MARIA FERNANDA</v>
      </c>
      <c r="H109" s="95">
        <v>742500</v>
      </c>
      <c r="I109" s="85">
        <f>IF(compras_mes9[[#This Row],[NETO GRAVADO]]="","",compras_mes9[[#This Row],[NETO GRAVADO]]*0.21)</f>
        <v>155925</v>
      </c>
      <c r="J109" s="245"/>
      <c r="K109" s="245"/>
      <c r="L109" s="245"/>
      <c r="M109" s="245"/>
      <c r="N109" s="245"/>
      <c r="O109" s="245"/>
      <c r="P109" s="246">
        <f>SUM(compras_mes9[[#This Row],[NETO GRAVADO]:[Otros / No Grav.]])</f>
        <v>898425</v>
      </c>
      <c r="Q109" s="247" t="str">
        <f>IFERROR(IF(compras_mes9[[#This Row],[CUIT]]="","-",VLOOKUP(compras_mes9[[#This Row],[CUIT]],Lista_CUIT[#All],3,0)),"CUIT NO CARGADO")</f>
        <v>Material de Empaque</v>
      </c>
      <c r="R109" s="247">
        <f>IFERROR(IF(compras_mes9[[#This Row],[CUIT]]="","-",VLOOKUP(compras_mes9[[#This Row],[CUIT]],Lista_CUIT[#All],4,0)),"CUIT NO CARGADO")</f>
        <v>0</v>
      </c>
    </row>
    <row r="110" spans="2:18" ht="15" customHeight="1">
      <c r="B110" s="239" t="s">
        <v>2409</v>
      </c>
      <c r="C110" s="240">
        <v>1</v>
      </c>
      <c r="D110" s="241">
        <v>9</v>
      </c>
      <c r="E110" s="257">
        <v>853</v>
      </c>
      <c r="F110" s="242">
        <v>30710446047</v>
      </c>
      <c r="G110" s="243" t="str">
        <f>IFERROR(IF(compras_mes9[[#This Row],[CUIT]]="","-",VLOOKUP(compras_mes9[[#This Row],[CUIT]],Lista_CUIT[#All],2,0)),"CUIT NO CARGADO")</f>
        <v>ENSAMBLE GRAFICO S.H.</v>
      </c>
      <c r="H110" s="244">
        <v>1705320.0625</v>
      </c>
      <c r="I110" s="85">
        <f>IF(compras_mes9[[#This Row],[NETO GRAVADO]]="","",compras_mes9[[#This Row],[NETO GRAVADO]]*0.21)</f>
        <v>358117.21312500001</v>
      </c>
      <c r="J110" s="245"/>
      <c r="K110" s="245"/>
      <c r="L110" s="245"/>
      <c r="M110" s="245"/>
      <c r="N110" s="245"/>
      <c r="O110" s="245"/>
      <c r="P110" s="246">
        <f>SUM(compras_mes9[[#This Row],[NETO GRAVADO]:[Otros / No Grav.]])</f>
        <v>2063437.275625</v>
      </c>
      <c r="Q110" s="247" t="str">
        <f>IFERROR(IF(compras_mes9[[#This Row],[CUIT]]="","-",VLOOKUP(compras_mes9[[#This Row],[CUIT]],Lista_CUIT[#All],3,0)),"CUIT NO CARGADO")</f>
        <v>Material de Empaque</v>
      </c>
      <c r="R110" s="247">
        <f>IFERROR(IF(compras_mes9[[#This Row],[CUIT]]="","-",VLOOKUP(compras_mes9[[#This Row],[CUIT]],Lista_CUIT[#All],4,0)),"CUIT NO CARGADO")</f>
        <v>0</v>
      </c>
    </row>
    <row r="111" spans="2:18" ht="15" customHeight="1">
      <c r="B111" s="239" t="s">
        <v>2411</v>
      </c>
      <c r="C111" s="240">
        <v>1</v>
      </c>
      <c r="D111" s="241">
        <v>10</v>
      </c>
      <c r="E111" s="257">
        <v>13553</v>
      </c>
      <c r="F111" s="242">
        <v>30708157755</v>
      </c>
      <c r="G111" s="243" t="str">
        <f>IFERROR(IF(compras_mes9[[#This Row],[CUIT]]="","-",VLOOKUP(compras_mes9[[#This Row],[CUIT]],Lista_CUIT[#All],2,0)),"CUIT NO CARGADO")</f>
        <v>EXPOENVASE SRL</v>
      </c>
      <c r="H111" s="244">
        <v>429000</v>
      </c>
      <c r="I111" s="85">
        <f>IF(compras_mes9[[#This Row],[NETO GRAVADO]]="","",compras_mes9[[#This Row],[NETO GRAVADO]]*0.21)</f>
        <v>90090</v>
      </c>
      <c r="J111" s="245"/>
      <c r="K111" s="245"/>
      <c r="L111" s="245"/>
      <c r="M111" s="245"/>
      <c r="N111" s="245"/>
      <c r="O111" s="245"/>
      <c r="P111" s="246">
        <f>SUM(compras_mes9[[#This Row],[NETO GRAVADO]:[Otros / No Grav.]])</f>
        <v>519090</v>
      </c>
      <c r="Q111" s="247" t="str">
        <f>IFERROR(IF(compras_mes9[[#This Row],[CUIT]]="","-",VLOOKUP(compras_mes9[[#This Row],[CUIT]],Lista_CUIT[#All],3,0)),"CUIT NO CARGADO")</f>
        <v>Material de Empaque</v>
      </c>
      <c r="R111" s="247">
        <f>IFERROR(IF(compras_mes9[[#This Row],[CUIT]]="","-",VLOOKUP(compras_mes9[[#This Row],[CUIT]],Lista_CUIT[#All],4,0)),"CUIT NO CARGADO")</f>
        <v>0</v>
      </c>
    </row>
    <row r="112" spans="2:18" ht="15" customHeight="1">
      <c r="B112" s="602" t="s">
        <v>2412</v>
      </c>
      <c r="C112" s="603">
        <v>1</v>
      </c>
      <c r="D112" s="604">
        <v>1</v>
      </c>
      <c r="E112" s="605">
        <v>240924</v>
      </c>
      <c r="F112" s="606">
        <v>20077604627</v>
      </c>
      <c r="G112" s="607" t="str">
        <f>IFERROR(IF(compras_mes9[[#This Row],[CUIT]]="","-",VLOOKUP(compras_mes9[[#This Row],[CUIT]],Lista_CUIT[#All],2,0)),"CUIT NO CARGADO")</f>
        <v>OCAÑO ENRIQUE</v>
      </c>
      <c r="H112" s="608">
        <v>2420000</v>
      </c>
      <c r="I112" s="609">
        <f>IF(compras_mes9[[#This Row],[NETO GRAVADO]]="","",compras_mes9[[#This Row],[NETO GRAVADO]]*0.21)</f>
        <v>508200</v>
      </c>
      <c r="J112" s="609"/>
      <c r="K112" s="609"/>
      <c r="L112" s="609"/>
      <c r="M112" s="609"/>
      <c r="N112" s="609"/>
      <c r="O112" s="609"/>
      <c r="P112" s="610">
        <f>SUM(compras_mes9[[#This Row],[NETO GRAVADO]:[Otros / No Grav.]])</f>
        <v>2928200</v>
      </c>
      <c r="Q112" s="611" t="str">
        <f>IFERROR(IF(compras_mes9[[#This Row],[CUIT]]="","-",VLOOKUP(compras_mes9[[#This Row],[CUIT]],Lista_CUIT[#All],3,0)),"CUIT NO CARGADO")</f>
        <v>Material de Empaque</v>
      </c>
      <c r="R112" s="611">
        <f>IFERROR(IF(compras_mes9[[#This Row],[CUIT]]="","-",VLOOKUP(compras_mes9[[#This Row],[CUIT]],Lista_CUIT[#All],4,0)),"CUIT NO CARGADO")</f>
        <v>0</v>
      </c>
    </row>
    <row r="113" spans="2:18" ht="15" customHeight="1">
      <c r="B113" s="239" t="s">
        <v>2414</v>
      </c>
      <c r="C113" s="240">
        <v>1</v>
      </c>
      <c r="D113" s="241">
        <v>11</v>
      </c>
      <c r="E113" s="257">
        <v>1753</v>
      </c>
      <c r="F113" s="242">
        <v>30717486826</v>
      </c>
      <c r="G113" s="243" t="str">
        <f>IFERROR(IF(compras_mes9[[#This Row],[CUIT]]="","-",VLOOKUP(compras_mes9[[#This Row],[CUIT]],Lista_CUIT[#All],2,0)),"CUIT NO CARGADO")</f>
        <v xml:space="preserve">PAPELERA PACKPEL </v>
      </c>
      <c r="H113" s="95">
        <v>44709.896484375</v>
      </c>
      <c r="I113" s="85">
        <f>IF(compras_mes9[[#This Row],[NETO GRAVADO]]="","",compras_mes9[[#This Row],[NETO GRAVADO]]*0.21)</f>
        <v>9389.0782617187488</v>
      </c>
      <c r="J113" s="85"/>
      <c r="K113" s="85"/>
      <c r="L113" s="85"/>
      <c r="M113" s="85"/>
      <c r="N113" s="85"/>
      <c r="O113" s="85"/>
      <c r="P113" s="48">
        <f>SUM(compras_mes9[[#This Row],[NETO GRAVADO]:[Otros / No Grav.]])</f>
        <v>54098.974746093751</v>
      </c>
      <c r="Q113" s="247" t="str">
        <f>IFERROR(IF(compras_mes9[[#This Row],[CUIT]]="","-",VLOOKUP(compras_mes9[[#This Row],[CUIT]],Lista_CUIT[#All],3,0)),"CUIT NO CARGADO")</f>
        <v>Material de Empaque</v>
      </c>
      <c r="R113" s="247">
        <f>IFERROR(IF(compras_mes9[[#This Row],[CUIT]]="","-",VLOOKUP(compras_mes9[[#This Row],[CUIT]],Lista_CUIT[#All],4,0)),"CUIT NO CARGADO")</f>
        <v>0</v>
      </c>
    </row>
    <row r="114" spans="2:18" ht="15" customHeight="1">
      <c r="B114" s="239" t="s">
        <v>2415</v>
      </c>
      <c r="C114" s="240">
        <v>1</v>
      </c>
      <c r="D114" s="241">
        <v>2</v>
      </c>
      <c r="E114" s="257">
        <v>3156</v>
      </c>
      <c r="F114" s="242">
        <v>27218204053</v>
      </c>
      <c r="G114" s="243" t="str">
        <f>IFERROR(IF(compras_mes9[[#This Row],[CUIT]]="","-",VLOOKUP(compras_mes9[[#This Row],[CUIT]],Lista_CUIT[#All],2,0)),"CUIT NO CARGADO")</f>
        <v>VEGA SANDRA ELIZABETH</v>
      </c>
      <c r="H114" s="244">
        <v>801100</v>
      </c>
      <c r="I114" s="85">
        <f>IF(compras_mes9[[#This Row],[NETO GRAVADO]]="","",compras_mes9[[#This Row],[NETO GRAVADO]]*0.21)</f>
        <v>168231</v>
      </c>
      <c r="J114" s="245"/>
      <c r="K114" s="245"/>
      <c r="L114" s="245"/>
      <c r="M114" s="245"/>
      <c r="N114" s="245"/>
      <c r="O114" s="245"/>
      <c r="P114" s="246">
        <f>SUM(compras_mes9[[#This Row],[NETO GRAVADO]:[Otros / No Grav.]])</f>
        <v>969331</v>
      </c>
      <c r="Q114" s="247" t="str">
        <f>IFERROR(IF(compras_mes9[[#This Row],[CUIT]]="","-",VLOOKUP(compras_mes9[[#This Row],[CUIT]],Lista_CUIT[#All],3,0)),"CUIT NO CARGADO")</f>
        <v>Material de Empaque</v>
      </c>
      <c r="R114" s="247">
        <f>IFERROR(IF(compras_mes9[[#This Row],[CUIT]]="","-",VLOOKUP(compras_mes9[[#This Row],[CUIT]],Lista_CUIT[#All],4,0)),"CUIT NO CARGADO")</f>
        <v>0</v>
      </c>
    </row>
    <row r="115" spans="2:18" ht="15" customHeight="1">
      <c r="B115" s="239" t="s">
        <v>2416</v>
      </c>
      <c r="C115" s="240">
        <v>1</v>
      </c>
      <c r="D115" s="241">
        <v>4</v>
      </c>
      <c r="E115" s="257">
        <v>26211</v>
      </c>
      <c r="F115" s="242">
        <v>30552433595</v>
      </c>
      <c r="G115" s="243" t="str">
        <f>IFERROR(IF(compras_mes9[[#This Row],[CUIT]]="","-",VLOOKUP(compras_mes9[[#This Row],[CUIT]],Lista_CUIT[#All],2,0)),"CUIT NO CARGADO")</f>
        <v>PIROPLAST SRL</v>
      </c>
      <c r="H115" s="95">
        <v>712800</v>
      </c>
      <c r="I115" s="85">
        <f>IF(compras_mes9[[#This Row],[NETO GRAVADO]]="","",compras_mes9[[#This Row],[NETO GRAVADO]]*0.21)</f>
        <v>149688</v>
      </c>
      <c r="J115" s="245"/>
      <c r="K115" s="245"/>
      <c r="L115" s="245"/>
      <c r="M115" s="245"/>
      <c r="N115" s="245"/>
      <c r="O115" s="245"/>
      <c r="P115" s="246">
        <f>SUM(compras_mes9[[#This Row],[NETO GRAVADO]:[Otros / No Grav.]])</f>
        <v>862488</v>
      </c>
      <c r="Q115" s="247" t="str">
        <f>IFERROR(IF(compras_mes9[[#This Row],[CUIT]]="","-",VLOOKUP(compras_mes9[[#This Row],[CUIT]],Lista_CUIT[#All],3,0)),"CUIT NO CARGADO")</f>
        <v>Material de Empaque</v>
      </c>
      <c r="R115" s="247">
        <f>IFERROR(IF(compras_mes9[[#This Row],[CUIT]]="","-",VLOOKUP(compras_mes9[[#This Row],[CUIT]],Lista_CUIT[#All],4,0)),"CUIT NO CARGADO")</f>
        <v>0</v>
      </c>
    </row>
    <row r="116" spans="2:18" ht="15" customHeight="1">
      <c r="B116" s="593" t="s">
        <v>2455</v>
      </c>
      <c r="C116" s="240">
        <v>1</v>
      </c>
      <c r="D116" s="594">
        <v>629</v>
      </c>
      <c r="E116" s="595">
        <v>5409503</v>
      </c>
      <c r="F116" s="596">
        <v>30663498513</v>
      </c>
      <c r="G116" s="597" t="str">
        <f>IFERROR(IF(compras_mes9[[#This Row],[CUIT]]="","-",VLOOKUP(compras_mes9[[#This Row],[CUIT]],Lista_CUIT[#All],2,0)),"CUIT NO CARGADO")</f>
        <v>GRUPO CONCES. DEL OESTE SA</v>
      </c>
      <c r="H116" s="598">
        <v>26616.94</v>
      </c>
      <c r="I116" s="599">
        <f>IF(compras_mes9[[#This Row],[NETO GRAVADO]]="","",compras_mes9[[#This Row],[NETO GRAVADO]]*0.21)</f>
        <v>5589.5573999999997</v>
      </c>
      <c r="J116" s="599"/>
      <c r="K116" s="599"/>
      <c r="L116" s="599"/>
      <c r="M116" s="599"/>
      <c r="N116" s="599"/>
      <c r="O116" s="599"/>
      <c r="P116" s="600">
        <f>SUM(compras_mes9[[#This Row],[NETO GRAVADO]:[Otros / No Grav.]])</f>
        <v>32206.4974</v>
      </c>
      <c r="Q116" s="601" t="str">
        <f>IFERROR(IF(compras_mes9[[#This Row],[CUIT]]="","-",VLOOKUP(compras_mes9[[#This Row],[CUIT]],Lista_CUIT[#All],3,0)),"CUIT NO CARGADO")</f>
        <v>Peajes</v>
      </c>
      <c r="R116" s="601">
        <f>IFERROR(IF(compras_mes9[[#This Row],[CUIT]]="","-",VLOOKUP(compras_mes9[[#This Row],[CUIT]],Lista_CUIT[#All],4,0)),"CUIT NO CARGADO")</f>
        <v>0</v>
      </c>
    </row>
    <row r="117" spans="2:18" ht="15" customHeight="1">
      <c r="B117" s="593" t="s">
        <v>2455</v>
      </c>
      <c r="C117" s="240">
        <v>1</v>
      </c>
      <c r="D117" s="594">
        <v>711</v>
      </c>
      <c r="E117" s="595">
        <v>6102007</v>
      </c>
      <c r="F117" s="596">
        <v>30677237119</v>
      </c>
      <c r="G117" s="597" t="str">
        <f>IFERROR(IF(compras_mes9[[#This Row],[CUIT]]="","-",VLOOKUP(compras_mes9[[#This Row],[CUIT]],Lista_CUIT[#All],2,0)),"CUIT NO CARGADO")</f>
        <v>AUTOPISTAS DEL SOL S A</v>
      </c>
      <c r="H117" s="598">
        <v>18178.599999999999</v>
      </c>
      <c r="I117" s="599">
        <f>IF(compras_mes9[[#This Row],[NETO GRAVADO]]="","",compras_mes9[[#This Row],[NETO GRAVADO]]*0.21)</f>
        <v>3817.5059999999994</v>
      </c>
      <c r="J117" s="599"/>
      <c r="K117" s="599"/>
      <c r="L117" s="599"/>
      <c r="M117" s="599"/>
      <c r="N117" s="599"/>
      <c r="O117" s="599">
        <v>545.36</v>
      </c>
      <c r="P117" s="600">
        <f>SUM(compras_mes9[[#This Row],[NETO GRAVADO]:[Otros / No Grav.]])</f>
        <v>22541.466</v>
      </c>
      <c r="Q117" s="601" t="str">
        <f>IFERROR(IF(compras_mes9[[#This Row],[CUIT]]="","-",VLOOKUP(compras_mes9[[#This Row],[CUIT]],Lista_CUIT[#All],3,0)),"CUIT NO CARGADO")</f>
        <v>Peajes</v>
      </c>
      <c r="R117" s="601">
        <f>IFERROR(IF(compras_mes9[[#This Row],[CUIT]]="","-",VLOOKUP(compras_mes9[[#This Row],[CUIT]],Lista_CUIT[#All],4,0)),"CUIT NO CARGADO")</f>
        <v>0</v>
      </c>
    </row>
    <row r="118" spans="2:18" ht="15" customHeight="1">
      <c r="B118" s="239" t="s">
        <v>2441</v>
      </c>
      <c r="C118" s="240">
        <v>1</v>
      </c>
      <c r="D118" s="241">
        <v>700</v>
      </c>
      <c r="E118" s="257">
        <v>1906580</v>
      </c>
      <c r="F118" s="242">
        <v>30715804812</v>
      </c>
      <c r="G118" s="243" t="str">
        <f>IFERROR(IF(compras_mes9[[#This Row],[CUIT]]="","-",VLOOKUP(compras_mes9[[#This Row],[CUIT]],Lista_CUIT[#All],2,0)),"CUIT NO CARGADO")</f>
        <v>CORREDORES VIALES SOCIEDAD ANONIMA</v>
      </c>
      <c r="H118" s="95">
        <v>2950.98</v>
      </c>
      <c r="I118" s="85">
        <f>IF(compras_mes9[[#This Row],[NETO GRAVADO]]="","",compras_mes9[[#This Row],[NETO GRAVADO]]*0.21)</f>
        <v>619.70579999999995</v>
      </c>
      <c r="J118" s="85"/>
      <c r="K118" s="85"/>
      <c r="L118" s="85"/>
      <c r="M118" s="85"/>
      <c r="N118" s="85"/>
      <c r="O118" s="85"/>
      <c r="P118" s="48">
        <f>SUM(compras_mes9[[#This Row],[NETO GRAVADO]:[Otros / No Grav.]])</f>
        <v>3570.6858000000002</v>
      </c>
      <c r="Q118" s="247" t="str">
        <f>IFERROR(IF(compras_mes9[[#This Row],[CUIT]]="","-",VLOOKUP(compras_mes9[[#This Row],[CUIT]],Lista_CUIT[#All],3,0)),"CUIT NO CARGADO")</f>
        <v>Peajes</v>
      </c>
      <c r="R118" s="247">
        <f>IFERROR(IF(compras_mes9[[#This Row],[CUIT]]="","-",VLOOKUP(compras_mes9[[#This Row],[CUIT]],Lista_CUIT[#All],4,0)),"CUIT NO CARGADO")</f>
        <v>0</v>
      </c>
    </row>
    <row r="119" spans="2:18" ht="15" customHeight="1">
      <c r="B119" s="239" t="s">
        <v>2459</v>
      </c>
      <c r="C119" s="240">
        <v>1</v>
      </c>
      <c r="D119" s="241">
        <v>5015</v>
      </c>
      <c r="E119" s="257">
        <v>643269</v>
      </c>
      <c r="F119" s="242">
        <v>30574876474</v>
      </c>
      <c r="G119" s="243" t="str">
        <f>IFERROR(IF(compras_mes9[[#This Row],[CUIT]]="","-",VLOOKUP(compras_mes9[[#This Row],[CUIT]],Lista_CUIT[#All],2,0)),"CUIT NO CARGADO")</f>
        <v>AUTOPISTAS URBANAS S A</v>
      </c>
      <c r="H119" s="95">
        <v>82912.86</v>
      </c>
      <c r="I119" s="85">
        <f>IF(compras_mes9[[#This Row],[NETO GRAVADO]]="","",compras_mes9[[#This Row],[NETO GRAVADO]]*0.21)</f>
        <v>17411.7006</v>
      </c>
      <c r="J119" s="245"/>
      <c r="K119" s="245"/>
      <c r="L119" s="245"/>
      <c r="M119" s="245"/>
      <c r="N119" s="245"/>
      <c r="O119" s="245">
        <v>10778.8</v>
      </c>
      <c r="P119" s="246">
        <f>SUM(compras_mes9[[#This Row],[NETO GRAVADO]:[Otros / No Grav.]])</f>
        <v>111103.3606</v>
      </c>
      <c r="Q119" s="247" t="str">
        <f>IFERROR(IF(compras_mes9[[#This Row],[CUIT]]="","-",VLOOKUP(compras_mes9[[#This Row],[CUIT]],Lista_CUIT[#All],3,0)),"CUIT NO CARGADO")</f>
        <v>Peajes</v>
      </c>
      <c r="R119" s="247">
        <f>IFERROR(IF(compras_mes9[[#This Row],[CUIT]]="","-",VLOOKUP(compras_mes9[[#This Row],[CUIT]],Lista_CUIT[#All],4,0)),"CUIT NO CARGADO")</f>
        <v>0</v>
      </c>
    </row>
    <row r="120" spans="2:18" ht="15" customHeight="1">
      <c r="B120" s="239" t="s">
        <v>2450</v>
      </c>
      <c r="C120" s="240">
        <v>1</v>
      </c>
      <c r="D120" s="241">
        <v>503</v>
      </c>
      <c r="E120" s="257">
        <v>1471395</v>
      </c>
      <c r="F120" s="242">
        <v>30639935872</v>
      </c>
      <c r="G120" s="243" t="str">
        <f>IFERROR(IF(compras_mes9[[#This Row],[CUIT]]="","-",VLOOKUP(compras_mes9[[#This Row],[CUIT]],Lista_CUIT[#All],2,0)),"CUIT NO CARGADO")</f>
        <v>CAMINOS DEL RIO URUGUAY S A DE CONSTRUCCIONES Y CONCESIONES VIALES</v>
      </c>
      <c r="H120" s="95">
        <v>2796.35</v>
      </c>
      <c r="I120" s="85">
        <f>IF(compras_mes9[[#This Row],[NETO GRAVADO]]="","",compras_mes9[[#This Row],[NETO GRAVADO]]*0.21)</f>
        <v>587.23349999999994</v>
      </c>
      <c r="J120" s="85"/>
      <c r="K120" s="85"/>
      <c r="L120" s="85"/>
      <c r="M120" s="85"/>
      <c r="N120" s="85">
        <v>167.78</v>
      </c>
      <c r="O120" s="85"/>
      <c r="P120" s="48">
        <f>SUM(compras_mes9[[#This Row],[NETO GRAVADO]:[Otros / No Grav.]])</f>
        <v>3551.3634999999999</v>
      </c>
      <c r="Q120" s="247" t="str">
        <f>IFERROR(IF(compras_mes9[[#This Row],[CUIT]]="","-",VLOOKUP(compras_mes9[[#This Row],[CUIT]],Lista_CUIT[#All],3,0)),"CUIT NO CARGADO")</f>
        <v>Peajes</v>
      </c>
      <c r="R120" s="247">
        <f>IFERROR(IF(compras_mes9[[#This Row],[CUIT]]="","-",VLOOKUP(compras_mes9[[#This Row],[CUIT]],Lista_CUIT[#All],4,0)),"CUIT NO CARGADO")</f>
        <v>0</v>
      </c>
    </row>
    <row r="121" spans="2:18" ht="15" customHeight="1">
      <c r="B121" s="593" t="s">
        <v>2452</v>
      </c>
      <c r="C121" s="240">
        <v>1</v>
      </c>
      <c r="D121" s="594">
        <v>104</v>
      </c>
      <c r="E121" s="595">
        <v>6699075</v>
      </c>
      <c r="F121" s="596">
        <v>30715804812</v>
      </c>
      <c r="G121" s="597" t="str">
        <f>IFERROR(IF(compras_mes9[[#This Row],[CUIT]]="","-",VLOOKUP(compras_mes9[[#This Row],[CUIT]],Lista_CUIT[#All],2,0)),"CUIT NO CARGADO")</f>
        <v>CORREDORES VIALES SOCIEDAD ANONIMA</v>
      </c>
      <c r="H121" s="598">
        <v>1778.72</v>
      </c>
      <c r="I121" s="599">
        <f>IF(compras_mes9[[#This Row],[NETO GRAVADO]]="","",compras_mes9[[#This Row],[NETO GRAVADO]]*0.21)</f>
        <v>373.53120000000001</v>
      </c>
      <c r="J121" s="599"/>
      <c r="K121" s="599"/>
      <c r="L121" s="599"/>
      <c r="M121" s="599"/>
      <c r="N121" s="599">
        <v>106.72</v>
      </c>
      <c r="O121" s="599"/>
      <c r="P121" s="600">
        <f>SUM(compras_mes9[[#This Row],[NETO GRAVADO]:[Otros / No Grav.]])</f>
        <v>2258.9712</v>
      </c>
      <c r="Q121" s="601" t="str">
        <f>IFERROR(IF(compras_mes9[[#This Row],[CUIT]]="","-",VLOOKUP(compras_mes9[[#This Row],[CUIT]],Lista_CUIT[#All],3,0)),"CUIT NO CARGADO")</f>
        <v>Peajes</v>
      </c>
      <c r="R121" s="601">
        <f>IFERROR(IF(compras_mes9[[#This Row],[CUIT]]="","-",VLOOKUP(compras_mes9[[#This Row],[CUIT]],Lista_CUIT[#All],4,0)),"CUIT NO CARGADO")</f>
        <v>0</v>
      </c>
    </row>
    <row r="122" spans="2:18" ht="15" customHeight="1">
      <c r="B122" s="239" t="s">
        <v>2451</v>
      </c>
      <c r="C122" s="240">
        <v>1</v>
      </c>
      <c r="D122" s="241">
        <v>5015</v>
      </c>
      <c r="E122" s="257">
        <v>644681</v>
      </c>
      <c r="F122" s="242">
        <v>30574876474</v>
      </c>
      <c r="G122" s="243" t="str">
        <f>IFERROR(IF(compras_mes9[[#This Row],[CUIT]]="","-",VLOOKUP(compras_mes9[[#This Row],[CUIT]],Lista_CUIT[#All],2,0)),"CUIT NO CARGADO")</f>
        <v>AUTOPISTAS URBANAS S A</v>
      </c>
      <c r="H122" s="46">
        <v>89193.4</v>
      </c>
      <c r="I122" s="85">
        <f>IF(compras_mes9[[#This Row],[NETO GRAVADO]]="","",compras_mes9[[#This Row],[NETO GRAVADO]]*0.21)</f>
        <v>18730.613999999998</v>
      </c>
      <c r="J122" s="245"/>
      <c r="K122" s="245"/>
      <c r="L122" s="245"/>
      <c r="M122" s="245"/>
      <c r="N122" s="245"/>
      <c r="O122" s="85">
        <v>11595.3</v>
      </c>
      <c r="P122" s="246">
        <f>SUM(compras_mes9[[#This Row],[NETO GRAVADO]:[Otros / No Grav.]])</f>
        <v>119519.314</v>
      </c>
      <c r="Q122" s="247" t="str">
        <f>IFERROR(IF(compras_mes9[[#This Row],[CUIT]]="","-",VLOOKUP(compras_mes9[[#This Row],[CUIT]],Lista_CUIT[#All],3,0)),"CUIT NO CARGADO")</f>
        <v>Peajes</v>
      </c>
      <c r="R122" s="247">
        <f>IFERROR(IF(compras_mes9[[#This Row],[CUIT]]="","-",VLOOKUP(compras_mes9[[#This Row],[CUIT]],Lista_CUIT[#All],4,0)),"CUIT NO CARGADO")</f>
        <v>0</v>
      </c>
    </row>
    <row r="123" spans="2:18" ht="15" customHeight="1">
      <c r="B123" s="593" t="s">
        <v>2457</v>
      </c>
      <c r="C123" s="240">
        <v>1</v>
      </c>
      <c r="D123" s="594">
        <v>629</v>
      </c>
      <c r="E123" s="595">
        <v>5449390</v>
      </c>
      <c r="F123" s="596">
        <v>30663498513</v>
      </c>
      <c r="G123" s="597" t="str">
        <f>IFERROR(IF(compras_mes9[[#This Row],[CUIT]]="","-",VLOOKUP(compras_mes9[[#This Row],[CUIT]],Lista_CUIT[#All],2,0)),"CUIT NO CARGADO")</f>
        <v>GRUPO CONCES. DEL OESTE SA</v>
      </c>
      <c r="H123" s="598">
        <v>24263.78</v>
      </c>
      <c r="I123" s="599">
        <f>IF(compras_mes9[[#This Row],[NETO GRAVADO]]="","",compras_mes9[[#This Row],[NETO GRAVADO]]*0.21)</f>
        <v>5095.3937999999998</v>
      </c>
      <c r="J123" s="599"/>
      <c r="K123" s="599"/>
      <c r="L123" s="599"/>
      <c r="M123" s="599"/>
      <c r="N123" s="599"/>
      <c r="O123" s="599"/>
      <c r="P123" s="600">
        <f>SUM(compras_mes9[[#This Row],[NETO GRAVADO]:[Otros / No Grav.]])</f>
        <v>29359.173799999997</v>
      </c>
      <c r="Q123" s="601" t="str">
        <f>IFERROR(IF(compras_mes9[[#This Row],[CUIT]]="","-",VLOOKUP(compras_mes9[[#This Row],[CUIT]],Lista_CUIT[#All],3,0)),"CUIT NO CARGADO")</f>
        <v>Peajes</v>
      </c>
      <c r="R123" s="601">
        <f>IFERROR(IF(compras_mes9[[#This Row],[CUIT]]="","-",VLOOKUP(compras_mes9[[#This Row],[CUIT]],Lista_CUIT[#All],4,0)),"CUIT NO CARGADO")</f>
        <v>0</v>
      </c>
    </row>
    <row r="124" spans="2:18" ht="15" customHeight="1">
      <c r="B124" s="593" t="s">
        <v>2457</v>
      </c>
      <c r="C124" s="240">
        <v>1</v>
      </c>
      <c r="D124" s="594">
        <v>711</v>
      </c>
      <c r="E124" s="595">
        <v>6160103</v>
      </c>
      <c r="F124" s="596">
        <v>30677237119</v>
      </c>
      <c r="G124" s="597" t="str">
        <f>IFERROR(IF(compras_mes9[[#This Row],[CUIT]]="","-",VLOOKUP(compras_mes9[[#This Row],[CUIT]],Lista_CUIT[#All],2,0)),"CUIT NO CARGADO")</f>
        <v>AUTOPISTAS DEL SOL S A</v>
      </c>
      <c r="H124" s="598">
        <v>17252.52</v>
      </c>
      <c r="I124" s="599">
        <f>IF(compras_mes9[[#This Row],[NETO GRAVADO]]="","",compras_mes9[[#This Row],[NETO GRAVADO]]*0.21)</f>
        <v>3623.0291999999999</v>
      </c>
      <c r="J124" s="599"/>
      <c r="K124" s="599"/>
      <c r="L124" s="599"/>
      <c r="M124" s="599"/>
      <c r="N124" s="599"/>
      <c r="O124" s="599">
        <v>517.58000000000004</v>
      </c>
      <c r="P124" s="600">
        <f>SUM(compras_mes9[[#This Row],[NETO GRAVADO]:[Otros / No Grav.]])</f>
        <v>21393.129200000003</v>
      </c>
      <c r="Q124" s="601" t="str">
        <f>IFERROR(IF(compras_mes9[[#This Row],[CUIT]]="","-",VLOOKUP(compras_mes9[[#This Row],[CUIT]],Lista_CUIT[#All],3,0)),"CUIT NO CARGADO")</f>
        <v>Peajes</v>
      </c>
      <c r="R124" s="601">
        <f>IFERROR(IF(compras_mes9[[#This Row],[CUIT]]="","-",VLOOKUP(compras_mes9[[#This Row],[CUIT]],Lista_CUIT[#All],4,0)),"CUIT NO CARGADO")</f>
        <v>0</v>
      </c>
    </row>
    <row r="125" spans="2:18" ht="15" customHeight="1">
      <c r="B125" s="239" t="s">
        <v>2437</v>
      </c>
      <c r="C125" s="240">
        <v>1</v>
      </c>
      <c r="D125" s="241">
        <v>5015</v>
      </c>
      <c r="E125" s="257">
        <v>648139</v>
      </c>
      <c r="F125" s="242">
        <v>30574876474</v>
      </c>
      <c r="G125" s="243" t="str">
        <f>IFERROR(IF(compras_mes9[[#This Row],[CUIT]]="","-",VLOOKUP(compras_mes9[[#This Row],[CUIT]],Lista_CUIT[#All],2,0)),"CUIT NO CARGADO")</f>
        <v>AUTOPISTAS URBANAS S A</v>
      </c>
      <c r="H125" s="244">
        <v>94514.51</v>
      </c>
      <c r="I125" s="85">
        <f>IF(compras_mes9[[#This Row],[NETO GRAVADO]]="","",compras_mes9[[#This Row],[NETO GRAVADO]]*0.21)</f>
        <v>19848.0471</v>
      </c>
      <c r="J125" s="245"/>
      <c r="K125" s="245"/>
      <c r="L125" s="245"/>
      <c r="M125" s="245"/>
      <c r="N125" s="245"/>
      <c r="O125" s="245">
        <v>12286.107</v>
      </c>
      <c r="P125" s="246">
        <f>SUM(compras_mes9[[#This Row],[NETO GRAVADO]:[Otros / No Grav.]])</f>
        <v>126648.66409999999</v>
      </c>
      <c r="Q125" s="247" t="str">
        <f>IFERROR(IF(compras_mes9[[#This Row],[CUIT]]="","-",VLOOKUP(compras_mes9[[#This Row],[CUIT]],Lista_CUIT[#All],3,0)),"CUIT NO CARGADO")</f>
        <v>Peajes</v>
      </c>
      <c r="R125" s="247">
        <f>IFERROR(IF(compras_mes9[[#This Row],[CUIT]]="","-",VLOOKUP(compras_mes9[[#This Row],[CUIT]],Lista_CUIT[#All],4,0)),"CUIT NO CARGADO")</f>
        <v>0</v>
      </c>
    </row>
    <row r="126" spans="2:18" ht="15" customHeight="1">
      <c r="B126" s="239" t="s">
        <v>2437</v>
      </c>
      <c r="C126" s="240">
        <v>1</v>
      </c>
      <c r="D126" s="241">
        <v>700</v>
      </c>
      <c r="E126" s="257">
        <v>1937615</v>
      </c>
      <c r="F126" s="242">
        <v>30715804812</v>
      </c>
      <c r="G126" s="243" t="str">
        <f>IFERROR(IF(compras_mes9[[#This Row],[CUIT]]="","-",VLOOKUP(compras_mes9[[#This Row],[CUIT]],Lista_CUIT[#All],2,0)),"CUIT NO CARGADO")</f>
        <v>CORREDORES VIALES SOCIEDAD ANONIMA</v>
      </c>
      <c r="H126" s="244">
        <v>5976.84</v>
      </c>
      <c r="I126" s="85">
        <f>IF(compras_mes9[[#This Row],[NETO GRAVADO]]="","",compras_mes9[[#This Row],[NETO GRAVADO]]*0.21)</f>
        <v>1255.1364000000001</v>
      </c>
      <c r="J126" s="245"/>
      <c r="K126" s="245"/>
      <c r="L126" s="245"/>
      <c r="M126" s="245"/>
      <c r="N126" s="245"/>
      <c r="O126" s="245"/>
      <c r="P126" s="246">
        <f>SUM(compras_mes9[[#This Row],[NETO GRAVADO]:[Otros / No Grav.]])</f>
        <v>7231.9764000000005</v>
      </c>
      <c r="Q126" s="247" t="str">
        <f>IFERROR(IF(compras_mes9[[#This Row],[CUIT]]="","-",VLOOKUP(compras_mes9[[#This Row],[CUIT]],Lista_CUIT[#All],3,0)),"CUIT NO CARGADO")</f>
        <v>Peajes</v>
      </c>
      <c r="R126" s="247">
        <f>IFERROR(IF(compras_mes9[[#This Row],[CUIT]]="","-",VLOOKUP(compras_mes9[[#This Row],[CUIT]],Lista_CUIT[#All],4,0)),"CUIT NO CARGADO")</f>
        <v>0</v>
      </c>
    </row>
    <row r="127" spans="2:18" ht="15" customHeight="1">
      <c r="B127" s="89" t="s">
        <v>2461</v>
      </c>
      <c r="C127" s="240">
        <v>1</v>
      </c>
      <c r="D127" s="91">
        <v>503</v>
      </c>
      <c r="E127" s="92">
        <v>1493879</v>
      </c>
      <c r="F127" s="93">
        <v>30639935872</v>
      </c>
      <c r="G127" s="94" t="str">
        <f>IFERROR(IF(compras_mes9[[#This Row],[CUIT]]="","-",VLOOKUP(compras_mes9[[#This Row],[CUIT]],Lista_CUIT[#All],2,0)),"CUIT NO CARGADO")</f>
        <v>CAMINOS DEL RIO URUGUAY S A DE CONSTRUCCIONES Y CONCESIONES VIALES</v>
      </c>
      <c r="H127" s="95">
        <v>5869.5</v>
      </c>
      <c r="I127" s="85">
        <f>IF(compras_mes9[[#This Row],[NETO GRAVADO]]="","",compras_mes9[[#This Row],[NETO GRAVADO]]*0.21)</f>
        <v>1232.595</v>
      </c>
      <c r="J127" s="86"/>
      <c r="K127" s="86"/>
      <c r="L127" s="86"/>
      <c r="M127" s="86">
        <v>352.17</v>
      </c>
      <c r="N127" s="86"/>
      <c r="O127" s="86"/>
      <c r="P127" s="87">
        <f>SUM(compras_mes9[[#This Row],[NETO GRAVADO]:[Otros / No Grav.]])</f>
        <v>7454.2650000000003</v>
      </c>
      <c r="Q127" s="88" t="str">
        <f>IFERROR(IF(compras_mes9[[#This Row],[CUIT]]="","-",VLOOKUP(compras_mes9[[#This Row],[CUIT]],Lista_CUIT[#All],3,0)),"CUIT NO CARGADO")</f>
        <v>Peajes</v>
      </c>
      <c r="R127" s="88">
        <f>IFERROR(IF(compras_mes9[[#This Row],[CUIT]]="","-",VLOOKUP(compras_mes9[[#This Row],[CUIT]],Lista_CUIT[#All],4,0)),"CUIT NO CARGADO")</f>
        <v>0</v>
      </c>
    </row>
    <row r="128" spans="2:18" ht="15" customHeight="1">
      <c r="B128" s="239" t="s">
        <v>2433</v>
      </c>
      <c r="C128" s="240">
        <v>1</v>
      </c>
      <c r="D128" s="241">
        <v>5015</v>
      </c>
      <c r="E128" s="257">
        <v>650884</v>
      </c>
      <c r="F128" s="242">
        <v>30574876474</v>
      </c>
      <c r="G128" s="243" t="str">
        <f>IFERROR(IF(compras_mes9[[#This Row],[CUIT]]="","-",VLOOKUP(compras_mes9[[#This Row],[CUIT]],Lista_CUIT[#All],2,0)),"CUIT NO CARGADO")</f>
        <v>AUTOPISTAS URBANAS S A</v>
      </c>
      <c r="H128" s="46">
        <v>118077.65</v>
      </c>
      <c r="I128" s="85">
        <f>IF(compras_mes9[[#This Row],[NETO GRAVADO]]="","",compras_mes9[[#This Row],[NETO GRAVADO]]*0.21)</f>
        <v>24796.306499999999</v>
      </c>
      <c r="J128" s="245"/>
      <c r="K128" s="245"/>
      <c r="L128" s="245"/>
      <c r="M128" s="245"/>
      <c r="N128" s="245"/>
      <c r="O128" s="245">
        <v>15350.32</v>
      </c>
      <c r="P128" s="246">
        <f>SUM(compras_mes9[[#This Row],[NETO GRAVADO]:[Otros / No Grav.]])</f>
        <v>158224.27650000001</v>
      </c>
      <c r="Q128" s="247" t="str">
        <f>IFERROR(IF(compras_mes9[[#This Row],[CUIT]]="","-",VLOOKUP(compras_mes9[[#This Row],[CUIT]],Lista_CUIT[#All],3,0)),"CUIT NO CARGADO")</f>
        <v>Peajes</v>
      </c>
      <c r="R128" s="247">
        <f>IFERROR(IF(compras_mes9[[#This Row],[CUIT]]="","-",VLOOKUP(compras_mes9[[#This Row],[CUIT]],Lista_CUIT[#All],4,0)),"CUIT NO CARGADO")</f>
        <v>0</v>
      </c>
    </row>
    <row r="129" spans="2:18" ht="15" customHeight="1">
      <c r="B129" s="239" t="s">
        <v>2433</v>
      </c>
      <c r="C129" s="240">
        <v>1</v>
      </c>
      <c r="D129" s="241">
        <v>50</v>
      </c>
      <c r="E129" s="257">
        <v>3794805</v>
      </c>
      <c r="F129" s="242">
        <v>30714112836</v>
      </c>
      <c r="G129" s="243" t="str">
        <f>IFERROR(IF(compras_mes9[[#This Row],[CUIT]]="","-",VLOOKUP(compras_mes9[[#This Row],[CUIT]],Lista_CUIT[#All],2,0)),"CUIT NO CARGADO")</f>
        <v>AUTOPISTAS DE BS AS</v>
      </c>
      <c r="H129" s="95">
        <v>56541.32</v>
      </c>
      <c r="I129" s="85">
        <f>IF(compras_mes9[[#This Row],[NETO GRAVADO]]="","",compras_mes9[[#This Row],[NETO GRAVADO]]*0.21)</f>
        <v>11873.6772</v>
      </c>
      <c r="J129" s="245"/>
      <c r="K129" s="245"/>
      <c r="L129" s="245">
        <v>1696.24</v>
      </c>
      <c r="M129" s="245"/>
      <c r="N129" s="245"/>
      <c r="O129" s="245"/>
      <c r="P129" s="246">
        <f>SUM(compras_mes9[[#This Row],[NETO GRAVADO]:[Otros / No Grav.]])</f>
        <v>70111.237200000003</v>
      </c>
      <c r="Q129" s="247" t="str">
        <f>IFERROR(IF(compras_mes9[[#This Row],[CUIT]]="","-",VLOOKUP(compras_mes9[[#This Row],[CUIT]],Lista_CUIT[#All],3,0)),"CUIT NO CARGADO")</f>
        <v>Peajes</v>
      </c>
      <c r="R129" s="247">
        <f>IFERROR(IF(compras_mes9[[#This Row],[CUIT]]="","-",VLOOKUP(compras_mes9[[#This Row],[CUIT]],Lista_CUIT[#All],4,0)),"CUIT NO CARGADO")</f>
        <v>0</v>
      </c>
    </row>
    <row r="130" spans="2:18" ht="15" customHeight="1">
      <c r="B130" s="239" t="s">
        <v>2397</v>
      </c>
      <c r="C130" s="240">
        <v>1</v>
      </c>
      <c r="D130" s="241">
        <v>4</v>
      </c>
      <c r="E130" s="257">
        <v>2515</v>
      </c>
      <c r="F130" s="242">
        <v>30715946250</v>
      </c>
      <c r="G130" s="243" t="str">
        <f>IFERROR(IF(compras_mes9[[#This Row],[CUIT]]="","-",VLOOKUP(compras_mes9[[#This Row],[CUIT]],Lista_CUIT[#All],2,0)),"CUIT NO CARGADO")</f>
        <v>GLOBAL AESTHETICS PRODUCTS AND SERVICES SRL</v>
      </c>
      <c r="H130" s="95">
        <v>972610.796875</v>
      </c>
      <c r="I130" s="85">
        <f>IF(compras_mes9[[#This Row],[NETO GRAVADO]]="","",compras_mes9[[#This Row],[NETO GRAVADO]]*0.21)</f>
        <v>204248.26734374999</v>
      </c>
      <c r="J130" s="245"/>
      <c r="K130" s="245"/>
      <c r="L130" s="245"/>
      <c r="M130" s="245"/>
      <c r="N130" s="245"/>
      <c r="O130" s="245"/>
      <c r="P130" s="246">
        <f>SUM(compras_mes9[[#This Row],[NETO GRAVADO]:[Otros / No Grav.]])</f>
        <v>1176859.06421875</v>
      </c>
      <c r="Q130" s="247" t="str">
        <f>IFERROR(IF(compras_mes9[[#This Row],[CUIT]]="","-",VLOOKUP(compras_mes9[[#This Row],[CUIT]],Lista_CUIT[#All],3,0)),"CUIT NO CARGADO")</f>
        <v>Productos Venta</v>
      </c>
      <c r="R130" s="247">
        <f>IFERROR(IF(compras_mes9[[#This Row],[CUIT]]="","-",VLOOKUP(compras_mes9[[#This Row],[CUIT]],Lista_CUIT[#All],4,0)),"CUIT NO CARGADO")</f>
        <v>0</v>
      </c>
    </row>
    <row r="131" spans="2:18" ht="15" customHeight="1">
      <c r="B131" s="602" t="s">
        <v>2397</v>
      </c>
      <c r="C131" s="603">
        <v>1</v>
      </c>
      <c r="D131" s="604">
        <v>5</v>
      </c>
      <c r="E131" s="605">
        <v>2163</v>
      </c>
      <c r="F131" s="606">
        <v>30616146447</v>
      </c>
      <c r="G131" s="607" t="str">
        <f>IFERROR(IF(compras_mes9[[#This Row],[CUIT]]="","-",VLOOKUP(compras_mes9[[#This Row],[CUIT]],Lista_CUIT[#All],2,0)),"CUIT NO CARGADO")</f>
        <v>EGEO SOCIEDAD DE RESPONSABILIDAD LIMITADA</v>
      </c>
      <c r="H131" s="612">
        <v>1000000</v>
      </c>
      <c r="I131" s="609">
        <f>IF(compras_mes9[[#This Row],[NETO GRAVADO]]="","",compras_mes9[[#This Row],[NETO GRAVADO]]*0.21)</f>
        <v>210000</v>
      </c>
      <c r="J131" s="613"/>
      <c r="K131" s="613"/>
      <c r="L131" s="613"/>
      <c r="M131" s="613"/>
      <c r="N131" s="613"/>
      <c r="O131" s="613"/>
      <c r="P131" s="614">
        <f>SUM(compras_mes9[[#This Row],[NETO GRAVADO]:[Otros / No Grav.]])</f>
        <v>1210000</v>
      </c>
      <c r="Q131" s="611" t="str">
        <f>IFERROR(IF(compras_mes9[[#This Row],[CUIT]]="","-",VLOOKUP(compras_mes9[[#This Row],[CUIT]],Lista_CUIT[#All],3,0)),"CUIT NO CARGADO")</f>
        <v>Productos Venta</v>
      </c>
      <c r="R131" s="611">
        <f>IFERROR(IF(compras_mes9[[#This Row],[CUIT]]="","-",VLOOKUP(compras_mes9[[#This Row],[CUIT]],Lista_CUIT[#All],4,0)),"CUIT NO CARGADO")</f>
        <v>0</v>
      </c>
    </row>
    <row r="132" spans="2:18" ht="15" customHeight="1">
      <c r="B132" s="239" t="s">
        <v>2443</v>
      </c>
      <c r="C132" s="240">
        <v>1</v>
      </c>
      <c r="D132" s="241">
        <v>5</v>
      </c>
      <c r="E132" s="257">
        <v>21632</v>
      </c>
      <c r="F132" s="242">
        <v>30616146447</v>
      </c>
      <c r="G132" s="243" t="str">
        <f>IFERROR(IF(compras_mes9[[#This Row],[CUIT]]="","-",VLOOKUP(compras_mes9[[#This Row],[CUIT]],Lista_CUIT[#All],2,0)),"CUIT NO CARGADO")</f>
        <v>EGEO SOCIEDAD DE RESPONSABILIDAD LIMITADA</v>
      </c>
      <c r="H132" s="95">
        <v>1000000</v>
      </c>
      <c r="I132" s="85">
        <f>IF(compras_mes9[[#This Row],[NETO GRAVADO]]="","",compras_mes9[[#This Row],[NETO GRAVADO]]*0.21)</f>
        <v>210000</v>
      </c>
      <c r="J132" s="245"/>
      <c r="K132" s="245"/>
      <c r="L132" s="245"/>
      <c r="M132" s="245"/>
      <c r="N132" s="245"/>
      <c r="O132" s="245"/>
      <c r="P132" s="246">
        <f>SUM(compras_mes9[[#This Row],[NETO GRAVADO]:[Otros / No Grav.]])</f>
        <v>1210000</v>
      </c>
      <c r="Q132" s="247" t="str">
        <f>IFERROR(IF(compras_mes9[[#This Row],[CUIT]]="","-",VLOOKUP(compras_mes9[[#This Row],[CUIT]],Lista_CUIT[#All],3,0)),"CUIT NO CARGADO")</f>
        <v>Productos Venta</v>
      </c>
      <c r="R132" s="247">
        <f>IFERROR(IF(compras_mes9[[#This Row],[CUIT]]="","-",VLOOKUP(compras_mes9[[#This Row],[CUIT]],Lista_CUIT[#All],4,0)),"CUIT NO CARGADO")</f>
        <v>0</v>
      </c>
    </row>
    <row r="133" spans="2:18" ht="15" customHeight="1">
      <c r="B133" s="239" t="s">
        <v>2400</v>
      </c>
      <c r="C133" s="240">
        <v>1</v>
      </c>
      <c r="D133" s="241">
        <v>2</v>
      </c>
      <c r="E133" s="257">
        <v>3787</v>
      </c>
      <c r="F133" s="242">
        <v>30629863571</v>
      </c>
      <c r="G133" s="243" t="str">
        <f>IFERROR(IF(compras_mes9[[#This Row],[CUIT]]="","-",VLOOKUP(compras_mes9[[#This Row],[CUIT]],Lista_CUIT[#All],2,0)),"CUIT NO CARGADO")</f>
        <v>TECNIMAR S R L</v>
      </c>
      <c r="H133" s="244">
        <v>563484.828125</v>
      </c>
      <c r="I133" s="85">
        <f>IF(compras_mes9[[#This Row],[NETO GRAVADO]]="","",compras_mes9[[#This Row],[NETO GRAVADO]]*0.21)</f>
        <v>118331.81390625</v>
      </c>
      <c r="J133" s="245"/>
      <c r="K133" s="245"/>
      <c r="L133" s="245"/>
      <c r="M133" s="245"/>
      <c r="N133" s="245"/>
      <c r="O133" s="245"/>
      <c r="P133" s="246">
        <f>SUM(compras_mes9[[#This Row],[NETO GRAVADO]:[Otros / No Grav.]])</f>
        <v>681816.64203125006</v>
      </c>
      <c r="Q133" s="247" t="str">
        <f>IFERROR(IF(compras_mes9[[#This Row],[CUIT]]="","-",VLOOKUP(compras_mes9[[#This Row],[CUIT]],Lista_CUIT[#All],3,0)),"CUIT NO CARGADO")</f>
        <v>Productos Venta</v>
      </c>
      <c r="R133" s="247">
        <f>IFERROR(IF(compras_mes9[[#This Row],[CUIT]]="","-",VLOOKUP(compras_mes9[[#This Row],[CUIT]],Lista_CUIT[#All],4,0)),"CUIT NO CARGADO")</f>
        <v>0</v>
      </c>
    </row>
    <row r="134" spans="2:18" ht="15" customHeight="1">
      <c r="B134" s="239" t="s">
        <v>2400</v>
      </c>
      <c r="C134" s="240">
        <v>1</v>
      </c>
      <c r="D134" s="241">
        <v>2</v>
      </c>
      <c r="E134" s="257">
        <v>3795</v>
      </c>
      <c r="F134" s="242">
        <v>30629863571</v>
      </c>
      <c r="G134" s="243" t="str">
        <f>IFERROR(IF(compras_mes9[[#This Row],[CUIT]]="","-",VLOOKUP(compras_mes9[[#This Row],[CUIT]],Lista_CUIT[#All],2,0)),"CUIT NO CARGADO")</f>
        <v>TECNIMAR S R L</v>
      </c>
      <c r="H134" s="244">
        <v>1923456.6875</v>
      </c>
      <c r="I134" s="85">
        <f>IF(compras_mes9[[#This Row],[NETO GRAVADO]]="","",compras_mes9[[#This Row],[NETO GRAVADO]]*0.21)</f>
        <v>403925.90437499998</v>
      </c>
      <c r="J134" s="245"/>
      <c r="K134" s="245"/>
      <c r="L134" s="245"/>
      <c r="M134" s="245"/>
      <c r="N134" s="245"/>
      <c r="O134" s="245"/>
      <c r="P134" s="246">
        <f>SUM(compras_mes9[[#This Row],[NETO GRAVADO]:[Otros / No Grav.]])</f>
        <v>2327382.5918749999</v>
      </c>
      <c r="Q134" s="247" t="str">
        <f>IFERROR(IF(compras_mes9[[#This Row],[CUIT]]="","-",VLOOKUP(compras_mes9[[#This Row],[CUIT]],Lista_CUIT[#All],3,0)),"CUIT NO CARGADO")</f>
        <v>Productos Venta</v>
      </c>
      <c r="R134" s="247">
        <f>IFERROR(IF(compras_mes9[[#This Row],[CUIT]]="","-",VLOOKUP(compras_mes9[[#This Row],[CUIT]],Lista_CUIT[#All],4,0)),"CUIT NO CARGADO")</f>
        <v>0</v>
      </c>
    </row>
    <row r="135" spans="2:18" ht="15" customHeight="1">
      <c r="B135" s="239" t="s">
        <v>2398</v>
      </c>
      <c r="C135" s="240">
        <v>1</v>
      </c>
      <c r="D135" s="241">
        <v>2</v>
      </c>
      <c r="E135" s="257">
        <v>3791</v>
      </c>
      <c r="F135" s="242">
        <v>30629863571</v>
      </c>
      <c r="G135" s="243" t="str">
        <f>IFERROR(IF(compras_mes9[[#This Row],[CUIT]]="","-",VLOOKUP(compras_mes9[[#This Row],[CUIT]],Lista_CUIT[#All],2,0)),"CUIT NO CARGADO")</f>
        <v>TECNIMAR S R L</v>
      </c>
      <c r="H135" s="95">
        <v>1226110.03125</v>
      </c>
      <c r="I135" s="85">
        <f>IF(compras_mes9[[#This Row],[NETO GRAVADO]]="","",compras_mes9[[#This Row],[NETO GRAVADO]]*0.21)</f>
        <v>257483.1065625</v>
      </c>
      <c r="J135" s="245"/>
      <c r="K135" s="245"/>
      <c r="L135" s="245"/>
      <c r="M135" s="245"/>
      <c r="N135" s="245"/>
      <c r="O135" s="245"/>
      <c r="P135" s="246">
        <f>SUM(compras_mes9[[#This Row],[NETO GRAVADO]:[Otros / No Grav.]])</f>
        <v>1483593.1378124999</v>
      </c>
      <c r="Q135" s="247" t="str">
        <f>IFERROR(IF(compras_mes9[[#This Row],[CUIT]]="","-",VLOOKUP(compras_mes9[[#This Row],[CUIT]],Lista_CUIT[#All],3,0)),"CUIT NO CARGADO")</f>
        <v>Productos Venta</v>
      </c>
      <c r="R135" s="247">
        <f>IFERROR(IF(compras_mes9[[#This Row],[CUIT]]="","-",VLOOKUP(compras_mes9[[#This Row],[CUIT]],Lista_CUIT[#All],4,0)),"CUIT NO CARGADO")</f>
        <v>0</v>
      </c>
    </row>
    <row r="136" spans="2:18" ht="15" customHeight="1">
      <c r="B136" s="239" t="s">
        <v>2398</v>
      </c>
      <c r="C136" s="240">
        <v>1</v>
      </c>
      <c r="D136" s="241">
        <v>6</v>
      </c>
      <c r="E136" s="257">
        <v>3281</v>
      </c>
      <c r="F136" s="242">
        <v>30574603788</v>
      </c>
      <c r="G136" s="243" t="str">
        <f>IFERROR(IF(compras_mes9[[#This Row],[CUIT]]="","-",VLOOKUP(compras_mes9[[#This Row],[CUIT]],Lista_CUIT[#All],2,0)),"CUIT NO CARGADO")</f>
        <v>CODAC SRL</v>
      </c>
      <c r="H136" s="46">
        <v>2198600</v>
      </c>
      <c r="I136" s="85">
        <f>IF(compras_mes9[[#This Row],[NETO GRAVADO]]="","",compras_mes9[[#This Row],[NETO GRAVADO]]*0.21)</f>
        <v>461706</v>
      </c>
      <c r="J136" s="245"/>
      <c r="K136" s="245"/>
      <c r="L136" s="245"/>
      <c r="M136" s="245"/>
      <c r="N136" s="245"/>
      <c r="O136" s="245"/>
      <c r="P136" s="246">
        <f>SUM(compras_mes9[[#This Row],[NETO GRAVADO]:[Otros / No Grav.]])</f>
        <v>2660306</v>
      </c>
      <c r="Q136" s="247" t="str">
        <f>IFERROR(IF(compras_mes9[[#This Row],[CUIT]]="","-",VLOOKUP(compras_mes9[[#This Row],[CUIT]],Lista_CUIT[#All],3,0)),"CUIT NO CARGADO")</f>
        <v>Productos Venta</v>
      </c>
      <c r="R136" s="247" t="str">
        <f>IFERROR(IF(compras_mes9[[#This Row],[CUIT]]="","-",VLOOKUP(compras_mes9[[#This Row],[CUIT]],Lista_CUIT[#All],4,0)),"CUIT NO CARGADO")</f>
        <v>BUENOS AIRES</v>
      </c>
    </row>
    <row r="137" spans="2:18" ht="15" customHeight="1">
      <c r="B137" s="239" t="s">
        <v>2405</v>
      </c>
      <c r="C137" s="240">
        <v>1</v>
      </c>
      <c r="D137" s="241">
        <v>2</v>
      </c>
      <c r="E137" s="257">
        <v>3799</v>
      </c>
      <c r="F137" s="242">
        <v>30629863571</v>
      </c>
      <c r="G137" s="243" t="str">
        <f>IFERROR(IF(compras_mes9[[#This Row],[CUIT]]="","-",VLOOKUP(compras_mes9[[#This Row],[CUIT]],Lista_CUIT[#All],2,0)),"CUIT NO CARGADO")</f>
        <v>TECNIMAR S R L</v>
      </c>
      <c r="H137" s="95">
        <v>2278829.15625</v>
      </c>
      <c r="I137" s="85">
        <f>IF(compras_mes9[[#This Row],[NETO GRAVADO]]="","",compras_mes9[[#This Row],[NETO GRAVADO]]*0.21)</f>
        <v>478554.12281249999</v>
      </c>
      <c r="J137" s="245"/>
      <c r="K137" s="245"/>
      <c r="L137" s="245"/>
      <c r="M137" s="245"/>
      <c r="N137" s="245"/>
      <c r="O137" s="245"/>
      <c r="P137" s="246">
        <f>SUM(compras_mes9[[#This Row],[NETO GRAVADO]:[Otros / No Grav.]])</f>
        <v>2757383.2790625002</v>
      </c>
      <c r="Q137" s="247" t="str">
        <f>IFERROR(IF(compras_mes9[[#This Row],[CUIT]]="","-",VLOOKUP(compras_mes9[[#This Row],[CUIT]],Lista_CUIT[#All],3,0)),"CUIT NO CARGADO")</f>
        <v>Productos Venta</v>
      </c>
      <c r="R137" s="247">
        <f>IFERROR(IF(compras_mes9[[#This Row],[CUIT]]="","-",VLOOKUP(compras_mes9[[#This Row],[CUIT]],Lista_CUIT[#All],4,0)),"CUIT NO CARGADO")</f>
        <v>0</v>
      </c>
    </row>
    <row r="138" spans="2:18" ht="15" customHeight="1">
      <c r="B138" s="239" t="s">
        <v>2406</v>
      </c>
      <c r="C138" s="240">
        <v>1</v>
      </c>
      <c r="D138" s="241">
        <v>2</v>
      </c>
      <c r="E138" s="257">
        <v>3798</v>
      </c>
      <c r="F138" s="242">
        <v>30629863571</v>
      </c>
      <c r="G138" s="243" t="str">
        <f>IFERROR(IF(compras_mes9[[#This Row],[CUIT]]="","-",VLOOKUP(compras_mes9[[#This Row],[CUIT]],Lista_CUIT[#All],2,0)),"CUIT NO CARGADO")</f>
        <v>TECNIMAR S R L</v>
      </c>
      <c r="H138" s="95">
        <v>3321126.875</v>
      </c>
      <c r="I138" s="85">
        <f>IF(compras_mes9[[#This Row],[NETO GRAVADO]]="","",compras_mes9[[#This Row],[NETO GRAVADO]]*0.21)</f>
        <v>697436.64374999993</v>
      </c>
      <c r="J138" s="85"/>
      <c r="K138" s="85"/>
      <c r="L138" s="85"/>
      <c r="M138" s="85"/>
      <c r="N138" s="85"/>
      <c r="O138" s="85"/>
      <c r="P138" s="48">
        <f>SUM(compras_mes9[[#This Row],[NETO GRAVADO]:[Otros / No Grav.]])</f>
        <v>4018563.5187499998</v>
      </c>
      <c r="Q138" s="247" t="str">
        <f>IFERROR(IF(compras_mes9[[#This Row],[CUIT]]="","-",VLOOKUP(compras_mes9[[#This Row],[CUIT]],Lista_CUIT[#All],3,0)),"CUIT NO CARGADO")</f>
        <v>Productos Venta</v>
      </c>
      <c r="R138" s="247">
        <f>IFERROR(IF(compras_mes9[[#This Row],[CUIT]]="","-",VLOOKUP(compras_mes9[[#This Row],[CUIT]],Lista_CUIT[#All],4,0)),"CUIT NO CARGADO")</f>
        <v>0</v>
      </c>
    </row>
    <row r="139" spans="2:18" ht="15" customHeight="1">
      <c r="B139" s="239" t="s">
        <v>2406</v>
      </c>
      <c r="C139" s="240">
        <v>1</v>
      </c>
      <c r="D139" s="241">
        <v>2</v>
      </c>
      <c r="E139" s="257">
        <v>3803</v>
      </c>
      <c r="F139" s="242">
        <v>30629863571</v>
      </c>
      <c r="G139" s="243" t="str">
        <f>IFERROR(IF(compras_mes9[[#This Row],[CUIT]]="","-",VLOOKUP(compras_mes9[[#This Row],[CUIT]],Lista_CUIT[#All],2,0)),"CUIT NO CARGADO")</f>
        <v>TECNIMAR S R L</v>
      </c>
      <c r="H139" s="46">
        <v>3757130.625</v>
      </c>
      <c r="I139" s="85">
        <f>IF(compras_mes9[[#This Row],[NETO GRAVADO]]="","",compras_mes9[[#This Row],[NETO GRAVADO]]*0.21)</f>
        <v>788997.43125000002</v>
      </c>
      <c r="J139" s="245"/>
      <c r="K139" s="245"/>
      <c r="L139" s="245"/>
      <c r="M139" s="245"/>
      <c r="N139" s="245"/>
      <c r="O139" s="245"/>
      <c r="P139" s="246">
        <f>SUM(compras_mes9[[#This Row],[NETO GRAVADO]:[Otros / No Grav.]])</f>
        <v>4546128.0562500004</v>
      </c>
      <c r="Q139" s="247" t="str">
        <f>IFERROR(IF(compras_mes9[[#This Row],[CUIT]]="","-",VLOOKUP(compras_mes9[[#This Row],[CUIT]],Lista_CUIT[#All],3,0)),"CUIT NO CARGADO")</f>
        <v>Productos Venta</v>
      </c>
      <c r="R139" s="247">
        <f>IFERROR(IF(compras_mes9[[#This Row],[CUIT]]="","-",VLOOKUP(compras_mes9[[#This Row],[CUIT]],Lista_CUIT[#All],4,0)),"CUIT NO CARGADO")</f>
        <v>0</v>
      </c>
    </row>
    <row r="140" spans="2:18" ht="15" customHeight="1">
      <c r="B140" s="239" t="s">
        <v>2407</v>
      </c>
      <c r="C140" s="240">
        <v>1</v>
      </c>
      <c r="D140" s="241">
        <v>2</v>
      </c>
      <c r="E140" s="257">
        <v>3806</v>
      </c>
      <c r="F140" s="242">
        <v>30629863571</v>
      </c>
      <c r="G140" s="243" t="str">
        <f>IFERROR(IF(compras_mes9[[#This Row],[CUIT]]="","-",VLOOKUP(compras_mes9[[#This Row],[CUIT]],Lista_CUIT[#All],2,0)),"CUIT NO CARGADO")</f>
        <v>TECNIMAR S R L</v>
      </c>
      <c r="H140" s="244">
        <v>2209360.15625</v>
      </c>
      <c r="I140" s="85">
        <f>IF(compras_mes9[[#This Row],[NETO GRAVADO]]="","",compras_mes9[[#This Row],[NETO GRAVADO]]*0.21)</f>
        <v>463965.6328125</v>
      </c>
      <c r="J140" s="245"/>
      <c r="K140" s="245"/>
      <c r="L140" s="245"/>
      <c r="M140" s="245"/>
      <c r="N140" s="245"/>
      <c r="O140" s="245"/>
      <c r="P140" s="246">
        <f>SUM(compras_mes9[[#This Row],[NETO GRAVADO]:[Otros / No Grav.]])</f>
        <v>2673325.7890625</v>
      </c>
      <c r="Q140" s="247" t="str">
        <f>IFERROR(IF(compras_mes9[[#This Row],[CUIT]]="","-",VLOOKUP(compras_mes9[[#This Row],[CUIT]],Lista_CUIT[#All],3,0)),"CUIT NO CARGADO")</f>
        <v>Productos Venta</v>
      </c>
      <c r="R140" s="247">
        <f>IFERROR(IF(compras_mes9[[#This Row],[CUIT]]="","-",VLOOKUP(compras_mes9[[#This Row],[CUIT]],Lista_CUIT[#All],4,0)),"CUIT NO CARGADO")</f>
        <v>0</v>
      </c>
    </row>
    <row r="141" spans="2:18" ht="15" customHeight="1">
      <c r="B141" s="239" t="s">
        <v>2409</v>
      </c>
      <c r="C141" s="240">
        <v>1</v>
      </c>
      <c r="D141" s="241">
        <v>2</v>
      </c>
      <c r="E141" s="257">
        <v>8481</v>
      </c>
      <c r="F141" s="242">
        <v>33714677239</v>
      </c>
      <c r="G141" s="243" t="str">
        <f>IFERROR(IF(compras_mes9[[#This Row],[CUIT]]="","-",VLOOKUP(compras_mes9[[#This Row],[CUIT]],Lista_CUIT[#All],2,0)),"CUIT NO CARGADO")</f>
        <v xml:space="preserve">BOMBAS VAPORIZADORAS </v>
      </c>
      <c r="H141" s="244">
        <v>2209500</v>
      </c>
      <c r="I141" s="85">
        <f>IF(compras_mes9[[#This Row],[NETO GRAVADO]]="","",compras_mes9[[#This Row],[NETO GRAVADO]]*0.21)</f>
        <v>463995</v>
      </c>
      <c r="J141" s="245"/>
      <c r="K141" s="245"/>
      <c r="L141" s="245"/>
      <c r="M141" s="245"/>
      <c r="N141" s="245"/>
      <c r="O141" s="245"/>
      <c r="P141" s="246">
        <f>SUM(compras_mes9[[#This Row],[NETO GRAVADO]:[Otros / No Grav.]])</f>
        <v>2673495</v>
      </c>
      <c r="Q141" s="247" t="str">
        <f>IFERROR(IF(compras_mes9[[#This Row],[CUIT]]="","-",VLOOKUP(compras_mes9[[#This Row],[CUIT]],Lista_CUIT[#All],3,0)),"CUIT NO CARGADO")</f>
        <v>Productos Venta</v>
      </c>
      <c r="R141" s="247">
        <f>IFERROR(IF(compras_mes9[[#This Row],[CUIT]]="","-",VLOOKUP(compras_mes9[[#This Row],[CUIT]],Lista_CUIT[#All],4,0)),"CUIT NO CARGADO")</f>
        <v>0</v>
      </c>
    </row>
    <row r="142" spans="2:18" ht="15" customHeight="1">
      <c r="B142" s="239" t="s">
        <v>2411</v>
      </c>
      <c r="C142" s="240">
        <v>1</v>
      </c>
      <c r="D142" s="241">
        <v>2</v>
      </c>
      <c r="E142" s="257">
        <v>3808</v>
      </c>
      <c r="F142" s="242">
        <v>30629863571</v>
      </c>
      <c r="G142" s="243" t="str">
        <f>IFERROR(IF(compras_mes9[[#This Row],[CUIT]]="","-",VLOOKUP(compras_mes9[[#This Row],[CUIT]],Lista_CUIT[#All],2,0)),"CUIT NO CARGADO")</f>
        <v>TECNIMAR S R L</v>
      </c>
      <c r="H142" s="95">
        <v>1887669.09375</v>
      </c>
      <c r="I142" s="85">
        <f>IF(compras_mes9[[#This Row],[NETO GRAVADO]]="","",compras_mes9[[#This Row],[NETO GRAVADO]]*0.21)</f>
        <v>396410.50968749996</v>
      </c>
      <c r="J142" s="85"/>
      <c r="K142" s="85"/>
      <c r="L142" s="85"/>
      <c r="M142" s="85"/>
      <c r="N142" s="85"/>
      <c r="O142" s="85"/>
      <c r="P142" s="48">
        <f>SUM(compras_mes9[[#This Row],[NETO GRAVADO]:[Otros / No Grav.]])</f>
        <v>2284079.6034375001</v>
      </c>
      <c r="Q142" s="247" t="str">
        <f>IFERROR(IF(compras_mes9[[#This Row],[CUIT]]="","-",VLOOKUP(compras_mes9[[#This Row],[CUIT]],Lista_CUIT[#All],3,0)),"CUIT NO CARGADO")</f>
        <v>Productos Venta</v>
      </c>
      <c r="R142" s="247">
        <f>IFERROR(IF(compras_mes9[[#This Row],[CUIT]]="","-",VLOOKUP(compras_mes9[[#This Row],[CUIT]],Lista_CUIT[#All],4,0)),"CUIT NO CARGADO")</f>
        <v>0</v>
      </c>
    </row>
    <row r="143" spans="2:18" ht="15" customHeight="1">
      <c r="B143" s="239" t="s">
        <v>2447</v>
      </c>
      <c r="C143" s="240">
        <v>1</v>
      </c>
      <c r="D143" s="241">
        <v>1</v>
      </c>
      <c r="E143" s="257">
        <v>110</v>
      </c>
      <c r="F143" s="242">
        <v>30718148207</v>
      </c>
      <c r="G143" s="243" t="str">
        <f>IFERROR(IF(compras_mes9[[#This Row],[CUIT]]="","-",VLOOKUP(compras_mes9[[#This Row],[CUIT]],Lista_CUIT[#All],2,0)),"CUIT NO CARGADO")</f>
        <v>VIPA INTERNATIONAL S.R.L.</v>
      </c>
      <c r="H143" s="244">
        <v>1694807</v>
      </c>
      <c r="I143" s="85">
        <f>IF(compras_mes9[[#This Row],[NETO GRAVADO]]="","",compras_mes9[[#This Row],[NETO GRAVADO]]*0.21)</f>
        <v>355909.47</v>
      </c>
      <c r="J143" s="245"/>
      <c r="K143" s="245"/>
      <c r="L143" s="245"/>
      <c r="M143" s="245"/>
      <c r="N143" s="245"/>
      <c r="O143" s="245"/>
      <c r="P143" s="246">
        <f>SUM(compras_mes9[[#This Row],[NETO GRAVADO]:[Otros / No Grav.]])</f>
        <v>2050716.47</v>
      </c>
      <c r="Q143" s="247" t="str">
        <f>IFERROR(IF(compras_mes9[[#This Row],[CUIT]]="","-",VLOOKUP(compras_mes9[[#This Row],[CUIT]],Lista_CUIT[#All],3,0)),"CUIT NO CARGADO")</f>
        <v>Productos Venta</v>
      </c>
      <c r="R143" s="247">
        <f>IFERROR(IF(compras_mes9[[#This Row],[CUIT]]="","-",VLOOKUP(compras_mes9[[#This Row],[CUIT]],Lista_CUIT[#All],4,0)),"CUIT NO CARGADO")</f>
        <v>0</v>
      </c>
    </row>
    <row r="144" spans="2:18" ht="15" customHeight="1">
      <c r="B144" s="239" t="s">
        <v>2412</v>
      </c>
      <c r="C144" s="240">
        <v>1</v>
      </c>
      <c r="D144" s="241">
        <v>2</v>
      </c>
      <c r="E144" s="257">
        <v>3811</v>
      </c>
      <c r="F144" s="242">
        <v>30629863571</v>
      </c>
      <c r="G144" s="243" t="str">
        <f>IFERROR(IF(compras_mes9[[#This Row],[CUIT]]="","-",VLOOKUP(compras_mes9[[#This Row],[CUIT]],Lista_CUIT[#All],2,0)),"CUIT NO CARGADO")</f>
        <v>TECNIMAR S R L</v>
      </c>
      <c r="H144" s="46">
        <v>1163230.078125</v>
      </c>
      <c r="I144" s="85">
        <f>IF(compras_mes9[[#This Row],[NETO GRAVADO]]="","",compras_mes9[[#This Row],[NETO GRAVADO]]*0.21)</f>
        <v>244278.31640625</v>
      </c>
      <c r="J144" s="245"/>
      <c r="K144" s="245"/>
      <c r="L144" s="245"/>
      <c r="M144" s="245"/>
      <c r="N144" s="245"/>
      <c r="O144" s="245"/>
      <c r="P144" s="246">
        <f>SUM(compras_mes9[[#This Row],[NETO GRAVADO]:[Otros / No Grav.]])</f>
        <v>1407508.39453125</v>
      </c>
      <c r="Q144" s="247" t="str">
        <f>IFERROR(IF(compras_mes9[[#This Row],[CUIT]]="","-",VLOOKUP(compras_mes9[[#This Row],[CUIT]],Lista_CUIT[#All],3,0)),"CUIT NO CARGADO")</f>
        <v>Productos Venta</v>
      </c>
      <c r="R144" s="247">
        <f>IFERROR(IF(compras_mes9[[#This Row],[CUIT]]="","-",VLOOKUP(compras_mes9[[#This Row],[CUIT]],Lista_CUIT[#All],4,0)),"CUIT NO CARGADO")</f>
        <v>0</v>
      </c>
    </row>
    <row r="145" spans="2:18" ht="15" customHeight="1">
      <c r="B145" s="239" t="s">
        <v>2412</v>
      </c>
      <c r="C145" s="240">
        <v>1</v>
      </c>
      <c r="D145" s="241">
        <v>2</v>
      </c>
      <c r="E145" s="257">
        <v>3814</v>
      </c>
      <c r="F145" s="242">
        <v>30629863571</v>
      </c>
      <c r="G145" s="243" t="str">
        <f>IFERROR(IF(compras_mes9[[#This Row],[CUIT]]="","-",VLOOKUP(compras_mes9[[#This Row],[CUIT]],Lista_CUIT[#All],2,0)),"CUIT NO CARGADO")</f>
        <v>TECNIMAR S R L</v>
      </c>
      <c r="H145" s="95">
        <v>3849605.8125</v>
      </c>
      <c r="I145" s="85">
        <f>IF(compras_mes9[[#This Row],[NETO GRAVADO]]="","",compras_mes9[[#This Row],[NETO GRAVADO]]*0.21)</f>
        <v>808417.22062499996</v>
      </c>
      <c r="J145" s="85"/>
      <c r="K145" s="85"/>
      <c r="L145" s="85"/>
      <c r="M145" s="85"/>
      <c r="N145" s="85"/>
      <c r="O145" s="85"/>
      <c r="P145" s="48">
        <f>SUM(compras_mes9[[#This Row],[NETO GRAVADO]:[Otros / No Grav.]])</f>
        <v>4658023.0331250001</v>
      </c>
      <c r="Q145" s="247" t="str">
        <f>IFERROR(IF(compras_mes9[[#This Row],[CUIT]]="","-",VLOOKUP(compras_mes9[[#This Row],[CUIT]],Lista_CUIT[#All],3,0)),"CUIT NO CARGADO")</f>
        <v>Productos Venta</v>
      </c>
      <c r="R145" s="247">
        <f>IFERROR(IF(compras_mes9[[#This Row],[CUIT]]="","-",VLOOKUP(compras_mes9[[#This Row],[CUIT]],Lista_CUIT[#All],4,0)),"CUIT NO CARGADO")</f>
        <v>0</v>
      </c>
    </row>
    <row r="146" spans="2:18" ht="15" customHeight="1">
      <c r="B146" s="239" t="s">
        <v>2412</v>
      </c>
      <c r="C146" s="240">
        <v>1</v>
      </c>
      <c r="D146" s="241">
        <v>6</v>
      </c>
      <c r="E146" s="257">
        <v>3294</v>
      </c>
      <c r="F146" s="242">
        <v>30574603788</v>
      </c>
      <c r="G146" s="243" t="str">
        <f>IFERROR(IF(compras_mes9[[#This Row],[CUIT]]="","-",VLOOKUP(compras_mes9[[#This Row],[CUIT]],Lista_CUIT[#All],2,0)),"CUIT NO CARGADO")</f>
        <v>CODAC SRL</v>
      </c>
      <c r="H146" s="95">
        <v>2291250</v>
      </c>
      <c r="I146" s="85">
        <f>IF(compras_mes9[[#This Row],[NETO GRAVADO]]="","",compras_mes9[[#This Row],[NETO GRAVADO]]*0.21)</f>
        <v>481162.5</v>
      </c>
      <c r="J146" s="85"/>
      <c r="K146" s="85"/>
      <c r="L146" s="85"/>
      <c r="M146" s="85"/>
      <c r="N146" s="85"/>
      <c r="O146" s="85"/>
      <c r="P146" s="48">
        <f>SUM(compras_mes9[[#This Row],[NETO GRAVADO]:[Otros / No Grav.]])</f>
        <v>2772412.5</v>
      </c>
      <c r="Q146" s="247" t="str">
        <f>IFERROR(IF(compras_mes9[[#This Row],[CUIT]]="","-",VLOOKUP(compras_mes9[[#This Row],[CUIT]],Lista_CUIT[#All],3,0)),"CUIT NO CARGADO")</f>
        <v>Productos Venta</v>
      </c>
      <c r="R146" s="247" t="str">
        <f>IFERROR(IF(compras_mes9[[#This Row],[CUIT]]="","-",VLOOKUP(compras_mes9[[#This Row],[CUIT]],Lista_CUIT[#All],4,0)),"CUIT NO CARGADO")</f>
        <v>BUENOS AIRES</v>
      </c>
    </row>
    <row r="147" spans="2:18" ht="15" customHeight="1">
      <c r="B147" s="239" t="s">
        <v>2414</v>
      </c>
      <c r="C147" s="240">
        <v>1</v>
      </c>
      <c r="D147" s="241">
        <v>2</v>
      </c>
      <c r="E147" s="257">
        <v>34</v>
      </c>
      <c r="F147" s="242">
        <v>30629863571</v>
      </c>
      <c r="G147" s="243" t="str">
        <f>IFERROR(IF(compras_mes9[[#This Row],[CUIT]]="","-",VLOOKUP(compras_mes9[[#This Row],[CUIT]],Lista_CUIT[#All],2,0)),"CUIT NO CARGADO")</f>
        <v>TECNIMAR S R L</v>
      </c>
      <c r="H147" s="95">
        <v>514251.515625</v>
      </c>
      <c r="I147" s="85">
        <f>IF(compras_mes9[[#This Row],[NETO GRAVADO]]="","",compras_mes9[[#This Row],[NETO GRAVADO]]*0.21)</f>
        <v>107992.81828125</v>
      </c>
      <c r="J147" s="245"/>
      <c r="K147" s="245"/>
      <c r="L147" s="245"/>
      <c r="M147" s="245"/>
      <c r="N147" s="245"/>
      <c r="O147" s="245"/>
      <c r="P147" s="246">
        <f>SUM(compras_mes9[[#This Row],[NETO GRAVADO]:[Otros / No Grav.]])</f>
        <v>622244.33390624996</v>
      </c>
      <c r="Q147" s="247" t="str">
        <f>IFERROR(IF(compras_mes9[[#This Row],[CUIT]]="","-",VLOOKUP(compras_mes9[[#This Row],[CUIT]],Lista_CUIT[#All],3,0)),"CUIT NO CARGADO")</f>
        <v>Productos Venta</v>
      </c>
      <c r="R147" s="247">
        <f>IFERROR(IF(compras_mes9[[#This Row],[CUIT]]="","-",VLOOKUP(compras_mes9[[#This Row],[CUIT]],Lista_CUIT[#All],4,0)),"CUIT NO CARGADO")</f>
        <v>0</v>
      </c>
    </row>
    <row r="148" spans="2:18" ht="15" customHeight="1">
      <c r="B148" s="239" t="s">
        <v>2415</v>
      </c>
      <c r="C148" s="240">
        <v>1</v>
      </c>
      <c r="D148" s="241">
        <v>2</v>
      </c>
      <c r="E148" s="257">
        <v>8550</v>
      </c>
      <c r="F148" s="242">
        <v>33714677239</v>
      </c>
      <c r="G148" s="243" t="str">
        <f>IFERROR(IF(compras_mes9[[#This Row],[CUIT]]="","-",VLOOKUP(compras_mes9[[#This Row],[CUIT]],Lista_CUIT[#All],2,0)),"CUIT NO CARGADO")</f>
        <v xml:space="preserve">BOMBAS VAPORIZADORAS </v>
      </c>
      <c r="H148" s="244">
        <v>2011440.09375</v>
      </c>
      <c r="I148" s="85">
        <f>IF(compras_mes9[[#This Row],[NETO GRAVADO]]="","",compras_mes9[[#This Row],[NETO GRAVADO]]*0.21)</f>
        <v>422402.41968749999</v>
      </c>
      <c r="J148" s="245"/>
      <c r="K148" s="245"/>
      <c r="L148" s="245"/>
      <c r="M148" s="245"/>
      <c r="N148" s="245"/>
      <c r="O148" s="245"/>
      <c r="P148" s="246">
        <f>SUM(compras_mes9[[#This Row],[NETO GRAVADO]:[Otros / No Grav.]])</f>
        <v>2433842.5134375002</v>
      </c>
      <c r="Q148" s="247" t="str">
        <f>IFERROR(IF(compras_mes9[[#This Row],[CUIT]]="","-",VLOOKUP(compras_mes9[[#This Row],[CUIT]],Lista_CUIT[#All],3,0)),"CUIT NO CARGADO")</f>
        <v>Productos Venta</v>
      </c>
      <c r="R148" s="247">
        <f>IFERROR(IF(compras_mes9[[#This Row],[CUIT]]="","-",VLOOKUP(compras_mes9[[#This Row],[CUIT]],Lista_CUIT[#All],4,0)),"CUIT NO CARGADO")</f>
        <v>0</v>
      </c>
    </row>
    <row r="149" spans="2:18" ht="15" customHeight="1">
      <c r="B149" s="239" t="s">
        <v>2416</v>
      </c>
      <c r="C149" s="240">
        <v>1</v>
      </c>
      <c r="D149" s="241">
        <v>1</v>
      </c>
      <c r="E149" s="257">
        <v>111</v>
      </c>
      <c r="F149" s="242">
        <v>30718148207</v>
      </c>
      <c r="G149" s="243" t="str">
        <f>IFERROR(IF(compras_mes9[[#This Row],[CUIT]]="","-",VLOOKUP(compras_mes9[[#This Row],[CUIT]],Lista_CUIT[#All],2,0)),"CUIT NO CARGADO")</f>
        <v>VIPA INTERNATIONAL S.R.L.</v>
      </c>
      <c r="H149" s="95">
        <v>2400000</v>
      </c>
      <c r="I149" s="85">
        <f>IF(compras_mes9[[#This Row],[NETO GRAVADO]]="","",compras_mes9[[#This Row],[NETO GRAVADO]]*0.21)</f>
        <v>504000</v>
      </c>
      <c r="J149" s="245"/>
      <c r="K149" s="245"/>
      <c r="L149" s="245"/>
      <c r="M149" s="245"/>
      <c r="N149" s="245"/>
      <c r="O149" s="245"/>
      <c r="P149" s="246">
        <f>SUM(compras_mes9[[#This Row],[NETO GRAVADO]:[Otros / No Grav.]])</f>
        <v>2904000</v>
      </c>
      <c r="Q149" s="247" t="str">
        <f>IFERROR(IF(compras_mes9[[#This Row],[CUIT]]="","-",VLOOKUP(compras_mes9[[#This Row],[CUIT]],Lista_CUIT[#All],3,0)),"CUIT NO CARGADO")</f>
        <v>Productos Venta</v>
      </c>
      <c r="R149" s="247">
        <f>IFERROR(IF(compras_mes9[[#This Row],[CUIT]]="","-",VLOOKUP(compras_mes9[[#This Row],[CUIT]],Lista_CUIT[#All],4,0)),"CUIT NO CARGADO")</f>
        <v>0</v>
      </c>
    </row>
    <row r="150" spans="2:18" ht="15" customHeight="1">
      <c r="B150" s="239" t="s">
        <v>2416</v>
      </c>
      <c r="C150" s="240">
        <v>1</v>
      </c>
      <c r="D150" s="241">
        <v>2</v>
      </c>
      <c r="E150" s="257">
        <v>3817</v>
      </c>
      <c r="F150" s="242">
        <v>30629863571</v>
      </c>
      <c r="G150" s="243" t="str">
        <f>IFERROR(IF(compras_mes9[[#This Row],[CUIT]]="","-",VLOOKUP(compras_mes9[[#This Row],[CUIT]],Lista_CUIT[#All],2,0)),"CUIT NO CARGADO")</f>
        <v>TECNIMAR S R L</v>
      </c>
      <c r="H150" s="95">
        <v>525151.8515625</v>
      </c>
      <c r="I150" s="85">
        <f>IF(compras_mes9[[#This Row],[NETO GRAVADO]]="","",compras_mes9[[#This Row],[NETO GRAVADO]]*0.21)</f>
        <v>110281.888828125</v>
      </c>
      <c r="J150" s="245"/>
      <c r="K150" s="245"/>
      <c r="L150" s="245"/>
      <c r="M150" s="245"/>
      <c r="N150" s="245"/>
      <c r="O150" s="245"/>
      <c r="P150" s="246">
        <f>SUM(compras_mes9[[#This Row],[NETO GRAVADO]:[Otros / No Grav.]])</f>
        <v>635433.74039062497</v>
      </c>
      <c r="Q150" s="247" t="str">
        <f>IFERROR(IF(compras_mes9[[#This Row],[CUIT]]="","-",VLOOKUP(compras_mes9[[#This Row],[CUIT]],Lista_CUIT[#All],3,0)),"CUIT NO CARGADO")</f>
        <v>Productos Venta</v>
      </c>
      <c r="R150" s="247">
        <f>IFERROR(IF(compras_mes9[[#This Row],[CUIT]]="","-",VLOOKUP(compras_mes9[[#This Row],[CUIT]],Lista_CUIT[#All],4,0)),"CUIT NO CARGADO")</f>
        <v>0</v>
      </c>
    </row>
    <row r="151" spans="2:18" ht="15" customHeight="1">
      <c r="B151" s="239" t="s">
        <v>2417</v>
      </c>
      <c r="C151" s="240">
        <v>1</v>
      </c>
      <c r="D151" s="241">
        <v>2</v>
      </c>
      <c r="E151" s="257">
        <v>3815</v>
      </c>
      <c r="F151" s="242">
        <v>30629863571</v>
      </c>
      <c r="G151" s="243" t="str">
        <f>IFERROR(IF(compras_mes9[[#This Row],[CUIT]]="","-",VLOOKUP(compras_mes9[[#This Row],[CUIT]],Lista_CUIT[#All],2,0)),"CUIT NO CARGADO")</f>
        <v>TECNIMAR S R L</v>
      </c>
      <c r="H151" s="95">
        <v>3611445.125</v>
      </c>
      <c r="I151" s="85">
        <f>IF(compras_mes9[[#This Row],[NETO GRAVADO]]="","",compras_mes9[[#This Row],[NETO GRAVADO]]*0.21)</f>
        <v>758403.47624999995</v>
      </c>
      <c r="J151" s="85"/>
      <c r="K151" s="85"/>
      <c r="L151" s="85"/>
      <c r="M151" s="85"/>
      <c r="N151" s="85"/>
      <c r="O151" s="85"/>
      <c r="P151" s="48">
        <f>SUM(compras_mes9[[#This Row],[NETO GRAVADO]:[Otros / No Grav.]])</f>
        <v>4369848.6012500003</v>
      </c>
      <c r="Q151" s="247" t="str">
        <f>IFERROR(IF(compras_mes9[[#This Row],[CUIT]]="","-",VLOOKUP(compras_mes9[[#This Row],[CUIT]],Lista_CUIT[#All],3,0)),"CUIT NO CARGADO")</f>
        <v>Productos Venta</v>
      </c>
      <c r="R151" s="247">
        <f>IFERROR(IF(compras_mes9[[#This Row],[CUIT]]="","-",VLOOKUP(compras_mes9[[#This Row],[CUIT]],Lista_CUIT[#All],4,0)),"CUIT NO CARGADO")</f>
        <v>0</v>
      </c>
    </row>
    <row r="152" spans="2:18">
      <c r="B152" s="239" t="s">
        <v>2417</v>
      </c>
      <c r="C152" s="240">
        <v>1</v>
      </c>
      <c r="D152" s="241">
        <v>2</v>
      </c>
      <c r="E152" s="257">
        <v>3816</v>
      </c>
      <c r="F152" s="242">
        <v>30629863571</v>
      </c>
      <c r="G152" s="243" t="str">
        <f>IFERROR(IF(compras_mes9[[#This Row],[CUIT]]="","-",VLOOKUP(compras_mes9[[#This Row],[CUIT]],Lista_CUIT[#All],2,0)),"CUIT NO CARGADO")</f>
        <v>TECNIMAR S R L</v>
      </c>
      <c r="H152" s="244">
        <v>3235782.0625</v>
      </c>
      <c r="I152" s="85">
        <f>IF(compras_mes9[[#This Row],[NETO GRAVADO]]="","",compras_mes9[[#This Row],[NETO GRAVADO]]*0.21)</f>
        <v>679514.23312500003</v>
      </c>
      <c r="J152" s="245"/>
      <c r="K152" s="245"/>
      <c r="L152" s="245"/>
      <c r="M152" s="245"/>
      <c r="N152" s="245"/>
      <c r="O152" s="245"/>
      <c r="P152" s="246">
        <f>SUM(compras_mes9[[#This Row],[NETO GRAVADO]:[Otros / No Grav.]])</f>
        <v>3915296.2956250003</v>
      </c>
      <c r="Q152" s="247" t="str">
        <f>IFERROR(IF(compras_mes9[[#This Row],[CUIT]]="","-",VLOOKUP(compras_mes9[[#This Row],[CUIT]],Lista_CUIT[#All],3,0)),"CUIT NO CARGADO")</f>
        <v>Productos Venta</v>
      </c>
      <c r="R152" s="247">
        <f>IFERROR(IF(compras_mes9[[#This Row],[CUIT]]="","-",VLOOKUP(compras_mes9[[#This Row],[CUIT]],Lista_CUIT[#All],4,0)),"CUIT NO CARGADO")</f>
        <v>0</v>
      </c>
    </row>
    <row r="153" spans="2:18">
      <c r="B153" s="602" t="s">
        <v>2397</v>
      </c>
      <c r="C153" s="603">
        <v>1</v>
      </c>
      <c r="D153" s="604">
        <v>64</v>
      </c>
      <c r="E153" s="605">
        <v>15031948</v>
      </c>
      <c r="F153" s="606">
        <v>30657863676</v>
      </c>
      <c r="G153" s="607" t="str">
        <f>IFERROR(IF(compras_mes9[[#This Row],[CUIT]]="","-",VLOOKUP(compras_mes9[[#This Row],[CUIT]],Lista_CUIT[#All],2,0)),"CUIT NO CARGADO")</f>
        <v>METROGAS S A</v>
      </c>
      <c r="H153" s="608">
        <v>32671.3828125</v>
      </c>
      <c r="I153" s="609">
        <f>IF(compras_mes9[[#This Row],[NETO GRAVADO]]="","",compras_mes9[[#This Row],[NETO GRAVADO]]*0.21)</f>
        <v>6860.9903906250001</v>
      </c>
      <c r="J153" s="609"/>
      <c r="K153" s="609"/>
      <c r="L153" s="609"/>
      <c r="M153" s="609"/>
      <c r="N153" s="609"/>
      <c r="O153" s="609"/>
      <c r="P153" s="610">
        <f>SUM(compras_mes9[[#This Row],[NETO GRAVADO]:[Otros / No Grav.]])</f>
        <v>39532.373203124997</v>
      </c>
      <c r="Q153" s="611" t="str">
        <f>IFERROR(IF(compras_mes9[[#This Row],[CUIT]]="","-",VLOOKUP(compras_mes9[[#This Row],[CUIT]],Lista_CUIT[#All],3,0)),"CUIT NO CARGADO")</f>
        <v>Servicios Gas, Luz, etc.</v>
      </c>
      <c r="R153" s="611">
        <f>IFERROR(IF(compras_mes9[[#This Row],[CUIT]]="","-",VLOOKUP(compras_mes9[[#This Row],[CUIT]],Lista_CUIT[#All],4,0)),"CUIT NO CARGADO")</f>
        <v>0</v>
      </c>
    </row>
    <row r="154" spans="2:18">
      <c r="B154" s="602" t="s">
        <v>2399</v>
      </c>
      <c r="C154" s="603">
        <v>1</v>
      </c>
      <c r="D154" s="604">
        <v>14</v>
      </c>
      <c r="E154" s="605">
        <v>18465839</v>
      </c>
      <c r="F154" s="606">
        <v>30655116202</v>
      </c>
      <c r="G154" s="607" t="str">
        <f>IFERROR(IF(compras_mes9[[#This Row],[CUIT]]="","-",VLOOKUP(compras_mes9[[#This Row],[CUIT]],Lista_CUIT[#All],2,0)),"CUIT NO CARGADO")</f>
        <v xml:space="preserve">EDENOR </v>
      </c>
      <c r="H154" s="608">
        <v>130572.006103516</v>
      </c>
      <c r="I154" s="609">
        <f>IF(compras_mes9[[#This Row],[NETO GRAVADO]]="","",compras_mes9[[#This Row],[NETO GRAVADO]]*0.21)</f>
        <v>27420.12128173836</v>
      </c>
      <c r="J154" s="609"/>
      <c r="K154" s="609"/>
      <c r="L154" s="609"/>
      <c r="M154" s="609"/>
      <c r="N154" s="609"/>
      <c r="O154" s="609"/>
      <c r="P154" s="610">
        <f>SUM(compras_mes9[[#This Row],[NETO GRAVADO]:[Otros / No Grav.]])</f>
        <v>157992.12738525437</v>
      </c>
      <c r="Q154" s="611" t="str">
        <f>IFERROR(IF(compras_mes9[[#This Row],[CUIT]]="","-",VLOOKUP(compras_mes9[[#This Row],[CUIT]],Lista_CUIT[#All],3,0)),"CUIT NO CARGADO")</f>
        <v>Servicios Gas, Luz, etc.</v>
      </c>
      <c r="R154" s="611">
        <f>IFERROR(IF(compras_mes9[[#This Row],[CUIT]]="","-",VLOOKUP(compras_mes9[[#This Row],[CUIT]],Lista_CUIT[#All],4,0)),"CUIT NO CARGADO")</f>
        <v>0</v>
      </c>
    </row>
    <row r="155" spans="2:18">
      <c r="B155" s="239" t="s">
        <v>2442</v>
      </c>
      <c r="C155" s="240">
        <v>1</v>
      </c>
      <c r="D155" s="241">
        <v>3</v>
      </c>
      <c r="E155" s="257">
        <v>25311</v>
      </c>
      <c r="F155" s="242">
        <v>33707953549</v>
      </c>
      <c r="G155" s="243" t="str">
        <f>IFERROR(IF(compras_mes9[[#This Row],[CUIT]]="","-",VLOOKUP(compras_mes9[[#This Row],[CUIT]],Lista_CUIT[#All],2,0)),"CUIT NO CARGADO")</f>
        <v>TELESMART</v>
      </c>
      <c r="H155" s="95">
        <v>19500</v>
      </c>
      <c r="I155" s="85">
        <f>IF(compras_mes9[[#This Row],[NETO GRAVADO]]="","",compras_mes9[[#This Row],[NETO GRAVADO]]*0.21)</f>
        <v>4095</v>
      </c>
      <c r="J155" s="85"/>
      <c r="K155" s="85"/>
      <c r="L155" s="85"/>
      <c r="M155" s="85"/>
      <c r="N155" s="85"/>
      <c r="O155" s="85"/>
      <c r="P155" s="48">
        <f>SUM(compras_mes9[[#This Row],[NETO GRAVADO]:[Otros / No Grav.]])</f>
        <v>23595</v>
      </c>
      <c r="Q155" s="247" t="str">
        <f>IFERROR(IF(compras_mes9[[#This Row],[CUIT]]="","-",VLOOKUP(compras_mes9[[#This Row],[CUIT]],Lista_CUIT[#All],3,0)),"CUIT NO CARGADO")</f>
        <v>Servicios Gas, Luz, etc.</v>
      </c>
      <c r="R155" s="247">
        <f>IFERROR(IF(compras_mes9[[#This Row],[CUIT]]="","-",VLOOKUP(compras_mes9[[#This Row],[CUIT]],Lista_CUIT[#All],4,0)),"CUIT NO CARGADO")</f>
        <v>0</v>
      </c>
    </row>
    <row r="156" spans="2:18">
      <c r="B156" s="602" t="s">
        <v>2404</v>
      </c>
      <c r="C156" s="603">
        <v>1</v>
      </c>
      <c r="D156" s="604">
        <v>110</v>
      </c>
      <c r="E156" s="605">
        <v>32659670</v>
      </c>
      <c r="F156" s="606">
        <v>30709565075</v>
      </c>
      <c r="G156" s="607" t="str">
        <f>IFERROR(IF(compras_mes9[[#This Row],[CUIT]]="","-",VLOOKUP(compras_mes9[[#This Row],[CUIT]],Lista_CUIT[#All],2,0)),"CUIT NO CARGADO")</f>
        <v>AYSA S.A</v>
      </c>
      <c r="H156" s="608">
        <v>77978.705078125</v>
      </c>
      <c r="I156" s="609">
        <f>IF(compras_mes9[[#This Row],[NETO GRAVADO]]="","",compras_mes9[[#This Row],[NETO GRAVADO]]*0.21)</f>
        <v>16375.52806640625</v>
      </c>
      <c r="J156" s="609"/>
      <c r="K156" s="609"/>
      <c r="L156" s="609"/>
      <c r="M156" s="609"/>
      <c r="N156" s="609"/>
      <c r="O156" s="609"/>
      <c r="P156" s="610">
        <f>SUM(compras_mes9[[#This Row],[NETO GRAVADO]:[Otros / No Grav.]])</f>
        <v>94354.233144531245</v>
      </c>
      <c r="Q156" s="611" t="str">
        <f>IFERROR(IF(compras_mes9[[#This Row],[CUIT]]="","-",VLOOKUP(compras_mes9[[#This Row],[CUIT]],Lista_CUIT[#All],3,0)),"CUIT NO CARGADO")</f>
        <v>Servicios Gas, Luz, etc.</v>
      </c>
      <c r="R156" s="611">
        <f>IFERROR(IF(compras_mes9[[#This Row],[CUIT]]="","-",VLOOKUP(compras_mes9[[#This Row],[CUIT]],Lista_CUIT[#All],4,0)),"CUIT NO CARGADO")</f>
        <v>0</v>
      </c>
    </row>
    <row r="157" spans="2:18">
      <c r="B157" s="602" t="s">
        <v>2404</v>
      </c>
      <c r="C157" s="603">
        <v>1</v>
      </c>
      <c r="D157" s="604">
        <v>106</v>
      </c>
      <c r="E157" s="605">
        <v>9675504</v>
      </c>
      <c r="F157" s="606">
        <v>30709565075</v>
      </c>
      <c r="G157" s="607" t="str">
        <f>IFERROR(IF(compras_mes9[[#This Row],[CUIT]]="","-",VLOOKUP(compras_mes9[[#This Row],[CUIT]],Lista_CUIT[#All],2,0)),"CUIT NO CARGADO")</f>
        <v>AYSA S.A</v>
      </c>
      <c r="H157" s="608">
        <v>78177.729370117202</v>
      </c>
      <c r="I157" s="609">
        <f>IF(compras_mes9[[#This Row],[NETO GRAVADO]]="","",compras_mes9[[#This Row],[NETO GRAVADO]]*0.21)</f>
        <v>16417.323167724611</v>
      </c>
      <c r="J157" s="609"/>
      <c r="K157" s="609"/>
      <c r="L157" s="609"/>
      <c r="M157" s="609"/>
      <c r="N157" s="609"/>
      <c r="O157" s="609"/>
      <c r="P157" s="610">
        <f>SUM(compras_mes9[[#This Row],[NETO GRAVADO]:[Otros / No Grav.]])</f>
        <v>94595.05253784181</v>
      </c>
      <c r="Q157" s="611" t="str">
        <f>IFERROR(IF(compras_mes9[[#This Row],[CUIT]]="","-",VLOOKUP(compras_mes9[[#This Row],[CUIT]],Lista_CUIT[#All],3,0)),"CUIT NO CARGADO")</f>
        <v>Servicios Gas, Luz, etc.</v>
      </c>
      <c r="R157" s="611">
        <f>IFERROR(IF(compras_mes9[[#This Row],[CUIT]]="","-",VLOOKUP(compras_mes9[[#This Row],[CUIT]],Lista_CUIT[#All],4,0)),"CUIT NO CARGADO")</f>
        <v>0</v>
      </c>
    </row>
    <row r="158" spans="2:18">
      <c r="B158" s="602" t="s">
        <v>2405</v>
      </c>
      <c r="C158" s="603">
        <v>1</v>
      </c>
      <c r="D158" s="604">
        <v>501</v>
      </c>
      <c r="E158" s="605">
        <v>31890597</v>
      </c>
      <c r="F158" s="606">
        <v>30655116512</v>
      </c>
      <c r="G158" s="607" t="str">
        <f>IFERROR(IF(compras_mes9[[#This Row],[CUIT]]="","-",VLOOKUP(compras_mes9[[#This Row],[CUIT]],Lista_CUIT[#All],2,0)),"CUIT NO CARGADO")</f>
        <v>Empresa Distribuidora Sur S.A.</v>
      </c>
      <c r="H158" s="608">
        <v>77777.49609375</v>
      </c>
      <c r="I158" s="609">
        <f>IF(compras_mes9[[#This Row],[NETO GRAVADO]]="","",compras_mes9[[#This Row],[NETO GRAVADO]]*0.21)</f>
        <v>16333.2741796875</v>
      </c>
      <c r="J158" s="609"/>
      <c r="K158" s="609"/>
      <c r="L158" s="609"/>
      <c r="M158" s="609"/>
      <c r="N158" s="609"/>
      <c r="O158" s="609"/>
      <c r="P158" s="610">
        <f>SUM(compras_mes9[[#This Row],[NETO GRAVADO]:[Otros / No Grav.]])</f>
        <v>94110.770273437505</v>
      </c>
      <c r="Q158" s="611" t="str">
        <f>IFERROR(IF(compras_mes9[[#This Row],[CUIT]]="","-",VLOOKUP(compras_mes9[[#This Row],[CUIT]],Lista_CUIT[#All],3,0)),"CUIT NO CARGADO")</f>
        <v>Servicios Gas, Luz, etc.</v>
      </c>
      <c r="R158" s="611">
        <f>IFERROR(IF(compras_mes9[[#This Row],[CUIT]]="","-",VLOOKUP(compras_mes9[[#This Row],[CUIT]],Lista_CUIT[#All],4,0)),"CUIT NO CARGADO")</f>
        <v>0</v>
      </c>
    </row>
    <row r="159" spans="2:18">
      <c r="B159" s="239" t="s">
        <v>2408</v>
      </c>
      <c r="C159" s="240">
        <v>1</v>
      </c>
      <c r="D159" s="241">
        <v>3099</v>
      </c>
      <c r="E159" s="257">
        <v>237698</v>
      </c>
      <c r="F159" s="242">
        <v>30678814357</v>
      </c>
      <c r="G159" s="243" t="str">
        <f>IFERROR(IF(compras_mes9[[#This Row],[CUIT]]="","-",VLOOKUP(compras_mes9[[#This Row],[CUIT]],Lista_CUIT[#All],2,0)),"CUIT NO CARGADO")</f>
        <v>TELEFONICA MOVILES ARG</v>
      </c>
      <c r="H159" s="244">
        <v>126799.003417969</v>
      </c>
      <c r="I159" s="85"/>
      <c r="J159" s="245">
        <f>compras_mes9[[#This Row],[NETO GRAVADO]]*0.27</f>
        <v>34235.730922851631</v>
      </c>
      <c r="K159" s="245"/>
      <c r="L159" s="245">
        <v>3803.98</v>
      </c>
      <c r="M159" s="245"/>
      <c r="N159" s="245">
        <v>7607.95</v>
      </c>
      <c r="O159" s="245"/>
      <c r="P159" s="246">
        <f>SUM(compras_mes9[[#This Row],[NETO GRAVADO]:[Otros / No Grav.]])</f>
        <v>172446.66434082066</v>
      </c>
      <c r="Q159" s="247" t="str">
        <f>IFERROR(IF(compras_mes9[[#This Row],[CUIT]]="","-",VLOOKUP(compras_mes9[[#This Row],[CUIT]],Lista_CUIT[#All],3,0)),"CUIT NO CARGADO")</f>
        <v>Servicios Gas, Luz, etc.</v>
      </c>
      <c r="R159" s="247">
        <f>IFERROR(IF(compras_mes9[[#This Row],[CUIT]]="","-",VLOOKUP(compras_mes9[[#This Row],[CUIT]],Lista_CUIT[#All],4,0)),"CUIT NO CARGADO")</f>
        <v>0</v>
      </c>
    </row>
    <row r="160" spans="2:18">
      <c r="B160" s="239" t="s">
        <v>2408</v>
      </c>
      <c r="C160" s="240">
        <v>1</v>
      </c>
      <c r="D160" s="241">
        <v>63</v>
      </c>
      <c r="E160" s="257">
        <v>2973638</v>
      </c>
      <c r="F160" s="242">
        <v>30640897267</v>
      </c>
      <c r="G160" s="243" t="str">
        <f>IFERROR(IF(compras_mes9[[#This Row],[CUIT]]="","-",VLOOKUP(compras_mes9[[#This Row],[CUIT]],Lista_CUIT[#All],2,0)),"CUIT NO CARGADO")</f>
        <v>TELECENTRO S.A.</v>
      </c>
      <c r="H160" s="95">
        <v>48610.576538085901</v>
      </c>
      <c r="I160" s="85">
        <f>IF(compras_mes9[[#This Row],[NETO GRAVADO]]="","",compras_mes9[[#This Row],[NETO GRAVADO]]*0.21)</f>
        <v>10208.22107299804</v>
      </c>
      <c r="J160" s="85"/>
      <c r="K160" s="85"/>
      <c r="L160" s="85">
        <v>1458.32</v>
      </c>
      <c r="M160" s="85"/>
      <c r="N160" s="85">
        <v>2916.63</v>
      </c>
      <c r="O160" s="85"/>
      <c r="P160" s="48">
        <f>SUM(compras_mes9[[#This Row],[NETO GRAVADO]:[Otros / No Grav.]])</f>
        <v>63193.747611083934</v>
      </c>
      <c r="Q160" s="247" t="str">
        <f>IFERROR(IF(compras_mes9[[#This Row],[CUIT]]="","-",VLOOKUP(compras_mes9[[#This Row],[CUIT]],Lista_CUIT[#All],3,0)),"CUIT NO CARGADO")</f>
        <v>Servicios Gas, Luz, etc.</v>
      </c>
      <c r="R160" s="247">
        <f>IFERROR(IF(compras_mes9[[#This Row],[CUIT]]="","-",VLOOKUP(compras_mes9[[#This Row],[CUIT]],Lista_CUIT[#All],4,0)),"CUIT NO CARGADO")</f>
        <v>0</v>
      </c>
    </row>
    <row r="161" spans="2:18">
      <c r="B161" s="239" t="s">
        <v>2408</v>
      </c>
      <c r="C161" s="240">
        <v>1</v>
      </c>
      <c r="D161" s="241">
        <v>63</v>
      </c>
      <c r="E161" s="257">
        <v>2974571</v>
      </c>
      <c r="F161" s="242">
        <v>30640897267</v>
      </c>
      <c r="G161" s="243" t="str">
        <f>IFERROR(IF(compras_mes9[[#This Row],[CUIT]]="","-",VLOOKUP(compras_mes9[[#This Row],[CUIT]],Lista_CUIT[#All],2,0)),"CUIT NO CARGADO")</f>
        <v>TELECENTRO S.A.</v>
      </c>
      <c r="H161" s="95">
        <v>48610.576538085901</v>
      </c>
      <c r="I161" s="85">
        <f>IF(compras_mes9[[#This Row],[NETO GRAVADO]]="","",compras_mes9[[#This Row],[NETO GRAVADO]]*0.21)</f>
        <v>10208.22107299804</v>
      </c>
      <c r="J161" s="245"/>
      <c r="K161" s="245"/>
      <c r="L161" s="245">
        <v>1458.32</v>
      </c>
      <c r="M161" s="245"/>
      <c r="N161" s="245">
        <v>2916.63</v>
      </c>
      <c r="O161" s="245"/>
      <c r="P161" s="246">
        <f>SUM(compras_mes9[[#This Row],[NETO GRAVADO]:[Otros / No Grav.]])</f>
        <v>63193.747611083934</v>
      </c>
      <c r="Q161" s="247" t="str">
        <f>IFERROR(IF(compras_mes9[[#This Row],[CUIT]]="","-",VLOOKUP(compras_mes9[[#This Row],[CUIT]],Lista_CUIT[#All],3,0)),"CUIT NO CARGADO")</f>
        <v>Servicios Gas, Luz, etc.</v>
      </c>
      <c r="R161" s="247">
        <f>IFERROR(IF(compras_mes9[[#This Row],[CUIT]]="","-",VLOOKUP(compras_mes9[[#This Row],[CUIT]],Lista_CUIT[#All],4,0)),"CUIT NO CARGADO")</f>
        <v>0</v>
      </c>
    </row>
    <row r="162" spans="2:18" s="56" customFormat="1" ht="18.600000000000001" customHeight="1">
      <c r="B162" s="602" t="s">
        <v>2408</v>
      </c>
      <c r="C162" s="603">
        <v>1</v>
      </c>
      <c r="D162" s="604">
        <v>1</v>
      </c>
      <c r="E162" s="605">
        <v>25005701</v>
      </c>
      <c r="F162" s="606">
        <v>30678814357</v>
      </c>
      <c r="G162" s="607" t="str">
        <f>IFERROR(IF(compras_mes9[[#This Row],[CUIT]]="","-",VLOOKUP(compras_mes9[[#This Row],[CUIT]],Lista_CUIT[#All],2,0)),"CUIT NO CARGADO")</f>
        <v>TELEFONICA MOVILES ARG</v>
      </c>
      <c r="H162" s="615">
        <v>29824.16015625</v>
      </c>
      <c r="I162" s="609">
        <f>IF(compras_mes9[[#This Row],[NETO GRAVADO]]="","",compras_mes9[[#This Row],[NETO GRAVADO]]*0.21)</f>
        <v>6263.0736328124995</v>
      </c>
      <c r="J162" s="613"/>
      <c r="K162" s="613"/>
      <c r="L162" s="613"/>
      <c r="M162" s="613"/>
      <c r="N162" s="613"/>
      <c r="O162" s="613"/>
      <c r="P162" s="614">
        <f>SUM(compras_mes9[[#This Row],[NETO GRAVADO]:[Otros / No Grav.]])</f>
        <v>36087.233789062499</v>
      </c>
      <c r="Q162" s="611" t="str">
        <f>IFERROR(IF(compras_mes9[[#This Row],[CUIT]]="","-",VLOOKUP(compras_mes9[[#This Row],[CUIT]],Lista_CUIT[#All],3,0)),"CUIT NO CARGADO")</f>
        <v>Servicios Gas, Luz, etc.</v>
      </c>
      <c r="R162" s="611">
        <f>IFERROR(IF(compras_mes9[[#This Row],[CUIT]]="","-",VLOOKUP(compras_mes9[[#This Row],[CUIT]],Lista_CUIT[#All],4,0)),"CUIT NO CARGADO")</f>
        <v>0</v>
      </c>
    </row>
    <row r="163" spans="2:18">
      <c r="B163" s="239" t="s">
        <v>2410</v>
      </c>
      <c r="C163" s="240">
        <v>1</v>
      </c>
      <c r="D163" s="241">
        <v>6364</v>
      </c>
      <c r="E163" s="257">
        <v>8574860</v>
      </c>
      <c r="F163" s="242">
        <v>30678186445</v>
      </c>
      <c r="G163" s="243" t="str">
        <f>IFERROR(IF(compras_mes9[[#This Row],[CUIT]]="","-",VLOOKUP(compras_mes9[[#This Row],[CUIT]],Lista_CUIT[#All],2,0)),"CUIT NO CARGADO")</f>
        <v>Telecom Personal S.A.</v>
      </c>
      <c r="H163" s="244">
        <v>239237.20071411101</v>
      </c>
      <c r="I163" s="85">
        <f>IF(compras_mes9[[#This Row],[NETO GRAVADO]]="","",compras_mes9[[#This Row],[NETO GRAVADO]]*0.21)</f>
        <v>50239.812149963313</v>
      </c>
      <c r="J163" s="245"/>
      <c r="K163" s="245"/>
      <c r="L163" s="245"/>
      <c r="M163" s="245"/>
      <c r="N163" s="245"/>
      <c r="O163" s="245"/>
      <c r="P163" s="246">
        <f>SUM(compras_mes9[[#This Row],[NETO GRAVADO]:[Otros / No Grav.]])</f>
        <v>289477.01286407432</v>
      </c>
      <c r="Q163" s="247" t="str">
        <f>IFERROR(IF(compras_mes9[[#This Row],[CUIT]]="","-",VLOOKUP(compras_mes9[[#This Row],[CUIT]],Lista_CUIT[#All],3,0)),"CUIT NO CARGADO")</f>
        <v>Servicios Gas, Luz, etc.</v>
      </c>
      <c r="R163" s="247">
        <f>IFERROR(IF(compras_mes9[[#This Row],[CUIT]]="","-",VLOOKUP(compras_mes9[[#This Row],[CUIT]],Lista_CUIT[#All],4,0)),"CUIT NO CARGADO")</f>
        <v>0</v>
      </c>
    </row>
    <row r="164" spans="2:18">
      <c r="B164" s="89" t="s">
        <v>2457</v>
      </c>
      <c r="C164" s="240">
        <v>1</v>
      </c>
      <c r="D164" s="91">
        <v>4264</v>
      </c>
      <c r="E164" s="92">
        <v>4274009</v>
      </c>
      <c r="F164" s="93">
        <v>30639453738</v>
      </c>
      <c r="G164" s="94" t="str">
        <f>IFERROR(IF(compras_mes9[[#This Row],[CUIT]]="","-",VLOOKUP(compras_mes9[[#This Row],[CUIT]],Lista_CUIT[#All],2,0)),"CUIT NO CARGADO")</f>
        <v>TELECOM ARG SA</v>
      </c>
      <c r="H164" s="95">
        <v>78450</v>
      </c>
      <c r="I164" s="85">
        <f>IF(compras_mes9[[#This Row],[NETO GRAVADO]]="","",compras_mes9[[#This Row],[NETO GRAVADO]]*0.21)</f>
        <v>16474.5</v>
      </c>
      <c r="J164" s="86"/>
      <c r="K164" s="86"/>
      <c r="L164" s="86"/>
      <c r="M164" s="86"/>
      <c r="N164" s="86">
        <v>7060.5</v>
      </c>
      <c r="O164" s="86"/>
      <c r="P164" s="87">
        <f>SUM(compras_mes9[[#This Row],[NETO GRAVADO]:[Otros / No Grav.]])</f>
        <v>101985</v>
      </c>
      <c r="Q164" s="88" t="str">
        <f>IFERROR(IF(compras_mes9[[#This Row],[CUIT]]="","-",VLOOKUP(compras_mes9[[#This Row],[CUIT]],Lista_CUIT[#All],3,0)),"CUIT NO CARGADO")</f>
        <v>Servicios Gas, Luz, etc.</v>
      </c>
      <c r="R164" s="88">
        <f>IFERROR(IF(compras_mes9[[#This Row],[CUIT]]="","-",VLOOKUP(compras_mes9[[#This Row],[CUIT]],Lista_CUIT[#All],4,0)),"CUIT NO CARGADO")</f>
        <v>0</v>
      </c>
    </row>
    <row r="165" spans="2:18">
      <c r="B165" s="593" t="s">
        <v>2457</v>
      </c>
      <c r="C165" s="240">
        <v>1</v>
      </c>
      <c r="D165" s="594">
        <v>4264</v>
      </c>
      <c r="E165" s="595">
        <v>4282816</v>
      </c>
      <c r="F165" s="596">
        <v>30639453738</v>
      </c>
      <c r="G165" s="597" t="str">
        <f>IFERROR(IF(compras_mes9[[#This Row],[CUIT]]="","-",VLOOKUP(compras_mes9[[#This Row],[CUIT]],Lista_CUIT[#All],2,0)),"CUIT NO CARGADO")</f>
        <v>TELECOM ARG SA</v>
      </c>
      <c r="H165" s="598">
        <v>29125</v>
      </c>
      <c r="I165" s="599">
        <f>IF(compras_mes9[[#This Row],[NETO GRAVADO]]="","",compras_mes9[[#This Row],[NETO GRAVADO]]*0.21)</f>
        <v>6116.25</v>
      </c>
      <c r="J165" s="599"/>
      <c r="K165" s="599"/>
      <c r="L165" s="599"/>
      <c r="M165" s="599">
        <v>873.75</v>
      </c>
      <c r="N165" s="599"/>
      <c r="O165" s="599"/>
      <c r="P165" s="600">
        <f>SUM(compras_mes9[[#This Row],[NETO GRAVADO]:[Otros / No Grav.]])</f>
        <v>36115</v>
      </c>
      <c r="Q165" s="601" t="str">
        <f>IFERROR(IF(compras_mes9[[#This Row],[CUIT]]="","-",VLOOKUP(compras_mes9[[#This Row],[CUIT]],Lista_CUIT[#All],3,0)),"CUIT NO CARGADO")</f>
        <v>Servicios Gas, Luz, etc.</v>
      </c>
      <c r="R165" s="601">
        <f>IFERROR(IF(compras_mes9[[#This Row],[CUIT]]="","-",VLOOKUP(compras_mes9[[#This Row],[CUIT]],Lista_CUIT[#All],4,0)),"CUIT NO CARGADO")</f>
        <v>0</v>
      </c>
    </row>
    <row r="166" spans="2:18" ht="14.45" customHeight="1">
      <c r="B166" s="593" t="s">
        <v>2457</v>
      </c>
      <c r="C166" s="240">
        <v>1</v>
      </c>
      <c r="D166" s="594">
        <v>4264</v>
      </c>
      <c r="E166" s="595">
        <v>4319118</v>
      </c>
      <c r="F166" s="596">
        <v>30639453738</v>
      </c>
      <c r="G166" s="597" t="str">
        <f>IFERROR(IF(compras_mes9[[#This Row],[CUIT]]="","-",VLOOKUP(compras_mes9[[#This Row],[CUIT]],Lista_CUIT[#All],2,0)),"CUIT NO CARGADO")</f>
        <v>TELECOM ARG SA</v>
      </c>
      <c r="H166" s="598">
        <v>156900</v>
      </c>
      <c r="I166" s="599">
        <f>IF(compras_mes9[[#This Row],[NETO GRAVADO]]="","",compras_mes9[[#This Row],[NETO GRAVADO]]*0.21)</f>
        <v>32949</v>
      </c>
      <c r="J166" s="599"/>
      <c r="K166" s="599"/>
      <c r="L166" s="599"/>
      <c r="M166" s="599"/>
      <c r="N166" s="599">
        <v>14121</v>
      </c>
      <c r="O166" s="599"/>
      <c r="P166" s="600">
        <f>SUM(compras_mes9[[#This Row],[NETO GRAVADO]:[Otros / No Grav.]])</f>
        <v>203970</v>
      </c>
      <c r="Q166" s="601" t="str">
        <f>IFERROR(IF(compras_mes9[[#This Row],[CUIT]]="","-",VLOOKUP(compras_mes9[[#This Row],[CUIT]],Lista_CUIT[#All],3,0)),"CUIT NO CARGADO")</f>
        <v>Servicios Gas, Luz, etc.</v>
      </c>
      <c r="R166" s="601">
        <f>IFERROR(IF(compras_mes9[[#This Row],[CUIT]]="","-",VLOOKUP(compras_mes9[[#This Row],[CUIT]],Lista_CUIT[#All],4,0)),"CUIT NO CARGADO")</f>
        <v>0</v>
      </c>
    </row>
    <row r="167" spans="2:18">
      <c r="B167" s="602" t="s">
        <v>2413</v>
      </c>
      <c r="C167" s="603">
        <v>1</v>
      </c>
      <c r="D167" s="604">
        <v>501</v>
      </c>
      <c r="E167" s="605">
        <v>32647126</v>
      </c>
      <c r="F167" s="606">
        <v>30655116512</v>
      </c>
      <c r="G167" s="607" t="str">
        <f>IFERROR(IF(compras_mes9[[#This Row],[CUIT]]="","-",VLOOKUP(compras_mes9[[#This Row],[CUIT]],Lista_CUIT[#All],2,0)),"CUIT NO CARGADO")</f>
        <v>Empresa Distribuidora Sur S.A.</v>
      </c>
      <c r="H167" s="608">
        <v>194825.28417968799</v>
      </c>
      <c r="I167" s="609">
        <f>IF(compras_mes9[[#This Row],[NETO GRAVADO]]="","",compras_mes9[[#This Row],[NETO GRAVADO]]*0.21)</f>
        <v>40913.309677734476</v>
      </c>
      <c r="J167" s="609"/>
      <c r="K167" s="609"/>
      <c r="L167" s="609"/>
      <c r="M167" s="609"/>
      <c r="N167" s="609"/>
      <c r="O167" s="609"/>
      <c r="P167" s="610">
        <f>SUM(compras_mes9[[#This Row],[NETO GRAVADO]:[Otros / No Grav.]])</f>
        <v>235738.59385742247</v>
      </c>
      <c r="Q167" s="611" t="str">
        <f>IFERROR(IF(compras_mes9[[#This Row],[CUIT]]="","-",VLOOKUP(compras_mes9[[#This Row],[CUIT]],Lista_CUIT[#All],3,0)),"CUIT NO CARGADO")</f>
        <v>Servicios Gas, Luz, etc.</v>
      </c>
      <c r="R167" s="611">
        <f>IFERROR(IF(compras_mes9[[#This Row],[CUIT]]="","-",VLOOKUP(compras_mes9[[#This Row],[CUIT]],Lista_CUIT[#All],4,0)),"CUIT NO CARGADO")</f>
        <v>0</v>
      </c>
    </row>
    <row r="168" spans="2:18">
      <c r="B168" s="602" t="s">
        <v>2412</v>
      </c>
      <c r="C168" s="603">
        <v>1</v>
      </c>
      <c r="D168" s="604">
        <v>501</v>
      </c>
      <c r="E168" s="605">
        <v>1577266</v>
      </c>
      <c r="F168" s="606">
        <v>30655116512</v>
      </c>
      <c r="G168" s="607" t="str">
        <f>IFERROR(IF(compras_mes9[[#This Row],[CUIT]]="","-",VLOOKUP(compras_mes9[[#This Row],[CUIT]],Lista_CUIT[#All],2,0)),"CUIT NO CARGADO")</f>
        <v>Empresa Distribuidora Sur S.A.</v>
      </c>
      <c r="H168" s="608">
        <v>126488.494384766</v>
      </c>
      <c r="I168" s="609">
        <f>IF(compras_mes9[[#This Row],[NETO GRAVADO]]="","",compras_mes9[[#This Row],[NETO GRAVADO]]*0.21)</f>
        <v>26562.583820800861</v>
      </c>
      <c r="J168" s="609"/>
      <c r="K168" s="609"/>
      <c r="L168" s="609"/>
      <c r="M168" s="609"/>
      <c r="N168" s="609"/>
      <c r="O168" s="609"/>
      <c r="P168" s="610">
        <f>SUM(compras_mes9[[#This Row],[NETO GRAVADO]:[Otros / No Grav.]])</f>
        <v>153051.07820556685</v>
      </c>
      <c r="Q168" s="611" t="str">
        <f>IFERROR(IF(compras_mes9[[#This Row],[CUIT]]="","-",VLOOKUP(compras_mes9[[#This Row],[CUIT]],Lista_CUIT[#All],3,0)),"CUIT NO CARGADO")</f>
        <v>Servicios Gas, Luz, etc.</v>
      </c>
      <c r="R168" s="611">
        <f>IFERROR(IF(compras_mes9[[#This Row],[CUIT]]="","-",VLOOKUP(compras_mes9[[#This Row],[CUIT]],Lista_CUIT[#All],4,0)),"CUIT NO CARGADO")</f>
        <v>0</v>
      </c>
    </row>
    <row r="169" spans="2:18" ht="14.45" customHeight="1">
      <c r="B169" s="239" t="s">
        <v>2412</v>
      </c>
      <c r="C169" s="240">
        <v>1</v>
      </c>
      <c r="D169" s="241">
        <v>3101</v>
      </c>
      <c r="E169" s="257">
        <v>160584</v>
      </c>
      <c r="F169" s="242">
        <v>30678814357</v>
      </c>
      <c r="G169" s="243" t="str">
        <f>IFERROR(IF(compras_mes9[[#This Row],[CUIT]]="","-",VLOOKUP(compras_mes9[[#This Row],[CUIT]],Lista_CUIT[#All],2,0)),"CUIT NO CARGADO")</f>
        <v>TELEFONICA MOVILES ARG</v>
      </c>
      <c r="H169" s="95">
        <v>37420.500732421897</v>
      </c>
      <c r="I169" s="85"/>
      <c r="J169" s="85">
        <f>compras_mes9[[#This Row],[NETO GRAVADO]]*0.27</f>
        <v>10103.535197753912</v>
      </c>
      <c r="K169" s="85"/>
      <c r="L169" s="85">
        <v>1122.6199999999999</v>
      </c>
      <c r="M169" s="85">
        <v>2245.23</v>
      </c>
      <c r="N169" s="85"/>
      <c r="O169" s="85"/>
      <c r="P169" s="48">
        <f>SUM(compras_mes9[[#This Row],[NETO GRAVADO]:[Otros / No Grav.]])</f>
        <v>50891.885930175813</v>
      </c>
      <c r="Q169" s="247" t="str">
        <f>IFERROR(IF(compras_mes9[[#This Row],[CUIT]]="","-",VLOOKUP(compras_mes9[[#This Row],[CUIT]],Lista_CUIT[#All],3,0)),"CUIT NO CARGADO")</f>
        <v>Servicios Gas, Luz, etc.</v>
      </c>
      <c r="R169" s="247">
        <f>IFERROR(IF(compras_mes9[[#This Row],[CUIT]]="","-",VLOOKUP(compras_mes9[[#This Row],[CUIT]],Lista_CUIT[#All],4,0)),"CUIT NO CARGADO")</f>
        <v>0</v>
      </c>
    </row>
    <row r="170" spans="2:18" ht="14.45" customHeight="1">
      <c r="B170" s="239" t="s">
        <v>2437</v>
      </c>
      <c r="C170" s="240">
        <v>1</v>
      </c>
      <c r="D170" s="241">
        <v>5</v>
      </c>
      <c r="E170" s="257">
        <v>3125556</v>
      </c>
      <c r="F170" s="242">
        <v>30702652975</v>
      </c>
      <c r="G170" s="243" t="str">
        <f>IFERROR(IF(compras_mes9[[#This Row],[CUIT]]="","-",VLOOKUP(compras_mes9[[#This Row],[CUIT]],Lista_CUIT[#All],2,0)),"CUIT NO CARGADO")</f>
        <v>NSS SA</v>
      </c>
      <c r="H170" s="46">
        <v>29946.3</v>
      </c>
      <c r="I170" s="85">
        <f>IF(compras_mes9[[#This Row],[NETO GRAVADO]]="","",compras_mes9[[#This Row],[NETO GRAVADO]]*0.21)</f>
        <v>6288.723</v>
      </c>
      <c r="J170" s="245"/>
      <c r="K170" s="245"/>
      <c r="L170" s="245"/>
      <c r="M170" s="245"/>
      <c r="N170" s="245">
        <v>1796.78</v>
      </c>
      <c r="O170" s="245"/>
      <c r="P170" s="246">
        <f>SUM(compras_mes9[[#This Row],[NETO GRAVADO]:[Otros / No Grav.]])</f>
        <v>38031.803</v>
      </c>
      <c r="Q170" s="247" t="str">
        <f>IFERROR(IF(compras_mes9[[#This Row],[CUIT]]="","-",VLOOKUP(compras_mes9[[#This Row],[CUIT]],Lista_CUIT[#All],3,0)),"CUIT NO CARGADO")</f>
        <v>Servicios Gas, Luz, etc.</v>
      </c>
      <c r="R170" s="247">
        <f>IFERROR(IF(compras_mes9[[#This Row],[CUIT]]="","-",VLOOKUP(compras_mes9[[#This Row],[CUIT]],Lista_CUIT[#All],4,0)),"CUIT NO CARGADO")</f>
        <v>0</v>
      </c>
    </row>
    <row r="171" spans="2:18">
      <c r="B171" s="96" t="s">
        <v>103</v>
      </c>
      <c r="C171" s="96"/>
      <c r="D171" s="96"/>
      <c r="E171" s="96"/>
      <c r="F171" s="96"/>
      <c r="G171" s="97"/>
      <c r="H171" s="98">
        <f>SUBTOTAL(109,compras_mes9[NETO GRAVADO])</f>
        <v>82018523.510108635</v>
      </c>
      <c r="I171" s="98">
        <f>SUBTOTAL(109,compras_mes9[IVA 21 %])</f>
        <v>16612609.244651232</v>
      </c>
      <c r="J171" s="98">
        <f>SUBTOTAL(109,compras_mes9[IVA 27%])</f>
        <v>44339.266120605542</v>
      </c>
      <c r="K171" s="98">
        <f>SUBTOTAL(109,compras_mes9[IVA 10,5%])</f>
        <v>288397.2917</v>
      </c>
      <c r="L171" s="98">
        <f>SUBTOTAL(109,compras_mes9[PERC. IVA])</f>
        <v>23406.87</v>
      </c>
      <c r="M171" s="98">
        <f>SUBTOTAL(109,compras_mes9[PERC IIBB 
BS AS])</f>
        <v>15471.519999999999</v>
      </c>
      <c r="N171" s="98">
        <f>SUBTOTAL(109,compras_mes9[PERC. IIBB CABA])</f>
        <v>313326.11000000004</v>
      </c>
      <c r="O171" s="98">
        <f>SUBTOTAL(109,compras_mes9[Otros / No Grav.])</f>
        <v>492962.32699999993</v>
      </c>
      <c r="P171" s="98">
        <f>SUBTOTAL(109,compras_mes9[TOTAL])</f>
        <v>99809036.139580488</v>
      </c>
      <c r="Q171" s="96"/>
      <c r="R171" s="96"/>
    </row>
    <row r="172" spans="2:18">
      <c r="B172" s="40"/>
      <c r="C172" s="41"/>
      <c r="D172" s="42"/>
      <c r="E172" s="43"/>
      <c r="F172" s="44"/>
      <c r="G172" s="45"/>
      <c r="H172" s="46"/>
      <c r="I172" s="47"/>
      <c r="J172" s="47"/>
      <c r="K172" s="47"/>
      <c r="L172" s="47"/>
      <c r="M172" s="47"/>
      <c r="N172" s="47"/>
      <c r="O172" s="47"/>
      <c r="P172" s="48"/>
      <c r="Q172" s="49"/>
      <c r="R172" s="49"/>
    </row>
    <row r="173" spans="2:18">
      <c r="B173" s="40"/>
      <c r="C173" s="41"/>
      <c r="D173" s="42"/>
      <c r="E173" s="43"/>
      <c r="F173" s="44"/>
      <c r="G173" s="45"/>
      <c r="H173" s="46"/>
      <c r="I173" s="47"/>
      <c r="J173" s="47"/>
      <c r="K173" s="47"/>
      <c r="L173" s="47"/>
      <c r="M173" s="47"/>
      <c r="N173" s="47"/>
      <c r="O173" s="47"/>
      <c r="P173" s="48"/>
      <c r="Q173" s="49"/>
      <c r="R173" s="49"/>
    </row>
    <row r="174" spans="2:18">
      <c r="B174" s="40"/>
      <c r="C174" s="41"/>
      <c r="D174" s="42"/>
      <c r="E174" s="43"/>
      <c r="F174" s="44"/>
      <c r="G174" s="45"/>
      <c r="H174" s="46"/>
      <c r="I174" s="47"/>
      <c r="J174" s="47"/>
      <c r="K174" s="47"/>
      <c r="L174" s="47"/>
      <c r="M174" s="47"/>
      <c r="N174" s="47"/>
      <c r="O174" s="47"/>
      <c r="P174" s="48"/>
      <c r="Q174" s="49"/>
      <c r="R174" s="49"/>
    </row>
    <row r="175" spans="2:18">
      <c r="B175" s="40"/>
      <c r="C175" s="41"/>
      <c r="D175" s="42"/>
      <c r="E175" s="43"/>
      <c r="F175" s="44"/>
      <c r="G175" s="45"/>
      <c r="H175" s="46"/>
      <c r="I175" s="47"/>
      <c r="J175" s="47"/>
      <c r="K175" s="47"/>
      <c r="L175" s="47"/>
    </row>
    <row r="176" spans="2:18" ht="21">
      <c r="D176" s="712" t="s">
        <v>15</v>
      </c>
      <c r="E176" s="712"/>
      <c r="F176" s="712"/>
      <c r="G176" s="712"/>
      <c r="H176" s="712"/>
      <c r="I176" s="712"/>
      <c r="J176" s="712"/>
      <c r="K176" s="712"/>
      <c r="L176" s="712"/>
    </row>
    <row r="177" spans="4:12" ht="15.75">
      <c r="D177" s="73" t="s">
        <v>0</v>
      </c>
      <c r="E177" s="74" t="s">
        <v>26</v>
      </c>
      <c r="F177" s="74" t="s">
        <v>16</v>
      </c>
      <c r="G177" s="74" t="s">
        <v>5</v>
      </c>
      <c r="H177" s="74" t="s">
        <v>17</v>
      </c>
      <c r="I177" s="74" t="s">
        <v>7</v>
      </c>
      <c r="J177" s="75" t="s">
        <v>18</v>
      </c>
      <c r="K177" s="75" t="s">
        <v>19</v>
      </c>
      <c r="L177" s="76" t="s">
        <v>20</v>
      </c>
    </row>
    <row r="178" spans="4:12">
      <c r="D178" s="50"/>
      <c r="E178" s="80"/>
      <c r="F178" s="269"/>
      <c r="G178" s="268"/>
      <c r="H178" s="268"/>
      <c r="I178" s="268"/>
      <c r="J178" s="268"/>
      <c r="K178" s="81"/>
      <c r="L178" s="81"/>
    </row>
    <row r="179" spans="4:12">
      <c r="D179" s="50"/>
      <c r="E179" s="80"/>
      <c r="F179" s="269"/>
      <c r="G179" s="268"/>
      <c r="H179" s="268"/>
      <c r="I179" s="268"/>
      <c r="J179" s="268"/>
      <c r="K179" s="81"/>
      <c r="L179" s="81"/>
    </row>
    <row r="180" spans="4:12">
      <c r="D180" s="50"/>
      <c r="E180" s="80"/>
      <c r="F180" s="269"/>
      <c r="G180" s="268"/>
      <c r="H180" s="268"/>
      <c r="I180" s="268"/>
      <c r="J180" s="268"/>
      <c r="K180" s="81"/>
      <c r="L180" s="81"/>
    </row>
    <row r="181" spans="4:12">
      <c r="D181" s="50"/>
      <c r="E181" s="80"/>
      <c r="F181" s="269"/>
      <c r="G181" s="268"/>
      <c r="H181" s="268"/>
      <c r="I181" s="268"/>
      <c r="J181" s="268"/>
      <c r="K181" s="81"/>
      <c r="L181" s="81"/>
    </row>
    <row r="182" spans="4:12">
      <c r="D182" s="50"/>
      <c r="E182" s="80"/>
      <c r="F182" s="269"/>
      <c r="G182" s="268"/>
      <c r="H182" s="268"/>
      <c r="I182" s="268"/>
      <c r="J182" s="268"/>
      <c r="K182" s="81"/>
      <c r="L182" s="81"/>
    </row>
    <row r="183" spans="4:12">
      <c r="D183" s="50"/>
      <c r="E183" s="80"/>
      <c r="F183" s="269"/>
      <c r="G183" s="268"/>
      <c r="H183" s="268"/>
      <c r="I183" s="268"/>
      <c r="J183" s="268"/>
      <c r="K183" s="81"/>
      <c r="L183" s="81"/>
    </row>
    <row r="184" spans="4:12">
      <c r="D184" s="50"/>
      <c r="E184" s="80"/>
      <c r="F184" s="270"/>
      <c r="G184" s="268"/>
      <c r="H184" s="268"/>
      <c r="I184" s="268"/>
      <c r="J184" s="268"/>
      <c r="K184" s="81"/>
      <c r="L184" s="81"/>
    </row>
    <row r="185" spans="4:12">
      <c r="D185" s="50"/>
      <c r="E185" s="80"/>
      <c r="F185" s="270"/>
      <c r="G185" s="268"/>
      <c r="H185" s="268"/>
      <c r="I185" s="268"/>
      <c r="J185" s="268"/>
      <c r="K185" s="81"/>
      <c r="L185" s="81"/>
    </row>
    <row r="186" spans="4:12">
      <c r="D186" s="50"/>
      <c r="E186" s="79"/>
      <c r="F186" s="80"/>
      <c r="G186" s="81"/>
      <c r="H186" s="81"/>
      <c r="I186" s="81"/>
      <c r="J186" s="81"/>
      <c r="K186" s="81"/>
      <c r="L186" s="81"/>
    </row>
    <row r="187" spans="4:12">
      <c r="D187" s="82" t="s">
        <v>103</v>
      </c>
      <c r="E187" s="80"/>
      <c r="F187" s="80"/>
      <c r="G187" s="83">
        <f>SUBTOTAL(109,extracto_banco_mes9[NETO])</f>
        <v>0</v>
      </c>
      <c r="H187" s="83">
        <f>SUBTOTAL(109,extracto_banco_mes9[IVA 21%])</f>
        <v>0</v>
      </c>
      <c r="I187" s="83">
        <f>SUBTOTAL(109,extracto_banco_mes9[IVA 10,5%])</f>
        <v>0</v>
      </c>
      <c r="J187" s="83">
        <f>SUBTOTAL(109,extracto_banco_mes9[RET IIBB CABA])</f>
        <v>0</v>
      </c>
      <c r="K187" s="83">
        <f>SUBTOTAL(109,extracto_banco_mes9[PERC IVA])</f>
        <v>0</v>
      </c>
      <c r="L187" s="83">
        <f>SUBTOTAL(109,extracto_banco_mes9[PERC IIBB])</f>
        <v>0</v>
      </c>
    </row>
    <row r="191" spans="4:12" ht="21">
      <c r="D191" s="712" t="s">
        <v>25</v>
      </c>
      <c r="E191" s="712"/>
      <c r="F191" s="712"/>
      <c r="G191" s="712"/>
      <c r="H191" s="712"/>
      <c r="I191" s="712"/>
      <c r="J191" s="712"/>
      <c r="K191" s="712"/>
    </row>
    <row r="192" spans="4:12">
      <c r="D192" s="51" t="s">
        <v>0</v>
      </c>
      <c r="E192" s="51" t="s">
        <v>2</v>
      </c>
      <c r="F192" s="51" t="s">
        <v>74</v>
      </c>
      <c r="G192" s="51" t="s">
        <v>3</v>
      </c>
      <c r="H192" s="51" t="s">
        <v>4</v>
      </c>
      <c r="I192" s="52" t="s">
        <v>10</v>
      </c>
      <c r="J192" s="51" t="s">
        <v>13</v>
      </c>
      <c r="K192" s="51" t="s">
        <v>38</v>
      </c>
    </row>
    <row r="193" spans="2:18">
      <c r="D193" s="50" t="s">
        <v>2404</v>
      </c>
      <c r="E193" s="132">
        <v>7</v>
      </c>
      <c r="F193" s="132">
        <v>3504543</v>
      </c>
      <c r="G193" s="119">
        <v>34999032089</v>
      </c>
      <c r="H193" s="53" t="str">
        <f>IFERROR(IF(factura_c_mes9[[#This Row],[CUIT]]="","-",VLOOKUP(factura_c_mes9[[#This Row],[CUIT]],Lista_CUIT[#All],2,0)),"CUIT NO CARGADO")</f>
        <v>GOBIERNO DE LA CIUDAD DE BUENOS AIRES</v>
      </c>
      <c r="I193" s="179">
        <v>30779.80078125</v>
      </c>
      <c r="J193" s="54" t="str">
        <f>IFERROR(IF(factura_c_mes9[[#This Row],[CUIT]]="","-",VLOOKUP(factura_c_mes9[[#This Row],[CUIT]],Lista_CUIT[#All],3,0)),"CUIT NO CARGADO")</f>
        <v xml:space="preserve">AGIP </v>
      </c>
      <c r="K193" s="54">
        <f>IFERROR(IF(factura_c_mes9[[#This Row],[CUIT]]="","-",VLOOKUP(factura_c_mes9[[#This Row],[CUIT]],Lista_CUIT[#All],4,0)),"CUIT NO CARGADO")</f>
        <v>0</v>
      </c>
    </row>
    <row r="194" spans="2:18">
      <c r="D194" s="50" t="s">
        <v>2399</v>
      </c>
      <c r="E194" s="132">
        <v>7</v>
      </c>
      <c r="F194" s="132">
        <v>10954998</v>
      </c>
      <c r="G194" s="119">
        <v>34999032089</v>
      </c>
      <c r="H194" s="53" t="str">
        <f>IFERROR(IF(factura_c_mes9[[#This Row],[CUIT]]="","-",VLOOKUP(factura_c_mes9[[#This Row],[CUIT]],Lista_CUIT[#All],2,0)),"CUIT NO CARGADO")</f>
        <v>GOBIERNO DE LA CIUDAD DE BUENOS AIRES</v>
      </c>
      <c r="I194" s="179">
        <v>43244.75</v>
      </c>
      <c r="J194" s="54" t="str">
        <f>IFERROR(IF(factura_c_mes9[[#This Row],[CUIT]]="","-",VLOOKUP(factura_c_mes9[[#This Row],[CUIT]],Lista_CUIT[#All],3,0)),"CUIT NO CARGADO")</f>
        <v xml:space="preserve">AGIP </v>
      </c>
      <c r="K194" s="54">
        <f>IFERROR(IF(factura_c_mes9[[#This Row],[CUIT]]="","-",VLOOKUP(factura_c_mes9[[#This Row],[CUIT]],Lista_CUIT[#All],4,0)),"CUIT NO CARGADO")</f>
        <v>0</v>
      </c>
    </row>
    <row r="195" spans="2:18">
      <c r="D195" s="50" t="s">
        <v>2399</v>
      </c>
      <c r="E195" s="132">
        <v>5</v>
      </c>
      <c r="F195" s="132">
        <v>2155477</v>
      </c>
      <c r="G195" s="119">
        <v>34999032089</v>
      </c>
      <c r="H195" s="53" t="str">
        <f>IFERROR(IF(factura_c_mes9[[#This Row],[CUIT]]="","-",VLOOKUP(factura_c_mes9[[#This Row],[CUIT]],Lista_CUIT[#All],2,0)),"CUIT NO CARGADO")</f>
        <v>GOBIERNO DE LA CIUDAD DE BUENOS AIRES</v>
      </c>
      <c r="I195" s="179">
        <v>49120</v>
      </c>
      <c r="J195" s="54" t="str">
        <f>IFERROR(IF(factura_c_mes9[[#This Row],[CUIT]]="","-",VLOOKUP(factura_c_mes9[[#This Row],[CUIT]],Lista_CUIT[#All],3,0)),"CUIT NO CARGADO")</f>
        <v xml:space="preserve">AGIP </v>
      </c>
      <c r="K195" s="54">
        <f>IFERROR(IF(factura_c_mes9[[#This Row],[CUIT]]="","-",VLOOKUP(factura_c_mes9[[#This Row],[CUIT]],Lista_CUIT[#All],4,0)),"CUIT NO CARGADO")</f>
        <v>0</v>
      </c>
    </row>
    <row r="196" spans="2:18">
      <c r="D196" s="50" t="s">
        <v>2404</v>
      </c>
      <c r="E196" s="132">
        <v>7</v>
      </c>
      <c r="F196" s="132">
        <v>3504537</v>
      </c>
      <c r="G196" s="119">
        <v>34999032089</v>
      </c>
      <c r="H196" s="53" t="str">
        <f>IFERROR(IF(factura_c_mes9[[#This Row],[CUIT]]="","-",VLOOKUP(factura_c_mes9[[#This Row],[CUIT]],Lista_CUIT[#All],2,0)),"CUIT NO CARGADO")</f>
        <v>GOBIERNO DE LA CIUDAD DE BUENOS AIRES</v>
      </c>
      <c r="I196" s="179">
        <v>62862.62109375</v>
      </c>
      <c r="J196" s="54" t="str">
        <f>IFERROR(IF(factura_c_mes9[[#This Row],[CUIT]]="","-",VLOOKUP(factura_c_mes9[[#This Row],[CUIT]],Lista_CUIT[#All],3,0)),"CUIT NO CARGADO")</f>
        <v xml:space="preserve">AGIP </v>
      </c>
      <c r="K196" s="54">
        <f>IFERROR(IF(factura_c_mes9[[#This Row],[CUIT]]="","-",VLOOKUP(factura_c_mes9[[#This Row],[CUIT]],Lista_CUIT[#All],4,0)),"CUIT NO CARGADO")</f>
        <v>0</v>
      </c>
    </row>
    <row r="197" spans="2:18">
      <c r="D197" s="50" t="s">
        <v>2399</v>
      </c>
      <c r="E197" s="132">
        <v>7</v>
      </c>
      <c r="F197" s="132">
        <v>3504538</v>
      </c>
      <c r="G197" s="119">
        <v>34999032089</v>
      </c>
      <c r="H197" s="53" t="str">
        <f>IFERROR(IF(factura_c_mes9[[#This Row],[CUIT]]="","-",VLOOKUP(factura_c_mes9[[#This Row],[CUIT]],Lista_CUIT[#All],2,0)),"CUIT NO CARGADO")</f>
        <v>GOBIERNO DE LA CIUDAD DE BUENOS AIRES</v>
      </c>
      <c r="I197" s="179">
        <v>66171.1796875</v>
      </c>
      <c r="J197" s="54" t="str">
        <f>IFERROR(IF(factura_c_mes9[[#This Row],[CUIT]]="","-",VLOOKUP(factura_c_mes9[[#This Row],[CUIT]],Lista_CUIT[#All],3,0)),"CUIT NO CARGADO")</f>
        <v xml:space="preserve">AGIP </v>
      </c>
      <c r="K197" s="54">
        <f>IFERROR(IF(factura_c_mes9[[#This Row],[CUIT]]="","-",VLOOKUP(factura_c_mes9[[#This Row],[CUIT]],Lista_CUIT[#All],4,0)),"CUIT NO CARGADO")</f>
        <v>0</v>
      </c>
    </row>
    <row r="198" spans="2:18">
      <c r="D198" s="50" t="s">
        <v>2399</v>
      </c>
      <c r="E198" s="132">
        <v>7</v>
      </c>
      <c r="F198" s="132">
        <v>3504536</v>
      </c>
      <c r="G198" s="119">
        <v>34999032089</v>
      </c>
      <c r="H198" s="53" t="str">
        <f>IFERROR(IF(factura_c_mes9[[#This Row],[CUIT]]="","-",VLOOKUP(factura_c_mes9[[#This Row],[CUIT]],Lista_CUIT[#All],2,0)),"CUIT NO CARGADO")</f>
        <v>GOBIERNO DE LA CIUDAD DE BUENOS AIRES</v>
      </c>
      <c r="I198" s="179">
        <v>92877.6484375</v>
      </c>
      <c r="J198" s="54" t="str">
        <f>IFERROR(IF(factura_c_mes9[[#This Row],[CUIT]]="","-",VLOOKUP(factura_c_mes9[[#This Row],[CUIT]],Lista_CUIT[#All],3,0)),"CUIT NO CARGADO")</f>
        <v xml:space="preserve">AGIP </v>
      </c>
      <c r="K198" s="54">
        <f>IFERROR(IF(factura_c_mes9[[#This Row],[CUIT]]="","-",VLOOKUP(factura_c_mes9[[#This Row],[CUIT]],Lista_CUIT[#All],4,0)),"CUIT NO CARGADO")</f>
        <v>0</v>
      </c>
    </row>
    <row r="199" spans="2:18">
      <c r="D199" s="577" t="s">
        <v>2438</v>
      </c>
      <c r="E199" s="583">
        <v>2</v>
      </c>
      <c r="F199" s="583">
        <v>4625</v>
      </c>
      <c r="G199" s="579">
        <v>20136536320</v>
      </c>
      <c r="H199" s="584" t="str">
        <f>IFERROR(IF(factura_c_mes9[[#This Row],[CUIT]]="","-",VLOOKUP(factura_c_mes9[[#This Row],[CUIT]],Lista_CUIT[#All],2,0)),"CUIT NO CARGADO")</f>
        <v>FONTENLA ERNESTO MARIO</v>
      </c>
      <c r="I199" s="585">
        <v>2900</v>
      </c>
      <c r="J199" s="586" t="str">
        <f>IFERROR(IF(factura_c_mes9[[#This Row],[CUIT]]="","-",VLOOKUP(factura_c_mes9[[#This Row],[CUIT]],Lista_CUIT[#All],3,0)),"CUIT NO CARGADO")</f>
        <v>Gastos Varios</v>
      </c>
      <c r="K199" s="586" t="str">
        <f>IFERROR(IF(factura_c_mes9[[#This Row],[CUIT]]="","-",VLOOKUP(factura_c_mes9[[#This Row],[CUIT]],Lista_CUIT[#All],4,0)),"CUIT NO CARGADO")</f>
        <v>CABA</v>
      </c>
    </row>
    <row r="200" spans="2:18" s="56" customFormat="1" ht="18.600000000000001" customHeight="1">
      <c r="B200"/>
      <c r="C200"/>
      <c r="D200" s="577" t="s">
        <v>2435</v>
      </c>
      <c r="E200" s="578">
        <v>2</v>
      </c>
      <c r="F200" s="578">
        <v>4655</v>
      </c>
      <c r="G200" s="579">
        <v>20136536320</v>
      </c>
      <c r="H200" s="580" t="str">
        <f>IFERROR(IF(factura_c_mes9[[#This Row],[CUIT]]="","-",VLOOKUP(factura_c_mes9[[#This Row],[CUIT]],Lista_CUIT[#All],2,0)),"CUIT NO CARGADO")</f>
        <v>FONTENLA ERNESTO MARIO</v>
      </c>
      <c r="I200" s="581">
        <v>4000</v>
      </c>
      <c r="J200" s="582" t="str">
        <f>IFERROR(IF(factura_c_mes9[[#This Row],[CUIT]]="","-",VLOOKUP(factura_c_mes9[[#This Row],[CUIT]],Lista_CUIT[#All],3,0)),"CUIT NO CARGADO")</f>
        <v>Gastos Varios</v>
      </c>
      <c r="K200" s="582" t="str">
        <f>IFERROR(IF(factura_c_mes9[[#This Row],[CUIT]]="","-",VLOOKUP(factura_c_mes9[[#This Row],[CUIT]],Lista_CUIT[#All],4,0)),"CUIT NO CARGADO")</f>
        <v>CABA</v>
      </c>
      <c r="L200"/>
      <c r="M200"/>
      <c r="N200"/>
      <c r="O200"/>
      <c r="P200"/>
      <c r="Q200"/>
      <c r="R200"/>
    </row>
    <row r="201" spans="2:18" ht="15" customHeight="1">
      <c r="D201" s="587" t="s">
        <v>2438</v>
      </c>
      <c r="E201" s="587">
        <v>2</v>
      </c>
      <c r="F201" s="587">
        <v>4626</v>
      </c>
      <c r="G201" s="588">
        <v>20136536320</v>
      </c>
      <c r="H201" s="589" t="str">
        <f>IFERROR(IF(factura_c_mes9[[#This Row],[CUIT]]="","-",VLOOKUP(factura_c_mes9[[#This Row],[CUIT]],Lista_CUIT[#All],2,0)),"CUIT NO CARGADO")</f>
        <v>FONTENLA ERNESTO MARIO</v>
      </c>
      <c r="I201" s="590">
        <v>4100</v>
      </c>
      <c r="J201" s="591" t="str">
        <f>IFERROR(IF(factura_c_mes9[[#This Row],[CUIT]]="","-",VLOOKUP(factura_c_mes9[[#This Row],[CUIT]],Lista_CUIT[#All],3,0)),"CUIT NO CARGADO")</f>
        <v>Gastos Varios</v>
      </c>
      <c r="K201" s="591" t="str">
        <f>IFERROR(IF(factura_c_mes9[[#This Row],[CUIT]]="","-",VLOOKUP(factura_c_mes9[[#This Row],[CUIT]],Lista_CUIT[#All],4,0)),"CUIT NO CARGADO")</f>
        <v>CABA</v>
      </c>
    </row>
    <row r="202" spans="2:18">
      <c r="D202" s="583" t="s">
        <v>2443</v>
      </c>
      <c r="E202" s="583">
        <v>2</v>
      </c>
      <c r="F202" s="583">
        <v>4572</v>
      </c>
      <c r="G202" s="592">
        <v>20136536320</v>
      </c>
      <c r="H202" s="584" t="str">
        <f>IFERROR(IF(factura_c_mes9[[#This Row],[CUIT]]="","-",VLOOKUP(factura_c_mes9[[#This Row],[CUIT]],Lista_CUIT[#All],2,0)),"CUIT NO CARGADO")</f>
        <v>FONTENLA ERNESTO MARIO</v>
      </c>
      <c r="I202" s="585">
        <v>18400</v>
      </c>
      <c r="J202" s="586" t="str">
        <f>IFERROR(IF(factura_c_mes9[[#This Row],[CUIT]]="","-",VLOOKUP(factura_c_mes9[[#This Row],[CUIT]],Lista_CUIT[#All],3,0)),"CUIT NO CARGADO")</f>
        <v>Gastos Varios</v>
      </c>
      <c r="K202" s="586" t="str">
        <f>IFERROR(IF(factura_c_mes9[[#This Row],[CUIT]]="","-",VLOOKUP(factura_c_mes9[[#This Row],[CUIT]],Lista_CUIT[#All],4,0)),"CUIT NO CARGADO")</f>
        <v>CABA</v>
      </c>
    </row>
    <row r="203" spans="2:18">
      <c r="D203" s="587" t="s">
        <v>2439</v>
      </c>
      <c r="E203" s="587">
        <v>3</v>
      </c>
      <c r="F203" s="587">
        <v>1323</v>
      </c>
      <c r="G203" s="588">
        <v>20173025557</v>
      </c>
      <c r="H203" s="589" t="str">
        <f>IFERROR(IF(factura_c_mes9[[#This Row],[CUIT]]="","-",VLOOKUP(factura_c_mes9[[#This Row],[CUIT]],Lista_CUIT[#All],2,0)),"CUIT NO CARGADO")</f>
        <v>MARAUDA HECTOR</v>
      </c>
      <c r="I203" s="590">
        <v>5500</v>
      </c>
      <c r="J203" s="591" t="str">
        <f>IFERROR(IF(factura_c_mes9[[#This Row],[CUIT]]="","-",VLOOKUP(factura_c_mes9[[#This Row],[CUIT]],Lista_CUIT[#All],3,0)),"CUIT NO CARGADO")</f>
        <v>Gastos Varios</v>
      </c>
      <c r="K203" s="591">
        <f>IFERROR(IF(factura_c_mes9[[#This Row],[CUIT]]="","-",VLOOKUP(factura_c_mes9[[#This Row],[CUIT]],Lista_CUIT[#All],4,0)),"CUIT NO CARGADO")</f>
        <v>0</v>
      </c>
    </row>
    <row r="204" spans="2:18">
      <c r="D204" s="577" t="s">
        <v>2436</v>
      </c>
      <c r="E204" s="578">
        <v>4</v>
      </c>
      <c r="F204" s="578">
        <v>1077</v>
      </c>
      <c r="G204" s="579">
        <v>23242717589</v>
      </c>
      <c r="H204" s="580" t="str">
        <f>IFERROR(IF(factura_c_mes9[[#This Row],[CUIT]]="","-",VLOOKUP(factura_c_mes9[[#This Row],[CUIT]],Lista_CUIT[#All],2,0)),"CUIT NO CARGADO")</f>
        <v>PANIZO DIEGO SEBASTIAN</v>
      </c>
      <c r="I204" s="581">
        <v>3500</v>
      </c>
      <c r="J204" s="582" t="str">
        <f>IFERROR(IF(factura_c_mes9[[#This Row],[CUIT]]="","-",VLOOKUP(factura_c_mes9[[#This Row],[CUIT]],Lista_CUIT[#All],3,0)),"CUIT NO CARGADO")</f>
        <v>Gastos Varios</v>
      </c>
      <c r="K204" s="582">
        <f>IFERROR(IF(factura_c_mes9[[#This Row],[CUIT]]="","-",VLOOKUP(factura_c_mes9[[#This Row],[CUIT]],Lista_CUIT[#All],4,0)),"CUIT NO CARGADO")</f>
        <v>0</v>
      </c>
    </row>
    <row r="205" spans="2:18">
      <c r="D205" s="577" t="s">
        <v>2436</v>
      </c>
      <c r="E205" s="578">
        <v>4</v>
      </c>
      <c r="F205" s="578">
        <v>1078</v>
      </c>
      <c r="G205" s="579">
        <v>23242717589</v>
      </c>
      <c r="H205" s="580" t="str">
        <f>IFERROR(IF(factura_c_mes9[[#This Row],[CUIT]]="","-",VLOOKUP(factura_c_mes9[[#This Row],[CUIT]],Lista_CUIT[#All],2,0)),"CUIT NO CARGADO")</f>
        <v>PANIZO DIEGO SEBASTIAN</v>
      </c>
      <c r="I205" s="581">
        <v>5500</v>
      </c>
      <c r="J205" s="582" t="str">
        <f>IFERROR(IF(factura_c_mes9[[#This Row],[CUIT]]="","-",VLOOKUP(factura_c_mes9[[#This Row],[CUIT]],Lista_CUIT[#All],3,0)),"CUIT NO CARGADO")</f>
        <v>Gastos Varios</v>
      </c>
      <c r="K205" s="582">
        <f>IFERROR(IF(factura_c_mes9[[#This Row],[CUIT]]="","-",VLOOKUP(factura_c_mes9[[#This Row],[CUIT]],Lista_CUIT[#All],4,0)),"CUIT NO CARGADO")</f>
        <v>0</v>
      </c>
    </row>
    <row r="206" spans="2:18">
      <c r="D206" s="577" t="s">
        <v>2434</v>
      </c>
      <c r="E206" s="578">
        <v>10</v>
      </c>
      <c r="F206" s="578">
        <v>217</v>
      </c>
      <c r="G206" s="579">
        <v>20302234389</v>
      </c>
      <c r="H206" s="580" t="str">
        <f>IFERROR(IF(factura_c_mes9[[#This Row],[CUIT]]="","-",VLOOKUP(factura_c_mes9[[#This Row],[CUIT]],Lista_CUIT[#All],2,0)),"CUIT NO CARGADO")</f>
        <v>VIGORELLI GUILLERMO DANIEL</v>
      </c>
      <c r="I206" s="581">
        <v>160000</v>
      </c>
      <c r="J206" s="582" t="str">
        <f>IFERROR(IF(factura_c_mes9[[#This Row],[CUIT]]="","-",VLOOKUP(factura_c_mes9[[#This Row],[CUIT]],Lista_CUIT[#All],3,0)),"CUIT NO CARGADO")</f>
        <v>Gastos Varios</v>
      </c>
      <c r="K206" s="582">
        <f>IFERROR(IF(factura_c_mes9[[#This Row],[CUIT]]="","-",VLOOKUP(factura_c_mes9[[#This Row],[CUIT]],Lista_CUIT[#All],4,0)),"CUIT NO CARGADO")</f>
        <v>0</v>
      </c>
    </row>
    <row r="207" spans="2:18" ht="22.5" customHeight="1">
      <c r="D207" s="587" t="s">
        <v>2440</v>
      </c>
      <c r="E207" s="587">
        <v>1</v>
      </c>
      <c r="F207" s="587">
        <v>8</v>
      </c>
      <c r="G207" s="588">
        <v>27309116343</v>
      </c>
      <c r="H207" s="589" t="str">
        <f>IFERROR(IF(factura_c_mes9[[#This Row],[CUIT]]="","-",VLOOKUP(factura_c_mes9[[#This Row],[CUIT]],Lista_CUIT[#All],2,0)),"CUIT NO CARGADO")</f>
        <v>FERNANDEZ DANIELA NATALIA</v>
      </c>
      <c r="I207" s="590">
        <v>63000</v>
      </c>
      <c r="J207" s="591" t="str">
        <f>IFERROR(IF(factura_c_mes9[[#This Row],[CUIT]]="","-",VLOOKUP(factura_c_mes9[[#This Row],[CUIT]],Lista_CUIT[#All],3,0)),"CUIT NO CARGADO")</f>
        <v>Honorarios Administrativos</v>
      </c>
      <c r="K207" s="591">
        <f>IFERROR(IF(factura_c_mes9[[#This Row],[CUIT]]="","-",VLOOKUP(factura_c_mes9[[#This Row],[CUIT]],Lista_CUIT[#All],4,0)),"CUIT NO CARGADO")</f>
        <v>0</v>
      </c>
    </row>
    <row r="208" spans="2:18">
      <c r="D208" s="583" t="s">
        <v>2442</v>
      </c>
      <c r="E208" s="583">
        <v>1</v>
      </c>
      <c r="F208" s="583">
        <v>7</v>
      </c>
      <c r="G208" s="592">
        <v>27309116343</v>
      </c>
      <c r="H208" s="584" t="str">
        <f>IFERROR(IF(factura_c_mes9[[#This Row],[CUIT]]="","-",VLOOKUP(factura_c_mes9[[#This Row],[CUIT]],Lista_CUIT[#All],2,0)),"CUIT NO CARGADO")</f>
        <v>FERNANDEZ DANIELA NATALIA</v>
      </c>
      <c r="I208" s="585">
        <v>84000</v>
      </c>
      <c r="J208" s="586" t="str">
        <f>IFERROR(IF(factura_c_mes9[[#This Row],[CUIT]]="","-",VLOOKUP(factura_c_mes9[[#This Row],[CUIT]],Lista_CUIT[#All],3,0)),"CUIT NO CARGADO")</f>
        <v>Honorarios Administrativos</v>
      </c>
      <c r="K208" s="586">
        <f>IFERROR(IF(factura_c_mes9[[#This Row],[CUIT]]="","-",VLOOKUP(factura_c_mes9[[#This Row],[CUIT]],Lista_CUIT[#All],4,0)),"CUIT NO CARGADO")</f>
        <v>0</v>
      </c>
    </row>
    <row r="209" spans="2:18" ht="18" customHeight="1">
      <c r="D209" s="50" t="s">
        <v>2398</v>
      </c>
      <c r="E209" s="132">
        <v>3</v>
      </c>
      <c r="F209" s="132">
        <v>876</v>
      </c>
      <c r="G209" s="119">
        <v>20086277523</v>
      </c>
      <c r="H209" s="53" t="str">
        <f>IFERROR(IF(factura_c_mes9[[#This Row],[CUIT]]="","-",VLOOKUP(factura_c_mes9[[#This Row],[CUIT]],Lista_CUIT[#All],2,0)),"CUIT NO CARGADO")</f>
        <v>BOTINDARI JUAN CARLOS</v>
      </c>
      <c r="I209" s="179">
        <v>245000</v>
      </c>
      <c r="J209" s="54" t="str">
        <f>IFERROR(IF(factura_c_mes9[[#This Row],[CUIT]]="","-",VLOOKUP(factura_c_mes9[[#This Row],[CUIT]],Lista_CUIT[#All],3,0)),"CUIT NO CARGADO")</f>
        <v>Honorarios Contables</v>
      </c>
      <c r="K209" s="54">
        <f>IFERROR(IF(factura_c_mes9[[#This Row],[CUIT]]="","-",VLOOKUP(factura_c_mes9[[#This Row],[CUIT]],Lista_CUIT[#All],4,0)),"CUIT NO CARGADO")</f>
        <v>0</v>
      </c>
    </row>
    <row r="210" spans="2:18">
      <c r="D210" s="587" t="s">
        <v>2441</v>
      </c>
      <c r="E210" s="587">
        <v>2</v>
      </c>
      <c r="F210" s="587">
        <v>308</v>
      </c>
      <c r="G210" s="588">
        <v>23319210954</v>
      </c>
      <c r="H210" s="589" t="str">
        <f>IFERROR(IF(factura_c_mes9[[#This Row],[CUIT]]="","-",VLOOKUP(factura_c_mes9[[#This Row],[CUIT]],Lista_CUIT[#All],2,0)),"CUIT NO CARGADO")</f>
        <v>CAFFARATTI ROMINA PAOLA</v>
      </c>
      <c r="I210" s="590">
        <v>195000</v>
      </c>
      <c r="J210" s="591" t="str">
        <f>IFERROR(IF(factura_c_mes9[[#This Row],[CUIT]]="","-",VLOOKUP(factura_c_mes9[[#This Row],[CUIT]],Lista_CUIT[#All],3,0)),"CUIT NO CARGADO")</f>
        <v>Honorarios Contables</v>
      </c>
      <c r="K210" s="591">
        <f>IFERROR(IF(factura_c_mes9[[#This Row],[CUIT]]="","-",VLOOKUP(factura_c_mes9[[#This Row],[CUIT]],Lista_CUIT[#All],4,0)),"CUIT NO CARGADO")</f>
        <v>0</v>
      </c>
    </row>
    <row r="211" spans="2:18">
      <c r="D211" s="50" t="s">
        <v>2399</v>
      </c>
      <c r="E211" s="132">
        <v>3</v>
      </c>
      <c r="F211" s="132">
        <v>496</v>
      </c>
      <c r="G211" s="119">
        <v>20210551574</v>
      </c>
      <c r="H211" s="53" t="str">
        <f>IFERROR(IF(factura_c_mes9[[#This Row],[CUIT]]="","-",VLOOKUP(factura_c_mes9[[#This Row],[CUIT]],Lista_CUIT[#All],2,0)),"CUIT NO CARGADO")</f>
        <v>REUS JORGE DIEGO</v>
      </c>
      <c r="I211" s="179">
        <v>226000</v>
      </c>
      <c r="J211" s="54" t="str">
        <f>IFERROR(IF(factura_c_mes9[[#This Row],[CUIT]]="","-",VLOOKUP(factura_c_mes9[[#This Row],[CUIT]],Lista_CUIT[#All],3,0)),"CUIT NO CARGADO")</f>
        <v>Honorarios Legales</v>
      </c>
      <c r="K211" s="54">
        <f>IFERROR(IF(factura_c_mes9[[#This Row],[CUIT]]="","-",VLOOKUP(factura_c_mes9[[#This Row],[CUIT]],Lista_CUIT[#All],4,0)),"CUIT NO CARGADO")</f>
        <v>0</v>
      </c>
    </row>
    <row r="212" spans="2:18">
      <c r="D212" s="50">
        <v>45565</v>
      </c>
      <c r="E212" s="132">
        <v>4</v>
      </c>
      <c r="F212" s="132">
        <v>570</v>
      </c>
      <c r="G212" s="119">
        <v>23222942934</v>
      </c>
      <c r="H212" s="53" t="str">
        <f>IFERROR(IF(factura_c_mes9[[#This Row],[CUIT]]="","-",VLOOKUP(factura_c_mes9[[#This Row],[CUIT]],Lista_CUIT[#All],2,0)),"CUIT NO CARGADO")</f>
        <v>FIORI SILVIA LORENA</v>
      </c>
      <c r="I212" s="179">
        <v>130000</v>
      </c>
      <c r="J212" s="54" t="str">
        <f>IFERROR(IF(factura_c_mes9[[#This Row],[CUIT]]="","-",VLOOKUP(factura_c_mes9[[#This Row],[CUIT]],Lista_CUIT[#All],3,0)),"CUIT NO CARGADO")</f>
        <v>Honorarios Profesionales</v>
      </c>
      <c r="K212" s="54">
        <f>IFERROR(IF(factura_c_mes9[[#This Row],[CUIT]]="","-",VLOOKUP(factura_c_mes9[[#This Row],[CUIT]],Lista_CUIT[#All],4,0)),"CUIT NO CARGADO")</f>
        <v>0</v>
      </c>
    </row>
    <row r="213" spans="2:18">
      <c r="D213" s="577" t="s">
        <v>2441</v>
      </c>
      <c r="E213" s="578">
        <v>2</v>
      </c>
      <c r="F213" s="578">
        <v>116</v>
      </c>
      <c r="G213" s="579">
        <v>20278226922</v>
      </c>
      <c r="H213" s="580" t="str">
        <f>IFERROR(IF(factura_c_mes9[[#This Row],[CUIT]]="","-",VLOOKUP(factura_c_mes9[[#This Row],[CUIT]],Lista_CUIT[#All],2,0)),"CUIT NO CARGADO")</f>
        <v>BELATTI FABIO JOEL</v>
      </c>
      <c r="I213" s="581">
        <v>1000000</v>
      </c>
      <c r="J213" s="582" t="str">
        <f>IFERROR(IF(factura_c_mes9[[#This Row],[CUIT]]="","-",VLOOKUP(factura_c_mes9[[#This Row],[CUIT]],Lista_CUIT[#All],3,0)),"CUIT NO CARGADO")</f>
        <v>Honorarios Profesionales</v>
      </c>
      <c r="K213" s="582">
        <f>IFERROR(IF(factura_c_mes9[[#This Row],[CUIT]]="","-",VLOOKUP(factura_c_mes9[[#This Row],[CUIT]],Lista_CUIT[#All],4,0)),"CUIT NO CARGADO")</f>
        <v>0</v>
      </c>
    </row>
    <row r="214" spans="2:18">
      <c r="D214" s="577" t="s">
        <v>2433</v>
      </c>
      <c r="E214" s="578">
        <v>1</v>
      </c>
      <c r="F214" s="578">
        <v>59</v>
      </c>
      <c r="G214" s="579">
        <v>20176922363</v>
      </c>
      <c r="H214" s="580" t="str">
        <f>IFERROR(IF(factura_c_mes9[[#This Row],[CUIT]]="","-",VLOOKUP(factura_c_mes9[[#This Row],[CUIT]],Lista_CUIT[#All],2,0)),"CUIT NO CARGADO")</f>
        <v>CASTILLO JUAN RAMON</v>
      </c>
      <c r="I214" s="581">
        <v>700000</v>
      </c>
      <c r="J214" s="582" t="str">
        <f>IFERROR(IF(factura_c_mes9[[#This Row],[CUIT]]="","-",VLOOKUP(factura_c_mes9[[#This Row],[CUIT]],Lista_CUIT[#All],3,0)),"CUIT NO CARGADO")</f>
        <v>Honorarios Profesionales</v>
      </c>
      <c r="K214" s="582">
        <f>IFERROR(IF(factura_c_mes9[[#This Row],[CUIT]]="","-",VLOOKUP(factura_c_mes9[[#This Row],[CUIT]],Lista_CUIT[#All],4,0)),"CUIT NO CARGADO")</f>
        <v>0</v>
      </c>
    </row>
    <row r="215" spans="2:18">
      <c r="D215" s="577" t="s">
        <v>2433</v>
      </c>
      <c r="E215" s="578">
        <v>1</v>
      </c>
      <c r="F215" s="578">
        <v>58</v>
      </c>
      <c r="G215" s="579">
        <v>20176922363</v>
      </c>
      <c r="H215" s="580" t="str">
        <f>IFERROR(IF(factura_c_mes9[[#This Row],[CUIT]]="","-",VLOOKUP(factura_c_mes9[[#This Row],[CUIT]],Lista_CUIT[#All],2,0)),"CUIT NO CARGADO")</f>
        <v>CASTILLO JUAN RAMON</v>
      </c>
      <c r="I215" s="581">
        <v>1200000</v>
      </c>
      <c r="J215" s="582" t="str">
        <f>IFERROR(IF(factura_c_mes9[[#This Row],[CUIT]]="","-",VLOOKUP(factura_c_mes9[[#This Row],[CUIT]],Lista_CUIT[#All],3,0)),"CUIT NO CARGADO")</f>
        <v>Honorarios Profesionales</v>
      </c>
      <c r="K215" s="582">
        <f>IFERROR(IF(factura_c_mes9[[#This Row],[CUIT]]="","-",VLOOKUP(factura_c_mes9[[#This Row],[CUIT]],Lista_CUIT[#All],4,0)),"CUIT NO CARGADO")</f>
        <v>0</v>
      </c>
    </row>
    <row r="216" spans="2:18">
      <c r="D216" s="577" t="s">
        <v>2437</v>
      </c>
      <c r="E216" s="578">
        <v>2</v>
      </c>
      <c r="F216" s="578">
        <v>674</v>
      </c>
      <c r="G216" s="579">
        <v>27218690160</v>
      </c>
      <c r="H216" s="580" t="str">
        <f>IFERROR(IF(factura_c_mes9[[#This Row],[CUIT]]="","-",VLOOKUP(factura_c_mes9[[#This Row],[CUIT]],Lista_CUIT[#All],2,0)),"CUIT NO CARGADO")</f>
        <v>RAMIREZ LAURA VERONICA</v>
      </c>
      <c r="I216" s="581">
        <v>21000</v>
      </c>
      <c r="J216" s="582" t="str">
        <f>IFERROR(IF(factura_c_mes9[[#This Row],[CUIT]]="","-",VLOOKUP(factura_c_mes9[[#This Row],[CUIT]],Lista_CUIT[#All],3,0)),"CUIT NO CARGADO")</f>
        <v>Honorarios Profesionales</v>
      </c>
      <c r="K216" s="582">
        <f>IFERROR(IF(factura_c_mes9[[#This Row],[CUIT]]="","-",VLOOKUP(factura_c_mes9[[#This Row],[CUIT]],Lista_CUIT[#All],4,0)),"CUIT NO CARGADO")</f>
        <v>0</v>
      </c>
    </row>
    <row r="217" spans="2:18">
      <c r="D217" s="577" t="s">
        <v>2433</v>
      </c>
      <c r="E217" s="578">
        <v>2</v>
      </c>
      <c r="F217" s="578">
        <v>680</v>
      </c>
      <c r="G217" s="579">
        <v>27218690160</v>
      </c>
      <c r="H217" s="580" t="str">
        <f>IFERROR(IF(factura_c_mes9[[#This Row],[CUIT]]="","-",VLOOKUP(factura_c_mes9[[#This Row],[CUIT]],Lista_CUIT[#All],2,0)),"CUIT NO CARGADO")</f>
        <v>RAMIREZ LAURA VERONICA</v>
      </c>
      <c r="I217" s="581">
        <v>21000</v>
      </c>
      <c r="J217" s="582" t="str">
        <f>IFERROR(IF(factura_c_mes9[[#This Row],[CUIT]]="","-",VLOOKUP(factura_c_mes9[[#This Row],[CUIT]],Lista_CUIT[#All],3,0)),"CUIT NO CARGADO")</f>
        <v>Honorarios Profesionales</v>
      </c>
      <c r="K217" s="582">
        <f>IFERROR(IF(factura_c_mes9[[#This Row],[CUIT]]="","-",VLOOKUP(factura_c_mes9[[#This Row],[CUIT]],Lista_CUIT[#All],4,0)),"CUIT NO CARGADO")</f>
        <v>0</v>
      </c>
    </row>
    <row r="218" spans="2:18" ht="25.9" customHeight="1">
      <c r="D218" s="577" t="s">
        <v>2437</v>
      </c>
      <c r="E218" s="578">
        <v>8</v>
      </c>
      <c r="F218" s="578">
        <v>677</v>
      </c>
      <c r="G218" s="579">
        <v>27409592487</v>
      </c>
      <c r="H218" s="580" t="str">
        <f>IFERROR(IF(factura_c_mes9[[#This Row],[CUIT]]="","-",VLOOKUP(factura_c_mes9[[#This Row],[CUIT]],Lista_CUIT[#All],2,0)),"CUIT NO CARGADO")</f>
        <v>BAUDONE ANTONELLA AGOSTINA</v>
      </c>
      <c r="I218" s="581">
        <v>53200</v>
      </c>
      <c r="J218" s="582" t="str">
        <f>IFERROR(IF(factura_c_mes9[[#This Row],[CUIT]]="","-",VLOOKUP(factura_c_mes9[[#This Row],[CUIT]],Lista_CUIT[#All],3,0)),"CUIT NO CARGADO")</f>
        <v>Material de Empaque</v>
      </c>
      <c r="K218" s="582">
        <f>IFERROR(IF(factura_c_mes9[[#This Row],[CUIT]]="","-",VLOOKUP(factura_c_mes9[[#This Row],[CUIT]],Lista_CUIT[#All],4,0)),"CUIT NO CARGADO")</f>
        <v>0</v>
      </c>
    </row>
    <row r="219" spans="2:18">
      <c r="D219" s="50" t="s">
        <v>2409</v>
      </c>
      <c r="E219" s="132">
        <v>2</v>
      </c>
      <c r="F219" s="132">
        <v>374</v>
      </c>
      <c r="G219" s="119">
        <v>20300814094</v>
      </c>
      <c r="H219" s="53" t="str">
        <f>IFERROR(IF(factura_c_mes9[[#This Row],[CUIT]]="","-",VLOOKUP(factura_c_mes9[[#This Row],[CUIT]],Lista_CUIT[#All],2,0)),"CUIT NO CARGADO")</f>
        <v>FARRAPEIRA OSCAR MAXIMO</v>
      </c>
      <c r="I219" s="179">
        <v>656468</v>
      </c>
      <c r="J219" s="54" t="str">
        <f>IFERROR(IF(factura_c_mes9[[#This Row],[CUIT]]="","-",VLOOKUP(factura_c_mes9[[#This Row],[CUIT]],Lista_CUIT[#All],3,0)),"CUIT NO CARGADO")</f>
        <v>Material de Empaque</v>
      </c>
      <c r="K219" s="54">
        <f>IFERROR(IF(factura_c_mes9[[#This Row],[CUIT]]="","-",VLOOKUP(factura_c_mes9[[#This Row],[CUIT]],Lista_CUIT[#All],4,0)),"CUIT NO CARGADO")</f>
        <v>0</v>
      </c>
    </row>
    <row r="220" spans="2:18" ht="17.25" customHeight="1">
      <c r="D220" s="577" t="s">
        <v>2434</v>
      </c>
      <c r="E220" s="578">
        <v>1</v>
      </c>
      <c r="F220" s="578">
        <v>83</v>
      </c>
      <c r="G220" s="579">
        <v>20299505430</v>
      </c>
      <c r="H220" s="580" t="str">
        <f>IFERROR(IF(factura_c_mes9[[#This Row],[CUIT]]="","-",VLOOKUP(factura_c_mes9[[#This Row],[CUIT]],Lista_CUIT[#All],2,0)),"CUIT NO CARGADO")</f>
        <v>PRADO EMILIANO HERNAN</v>
      </c>
      <c r="I220" s="581">
        <v>1007487</v>
      </c>
      <c r="J220" s="582" t="str">
        <f>IFERROR(IF(factura_c_mes9[[#This Row],[CUIT]]="","-",VLOOKUP(factura_c_mes9[[#This Row],[CUIT]],Lista_CUIT[#All],3,0)),"CUIT NO CARGADO")</f>
        <v>Material de Empaque</v>
      </c>
      <c r="K220" s="582">
        <f>IFERROR(IF(factura_c_mes9[[#This Row],[CUIT]]="","-",VLOOKUP(factura_c_mes9[[#This Row],[CUIT]],Lista_CUIT[#All],4,0)),"CUIT NO CARGADO")</f>
        <v>0</v>
      </c>
    </row>
    <row r="221" spans="2:18" ht="31.5" customHeight="1">
      <c r="D221" s="55" t="s">
        <v>103</v>
      </c>
      <c r="E221" s="55"/>
      <c r="F221" s="55"/>
      <c r="G221" s="55"/>
      <c r="H221" s="57"/>
      <c r="I221" s="58">
        <f>SUBTOTAL(109,factura_c_mes9[TOTAL])</f>
        <v>6151111</v>
      </c>
      <c r="J221" s="55"/>
      <c r="K221" s="55"/>
    </row>
    <row r="222" spans="2:18">
      <c r="B222" s="56"/>
      <c r="C222" s="56"/>
      <c r="L222" s="56"/>
      <c r="M222" s="56"/>
      <c r="N222" s="56"/>
      <c r="O222" s="56"/>
      <c r="P222" s="56"/>
      <c r="Q222" s="56"/>
      <c r="R222" s="56"/>
    </row>
    <row r="227" spans="2:13" ht="26.25">
      <c r="B227" s="720" t="s">
        <v>29</v>
      </c>
      <c r="C227" s="720"/>
      <c r="D227" s="720"/>
      <c r="E227" s="720"/>
      <c r="F227" s="720"/>
      <c r="G227" s="720"/>
      <c r="H227" s="720"/>
      <c r="I227" s="720"/>
      <c r="J227" s="720"/>
      <c r="K227" s="716">
        <f>N1</f>
        <v>45170</v>
      </c>
      <c r="L227" s="716"/>
      <c r="M227" s="716"/>
    </row>
    <row r="229" spans="2:13" ht="21">
      <c r="B229" s="713" t="s">
        <v>30</v>
      </c>
      <c r="C229" s="713"/>
    </row>
    <row r="230" spans="2:13" ht="15.75">
      <c r="B230" s="60" t="s">
        <v>0</v>
      </c>
      <c r="C230" s="61" t="s">
        <v>1</v>
      </c>
      <c r="D230" s="61" t="s">
        <v>21</v>
      </c>
      <c r="E230" s="61" t="s">
        <v>22</v>
      </c>
      <c r="F230" s="61" t="s">
        <v>3</v>
      </c>
      <c r="G230" s="61" t="s">
        <v>4</v>
      </c>
      <c r="H230" s="61" t="s">
        <v>23</v>
      </c>
      <c r="I230" s="61" t="s">
        <v>17</v>
      </c>
      <c r="J230" s="61" t="s">
        <v>7</v>
      </c>
      <c r="K230" s="61" t="s">
        <v>24</v>
      </c>
      <c r="L230" s="61" t="s">
        <v>10</v>
      </c>
      <c r="M230" s="62" t="s">
        <v>38</v>
      </c>
    </row>
    <row r="231" spans="2:13" ht="19.149999999999999" customHeight="1">
      <c r="B231" s="40"/>
      <c r="C231" s="41"/>
      <c r="D231" s="42"/>
      <c r="E231" s="43"/>
      <c r="F231" s="44"/>
      <c r="G231" s="99" t="str">
        <f>IFERROR(IF(venta_a_mes9[[#This Row],[CUIT]]="","-",VLOOKUP(venta_a_mes9[[#This Row],[CUIT]],Lista_CUIT[#All],2,0)),"CUIT NO CARGADO")</f>
        <v>-</v>
      </c>
      <c r="H231" s="100"/>
      <c r="I231" s="101">
        <f>venta_a_mes9[[#This Row],[IMPORTE NETO]]*0.21</f>
        <v>0</v>
      </c>
      <c r="J231" s="65"/>
      <c r="K231" s="65"/>
      <c r="L231" s="65">
        <f>SUM(venta_a_mes9[[#This Row],[IMPORTE NETO]:[EXENTO]])</f>
        <v>0</v>
      </c>
      <c r="M231" s="59"/>
    </row>
    <row r="232" spans="2:13" ht="28.9" customHeight="1">
      <c r="B232" s="40"/>
      <c r="C232" s="41"/>
      <c r="D232" s="42"/>
      <c r="E232" s="43"/>
      <c r="F232" s="44"/>
      <c r="G232" s="99" t="str">
        <f>IFERROR(IF(venta_a_mes9[[#This Row],[CUIT]]="","-",VLOOKUP(venta_a_mes9[[#This Row],[CUIT]],Lista_CUIT[#All],2,0)),"CUIT NO CARGADO")</f>
        <v>-</v>
      </c>
      <c r="H232" s="100"/>
      <c r="I232" s="101">
        <f>venta_a_mes9[[#This Row],[IMPORTE NETO]]*0.21</f>
        <v>0</v>
      </c>
      <c r="J232" s="65"/>
      <c r="K232" s="65"/>
      <c r="L232" s="65">
        <f>SUM(venta_a_mes9[[#This Row],[IMPORTE NETO]:[EXENTO]])</f>
        <v>0</v>
      </c>
      <c r="M232" s="59"/>
    </row>
    <row r="233" spans="2:13">
      <c r="B233" s="40"/>
      <c r="C233" s="41"/>
      <c r="D233" s="42"/>
      <c r="E233" s="43"/>
      <c r="F233" s="44"/>
      <c r="G233" s="99" t="str">
        <f>IFERROR(IF(venta_a_mes9[[#This Row],[CUIT]]="","-",VLOOKUP(venta_a_mes9[[#This Row],[CUIT]],Lista_CUIT[#All],2,0)),"CUIT NO CARGADO")</f>
        <v>-</v>
      </c>
      <c r="H233" s="100"/>
      <c r="I233" s="101">
        <f>venta_a_mes9[[#This Row],[IMPORTE NETO]]*0.21</f>
        <v>0</v>
      </c>
      <c r="J233" s="65"/>
      <c r="K233" s="65"/>
      <c r="L233" s="65">
        <f>SUM(venta_a_mes9[[#This Row],[IMPORTE NETO]:[EXENTO]])</f>
        <v>0</v>
      </c>
      <c r="M233" s="59"/>
    </row>
    <row r="234" spans="2:13">
      <c r="B234" s="40"/>
      <c r="C234" s="41"/>
      <c r="D234" s="42"/>
      <c r="E234" s="43"/>
      <c r="F234" s="44"/>
      <c r="G234" s="99" t="str">
        <f>IFERROR(IF(venta_a_mes9[[#This Row],[CUIT]]="","-",VLOOKUP(venta_a_mes9[[#This Row],[CUIT]],Lista_CUIT[#All],2,0)),"CUIT NO CARGADO")</f>
        <v>-</v>
      </c>
      <c r="H234" s="100"/>
      <c r="I234" s="101">
        <f>venta_a_mes9[[#This Row],[IMPORTE NETO]]*0.21</f>
        <v>0</v>
      </c>
      <c r="J234" s="65"/>
      <c r="K234" s="65"/>
      <c r="L234" s="65">
        <f>SUM(venta_a_mes9[[#This Row],[IMPORTE NETO]:[EXENTO]])</f>
        <v>0</v>
      </c>
      <c r="M234" s="59"/>
    </row>
    <row r="235" spans="2:13">
      <c r="B235" s="40"/>
      <c r="C235" s="41"/>
      <c r="D235" s="42"/>
      <c r="E235" s="43"/>
      <c r="F235" s="44"/>
      <c r="G235" s="99" t="str">
        <f>IFERROR(IF(venta_a_mes9[[#This Row],[CUIT]]="","-",VLOOKUP(venta_a_mes9[[#This Row],[CUIT]],Lista_CUIT[#All],2,0)),"CUIT NO CARGADO")</f>
        <v>-</v>
      </c>
      <c r="H235" s="100"/>
      <c r="I235" s="101">
        <f>venta_a_mes9[[#This Row],[IMPORTE NETO]]*0.21</f>
        <v>0</v>
      </c>
      <c r="J235" s="65"/>
      <c r="K235" s="65"/>
      <c r="L235" s="65">
        <f>SUM(venta_a_mes9[[#This Row],[IMPORTE NETO]:[EXENTO]])</f>
        <v>0</v>
      </c>
      <c r="M235" s="59"/>
    </row>
    <row r="236" spans="2:13">
      <c r="B236" s="40"/>
      <c r="C236" s="41"/>
      <c r="D236" s="42"/>
      <c r="E236" s="43"/>
      <c r="F236" s="44"/>
      <c r="G236" s="99" t="str">
        <f>IFERROR(IF(venta_a_mes9[[#This Row],[CUIT]]="","-",VLOOKUP(venta_a_mes9[[#This Row],[CUIT]],Lista_CUIT[#All],2,0)),"CUIT NO CARGADO")</f>
        <v>-</v>
      </c>
      <c r="H236" s="100"/>
      <c r="I236" s="101">
        <f>venta_a_mes9[[#This Row],[IMPORTE NETO]]*0.21</f>
        <v>0</v>
      </c>
      <c r="J236" s="65"/>
      <c r="K236" s="65"/>
      <c r="L236" s="65">
        <f>SUM(venta_a_mes9[[#This Row],[IMPORTE NETO]:[EXENTO]])</f>
        <v>0</v>
      </c>
      <c r="M236" s="59"/>
    </row>
    <row r="237" spans="2:13">
      <c r="B237" s="40"/>
      <c r="C237" s="41"/>
      <c r="D237" s="42"/>
      <c r="E237" s="43"/>
      <c r="F237" s="44"/>
      <c r="G237" s="99" t="str">
        <f>IFERROR(IF(venta_a_mes9[[#This Row],[CUIT]]="","-",VLOOKUP(venta_a_mes9[[#This Row],[CUIT]],Lista_CUIT[#All],2,0)),"CUIT NO CARGADO")</f>
        <v>-</v>
      </c>
      <c r="H237" s="100"/>
      <c r="I237" s="101">
        <f>venta_a_mes9[[#This Row],[IMPORTE NETO]]*0.21</f>
        <v>0</v>
      </c>
      <c r="J237" s="65"/>
      <c r="K237" s="65"/>
      <c r="L237" s="65">
        <f>SUM(venta_a_mes9[[#This Row],[IMPORTE NETO]:[EXENTO]])</f>
        <v>0</v>
      </c>
      <c r="M237" s="63"/>
    </row>
    <row r="238" spans="2:13">
      <c r="B238" s="102"/>
      <c r="C238" s="103"/>
      <c r="D238" s="104"/>
      <c r="E238" s="105"/>
      <c r="F238" s="106"/>
      <c r="G238" s="99" t="str">
        <f>IFERROR(IF(venta_a_mes9[[#This Row],[CUIT]]="","-",VLOOKUP(venta_a_mes9[[#This Row],[CUIT]],Lista_CUIT[#All],2,0)),"CUIT NO CARGADO")</f>
        <v>-</v>
      </c>
      <c r="H238" s="107"/>
      <c r="I238" s="108">
        <f>venta_a_mes9[[#This Row],[IMPORTE NETO]]*0.21</f>
        <v>0</v>
      </c>
      <c r="J238" s="72"/>
      <c r="K238" s="72"/>
      <c r="L238" s="72">
        <f>SUM(venta_a_mes9[[#This Row],[IMPORTE NETO]:[EXENTO]])</f>
        <v>0</v>
      </c>
      <c r="M238" s="63"/>
    </row>
    <row r="239" spans="2:13">
      <c r="B239" s="109"/>
      <c r="C239" s="110"/>
      <c r="D239" s="111"/>
      <c r="E239" s="112"/>
      <c r="F239" s="113"/>
      <c r="G239" s="99" t="str">
        <f>IFERROR(IF(venta_a_mes9[[#This Row],[CUIT]]="","-",VLOOKUP(venta_a_mes9[[#This Row],[CUIT]],Lista_CUIT[#All],2,0)),"CUIT NO CARGADO")</f>
        <v>-</v>
      </c>
      <c r="H239" s="100"/>
      <c r="I239" s="101">
        <f>venta_a_mes9[[#This Row],[IMPORTE NETO]]*0.21</f>
        <v>0</v>
      </c>
      <c r="J239" s="65"/>
      <c r="K239" s="65"/>
      <c r="L239" s="65">
        <f>SUM(venta_a_mes9[[#This Row],[IMPORTE NETO]:[EXENTO]])</f>
        <v>0</v>
      </c>
      <c r="M239" s="59"/>
    </row>
    <row r="240" spans="2:13">
      <c r="B240" s="66" t="s">
        <v>103</v>
      </c>
      <c r="C240" s="67"/>
      <c r="D240" s="67"/>
      <c r="E240" s="67"/>
      <c r="F240" s="67"/>
      <c r="G240" s="67"/>
      <c r="H240" s="69">
        <f>SUBTOTAL(109,venta_a_mes9[IMPORTE NETO])</f>
        <v>0</v>
      </c>
      <c r="I240" s="70">
        <f>SUBTOTAL(109,venta_a_mes9[IVA 21%])</f>
        <v>0</v>
      </c>
      <c r="J240" s="71">
        <f>SUBTOTAL(109,venta_a_mes9[IVA 10,5%])</f>
        <v>0</v>
      </c>
      <c r="K240" s="71">
        <f>SUBTOTAL(109,venta_a_mes9[EXENTO])</f>
        <v>0</v>
      </c>
      <c r="L240" s="71">
        <f>SUBTOTAL(109,venta_a_mes9[TOTAL])</f>
        <v>0</v>
      </c>
      <c r="M240" s="68">
        <f>SUBTOTAL(103,venta_a_mes9[Provincia])</f>
        <v>0</v>
      </c>
    </row>
    <row r="243" spans="2:13" ht="21">
      <c r="B243" s="713" t="s">
        <v>31</v>
      </c>
      <c r="C243" s="713"/>
    </row>
    <row r="244" spans="2:13" ht="15.75">
      <c r="B244" s="60" t="s">
        <v>0</v>
      </c>
      <c r="C244" s="61" t="s">
        <v>1</v>
      </c>
      <c r="D244" s="61" t="s">
        <v>21</v>
      </c>
      <c r="E244" s="61" t="s">
        <v>22</v>
      </c>
      <c r="F244" s="61" t="s">
        <v>3</v>
      </c>
      <c r="G244" s="61" t="s">
        <v>4</v>
      </c>
      <c r="H244" s="61" t="s">
        <v>23</v>
      </c>
      <c r="I244" s="61" t="s">
        <v>17</v>
      </c>
      <c r="J244" s="61" t="s">
        <v>7</v>
      </c>
      <c r="K244" s="61" t="s">
        <v>24</v>
      </c>
      <c r="L244" s="61" t="s">
        <v>10</v>
      </c>
      <c r="M244" s="62" t="s">
        <v>38</v>
      </c>
    </row>
    <row r="245" spans="2:13">
      <c r="B245" s="40"/>
      <c r="C245" s="41"/>
      <c r="D245" s="42"/>
      <c r="E245" s="43"/>
      <c r="F245" s="44"/>
      <c r="G245" s="1" t="str">
        <f>IFERROR(IF(ventas_b_mes9[[#This Row],[CUIT]]="","-",VLOOKUP(ventas_b_mes9[[#This Row],[CUIT]],Lista_CUIT[#All],2,0)),"CUIT NO CARGADO")</f>
        <v>-</v>
      </c>
      <c r="H245" s="64"/>
      <c r="I245" s="64"/>
      <c r="J245" s="64"/>
      <c r="K245" s="64"/>
      <c r="L245" s="64">
        <f>SUM(ventas_b_mes9[[#This Row],[IMPORTE NETO]:[EXENTO]])</f>
        <v>0</v>
      </c>
      <c r="M245" s="59"/>
    </row>
    <row r="246" spans="2:13">
      <c r="B246" s="40"/>
      <c r="C246" s="41"/>
      <c r="D246" s="42"/>
      <c r="E246" s="43"/>
      <c r="F246" s="44"/>
      <c r="G246" s="1"/>
      <c r="H246" s="64"/>
      <c r="I246" s="64"/>
      <c r="J246" s="64"/>
      <c r="K246" s="64"/>
      <c r="L246" s="64">
        <f>SUM(ventas_b_mes9[[#This Row],[IMPORTE NETO]:[EXENTO]])</f>
        <v>0</v>
      </c>
      <c r="M246" s="59"/>
    </row>
    <row r="247" spans="2:13">
      <c r="B247" s="40"/>
      <c r="C247" s="41"/>
      <c r="D247" s="42"/>
      <c r="E247" s="43"/>
      <c r="F247" s="44"/>
      <c r="G247" s="1"/>
      <c r="H247" s="64"/>
      <c r="I247" s="64"/>
      <c r="J247" s="64"/>
      <c r="K247" s="64"/>
      <c r="L247" s="64">
        <f>SUM(ventas_b_mes9[[#This Row],[IMPORTE NETO]:[EXENTO]])</f>
        <v>0</v>
      </c>
      <c r="M247" s="59"/>
    </row>
    <row r="248" spans="2:13">
      <c r="B248" s="40"/>
      <c r="C248" s="41"/>
      <c r="D248" s="42"/>
      <c r="E248" s="43"/>
      <c r="F248" s="44"/>
      <c r="G248" s="1"/>
      <c r="H248" s="64"/>
      <c r="I248" s="64"/>
      <c r="J248" s="64"/>
      <c r="K248" s="64"/>
      <c r="L248" s="64">
        <f>SUM(ventas_b_mes9[[#This Row],[IMPORTE NETO]:[EXENTO]])</f>
        <v>0</v>
      </c>
      <c r="M248" s="59"/>
    </row>
    <row r="249" spans="2:13">
      <c r="B249" s="40"/>
      <c r="C249" s="41"/>
      <c r="D249" s="42"/>
      <c r="E249" s="43"/>
      <c r="F249" s="44"/>
      <c r="G249" s="1"/>
      <c r="H249" s="64"/>
      <c r="I249" s="64"/>
      <c r="J249" s="64"/>
      <c r="K249" s="64"/>
      <c r="L249" s="64">
        <f>SUM(ventas_b_mes9[[#This Row],[IMPORTE NETO]:[EXENTO]])</f>
        <v>0</v>
      </c>
      <c r="M249" s="59"/>
    </row>
    <row r="250" spans="2:13">
      <c r="B250" s="40"/>
      <c r="C250" s="41"/>
      <c r="D250" s="42"/>
      <c r="E250" s="43"/>
      <c r="F250" s="44"/>
      <c r="G250" s="1"/>
      <c r="H250" s="64"/>
      <c r="I250" s="64"/>
      <c r="J250" s="64"/>
      <c r="K250" s="64"/>
      <c r="L250" s="64">
        <f>SUM(ventas_b_mes9[[#This Row],[IMPORTE NETO]:[EXENTO]])</f>
        <v>0</v>
      </c>
      <c r="M250" s="59"/>
    </row>
    <row r="251" spans="2:13">
      <c r="B251" s="66" t="s">
        <v>103</v>
      </c>
      <c r="C251" s="67"/>
      <c r="D251" s="67"/>
      <c r="E251" s="67"/>
      <c r="F251" s="67"/>
      <c r="G251" s="67"/>
      <c r="H251" s="77">
        <f>SUBTOTAL(109,ventas_b_mes9[IMPORTE NETO])</f>
        <v>0</v>
      </c>
      <c r="I251" s="77">
        <f>SUBTOTAL(109,ventas_b_mes9[IVA 21%])</f>
        <v>0</v>
      </c>
      <c r="J251" s="78">
        <f>SUBTOTAL(109,ventas_b_mes9[IVA 10,5%])</f>
        <v>0</v>
      </c>
      <c r="K251" s="78">
        <f>SUBTOTAL(109,ventas_b_mes9[EXENTO])</f>
        <v>0</v>
      </c>
      <c r="L251" s="78">
        <f>SUBTOTAL(109,ventas_b_mes9[TOTAL])</f>
        <v>0</v>
      </c>
      <c r="M251" s="68">
        <f>SUBTOTAL(103,ventas_b_mes9[Provincia])</f>
        <v>0</v>
      </c>
    </row>
    <row r="258" spans="3:12" ht="15.75" thickBot="1"/>
    <row r="259" spans="3:12" ht="15.75" thickTop="1">
      <c r="C259" s="726" t="s">
        <v>66</v>
      </c>
      <c r="D259" s="726"/>
      <c r="E259" s="726"/>
      <c r="F259" s="726"/>
      <c r="G259" s="726"/>
      <c r="H259" s="32"/>
      <c r="I259" s="32"/>
      <c r="J259" s="32"/>
    </row>
    <row r="260" spans="3:12" ht="15.75">
      <c r="C260" s="114" t="s">
        <v>67</v>
      </c>
      <c r="D260" s="115" t="s">
        <v>68</v>
      </c>
      <c r="E260" s="115" t="s">
        <v>105</v>
      </c>
      <c r="F260" s="115" t="s">
        <v>3</v>
      </c>
      <c r="G260" s="115" t="s">
        <v>4</v>
      </c>
      <c r="H260" s="116" t="s">
        <v>69</v>
      </c>
      <c r="I260" s="116" t="s">
        <v>70</v>
      </c>
      <c r="J260" s="116" t="s">
        <v>71</v>
      </c>
      <c r="K260" s="116" t="s">
        <v>72</v>
      </c>
      <c r="L260" s="116" t="s">
        <v>73</v>
      </c>
    </row>
    <row r="261" spans="3:12">
      <c r="C261" s="117"/>
      <c r="D261" s="118"/>
      <c r="E261" s="118"/>
      <c r="F261" s="119"/>
      <c r="G261" s="53" t="str">
        <f>IFERROR(IF(Retenciones_mes9[[#This Row],[CUIT]]="","-",VLOOKUP(Retenciones_mes9[[#This Row],[CUIT]],Lista_CUIT[#All],2,0)),"CUIT NO CARGADO")</f>
        <v>-</v>
      </c>
      <c r="H261" s="120"/>
      <c r="I261" s="120"/>
      <c r="J261" s="120"/>
      <c r="K261" s="120"/>
      <c r="L261" s="120"/>
    </row>
    <row r="262" spans="3:12">
      <c r="C262" s="117"/>
      <c r="D262" s="118"/>
      <c r="E262" s="118"/>
      <c r="F262" s="119"/>
      <c r="G262" s="53" t="str">
        <f>IFERROR(IF(Retenciones_mes9[[#This Row],[CUIT]]="","-",VLOOKUP(Retenciones_mes9[[#This Row],[CUIT]],Lista_CUIT[#All],2,0)),"CUIT NO CARGADO")</f>
        <v>-</v>
      </c>
      <c r="H262" s="120"/>
      <c r="I262" s="120"/>
      <c r="J262" s="120"/>
      <c r="K262" s="120"/>
      <c r="L262" s="120"/>
    </row>
    <row r="263" spans="3:12">
      <c r="C263" s="117"/>
      <c r="D263" s="118"/>
      <c r="E263" s="118"/>
      <c r="F263" s="119"/>
      <c r="G263" s="53" t="str">
        <f>IFERROR(IF(Retenciones_mes9[[#This Row],[CUIT]]="","-",VLOOKUP(Retenciones_mes9[[#This Row],[CUIT]],Lista_CUIT[#All],2,0)),"CUIT NO CARGADO")</f>
        <v>-</v>
      </c>
      <c r="H263" s="120"/>
      <c r="I263" s="120"/>
      <c r="J263" s="120"/>
      <c r="K263" s="120"/>
      <c r="L263" s="120"/>
    </row>
    <row r="264" spans="3:12">
      <c r="C264" s="117"/>
      <c r="D264" s="118"/>
      <c r="E264" s="118"/>
      <c r="F264" s="119"/>
      <c r="G264" s="53" t="str">
        <f>IFERROR(IF(Retenciones_mes9[[#This Row],[CUIT]]="","-",VLOOKUP(Retenciones_mes9[[#This Row],[CUIT]],Lista_CUIT[#All],2,0)),"CUIT NO CARGADO")</f>
        <v>-</v>
      </c>
      <c r="H264" s="120"/>
      <c r="I264" s="120"/>
      <c r="J264" s="120"/>
      <c r="K264" s="120"/>
      <c r="L264" s="120"/>
    </row>
    <row r="265" spans="3:12">
      <c r="D265" s="118"/>
      <c r="E265" s="118"/>
      <c r="G265" s="53" t="str">
        <f>IFERROR(IF(Retenciones_mes9[[#This Row],[CUIT]]="","-",VLOOKUP(Retenciones_mes9[[#This Row],[CUIT]],Lista_CUIT[#All],2,0)),"CUIT NO CARGADO")</f>
        <v>-</v>
      </c>
    </row>
    <row r="266" spans="3:12">
      <c r="C266" s="33"/>
    </row>
  </sheetData>
  <mergeCells count="21">
    <mergeCell ref="C259:G259"/>
    <mergeCell ref="B4:E4"/>
    <mergeCell ref="G4:H4"/>
    <mergeCell ref="J4:K4"/>
    <mergeCell ref="M4:N4"/>
    <mergeCell ref="D191:K191"/>
    <mergeCell ref="B227:J227"/>
    <mergeCell ref="K227:M227"/>
    <mergeCell ref="B229:C229"/>
    <mergeCell ref="B243:C243"/>
    <mergeCell ref="P4:R4"/>
    <mergeCell ref="D176:L176"/>
    <mergeCell ref="B1:F1"/>
    <mergeCell ref="G1:M1"/>
    <mergeCell ref="N1:R1"/>
    <mergeCell ref="B3:E3"/>
    <mergeCell ref="G3:H3"/>
    <mergeCell ref="J3:K3"/>
    <mergeCell ref="M3:N3"/>
    <mergeCell ref="P3:R3"/>
    <mergeCell ref="F6:G6"/>
  </mergeCells>
  <phoneticPr fontId="38" type="noConversion"/>
  <dataValidations count="14">
    <dataValidation type="custom" allowBlank="1" showInputMessage="1" showErrorMessage="1" sqref="H245:L250">
      <formula1>IF($C245=8,H245&lt;0,H245&gt;=0)</formula1>
    </dataValidation>
    <dataValidation type="custom" allowBlank="1" showInputMessage="1" showErrorMessage="1" sqref="L236:L237">
      <formula1>IF($C171=3,L171&lt;0,L171&gt;=0)</formula1>
    </dataValidation>
    <dataValidation type="custom" allowBlank="1" showInputMessage="1" showErrorMessage="1" sqref="L231:L232">
      <formula1>IF($C9=3,L9&lt;0,L9&gt;=0)</formula1>
    </dataValidation>
    <dataValidation type="whole" allowBlank="1" showInputMessage="1" showErrorMessage="1" sqref="C245:C250">
      <formula1>6</formula1>
      <formula2>8</formula2>
    </dataValidation>
    <dataValidation type="custom" allowBlank="1" showInputMessage="1" showErrorMessage="1" sqref="H231:K231 H233:K233 H235:K235 H237:K237">
      <formula1>IF($C231=3,H231&lt;0,H231&gt;=0)</formula1>
    </dataValidation>
    <dataValidation type="whole" allowBlank="1" showInputMessage="1" showErrorMessage="1" sqref="C231:C239 C172:C175 C9:C170">
      <formula1>1</formula1>
      <formula2>3</formula2>
    </dataValidation>
    <dataValidation type="date" allowBlank="1" showInputMessage="1" showErrorMessage="1" sqref="B231:B239 B172:B175 B245:B250 D178:D186 B9:B170 D193:D220">
      <formula1>40179</formula1>
      <formula2>TODAY()</formula2>
    </dataValidation>
    <dataValidation type="whole" allowBlank="1" showInputMessage="1" showErrorMessage="1" sqref="F245:F250 F231:F239 F9:F170 G193:G220">
      <formula1>20000000000</formula1>
      <formula2>33999999999</formula2>
    </dataValidation>
    <dataValidation type="whole" allowBlank="1" showInputMessage="1" showErrorMessage="1" sqref="E231:E239 E245:E250 E9:E170 F193:F220">
      <formula1>1</formula1>
      <formula2>99999999</formula2>
    </dataValidation>
    <dataValidation type="whole" allowBlank="1" showInputMessage="1" showErrorMessage="1" sqref="D231:D239 D245:D250 D9:D170 E193:E220">
      <formula1>1</formula1>
      <formula2>9999</formula2>
    </dataValidation>
    <dataValidation type="custom" allowBlank="1" showInputMessage="1" showErrorMessage="1" sqref="L233">
      <formula1>IF($C59=3,L59&lt;0,L59&gt;=0)</formula1>
    </dataValidation>
    <dataValidation type="custom" allowBlank="1" showInputMessage="1" showErrorMessage="1" sqref="L234">
      <formula1>IF($C152=3,L152&lt;0,L152&gt;=0)</formula1>
    </dataValidation>
    <dataValidation type="custom" allowBlank="1" showInputMessage="1" showErrorMessage="1" sqref="L235">
      <formula1>IF($C161=3,L161&lt;0,L161&gt;=0)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70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9" tint="0.79998168889431442"/>
  </sheetPr>
  <dimension ref="A1:Z289"/>
  <sheetViews>
    <sheetView showGridLines="0" topLeftCell="B4" zoomScaleNormal="100" workbookViewId="0">
      <selection activeCell="O28" sqref="O28"/>
    </sheetView>
  </sheetViews>
  <sheetFormatPr baseColWidth="10" defaultColWidth="0" defaultRowHeight="15"/>
  <cols>
    <col min="1" max="1" width="1.7109375" customWidth="1"/>
    <col min="2" max="2" width="10.5703125" customWidth="1"/>
    <col min="3" max="3" width="9.5703125" customWidth="1"/>
    <col min="4" max="4" width="13.28515625" customWidth="1"/>
    <col min="5" max="5" width="17.140625" bestFit="1" customWidth="1"/>
    <col min="6" max="6" width="19.28515625" customWidth="1"/>
    <col min="7" max="7" width="25.42578125" customWidth="1"/>
    <col min="8" max="8" width="20" customWidth="1"/>
    <col min="9" max="9" width="17.5703125" customWidth="1"/>
    <col min="10" max="10" width="23.140625" style="433" customWidth="1"/>
    <col min="11" max="11" width="9.85546875" customWidth="1"/>
    <col min="12" max="12" width="18.28515625" bestFit="1" customWidth="1"/>
    <col min="13" max="13" width="14.85546875" customWidth="1"/>
    <col min="14" max="14" width="15" customWidth="1"/>
    <col min="15" max="15" width="18.5703125" customWidth="1"/>
    <col min="16" max="16" width="17.140625" customWidth="1"/>
    <col min="17" max="17" width="20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27" t="str">
        <f>'Ene-24'!G1:M1</f>
        <v>EUROARGENTINA</v>
      </c>
      <c r="H1" s="727"/>
      <c r="I1" s="727"/>
      <c r="J1" s="727"/>
      <c r="K1" s="727"/>
      <c r="L1" s="727"/>
      <c r="M1" s="727"/>
      <c r="N1" s="711">
        <f>EDATE('Ene-24'!N1,9)</f>
        <v>45200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SUM(compras_mes10[[#Totals],[NETO GRAVADO]])+extracto_banco_mes10[[#Totals],[NETO]]</f>
        <v>130988533.28999999</v>
      </c>
      <c r="C4" s="718"/>
      <c r="D4" s="718"/>
      <c r="E4" s="718"/>
      <c r="F4" s="39"/>
      <c r="G4" s="719">
        <f>compras_mes10[[#Totals],[IVA 21 %]]+compras_mes10[[#Totals],[IVA 27%]]+compras_mes10[[#Totals],[IVA 10,5%]]+extracto_banco_mes10[[#Totals],[IVA 21%]]+extracto_banco_mes10[[#Totals],[IVA 10,5%]]+H6</f>
        <v>27554903.176200006</v>
      </c>
      <c r="H4" s="719"/>
      <c r="I4" s="39"/>
      <c r="J4" s="725">
        <f>venta_a_mes10[[#Totals],[IMPORTE NETO]]+ventas_b_mes10[[#Totals],[IMPORTE NETO]]</f>
        <v>0</v>
      </c>
      <c r="K4" s="725"/>
      <c r="L4" s="39"/>
      <c r="M4" s="725">
        <f>venta_a_mes10[[#Totals],[IVA 21%]]+venta_a_mes10[[#Totals],[IVA 10,5%]]+ventas_b_mes10[[#Totals],[IVA 21%]]+ventas_b_mes10[[#Totals],[IVA 10,5%]]</f>
        <v>0</v>
      </c>
      <c r="N4" s="725"/>
      <c r="O4" s="39"/>
      <c r="P4" s="721">
        <f>G4-M4</f>
        <v>27554903.176200006</v>
      </c>
      <c r="Q4" s="722"/>
      <c r="R4" s="722"/>
    </row>
    <row r="5" spans="1:26" ht="13.5" customHeight="1"/>
    <row r="6" spans="1:26" ht="12.75" customHeight="1">
      <c r="H6" s="318">
        <v>351743.7</v>
      </c>
      <c r="I6" t="s">
        <v>2521</v>
      </c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680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43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631" t="s">
        <v>2469</v>
      </c>
      <c r="C9" s="632">
        <v>1</v>
      </c>
      <c r="D9" s="633">
        <v>2</v>
      </c>
      <c r="E9" s="634">
        <v>276</v>
      </c>
      <c r="F9" s="635">
        <v>27309896063</v>
      </c>
      <c r="G9" s="636" t="str">
        <f>IFERROR(IF(compras_mes10[[#This Row],[CUIT]]="","-",VLOOKUP(compras_mes10[[#This Row],[CUIT]],Lista_CUIT[#All],2,0)),"CUIT NO CARGADO")</f>
        <v>BATTELLINI MARIA SOLEDAD</v>
      </c>
      <c r="H9" s="173">
        <v>550000</v>
      </c>
      <c r="I9" s="637">
        <f>IF(compras_mes10[[#This Row],[NETO GRAVADO]]="","",compras_mes10[[#This Row],[NETO GRAVADO]]*0.21)</f>
        <v>115500</v>
      </c>
      <c r="J9" s="689"/>
      <c r="K9" s="174"/>
      <c r="L9" s="174"/>
      <c r="M9" s="174"/>
      <c r="N9" s="174"/>
      <c r="O9" s="174"/>
      <c r="P9" s="638">
        <f>SUM(compras_mes10[[#This Row],[NETO GRAVADO]:[Otros / No Grav.]])</f>
        <v>665500</v>
      </c>
      <c r="Q9" s="636" t="str">
        <f>IFERROR(IF(compras_mes10[[#This Row],[CUIT]]="","-",VLOOKUP(compras_mes10[[#This Row],[CUIT]],Lista_CUIT[#All],3,0)),"CUIT NO CARGADO")</f>
        <v>Alquiler</v>
      </c>
      <c r="R9" s="639">
        <f>IFERROR(IF(compras_mes10[[#This Row],[CUIT]]="","-",VLOOKUP(compras_mes10[[#This Row],[CUIT]],Lista_CUIT[#All],4,0)),"CUIT NO CARGADO")</f>
        <v>0</v>
      </c>
    </row>
    <row r="10" spans="1:26" ht="14.45" customHeight="1">
      <c r="B10" s="616" t="s">
        <v>2469</v>
      </c>
      <c r="C10" s="617">
        <v>1</v>
      </c>
      <c r="D10" s="618">
        <v>1</v>
      </c>
      <c r="E10" s="619">
        <v>547</v>
      </c>
      <c r="F10" s="620">
        <v>20131206144</v>
      </c>
      <c r="G10" s="94" t="str">
        <f>IFERROR(IF(compras_mes10[[#This Row],[CUIT]]="","-",VLOOKUP(compras_mes10[[#This Row],[CUIT]],Lista_CUIT[#All],2,0)),"CUIT NO CARGADO")</f>
        <v>CHAMORRO MANUEL</v>
      </c>
      <c r="H10" s="46">
        <v>1009489</v>
      </c>
      <c r="I10" s="623">
        <f>IF(compras_mes10[[#This Row],[NETO GRAVADO]]="","",compras_mes10[[#This Row],[NETO GRAVADO]]*0.21)</f>
        <v>211992.69</v>
      </c>
      <c r="J10" s="691"/>
      <c r="K10" s="85"/>
      <c r="L10" s="85"/>
      <c r="M10" s="85"/>
      <c r="N10" s="85"/>
      <c r="O10" s="85"/>
      <c r="P10" s="87">
        <f>SUM(compras_mes10[[#This Row],[NETO GRAVADO]:[Otros / No Grav.]])</f>
        <v>1221481.69</v>
      </c>
      <c r="Q10" s="94" t="str">
        <f>IFERROR(IF(compras_mes10[[#This Row],[CUIT]]="","-",VLOOKUP(compras_mes10[[#This Row],[CUIT]],Lista_CUIT[#All],3,0)),"CUIT NO CARGADO")</f>
        <v>Alquiler</v>
      </c>
      <c r="R10" s="88">
        <f>IFERROR(IF(compras_mes10[[#This Row],[CUIT]]="","-",VLOOKUP(compras_mes10[[#This Row],[CUIT]],Lista_CUIT[#All],4,0)),"CUIT NO CARGADO")</f>
        <v>0</v>
      </c>
    </row>
    <row r="11" spans="1:26" ht="14.25" customHeight="1">
      <c r="B11" s="631" t="s">
        <v>2470</v>
      </c>
      <c r="C11" s="632">
        <v>1</v>
      </c>
      <c r="D11" s="633">
        <v>1</v>
      </c>
      <c r="E11" s="634">
        <v>136</v>
      </c>
      <c r="F11" s="635">
        <v>30716010313</v>
      </c>
      <c r="G11" s="636" t="str">
        <f>IFERROR(IF(compras_mes10[[#This Row],[CUIT]]="","-",VLOOKUP(compras_mes10[[#This Row],[CUIT]],Lista_CUIT[#All],2,0)),"CUIT NO CARGADO")</f>
        <v>H UNO 1469 S.A.</v>
      </c>
      <c r="H11" s="173">
        <v>46000</v>
      </c>
      <c r="I11" s="637">
        <f>IF(compras_mes10[[#This Row],[NETO GRAVADO]]="","",compras_mes10[[#This Row],[NETO GRAVADO]]*0.21)</f>
        <v>9660</v>
      </c>
      <c r="J11" s="689"/>
      <c r="K11" s="174"/>
      <c r="L11" s="174"/>
      <c r="M11" s="174"/>
      <c r="N11" s="174"/>
      <c r="O11" s="174"/>
      <c r="P11" s="638">
        <f>SUM(compras_mes10[[#This Row],[NETO GRAVADO]:[Otros / No Grav.]])</f>
        <v>55660</v>
      </c>
      <c r="Q11" s="636" t="str">
        <f>IFERROR(IF(compras_mes10[[#This Row],[CUIT]]="","-",VLOOKUP(compras_mes10[[#This Row],[CUIT]],Lista_CUIT[#All],3,0)),"CUIT NO CARGADO")</f>
        <v>Alquiler</v>
      </c>
      <c r="R11" s="639">
        <f>IFERROR(IF(compras_mes10[[#This Row],[CUIT]]="","-",VLOOKUP(compras_mes10[[#This Row],[CUIT]],Lista_CUIT[#All],4,0)),"CUIT NO CARGADO")</f>
        <v>0</v>
      </c>
    </row>
    <row r="12" spans="1:26" ht="13.5" customHeight="1">
      <c r="B12" s="631" t="s">
        <v>2498</v>
      </c>
      <c r="C12" s="632">
        <v>1</v>
      </c>
      <c r="D12" s="633">
        <v>1</v>
      </c>
      <c r="E12" s="634">
        <v>137</v>
      </c>
      <c r="F12" s="635">
        <v>30716010313</v>
      </c>
      <c r="G12" s="636" t="str">
        <f>IFERROR(IF(compras_mes10[[#This Row],[CUIT]]="","-",VLOOKUP(compras_mes10[[#This Row],[CUIT]],Lista_CUIT[#All],2,0)),"CUIT NO CARGADO")</f>
        <v>H UNO 1469 S.A.</v>
      </c>
      <c r="H12" s="173">
        <v>454000</v>
      </c>
      <c r="I12" s="637">
        <f>IF(compras_mes10[[#This Row],[NETO GRAVADO]]="","",compras_mes10[[#This Row],[NETO GRAVADO]]*0.21)</f>
        <v>95340</v>
      </c>
      <c r="J12" s="689"/>
      <c r="K12" s="174"/>
      <c r="L12" s="174"/>
      <c r="M12" s="174"/>
      <c r="N12" s="174"/>
      <c r="O12" s="174"/>
      <c r="P12" s="638">
        <f>SUM(compras_mes10[[#This Row],[NETO GRAVADO]:[Otros / No Grav.]])</f>
        <v>549340</v>
      </c>
      <c r="Q12" s="636" t="str">
        <f>IFERROR(IF(compras_mes10[[#This Row],[CUIT]]="","-",VLOOKUP(compras_mes10[[#This Row],[CUIT]],Lista_CUIT[#All],3,0)),"CUIT NO CARGADO")</f>
        <v>Alquiler</v>
      </c>
      <c r="R12" s="639">
        <f>IFERROR(IF(compras_mes10[[#This Row],[CUIT]]="","-",VLOOKUP(compras_mes10[[#This Row],[CUIT]],Lista_CUIT[#All],4,0)),"CUIT NO CARGADO")</f>
        <v>0</v>
      </c>
    </row>
    <row r="13" spans="1:26" ht="14.45" customHeight="1">
      <c r="B13" s="616">
        <v>45570</v>
      </c>
      <c r="C13" s="617">
        <v>1</v>
      </c>
      <c r="D13" s="618">
        <v>12</v>
      </c>
      <c r="E13" s="619">
        <v>51323</v>
      </c>
      <c r="F13" s="620">
        <v>30696131003</v>
      </c>
      <c r="G13" s="621" t="str">
        <f>IFERROR(IF(compras_mes10[[#This Row],[CUIT]]="","-",VLOOKUP(compras_mes10[[#This Row],[CUIT]],Lista_CUIT[#All],2,0)),"CUIT NO CARGADO")</f>
        <v>Petrolfe S.A.</v>
      </c>
      <c r="H13" s="46">
        <v>173212.52</v>
      </c>
      <c r="I13" s="623">
        <f>IF(compras_mes10[[#This Row],[NETO GRAVADO]]="","",compras_mes10[[#This Row],[NETO GRAVADO]]*0.21)</f>
        <v>36374.629199999996</v>
      </c>
      <c r="J13" s="691"/>
      <c r="K13" s="85"/>
      <c r="L13" s="85"/>
      <c r="M13" s="85"/>
      <c r="N13" s="85"/>
      <c r="O13" s="85">
        <v>63283.48</v>
      </c>
      <c r="P13" s="624">
        <f>SUM(compras_mes10[[#This Row],[NETO GRAVADO]:[Otros / No Grav.]])</f>
        <v>272870.62919999997</v>
      </c>
      <c r="Q13" s="621" t="str">
        <f>IFERROR(IF(compras_mes10[[#This Row],[CUIT]]="","-",VLOOKUP(compras_mes10[[#This Row],[CUIT]],Lista_CUIT[#All],3,0)),"CUIT NO CARGADO")</f>
        <v>Combustible</v>
      </c>
      <c r="R13" s="625">
        <f>IFERROR(IF(compras_mes10[[#This Row],[CUIT]]="","-",VLOOKUP(compras_mes10[[#This Row],[CUIT]],Lista_CUIT[#All],4,0)),"CUIT NO CARGADO")</f>
        <v>0</v>
      </c>
    </row>
    <row r="14" spans="1:26" ht="15" customHeight="1">
      <c r="B14" s="631">
        <v>45572</v>
      </c>
      <c r="C14" s="632">
        <v>1</v>
      </c>
      <c r="D14" s="633">
        <v>13</v>
      </c>
      <c r="E14" s="634">
        <v>98860</v>
      </c>
      <c r="F14" s="635">
        <v>30707841105</v>
      </c>
      <c r="G14" s="636" t="str">
        <f>IFERROR(IF(compras_mes10[[#This Row],[CUIT]]="","-",VLOOKUP(compras_mes10[[#This Row],[CUIT]],Lista_CUIT[#All],2,0)),"CUIT NO CARGADO")</f>
        <v>PETRO ARG SRL</v>
      </c>
      <c r="H14" s="173">
        <v>28797.95</v>
      </c>
      <c r="I14" s="637">
        <f>IF(compras_mes10[[#This Row],[NETO GRAVADO]]="","",compras_mes10[[#This Row],[NETO GRAVADO]]*0.21)</f>
        <v>6047.5694999999996</v>
      </c>
      <c r="J14" s="689"/>
      <c r="K14" s="174"/>
      <c r="L14" s="174"/>
      <c r="M14" s="174"/>
      <c r="N14" s="174"/>
      <c r="O14" s="174">
        <v>8336.9</v>
      </c>
      <c r="P14" s="638">
        <f>SUM(compras_mes10[[#This Row],[NETO GRAVADO]:[Otros / No Grav.]])</f>
        <v>43182.419500000004</v>
      </c>
      <c r="Q14" s="636" t="str">
        <f>IFERROR(IF(compras_mes10[[#This Row],[CUIT]]="","-",VLOOKUP(compras_mes10[[#This Row],[CUIT]],Lista_CUIT[#All],3,0)),"CUIT NO CARGADO")</f>
        <v>Combustible</v>
      </c>
      <c r="R14" s="639">
        <f>IFERROR(IF(compras_mes10[[#This Row],[CUIT]]="","-",VLOOKUP(compras_mes10[[#This Row],[CUIT]],Lista_CUIT[#All],4,0)),"CUIT NO CARGADO")</f>
        <v>0</v>
      </c>
    </row>
    <row r="15" spans="1:26" ht="15" customHeight="1">
      <c r="B15" s="631">
        <v>45573</v>
      </c>
      <c r="C15" s="632">
        <v>1</v>
      </c>
      <c r="D15" s="633">
        <v>23</v>
      </c>
      <c r="E15" s="634">
        <v>33826</v>
      </c>
      <c r="F15" s="635">
        <v>30515800219</v>
      </c>
      <c r="G15" s="636" t="str">
        <f>IFERROR(IF(compras_mes10[[#This Row],[CUIT]]="","-",VLOOKUP(compras_mes10[[#This Row],[CUIT]],Lista_CUIT[#All],2,0)),"CUIT NO CARGADO")</f>
        <v>INCAT SRL</v>
      </c>
      <c r="H15" s="173">
        <v>29536.43</v>
      </c>
      <c r="I15" s="637">
        <f>IF(compras_mes10[[#This Row],[NETO GRAVADO]]="","",compras_mes10[[#This Row],[NETO GRAVADO]]*0.21)</f>
        <v>6202.6503000000002</v>
      </c>
      <c r="J15" s="689"/>
      <c r="K15" s="174"/>
      <c r="L15" s="174"/>
      <c r="M15" s="174"/>
      <c r="N15" s="174">
        <v>0.01</v>
      </c>
      <c r="O15" s="174">
        <v>12529.9</v>
      </c>
      <c r="P15" s="638">
        <f>SUM(compras_mes10[[#This Row],[NETO GRAVADO]:[Otros / No Grav.]])</f>
        <v>48268.990300000005</v>
      </c>
      <c r="Q15" s="636" t="str">
        <f>IFERROR(IF(compras_mes10[[#This Row],[CUIT]]="","-",VLOOKUP(compras_mes10[[#This Row],[CUIT]],Lista_CUIT[#All],3,0)),"CUIT NO CARGADO")</f>
        <v>Combustible</v>
      </c>
      <c r="R15" s="639" t="str">
        <f>IFERROR(IF(compras_mes10[[#This Row],[CUIT]]="","-",VLOOKUP(compras_mes10[[#This Row],[CUIT]],Lista_CUIT[#All],4,0)),"CUIT NO CARGADO")</f>
        <v>CABA</v>
      </c>
    </row>
    <row r="16" spans="1:26" ht="15" customHeight="1">
      <c r="B16" s="616">
        <v>45577</v>
      </c>
      <c r="C16" s="617">
        <v>1</v>
      </c>
      <c r="D16" s="618">
        <v>12</v>
      </c>
      <c r="E16" s="619">
        <v>51466</v>
      </c>
      <c r="F16" s="620">
        <v>30696131003</v>
      </c>
      <c r="G16" s="621" t="str">
        <f>IFERROR(IF(compras_mes10[[#This Row],[CUIT]]="","-",VLOOKUP(compras_mes10[[#This Row],[CUIT]],Lista_CUIT[#All],2,0)),"CUIT NO CARGADO")</f>
        <v>Petrolfe S.A.</v>
      </c>
      <c r="H16" s="46">
        <v>117215.62</v>
      </c>
      <c r="I16" s="623">
        <f>IF(compras_mes10[[#This Row],[NETO GRAVADO]]="","",compras_mes10[[#This Row],[NETO GRAVADO]]*0.21)</f>
        <v>24615.280199999997</v>
      </c>
      <c r="J16" s="691"/>
      <c r="K16" s="85"/>
      <c r="L16" s="85"/>
      <c r="M16" s="85"/>
      <c r="N16" s="85"/>
      <c r="O16" s="85">
        <v>37870.559999999998</v>
      </c>
      <c r="P16" s="624">
        <f>SUM(compras_mes10[[#This Row],[NETO GRAVADO]:[Otros / No Grav.]])</f>
        <v>179701.4602</v>
      </c>
      <c r="Q16" s="621" t="str">
        <f>IFERROR(IF(compras_mes10[[#This Row],[CUIT]]="","-",VLOOKUP(compras_mes10[[#This Row],[CUIT]],Lista_CUIT[#All],3,0)),"CUIT NO CARGADO")</f>
        <v>Combustible</v>
      </c>
      <c r="R16" s="625">
        <f>IFERROR(IF(compras_mes10[[#This Row],[CUIT]]="","-",VLOOKUP(compras_mes10[[#This Row],[CUIT]],Lista_CUIT[#All],4,0)),"CUIT NO CARGADO")</f>
        <v>0</v>
      </c>
    </row>
    <row r="17" spans="2:18" ht="15" customHeight="1">
      <c r="B17" s="631">
        <v>45583</v>
      </c>
      <c r="C17" s="632">
        <v>1</v>
      </c>
      <c r="D17" s="633">
        <v>17</v>
      </c>
      <c r="E17" s="634">
        <v>13203</v>
      </c>
      <c r="F17" s="635">
        <v>30707841105</v>
      </c>
      <c r="G17" s="636" t="str">
        <f>IFERROR(IF(compras_mes10[[#This Row],[CUIT]]="","-",VLOOKUP(compras_mes10[[#This Row],[CUIT]],Lista_CUIT[#All],2,0)),"CUIT NO CARGADO")</f>
        <v>PETRO ARG SRL</v>
      </c>
      <c r="H17" s="173">
        <v>29527.29</v>
      </c>
      <c r="I17" s="637">
        <f>IF(compras_mes10[[#This Row],[NETO GRAVADO]]="","",compras_mes10[[#This Row],[NETO GRAVADO]]*0.21)</f>
        <v>6200.7308999999996</v>
      </c>
      <c r="J17" s="689"/>
      <c r="K17" s="174"/>
      <c r="L17" s="174"/>
      <c r="M17" s="174"/>
      <c r="N17" s="174"/>
      <c r="O17" s="174">
        <v>8548.0400000000009</v>
      </c>
      <c r="P17" s="638">
        <f>SUM(compras_mes10[[#This Row],[NETO GRAVADO]:[Otros / No Grav.]])</f>
        <v>44276.060900000004</v>
      </c>
      <c r="Q17" s="636" t="str">
        <f>IFERROR(IF(compras_mes10[[#This Row],[CUIT]]="","-",VLOOKUP(compras_mes10[[#This Row],[CUIT]],Lista_CUIT[#All],3,0)),"CUIT NO CARGADO")</f>
        <v>Combustible</v>
      </c>
      <c r="R17" s="639">
        <f>IFERROR(IF(compras_mes10[[#This Row],[CUIT]]="","-",VLOOKUP(compras_mes10[[#This Row],[CUIT]],Lista_CUIT[#All],4,0)),"CUIT NO CARGADO")</f>
        <v>0</v>
      </c>
    </row>
    <row r="18" spans="2:18" ht="15" customHeight="1">
      <c r="B18" s="631">
        <v>45583</v>
      </c>
      <c r="C18" s="632">
        <v>1</v>
      </c>
      <c r="D18" s="633">
        <v>23</v>
      </c>
      <c r="E18" s="634">
        <v>34293</v>
      </c>
      <c r="F18" s="635">
        <v>30515800219</v>
      </c>
      <c r="G18" s="636" t="str">
        <f>IFERROR(IF(compras_mes10[[#This Row],[CUIT]]="","-",VLOOKUP(compras_mes10[[#This Row],[CUIT]],Lista_CUIT[#All],2,0)),"CUIT NO CARGADO")</f>
        <v>INCAT SRL</v>
      </c>
      <c r="H18" s="173">
        <v>24988.19</v>
      </c>
      <c r="I18" s="637">
        <f>IF(compras_mes10[[#This Row],[NETO GRAVADO]]="","",compras_mes10[[#This Row],[NETO GRAVADO]]*0.21)</f>
        <v>5247.5198999999993</v>
      </c>
      <c r="J18" s="689"/>
      <c r="K18" s="174"/>
      <c r="L18" s="174"/>
      <c r="M18" s="174"/>
      <c r="N18" s="174"/>
      <c r="O18" s="174">
        <v>11530.62</v>
      </c>
      <c r="P18" s="638">
        <f>SUM(compras_mes10[[#This Row],[NETO GRAVADO]:[Otros / No Grav.]])</f>
        <v>41766.329899999997</v>
      </c>
      <c r="Q18" s="636" t="str">
        <f>IFERROR(IF(compras_mes10[[#This Row],[CUIT]]="","-",VLOOKUP(compras_mes10[[#This Row],[CUIT]],Lista_CUIT[#All],3,0)),"CUIT NO CARGADO")</f>
        <v>Combustible</v>
      </c>
      <c r="R18" s="639" t="str">
        <f>IFERROR(IF(compras_mes10[[#This Row],[CUIT]]="","-",VLOOKUP(compras_mes10[[#This Row],[CUIT]],Lista_CUIT[#All],4,0)),"CUIT NO CARGADO")</f>
        <v>CABA</v>
      </c>
    </row>
    <row r="19" spans="2:18" ht="15.75" customHeight="1">
      <c r="B19" s="616">
        <v>45584</v>
      </c>
      <c r="C19" s="617">
        <v>1</v>
      </c>
      <c r="D19" s="618">
        <v>12</v>
      </c>
      <c r="E19" s="619">
        <v>51694</v>
      </c>
      <c r="F19" s="620">
        <v>30696131003</v>
      </c>
      <c r="G19" s="621" t="str">
        <f>IFERROR(IF(compras_mes10[[#This Row],[CUIT]]="","-",VLOOKUP(compras_mes10[[#This Row],[CUIT]],Lista_CUIT[#All],2,0)),"CUIT NO CARGADO")</f>
        <v>Petrolfe S.A.</v>
      </c>
      <c r="H19" s="46">
        <v>169333.76000000001</v>
      </c>
      <c r="I19" s="623">
        <f>IF(compras_mes10[[#This Row],[NETO GRAVADO]]="","",compras_mes10[[#This Row],[NETO GRAVADO]]*0.21)</f>
        <v>35560.089599999999</v>
      </c>
      <c r="J19" s="691"/>
      <c r="K19" s="85"/>
      <c r="L19" s="85"/>
      <c r="M19" s="85"/>
      <c r="N19" s="85"/>
      <c r="O19" s="85">
        <v>66076.66</v>
      </c>
      <c r="P19" s="624">
        <f>SUM(compras_mes10[[#This Row],[NETO GRAVADO]:[Otros / No Grav.]])</f>
        <v>270970.50959999999</v>
      </c>
      <c r="Q19" s="621" t="str">
        <f>IFERROR(IF(compras_mes10[[#This Row],[CUIT]]="","-",VLOOKUP(compras_mes10[[#This Row],[CUIT]],Lista_CUIT[#All],3,0)),"CUIT NO CARGADO")</f>
        <v>Combustible</v>
      </c>
      <c r="R19" s="625">
        <f>IFERROR(IF(compras_mes10[[#This Row],[CUIT]]="","-",VLOOKUP(compras_mes10[[#This Row],[CUIT]],Lista_CUIT[#All],4,0)),"CUIT NO CARGADO")</f>
        <v>0</v>
      </c>
    </row>
    <row r="20" spans="2:18" ht="15" customHeight="1">
      <c r="B20" s="631">
        <v>45589</v>
      </c>
      <c r="C20" s="632">
        <v>1</v>
      </c>
      <c r="D20" s="633">
        <v>4</v>
      </c>
      <c r="E20" s="634">
        <v>7468</v>
      </c>
      <c r="F20" s="635">
        <v>30683553391</v>
      </c>
      <c r="G20" s="636" t="str">
        <f>IFERROR(IF(compras_mes10[[#This Row],[CUIT]]="","-",VLOOKUP(compras_mes10[[#This Row],[CUIT]],Lista_CUIT[#All],2,0)),"CUIT NO CARGADO")</f>
        <v>D ERAMO GUSTAVO Y D ERAMO PABLO SOC DE HECHO</v>
      </c>
      <c r="H20" s="173">
        <v>78512.38</v>
      </c>
      <c r="I20" s="637">
        <f>IF(compras_mes10[[#This Row],[NETO GRAVADO]]="","",compras_mes10[[#This Row],[NETO GRAVADO]]*0.21)</f>
        <v>16487.5998</v>
      </c>
      <c r="J20" s="689"/>
      <c r="K20" s="174"/>
      <c r="L20" s="174"/>
      <c r="M20" s="174"/>
      <c r="N20" s="174"/>
      <c r="O20" s="174"/>
      <c r="P20" s="638">
        <f>SUM(compras_mes10[[#This Row],[NETO GRAVADO]:[Otros / No Grav.]])</f>
        <v>94999.979800000001</v>
      </c>
      <c r="Q20" s="636" t="str">
        <f>IFERROR(IF(compras_mes10[[#This Row],[CUIT]]="","-",VLOOKUP(compras_mes10[[#This Row],[CUIT]],Lista_CUIT[#All],3,0)),"CUIT NO CARGADO")</f>
        <v>Combustible</v>
      </c>
      <c r="R20" s="639">
        <f>IFERROR(IF(compras_mes10[[#This Row],[CUIT]]="","-",VLOOKUP(compras_mes10[[#This Row],[CUIT]],Lista_CUIT[#All],4,0)),"CUIT NO CARGADO")</f>
        <v>0</v>
      </c>
    </row>
    <row r="21" spans="2:18">
      <c r="B21" s="616">
        <v>45591</v>
      </c>
      <c r="C21" s="617">
        <v>1</v>
      </c>
      <c r="D21" s="618">
        <v>12</v>
      </c>
      <c r="E21" s="619">
        <v>52036</v>
      </c>
      <c r="F21" s="620">
        <v>30696131003</v>
      </c>
      <c r="G21" s="621" t="str">
        <f>IFERROR(IF(compras_mes10[[#This Row],[CUIT]]="","-",VLOOKUP(compras_mes10[[#This Row],[CUIT]],Lista_CUIT[#All],2,0)),"CUIT NO CARGADO")</f>
        <v>Petrolfe S.A.</v>
      </c>
      <c r="H21" s="46">
        <v>110041.29</v>
      </c>
      <c r="I21" s="623">
        <f>IF(compras_mes10[[#This Row],[NETO GRAVADO]]="","",compras_mes10[[#This Row],[NETO GRAVADO]]*0.21)</f>
        <v>23108.670899999997</v>
      </c>
      <c r="J21" s="691"/>
      <c r="K21" s="85"/>
      <c r="L21" s="85"/>
      <c r="M21" s="85"/>
      <c r="N21" s="85"/>
      <c r="O21" s="85">
        <v>39742.22</v>
      </c>
      <c r="P21" s="624">
        <f>SUM(compras_mes10[[#This Row],[NETO GRAVADO]:[Otros / No Grav.]])</f>
        <v>172892.18090000001</v>
      </c>
      <c r="Q21" s="621" t="str">
        <f>IFERROR(IF(compras_mes10[[#This Row],[CUIT]]="","-",VLOOKUP(compras_mes10[[#This Row],[CUIT]],Lista_CUIT[#All],3,0)),"CUIT NO CARGADO")</f>
        <v>Combustible</v>
      </c>
      <c r="R21" s="625">
        <f>IFERROR(IF(compras_mes10[[#This Row],[CUIT]]="","-",VLOOKUP(compras_mes10[[#This Row],[CUIT]],Lista_CUIT[#All],4,0)),"CUIT NO CARGADO")</f>
        <v>0</v>
      </c>
    </row>
    <row r="22" spans="2:18">
      <c r="B22" s="631" t="s">
        <v>2472</v>
      </c>
      <c r="C22" s="632">
        <v>1</v>
      </c>
      <c r="D22" s="633">
        <v>8020</v>
      </c>
      <c r="E22" s="634">
        <v>23668</v>
      </c>
      <c r="F22" s="635">
        <v>30678774495</v>
      </c>
      <c r="G22" s="636" t="str">
        <f>IFERROR(IF(compras_mes10[[#This Row],[CUIT]]="","-",VLOOKUP(compras_mes10[[#This Row],[CUIT]],Lista_CUIT[#All],2,0)),"CUIT NO CARGADO")</f>
        <v>OPER. DE EST. DE SERV. SA</v>
      </c>
      <c r="H22" s="173">
        <v>35809.94</v>
      </c>
      <c r="I22" s="637">
        <f>IF(compras_mes10[[#This Row],[NETO GRAVADO]]="","",compras_mes10[[#This Row],[NETO GRAVADO]]*0.21)</f>
        <v>7520.0874000000003</v>
      </c>
      <c r="J22" s="689"/>
      <c r="K22" s="174"/>
      <c r="L22" s="174"/>
      <c r="M22" s="174"/>
      <c r="N22" s="174"/>
      <c r="O22" s="174">
        <v>6669.92</v>
      </c>
      <c r="P22" s="638">
        <f>SUM(compras_mes10[[#This Row],[NETO GRAVADO]:[Otros / No Grav.]])</f>
        <v>49999.947400000005</v>
      </c>
      <c r="Q22" s="636" t="str">
        <f>IFERROR(IF(compras_mes10[[#This Row],[CUIT]]="","-",VLOOKUP(compras_mes10[[#This Row],[CUIT]],Lista_CUIT[#All],3,0)),"CUIT NO CARGADO")</f>
        <v>Combustible</v>
      </c>
      <c r="R22" s="639">
        <f>IFERROR(IF(compras_mes10[[#This Row],[CUIT]]="","-",VLOOKUP(compras_mes10[[#This Row],[CUIT]],Lista_CUIT[#All],4,0)),"CUIT NO CARGADO")</f>
        <v>0</v>
      </c>
    </row>
    <row r="23" spans="2:18">
      <c r="B23" s="631" t="s">
        <v>2476</v>
      </c>
      <c r="C23" s="632">
        <v>1</v>
      </c>
      <c r="D23" s="633">
        <v>2023</v>
      </c>
      <c r="E23" s="634">
        <v>139001</v>
      </c>
      <c r="F23" s="635">
        <v>30516186670</v>
      </c>
      <c r="G23" s="636" t="str">
        <f>IFERROR(IF(compras_mes10[[#This Row],[CUIT]]="","-",VLOOKUP(compras_mes10[[#This Row],[CUIT]],Lista_CUIT[#All],2,0)),"CUIT NO CARGADO")</f>
        <v>DEHEZA S.A.I.C.F. e I.</v>
      </c>
      <c r="H23" s="173">
        <v>44495.8</v>
      </c>
      <c r="I23" s="637">
        <f>IF(compras_mes10[[#This Row],[NETO GRAVADO]]="","",compras_mes10[[#This Row],[NETO GRAVADO]]*0.21)</f>
        <v>9344.1180000000004</v>
      </c>
      <c r="J23" s="689"/>
      <c r="K23" s="174"/>
      <c r="L23" s="174">
        <v>1334.87</v>
      </c>
      <c r="M23" s="174">
        <v>3189.47</v>
      </c>
      <c r="N23" s="174"/>
      <c r="O23" s="174">
        <v>8661.9599999999991</v>
      </c>
      <c r="P23" s="638">
        <f>SUM(compras_mes10[[#This Row],[NETO GRAVADO]:[Otros / No Grav.]])</f>
        <v>67026.218000000008</v>
      </c>
      <c r="Q23" s="636" t="str">
        <f>IFERROR(IF(compras_mes10[[#This Row],[CUIT]]="","-",VLOOKUP(compras_mes10[[#This Row],[CUIT]],Lista_CUIT[#All],3,0)),"CUIT NO CARGADO")</f>
        <v>Combustible</v>
      </c>
      <c r="R23" s="639" t="str">
        <f>IFERROR(IF(compras_mes10[[#This Row],[CUIT]]="","-",VLOOKUP(compras_mes10[[#This Row],[CUIT]],Lista_CUIT[#All],4,0)),"CUIT NO CARGADO")</f>
        <v>CABA</v>
      </c>
    </row>
    <row r="24" spans="2:18">
      <c r="B24" s="631" t="s">
        <v>2477</v>
      </c>
      <c r="C24" s="632">
        <v>1</v>
      </c>
      <c r="D24" s="633">
        <v>6850</v>
      </c>
      <c r="E24" s="634">
        <v>23361</v>
      </c>
      <c r="F24" s="635">
        <v>30678774495</v>
      </c>
      <c r="G24" s="636" t="str">
        <f>IFERROR(IF(compras_mes10[[#This Row],[CUIT]]="","-",VLOOKUP(compras_mes10[[#This Row],[CUIT]],Lista_CUIT[#All],2,0)),"CUIT NO CARGADO")</f>
        <v>OPER. DE EST. DE SERV. SA</v>
      </c>
      <c r="H24" s="173">
        <v>8589.75</v>
      </c>
      <c r="I24" s="637">
        <f>IF(compras_mes10[[#This Row],[NETO GRAVADO]]="","",compras_mes10[[#This Row],[NETO GRAVADO]]*0.21)</f>
        <v>1803.8474999999999</v>
      </c>
      <c r="J24" s="689"/>
      <c r="K24" s="174"/>
      <c r="L24" s="174"/>
      <c r="M24" s="174"/>
      <c r="N24" s="174"/>
      <c r="O24" s="174">
        <v>1606.39</v>
      </c>
      <c r="P24" s="638">
        <f>SUM(compras_mes10[[#This Row],[NETO GRAVADO]:[Otros / No Grav.]])</f>
        <v>11999.987499999999</v>
      </c>
      <c r="Q24" s="636" t="str">
        <f>IFERROR(IF(compras_mes10[[#This Row],[CUIT]]="","-",VLOOKUP(compras_mes10[[#This Row],[CUIT]],Lista_CUIT[#All],3,0)),"CUIT NO CARGADO")</f>
        <v>Combustible</v>
      </c>
      <c r="R24" s="639">
        <f>IFERROR(IF(compras_mes10[[#This Row],[CUIT]]="","-",VLOOKUP(compras_mes10[[#This Row],[CUIT]],Lista_CUIT[#All],4,0)),"CUIT NO CARGADO")</f>
        <v>0</v>
      </c>
    </row>
    <row r="25" spans="2:18">
      <c r="B25" s="631" t="s">
        <v>2480</v>
      </c>
      <c r="C25" s="632">
        <v>1</v>
      </c>
      <c r="D25" s="633">
        <v>6852</v>
      </c>
      <c r="E25" s="634">
        <v>27327</v>
      </c>
      <c r="F25" s="635">
        <v>30678774495</v>
      </c>
      <c r="G25" s="636" t="str">
        <f>IFERROR(IF(compras_mes10[[#This Row],[CUIT]]="","-",VLOOKUP(compras_mes10[[#This Row],[CUIT]],Lista_CUIT[#All],2,0)),"CUIT NO CARGADO")</f>
        <v>OPER. DE EST. DE SERV. SA</v>
      </c>
      <c r="H25" s="173">
        <v>7876.79</v>
      </c>
      <c r="I25" s="637">
        <f>IF(compras_mes10[[#This Row],[NETO GRAVADO]]="","",compras_mes10[[#This Row],[NETO GRAVADO]]*0.21)</f>
        <v>1654.1259</v>
      </c>
      <c r="J25" s="692"/>
      <c r="K25" s="637"/>
      <c r="L25" s="637"/>
      <c r="M25" s="637"/>
      <c r="N25" s="637"/>
      <c r="O25" s="637">
        <v>1473.05</v>
      </c>
      <c r="P25" s="638">
        <f>SUM(compras_mes10[[#This Row],[NETO GRAVADO]:[Otros / No Grav.]])</f>
        <v>11003.965899999999</v>
      </c>
      <c r="Q25" s="636" t="str">
        <f>IFERROR(IF(compras_mes10[[#This Row],[CUIT]]="","-",VLOOKUP(compras_mes10[[#This Row],[CUIT]],Lista_CUIT[#All],3,0)),"CUIT NO CARGADO")</f>
        <v>Combustible</v>
      </c>
      <c r="R25" s="639">
        <f>IFERROR(IF(compras_mes10[[#This Row],[CUIT]]="","-",VLOOKUP(compras_mes10[[#This Row],[CUIT]],Lista_CUIT[#All],4,0)),"CUIT NO CARGADO")</f>
        <v>0</v>
      </c>
    </row>
    <row r="26" spans="2:18" s="56" customFormat="1" ht="15" customHeight="1">
      <c r="B26" s="631" t="s">
        <v>2496</v>
      </c>
      <c r="C26" s="632">
        <v>1</v>
      </c>
      <c r="D26" s="633">
        <v>202</v>
      </c>
      <c r="E26" s="634">
        <v>1770</v>
      </c>
      <c r="F26" s="635">
        <v>30711463514</v>
      </c>
      <c r="G26" s="636" t="str">
        <f>IFERROR(IF(compras_mes10[[#This Row],[CUIT]]="","-",VLOOKUP(compras_mes10[[#This Row],[CUIT]],Lista_CUIT[#All],2,0)),"CUIT NO CARGADO")</f>
        <v>GLOBAL OIL S.R.L</v>
      </c>
      <c r="H26" s="173">
        <v>18386.55</v>
      </c>
      <c r="I26" s="637">
        <f>IF(compras_mes10[[#This Row],[NETO GRAVADO]]="","",compras_mes10[[#This Row],[NETO GRAVADO]]*0.21)</f>
        <v>3861.1754999999998</v>
      </c>
      <c r="J26" s="689"/>
      <c r="K26" s="174"/>
      <c r="L26" s="174"/>
      <c r="M26" s="174"/>
      <c r="N26" s="174"/>
      <c r="O26" s="174">
        <v>2172.3000000000002</v>
      </c>
      <c r="P26" s="638">
        <f>SUM(compras_mes10[[#This Row],[NETO GRAVADO]:[Otros / No Grav.]])</f>
        <v>24420.0255</v>
      </c>
      <c r="Q26" s="636" t="str">
        <f>IFERROR(IF(compras_mes10[[#This Row],[CUIT]]="","-",VLOOKUP(compras_mes10[[#This Row],[CUIT]],Lista_CUIT[#All],3,0)),"CUIT NO CARGADO")</f>
        <v>Combustible</v>
      </c>
      <c r="R26" s="639">
        <f>IFERROR(IF(compras_mes10[[#This Row],[CUIT]]="","-",VLOOKUP(compras_mes10[[#This Row],[CUIT]],Lista_CUIT[#All],4,0)),"CUIT NO CARGADO")</f>
        <v>0</v>
      </c>
    </row>
    <row r="27" spans="2:18">
      <c r="B27" s="631" t="s">
        <v>2470</v>
      </c>
      <c r="C27" s="632">
        <v>1</v>
      </c>
      <c r="D27" s="633">
        <v>301</v>
      </c>
      <c r="E27" s="634">
        <v>93743</v>
      </c>
      <c r="F27" s="635">
        <v>30686978350</v>
      </c>
      <c r="G27" s="636" t="str">
        <f>IFERROR(IF(compras_mes10[[#This Row],[CUIT]]="","-",VLOOKUP(compras_mes10[[#This Row],[CUIT]],Lista_CUIT[#All],2,0)),"CUIT NO CARGADO")</f>
        <v>SPEED BUSINESS S. A.</v>
      </c>
      <c r="H27" s="173">
        <v>14710.75</v>
      </c>
      <c r="I27" s="637">
        <f>IF(compras_mes10[[#This Row],[NETO GRAVADO]]="","",compras_mes10[[#This Row],[NETO GRAVADO]]*0.21)</f>
        <v>3089.2574999999997</v>
      </c>
      <c r="J27" s="689"/>
      <c r="K27" s="174"/>
      <c r="L27" s="174"/>
      <c r="M27" s="174"/>
      <c r="N27" s="174"/>
      <c r="O27" s="174"/>
      <c r="P27" s="638">
        <f>SUM(compras_mes10[[#This Row],[NETO GRAVADO]:[Otros / No Grav.]])</f>
        <v>17800.0075</v>
      </c>
      <c r="Q27" s="636" t="str">
        <f>IFERROR(IF(compras_mes10[[#This Row],[CUIT]]="","-",VLOOKUP(compras_mes10[[#This Row],[CUIT]],Lista_CUIT[#All],3,0)),"CUIT NO CARGADO")</f>
        <v>Gastos Comercializacion</v>
      </c>
      <c r="R27" s="639">
        <f>IFERROR(IF(compras_mes10[[#This Row],[CUIT]]="","-",VLOOKUP(compras_mes10[[#This Row],[CUIT]],Lista_CUIT[#All],4,0)),"CUIT NO CARGADO")</f>
        <v>0</v>
      </c>
    </row>
    <row r="28" spans="2:18">
      <c r="B28" s="631" t="s">
        <v>2489</v>
      </c>
      <c r="C28" s="632">
        <v>1</v>
      </c>
      <c r="D28" s="633">
        <v>4</v>
      </c>
      <c r="E28" s="634">
        <v>426</v>
      </c>
      <c r="F28" s="635">
        <v>30711509859</v>
      </c>
      <c r="G28" s="636" t="str">
        <f>IFERROR(IF(compras_mes10[[#This Row],[CUIT]]="","-",VLOOKUP(compras_mes10[[#This Row],[CUIT]],Lista_CUIT[#All],2,0)),"CUIT NO CARGADO")</f>
        <v>HOTELERA NEPTUNO MDP SOCIEDAD ANONIMA</v>
      </c>
      <c r="H28" s="173">
        <v>111570.25</v>
      </c>
      <c r="I28" s="637">
        <f>IF(compras_mes10[[#This Row],[NETO GRAVADO]]="","",compras_mes10[[#This Row],[NETO GRAVADO]]*0.21)</f>
        <v>23429.752499999999</v>
      </c>
      <c r="J28" s="689"/>
      <c r="K28" s="174"/>
      <c r="L28" s="174"/>
      <c r="M28" s="174"/>
      <c r="N28" s="174"/>
      <c r="O28" s="174"/>
      <c r="P28" s="638">
        <f>SUM(compras_mes10[[#This Row],[NETO GRAVADO]:[Otros / No Grav.]])</f>
        <v>135000.0025</v>
      </c>
      <c r="Q28" s="172" t="s">
        <v>2687</v>
      </c>
      <c r="R28" s="639">
        <f>IFERROR(IF(compras_mes10[[#This Row],[CUIT]]="","-",VLOOKUP(compras_mes10[[#This Row],[CUIT]],Lista_CUIT[#All],4,0)),"CUIT NO CARGADO")</f>
        <v>0</v>
      </c>
    </row>
    <row r="29" spans="2:18">
      <c r="B29" s="616" t="s">
        <v>2492</v>
      </c>
      <c r="C29" s="617">
        <v>1</v>
      </c>
      <c r="D29" s="618">
        <v>301</v>
      </c>
      <c r="E29" s="619">
        <v>95228</v>
      </c>
      <c r="F29" s="620">
        <v>30686978350</v>
      </c>
      <c r="G29" s="621" t="str">
        <f>IFERROR(IF(compras_mes10[[#This Row],[CUIT]]="","-",VLOOKUP(compras_mes10[[#This Row],[CUIT]],Lista_CUIT[#All],2,0)),"CUIT NO CARGADO")</f>
        <v>SPEED BUSINESS S. A.</v>
      </c>
      <c r="H29" s="46">
        <v>14289.26</v>
      </c>
      <c r="I29" s="623">
        <f>IF(compras_mes10[[#This Row],[NETO GRAVADO]]="","",compras_mes10[[#This Row],[NETO GRAVADO]]*0.21)</f>
        <v>3000.7446</v>
      </c>
      <c r="J29" s="690"/>
      <c r="K29" s="623"/>
      <c r="L29" s="623"/>
      <c r="M29" s="623"/>
      <c r="N29" s="623"/>
      <c r="O29" s="623"/>
      <c r="P29" s="624">
        <f>SUM(compras_mes10[[#This Row],[NETO GRAVADO]:[Otros / No Grav.]])</f>
        <v>17290.0046</v>
      </c>
      <c r="Q29" s="621" t="str">
        <f>IFERROR(IF(compras_mes10[[#This Row],[CUIT]]="","-",VLOOKUP(compras_mes10[[#This Row],[CUIT]],Lista_CUIT[#All],3,0)),"CUIT NO CARGADO")</f>
        <v>Gastos Comercializacion</v>
      </c>
      <c r="R29" s="625">
        <f>IFERROR(IF(compras_mes10[[#This Row],[CUIT]]="","-",VLOOKUP(compras_mes10[[#This Row],[CUIT]],Lista_CUIT[#All],4,0)),"CUIT NO CARGADO")</f>
        <v>0</v>
      </c>
    </row>
    <row r="30" spans="2:18">
      <c r="B30" s="631" t="s">
        <v>2479</v>
      </c>
      <c r="C30" s="632">
        <v>1</v>
      </c>
      <c r="D30" s="633">
        <v>1</v>
      </c>
      <c r="E30" s="634">
        <v>831</v>
      </c>
      <c r="F30" s="635">
        <v>20283847765</v>
      </c>
      <c r="G30" s="636" t="str">
        <f>IFERROR(IF(compras_mes10[[#This Row],[CUIT]]="","-",VLOOKUP(compras_mes10[[#This Row],[CUIT]],Lista_CUIT[#All],2,0)),"CUIT NO CARGADO")</f>
        <v>MEDINA JULIO RICARDO</v>
      </c>
      <c r="H30" s="173">
        <v>83305.759999999995</v>
      </c>
      <c r="I30" s="637">
        <f>IF(compras_mes10[[#This Row],[NETO GRAVADO]]="","",compras_mes10[[#This Row],[NETO GRAVADO]]*0.21)</f>
        <v>17494.209599999998</v>
      </c>
      <c r="J30" s="689"/>
      <c r="K30" s="174"/>
      <c r="L30" s="174"/>
      <c r="M30" s="174"/>
      <c r="N30" s="174"/>
      <c r="O30" s="174"/>
      <c r="P30" s="638">
        <f>SUM(compras_mes10[[#This Row],[NETO GRAVADO]:[Otros / No Grav.]])</f>
        <v>100799.9696</v>
      </c>
      <c r="Q30" s="172" t="s">
        <v>2687</v>
      </c>
      <c r="R30" s="639">
        <f>IFERROR(IF(compras_mes10[[#This Row],[CUIT]]="","-",VLOOKUP(compras_mes10[[#This Row],[CUIT]],Lista_CUIT[#All],4,0)),"CUIT NO CARGADO")</f>
        <v>0</v>
      </c>
    </row>
    <row r="31" spans="2:18">
      <c r="B31" s="631" t="s">
        <v>2498</v>
      </c>
      <c r="C31" s="632">
        <v>1</v>
      </c>
      <c r="D31" s="633">
        <v>11</v>
      </c>
      <c r="E31" s="634">
        <v>1061576</v>
      </c>
      <c r="F31" s="635">
        <v>33709585229</v>
      </c>
      <c r="G31" s="636" t="str">
        <f>IFERROR(IF(compras_mes10[[#This Row],[CUIT]]="","-",VLOOKUP(compras_mes10[[#This Row],[CUIT]],Lista_CUIT[#All],2,0)),"CUIT NO CARGADO")</f>
        <v>GOOGLE ARGENTINA S.R.L.</v>
      </c>
      <c r="H31" s="173">
        <v>36389.800000000003</v>
      </c>
      <c r="I31" s="637">
        <f>IF(compras_mes10[[#This Row],[NETO GRAVADO]]="","",compras_mes10[[#This Row],[NETO GRAVADO]]*0.21)</f>
        <v>7641.8580000000002</v>
      </c>
      <c r="J31" s="689"/>
      <c r="K31" s="174"/>
      <c r="L31" s="174"/>
      <c r="M31" s="174">
        <v>7453.54</v>
      </c>
      <c r="N31" s="174"/>
      <c r="O31" s="174">
        <v>1091.69</v>
      </c>
      <c r="P31" s="638">
        <f>SUM(compras_mes10[[#This Row],[NETO GRAVADO]:[Otros / No Grav.]])</f>
        <v>52576.888000000006</v>
      </c>
      <c r="Q31" s="636" t="str">
        <f>IFERROR(IF(compras_mes10[[#This Row],[CUIT]]="","-",VLOOKUP(compras_mes10[[#This Row],[CUIT]],Lista_CUIT[#All],3,0)),"CUIT NO CARGADO")</f>
        <v>Gastos Comercializacion</v>
      </c>
      <c r="R31" s="639">
        <f>IFERROR(IF(compras_mes10[[#This Row],[CUIT]]="","-",VLOOKUP(compras_mes10[[#This Row],[CUIT]],Lista_CUIT[#All],4,0)),"CUIT NO CARGADO")</f>
        <v>0</v>
      </c>
    </row>
    <row r="32" spans="2:18">
      <c r="B32" s="616" t="s">
        <v>2469</v>
      </c>
      <c r="C32" s="617">
        <v>1</v>
      </c>
      <c r="D32" s="618">
        <v>1</v>
      </c>
      <c r="E32" s="619">
        <v>801</v>
      </c>
      <c r="F32" s="620">
        <v>30715889486</v>
      </c>
      <c r="G32" s="621" t="str">
        <f>IFERROR(IF(compras_mes10[[#This Row],[CUIT]]="","-",VLOOKUP(compras_mes10[[#This Row],[CUIT]],Lista_CUIT[#All],2,0)),"CUIT NO CARGADO")</f>
        <v>EXPOESTETICA</v>
      </c>
      <c r="H32" s="46">
        <v>396000</v>
      </c>
      <c r="I32" s="623">
        <f>IF(compras_mes10[[#This Row],[NETO GRAVADO]]="","",compras_mes10[[#This Row],[NETO GRAVADO]]*0.21)</f>
        <v>83160</v>
      </c>
      <c r="J32" s="691"/>
      <c r="K32" s="85"/>
      <c r="L32" s="85"/>
      <c r="M32" s="85"/>
      <c r="N32" s="85"/>
      <c r="O32" s="85"/>
      <c r="P32" s="624">
        <f>SUM(compras_mes10[[#This Row],[NETO GRAVADO]:[Otros / No Grav.]])</f>
        <v>479160</v>
      </c>
      <c r="Q32" s="621" t="str">
        <f>IFERROR(IF(compras_mes10[[#This Row],[CUIT]]="","-",VLOOKUP(compras_mes10[[#This Row],[CUIT]],Lista_CUIT[#All],3,0)),"CUIT NO CARGADO")</f>
        <v>Gastos Comercializacion - Feria</v>
      </c>
      <c r="R32" s="625" t="str">
        <f>IFERROR(IF(compras_mes10[[#This Row],[CUIT]]="","-",VLOOKUP(compras_mes10[[#This Row],[CUIT]],Lista_CUIT[#All],4,0)),"CUIT NO CARGADO")</f>
        <v>BUENOS AIRES</v>
      </c>
    </row>
    <row r="33" spans="1:18" ht="15" customHeight="1">
      <c r="B33" s="631" t="s">
        <v>2470</v>
      </c>
      <c r="C33" s="632">
        <v>1</v>
      </c>
      <c r="D33" s="633">
        <v>14</v>
      </c>
      <c r="E33" s="634">
        <v>14310</v>
      </c>
      <c r="F33" s="635">
        <v>30715186256</v>
      </c>
      <c r="G33" s="636" t="str">
        <f>IFERROR(IF(compras_mes10[[#This Row],[CUIT]]="","-",VLOOKUP(compras_mes10[[#This Row],[CUIT]],Lista_CUIT[#All],2,0)),"CUIT NO CARGADO")</f>
        <v>FRIGORIFICO ALIMENTIC</v>
      </c>
      <c r="H33" s="173">
        <v>52243.73</v>
      </c>
      <c r="I33" s="637">
        <v>1958.38</v>
      </c>
      <c r="J33" s="689"/>
      <c r="K33" s="174">
        <v>4506.3999999999996</v>
      </c>
      <c r="L33" s="174"/>
      <c r="M33" s="174"/>
      <c r="N33" s="174"/>
      <c r="O33" s="174"/>
      <c r="P33" s="638">
        <f>SUM(compras_mes10[[#This Row],[NETO GRAVADO]:[Otros / No Grav.]])</f>
        <v>58708.51</v>
      </c>
      <c r="Q33" s="636" t="str">
        <f>IFERROR(IF(compras_mes10[[#This Row],[CUIT]]="","-",VLOOKUP(compras_mes10[[#This Row],[CUIT]],Lista_CUIT[#All],3,0)),"CUIT NO CARGADO")</f>
        <v>Gastos Comercializacion - Feria</v>
      </c>
      <c r="R33" s="639">
        <f>IFERROR(IF(compras_mes10[[#This Row],[CUIT]]="","-",VLOOKUP(compras_mes10[[#This Row],[CUIT]],Lista_CUIT[#All],4,0)),"CUIT NO CARGADO")</f>
        <v>0</v>
      </c>
    </row>
    <row r="34" spans="1:18">
      <c r="B34" s="631" t="s">
        <v>2477</v>
      </c>
      <c r="C34" s="632">
        <v>1</v>
      </c>
      <c r="D34" s="633">
        <v>14</v>
      </c>
      <c r="E34" s="634">
        <v>14486</v>
      </c>
      <c r="F34" s="635">
        <v>30715186256</v>
      </c>
      <c r="G34" s="636" t="str">
        <f>IFERROR(IF(compras_mes10[[#This Row],[CUIT]]="","-",VLOOKUP(compras_mes10[[#This Row],[CUIT]],Lista_CUIT[#All],2,0)),"CUIT NO CARGADO")</f>
        <v>FRIGORIFICO ALIMENTIC</v>
      </c>
      <c r="H34" s="173">
        <v>64126.37</v>
      </c>
      <c r="I34" s="637">
        <v>3146.7</v>
      </c>
      <c r="J34" s="692"/>
      <c r="K34" s="637">
        <v>5159.92</v>
      </c>
      <c r="L34" s="637"/>
      <c r="M34" s="637"/>
      <c r="N34" s="637"/>
      <c r="O34" s="637"/>
      <c r="P34" s="638">
        <f>SUM(compras_mes10[[#This Row],[NETO GRAVADO]:[Otros / No Grav.]])</f>
        <v>72432.990000000005</v>
      </c>
      <c r="Q34" s="636" t="str">
        <f>IFERROR(IF(compras_mes10[[#This Row],[CUIT]]="","-",VLOOKUP(compras_mes10[[#This Row],[CUIT]],Lista_CUIT[#All],3,0)),"CUIT NO CARGADO")</f>
        <v>Gastos Comercializacion - Feria</v>
      </c>
      <c r="R34" s="639">
        <f>IFERROR(IF(compras_mes10[[#This Row],[CUIT]]="","-",VLOOKUP(compras_mes10[[#This Row],[CUIT]],Lista_CUIT[#All],4,0)),"CUIT NO CARGADO")</f>
        <v>0</v>
      </c>
    </row>
    <row r="35" spans="1:18" ht="16.5" customHeight="1">
      <c r="B35" s="631" t="s">
        <v>2493</v>
      </c>
      <c r="C35" s="632">
        <v>1</v>
      </c>
      <c r="D35" s="633">
        <v>14</v>
      </c>
      <c r="E35" s="634">
        <v>14542</v>
      </c>
      <c r="F35" s="635">
        <v>30715186256</v>
      </c>
      <c r="G35" s="636" t="str">
        <f>IFERROR(IF(compras_mes10[[#This Row],[CUIT]]="","-",VLOOKUP(compras_mes10[[#This Row],[CUIT]],Lista_CUIT[#All],2,0)),"CUIT NO CARGADO")</f>
        <v>FRIGORIFICO ALIMENTIC</v>
      </c>
      <c r="H35" s="173">
        <v>61640.15</v>
      </c>
      <c r="I35" s="637">
        <v>2113.89</v>
      </c>
      <c r="J35" s="689"/>
      <c r="K35" s="174">
        <v>5415.27</v>
      </c>
      <c r="L35" s="174"/>
      <c r="M35" s="174"/>
      <c r="N35" s="174"/>
      <c r="O35" s="174"/>
      <c r="P35" s="638">
        <f>SUM(compras_mes10[[#This Row],[NETO GRAVADO]:[Otros / No Grav.]])</f>
        <v>69169.31</v>
      </c>
      <c r="Q35" s="636" t="str">
        <f>IFERROR(IF(compras_mes10[[#This Row],[CUIT]]="","-",VLOOKUP(compras_mes10[[#This Row],[CUIT]],Lista_CUIT[#All],3,0)),"CUIT NO CARGADO")</f>
        <v>Gastos Comercializacion - Feria</v>
      </c>
      <c r="R35" s="639">
        <f>IFERROR(IF(compras_mes10[[#This Row],[CUIT]]="","-",VLOOKUP(compras_mes10[[#This Row],[CUIT]],Lista_CUIT[#All],4,0)),"CUIT NO CARGADO")</f>
        <v>0</v>
      </c>
    </row>
    <row r="36" spans="1:18">
      <c r="B36" s="631" t="s">
        <v>2495</v>
      </c>
      <c r="C36" s="632">
        <v>1</v>
      </c>
      <c r="D36" s="633">
        <v>14</v>
      </c>
      <c r="E36" s="634">
        <v>14650</v>
      </c>
      <c r="F36" s="635">
        <v>30715186256</v>
      </c>
      <c r="G36" s="636" t="str">
        <f>IFERROR(IF(compras_mes10[[#This Row],[CUIT]]="","-",VLOOKUP(compras_mes10[[#This Row],[CUIT]],Lista_CUIT[#All],2,0)),"CUIT NO CARGADO")</f>
        <v>FRIGORIFICO ALIMENTIC</v>
      </c>
      <c r="H36" s="173">
        <v>53721.24</v>
      </c>
      <c r="I36" s="637"/>
      <c r="J36" s="689"/>
      <c r="K36" s="174">
        <v>5640.73</v>
      </c>
      <c r="L36" s="174"/>
      <c r="M36" s="174"/>
      <c r="N36" s="174"/>
      <c r="O36" s="174"/>
      <c r="P36" s="638">
        <f>SUM(compras_mes10[[#This Row],[NETO GRAVADO]:[Otros / No Grav.]])</f>
        <v>59361.97</v>
      </c>
      <c r="Q36" s="636" t="str">
        <f>IFERROR(IF(compras_mes10[[#This Row],[CUIT]]="","-",VLOOKUP(compras_mes10[[#This Row],[CUIT]],Lista_CUIT[#All],3,0)),"CUIT NO CARGADO")</f>
        <v>Gastos Comercializacion - Feria</v>
      </c>
      <c r="R36" s="639">
        <f>IFERROR(IF(compras_mes10[[#This Row],[CUIT]]="","-",VLOOKUP(compras_mes10[[#This Row],[CUIT]],Lista_CUIT[#All],4,0)),"CUIT NO CARGADO")</f>
        <v>0</v>
      </c>
    </row>
    <row r="37" spans="1:18">
      <c r="B37" s="631" t="s">
        <v>2477</v>
      </c>
      <c r="C37" s="632">
        <v>1</v>
      </c>
      <c r="D37" s="633">
        <v>113</v>
      </c>
      <c r="E37" s="634">
        <v>3857550</v>
      </c>
      <c r="F37" s="635">
        <v>30577207190</v>
      </c>
      <c r="G37" s="636" t="str">
        <f>IFERROR(IF(compras_mes10[[#This Row],[CUIT]]="","-",VLOOKUP(compras_mes10[[#This Row],[CUIT]],Lista_CUIT[#All],2,0)),"CUIT NO CARGADO")</f>
        <v>COORDINACION ECOLOGICA AREA METROPOLITANA SOCIEDAD DEL ESTADO</v>
      </c>
      <c r="H37" s="173">
        <v>5960.33</v>
      </c>
      <c r="I37" s="637">
        <f>IF(compras_mes10[[#This Row],[NETO GRAVADO]]="","",compras_mes10[[#This Row],[NETO GRAVADO]]*0.21)</f>
        <v>1251.6693</v>
      </c>
      <c r="J37" s="689"/>
      <c r="K37" s="174"/>
      <c r="L37" s="174">
        <v>178.81</v>
      </c>
      <c r="M37" s="174"/>
      <c r="N37" s="174"/>
      <c r="O37" s="174"/>
      <c r="P37" s="638">
        <f>SUM(compras_mes10[[#This Row],[NETO GRAVADO]:[Otros / No Grav.]])</f>
        <v>7390.8092999999999</v>
      </c>
      <c r="Q37" s="636" t="str">
        <f>IFERROR(IF(compras_mes10[[#This Row],[CUIT]]="","-",VLOOKUP(compras_mes10[[#This Row],[CUIT]],Lista_CUIT[#All],3,0)),"CUIT NO CARGADO")</f>
        <v>Gastos Limpieza</v>
      </c>
      <c r="R37" s="639">
        <f>IFERROR(IF(compras_mes10[[#This Row],[CUIT]]="","-",VLOOKUP(compras_mes10[[#This Row],[CUIT]],Lista_CUIT[#All],4,0)),"CUIT NO CARGADO")</f>
        <v>0</v>
      </c>
    </row>
    <row r="38" spans="1:18" s="127" customFormat="1">
      <c r="A38" s="128"/>
      <c r="B38" s="616" t="s">
        <v>2479</v>
      </c>
      <c r="C38" s="617">
        <v>1</v>
      </c>
      <c r="D38" s="618">
        <v>4</v>
      </c>
      <c r="E38" s="619">
        <v>1809</v>
      </c>
      <c r="F38" s="620">
        <v>20139147724</v>
      </c>
      <c r="G38" s="621" t="str">
        <f>IFERROR(IF(compras_mes10[[#This Row],[CUIT]]="","-",VLOOKUP(compras_mes10[[#This Row],[CUIT]],Lista_CUIT[#All],2,0)),"CUIT NO CARGADO")</f>
        <v>ANSELMI GABRIEL SERGIO</v>
      </c>
      <c r="H38" s="46">
        <v>329446.57</v>
      </c>
      <c r="I38" s="623">
        <f>IF(compras_mes10[[#This Row],[NETO GRAVADO]]="","",compras_mes10[[#This Row],[NETO GRAVADO]]*0.21)</f>
        <v>69183.779699999999</v>
      </c>
      <c r="J38" s="691"/>
      <c r="K38" s="85"/>
      <c r="L38" s="85"/>
      <c r="M38" s="85"/>
      <c r="N38" s="85"/>
      <c r="O38" s="85"/>
      <c r="P38" s="624">
        <f>SUM(compras_mes10[[#This Row],[NETO GRAVADO]:[Otros / No Grav.]])</f>
        <v>398630.34970000002</v>
      </c>
      <c r="Q38" s="621" t="str">
        <f>IFERROR(IF(compras_mes10[[#This Row],[CUIT]]="","-",VLOOKUP(compras_mes10[[#This Row],[CUIT]],Lista_CUIT[#All],3,0)),"CUIT NO CARGADO")</f>
        <v>Gastos Limpieza</v>
      </c>
      <c r="R38" s="625">
        <f>IFERROR(IF(compras_mes10[[#This Row],[CUIT]]="","-",VLOOKUP(compras_mes10[[#This Row],[CUIT]],Lista_CUIT[#All],4,0)),"CUIT NO CARGADO")</f>
        <v>0</v>
      </c>
    </row>
    <row r="39" spans="1:18" s="127" customFormat="1">
      <c r="A39" s="128"/>
      <c r="B39" s="631" t="s">
        <v>2481</v>
      </c>
      <c r="C39" s="632">
        <v>1</v>
      </c>
      <c r="D39" s="633">
        <v>14</v>
      </c>
      <c r="E39" s="634">
        <v>566</v>
      </c>
      <c r="F39" s="635">
        <v>30709773522</v>
      </c>
      <c r="G39" s="636" t="str">
        <f>IFERROR(IF(compras_mes10[[#This Row],[CUIT]]="","-",VLOOKUP(compras_mes10[[#This Row],[CUIT]],Lista_CUIT[#All],2,0)),"CUIT NO CARGADO")</f>
        <v>PUNTO TRES SRL</v>
      </c>
      <c r="H39" s="173">
        <v>19710.740000000002</v>
      </c>
      <c r="I39" s="637">
        <f>IF(compras_mes10[[#This Row],[NETO GRAVADO]]="","",compras_mes10[[#This Row],[NETO GRAVADO]]*0.21)</f>
        <v>4139.2554</v>
      </c>
      <c r="J39" s="689"/>
      <c r="K39" s="174"/>
      <c r="L39" s="174"/>
      <c r="M39" s="174"/>
      <c r="N39" s="174"/>
      <c r="O39" s="174"/>
      <c r="P39" s="638">
        <f>SUM(compras_mes10[[#This Row],[NETO GRAVADO]:[Otros / No Grav.]])</f>
        <v>23849.9954</v>
      </c>
      <c r="Q39" s="636" t="str">
        <f>IFERROR(IF(compras_mes10[[#This Row],[CUIT]]="","-",VLOOKUP(compras_mes10[[#This Row],[CUIT]],Lista_CUIT[#All],3,0)),"CUIT NO CARGADO")</f>
        <v>Gastos Limpieza</v>
      </c>
      <c r="R39" s="639">
        <f>IFERROR(IF(compras_mes10[[#This Row],[CUIT]]="","-",VLOOKUP(compras_mes10[[#This Row],[CUIT]],Lista_CUIT[#All],4,0)),"CUIT NO CARGADO")</f>
        <v>0</v>
      </c>
    </row>
    <row r="40" spans="1:18" s="128" customFormat="1">
      <c r="B40" s="631" t="s">
        <v>2498</v>
      </c>
      <c r="C40" s="632">
        <v>1</v>
      </c>
      <c r="D40" s="633">
        <v>113</v>
      </c>
      <c r="E40" s="634">
        <v>3885428</v>
      </c>
      <c r="F40" s="635">
        <v>30577207190</v>
      </c>
      <c r="G40" s="636" t="str">
        <f>IFERROR(IF(compras_mes10[[#This Row],[CUIT]]="","-",VLOOKUP(compras_mes10[[#This Row],[CUIT]],Lista_CUIT[#All],2,0)),"CUIT NO CARGADO")</f>
        <v>COORDINACION ECOLOGICA AREA METROPOLITANA SOCIEDAD DEL ESTADO</v>
      </c>
      <c r="H40" s="173">
        <v>6952.07</v>
      </c>
      <c r="I40" s="637">
        <f>IF(compras_mes10[[#This Row],[NETO GRAVADO]]="","",compras_mes10[[#This Row],[NETO GRAVADO]]*0.21)</f>
        <v>1459.9346999999998</v>
      </c>
      <c r="J40" s="689"/>
      <c r="K40" s="174"/>
      <c r="L40" s="174">
        <v>208.56</v>
      </c>
      <c r="M40" s="174"/>
      <c r="N40" s="174"/>
      <c r="O40" s="174"/>
      <c r="P40" s="638">
        <f>SUM(compras_mes10[[#This Row],[NETO GRAVADO]:[Otros / No Grav.]])</f>
        <v>8620.564699999999</v>
      </c>
      <c r="Q40" s="636" t="str">
        <f>IFERROR(IF(compras_mes10[[#This Row],[CUIT]]="","-",VLOOKUP(compras_mes10[[#This Row],[CUIT]],Lista_CUIT[#All],3,0)),"CUIT NO CARGADO")</f>
        <v>Gastos Limpieza</v>
      </c>
      <c r="R40" s="639">
        <f>IFERROR(IF(compras_mes10[[#This Row],[CUIT]]="","-",VLOOKUP(compras_mes10[[#This Row],[CUIT]],Lista_CUIT[#All],4,0)),"CUIT NO CARGADO")</f>
        <v>0</v>
      </c>
    </row>
    <row r="41" spans="1:18">
      <c r="A41" s="128"/>
      <c r="B41" s="616" t="s">
        <v>2498</v>
      </c>
      <c r="C41" s="617">
        <v>1</v>
      </c>
      <c r="D41" s="618">
        <v>10</v>
      </c>
      <c r="E41" s="619">
        <v>37589</v>
      </c>
      <c r="F41" s="620">
        <v>20357275882</v>
      </c>
      <c r="G41" s="621" t="str">
        <f>IFERROR(IF(compras_mes10[[#This Row],[CUIT]]="","-",VLOOKUP(compras_mes10[[#This Row],[CUIT]],Lista_CUIT[#All],2,0)),"CUIT NO CARGADO")</f>
        <v>ANTEDORO JEREMIAS FABIAN</v>
      </c>
      <c r="H41" s="46">
        <v>29677.69</v>
      </c>
      <c r="I41" s="623">
        <f>IF(compras_mes10[[#This Row],[NETO GRAVADO]]="","",compras_mes10[[#This Row],[NETO GRAVADO]]*0.21)</f>
        <v>6232.3148999999994</v>
      </c>
      <c r="J41" s="691"/>
      <c r="K41" s="85"/>
      <c r="L41" s="85"/>
      <c r="M41" s="85"/>
      <c r="N41" s="85"/>
      <c r="O41" s="85"/>
      <c r="P41" s="624">
        <f>SUM(compras_mes10[[#This Row],[NETO GRAVADO]:[Otros / No Grav.]])</f>
        <v>35910.0049</v>
      </c>
      <c r="Q41" s="621" t="str">
        <f>IFERROR(IF(compras_mes10[[#This Row],[CUIT]]="","-",VLOOKUP(compras_mes10[[#This Row],[CUIT]],Lista_CUIT[#All],3,0)),"CUIT NO CARGADO")</f>
        <v>Gastos Limpieza</v>
      </c>
      <c r="R41" s="625">
        <f>IFERROR(IF(compras_mes10[[#This Row],[CUIT]]="","-",VLOOKUP(compras_mes10[[#This Row],[CUIT]],Lista_CUIT[#All],4,0)),"CUIT NO CARGADO")</f>
        <v>0</v>
      </c>
    </row>
    <row r="42" spans="1:18">
      <c r="A42" s="128"/>
      <c r="B42" s="631" t="s">
        <v>2483</v>
      </c>
      <c r="C42" s="632">
        <v>1</v>
      </c>
      <c r="D42" s="633">
        <v>5</v>
      </c>
      <c r="E42" s="634">
        <v>11581</v>
      </c>
      <c r="F42" s="635">
        <v>30717970787</v>
      </c>
      <c r="G42" s="636" t="str">
        <f>IFERROR(IF(compras_mes10[[#This Row],[CUIT]]="","-",VLOOKUP(compras_mes10[[#This Row],[CUIT]],Lista_CUIT[#All],2,0)),"CUIT NO CARGADO")</f>
        <v>CIUDAD DE JUEGOS S. R. L.</v>
      </c>
      <c r="H42" s="173">
        <v>28306.78</v>
      </c>
      <c r="I42" s="637"/>
      <c r="J42" s="692"/>
      <c r="K42" s="637">
        <f>compras_mes10[[#This Row],[NETO GRAVADO]]*0.105</f>
        <v>2972.2118999999998</v>
      </c>
      <c r="L42" s="637"/>
      <c r="M42" s="637"/>
      <c r="N42" s="637"/>
      <c r="O42" s="637"/>
      <c r="P42" s="638">
        <f>SUM(compras_mes10[[#This Row],[NETO GRAVADO]:[Otros / No Grav.]])</f>
        <v>31278.991899999997</v>
      </c>
      <c r="Q42" s="636" t="str">
        <f>IFERROR(IF(compras_mes10[[#This Row],[CUIT]]="","-",VLOOKUP(compras_mes10[[#This Row],[CUIT]],Lista_CUIT[#All],3,0)),"CUIT NO CARGADO")</f>
        <v>Gastos Oficina</v>
      </c>
      <c r="R42" s="639">
        <f>IFERROR(IF(compras_mes10[[#This Row],[CUIT]]="","-",VLOOKUP(compras_mes10[[#This Row],[CUIT]],Lista_CUIT[#All],4,0)),"CUIT NO CARGADO")</f>
        <v>0</v>
      </c>
    </row>
    <row r="43" spans="1:18">
      <c r="A43" s="128"/>
      <c r="B43" s="631" t="s">
        <v>2469</v>
      </c>
      <c r="C43" s="632">
        <v>1</v>
      </c>
      <c r="D43" s="633">
        <v>11</v>
      </c>
      <c r="E43" s="634">
        <v>2417</v>
      </c>
      <c r="F43" s="635">
        <v>20331496643</v>
      </c>
      <c r="G43" s="636" t="str">
        <f>IFERROR(IF(compras_mes10[[#This Row],[CUIT]]="","-",VLOOKUP(compras_mes10[[#This Row],[CUIT]],Lista_CUIT[#All],2,0)),"CUIT NO CARGADO")</f>
        <v>MARZANO OSVALDO MATIAS</v>
      </c>
      <c r="H43" s="173">
        <v>63401.599999999999</v>
      </c>
      <c r="I43" s="637">
        <f>IF(compras_mes10[[#This Row],[NETO GRAVADO]]="","",compras_mes10[[#This Row],[NETO GRAVADO]]*0.21)</f>
        <v>13314.335999999999</v>
      </c>
      <c r="J43" s="689"/>
      <c r="K43" s="174"/>
      <c r="L43" s="174"/>
      <c r="M43" s="174"/>
      <c r="N43" s="174"/>
      <c r="O43" s="174"/>
      <c r="P43" s="638">
        <f>SUM(compras_mes10[[#This Row],[NETO GRAVADO]:[Otros / No Grav.]])</f>
        <v>76715.936000000002</v>
      </c>
      <c r="Q43" s="636" t="str">
        <f>IFERROR(IF(compras_mes10[[#This Row],[CUIT]]="","-",VLOOKUP(compras_mes10[[#This Row],[CUIT]],Lista_CUIT[#All],3,0)),"CUIT NO CARGADO")</f>
        <v>Gastos Varios</v>
      </c>
      <c r="R43" s="639">
        <f>IFERROR(IF(compras_mes10[[#This Row],[CUIT]]="","-",VLOOKUP(compras_mes10[[#This Row],[CUIT]],Lista_CUIT[#All],4,0)),"CUIT NO CARGADO")</f>
        <v>0</v>
      </c>
    </row>
    <row r="44" spans="1:18">
      <c r="A44" s="128"/>
      <c r="B44" s="631" t="s">
        <v>2470</v>
      </c>
      <c r="C44" s="632">
        <v>1</v>
      </c>
      <c r="D44" s="633">
        <v>5</v>
      </c>
      <c r="E44" s="634">
        <v>5366</v>
      </c>
      <c r="F44" s="635">
        <v>30708558792</v>
      </c>
      <c r="G44" s="636" t="str">
        <f>IFERROR(IF(compras_mes10[[#This Row],[CUIT]]="","-",VLOOKUP(compras_mes10[[#This Row],[CUIT]],Lista_CUIT[#All],2,0)),"CUIT NO CARGADO")</f>
        <v>MYL TRANSFORMADORES S.A</v>
      </c>
      <c r="H44" s="173">
        <v>5537.19</v>
      </c>
      <c r="I44" s="637">
        <f>IF(compras_mes10[[#This Row],[NETO GRAVADO]]="","",compras_mes10[[#This Row],[NETO GRAVADO]]*0.21)</f>
        <v>1162.8099</v>
      </c>
      <c r="J44" s="689"/>
      <c r="K44" s="174"/>
      <c r="L44" s="174"/>
      <c r="M44" s="174"/>
      <c r="N44" s="174"/>
      <c r="O44" s="174"/>
      <c r="P44" s="638">
        <f>SUM(compras_mes10[[#This Row],[NETO GRAVADO]:[Otros / No Grav.]])</f>
        <v>6699.9998999999998</v>
      </c>
      <c r="Q44" s="636" t="str">
        <f>IFERROR(IF(compras_mes10[[#This Row],[CUIT]]="","-",VLOOKUP(compras_mes10[[#This Row],[CUIT]],Lista_CUIT[#All],3,0)),"CUIT NO CARGADO")</f>
        <v>Gastos Varios</v>
      </c>
      <c r="R44" s="639">
        <f>IFERROR(IF(compras_mes10[[#This Row],[CUIT]]="","-",VLOOKUP(compras_mes10[[#This Row],[CUIT]],Lista_CUIT[#All],4,0)),"CUIT NO CARGADO")</f>
        <v>0</v>
      </c>
    </row>
    <row r="45" spans="1:18" ht="15" customHeight="1">
      <c r="A45" s="128"/>
      <c r="B45" s="616" t="s">
        <v>2470</v>
      </c>
      <c r="C45" s="617">
        <v>1</v>
      </c>
      <c r="D45" s="618">
        <v>15</v>
      </c>
      <c r="E45" s="619">
        <v>75533</v>
      </c>
      <c r="F45" s="620">
        <v>33708907869</v>
      </c>
      <c r="G45" s="621" t="str">
        <f>IFERROR(IF(compras_mes10[[#This Row],[CUIT]]="","-",VLOOKUP(compras_mes10[[#This Row],[CUIT]],Lista_CUIT[#All],2,0)),"CUIT NO CARGADO")</f>
        <v>SERCAP INSUMOS SRL</v>
      </c>
      <c r="H45" s="46">
        <v>196988.43</v>
      </c>
      <c r="I45" s="623">
        <f>IF(compras_mes10[[#This Row],[NETO GRAVADO]]="","",compras_mes10[[#This Row],[NETO GRAVADO]]*0.21)</f>
        <v>41367.570299999999</v>
      </c>
      <c r="J45" s="691"/>
      <c r="K45" s="85"/>
      <c r="L45" s="85"/>
      <c r="M45" s="85"/>
      <c r="N45" s="85"/>
      <c r="O45" s="85"/>
      <c r="P45" s="624">
        <f>SUM(compras_mes10[[#This Row],[NETO GRAVADO]:[Otros / No Grav.]])</f>
        <v>238356.00029999999</v>
      </c>
      <c r="Q45" s="45" t="s">
        <v>79</v>
      </c>
      <c r="R45" s="625">
        <f>IFERROR(IF(compras_mes10[[#This Row],[CUIT]]="","-",VLOOKUP(compras_mes10[[#This Row],[CUIT]],Lista_CUIT[#All],4,0)),"CUIT NO CARGADO")</f>
        <v>0</v>
      </c>
    </row>
    <row r="46" spans="1:18" s="127" customFormat="1">
      <c r="A46" s="128"/>
      <c r="B46" s="631" t="s">
        <v>2472</v>
      </c>
      <c r="C46" s="632">
        <v>1</v>
      </c>
      <c r="D46" s="633">
        <v>11</v>
      </c>
      <c r="E46" s="634">
        <v>9427</v>
      </c>
      <c r="F46" s="635">
        <v>30717193926</v>
      </c>
      <c r="G46" s="636" t="str">
        <f>IFERROR(IF(compras_mes10[[#This Row],[CUIT]]="","-",VLOOKUP(compras_mes10[[#This Row],[CUIT]],Lista_CUIT[#All],2,0)),"CUIT NO CARGADO")</f>
        <v>WORLD ONE TRADE</v>
      </c>
      <c r="H46" s="173">
        <v>45782.3</v>
      </c>
      <c r="I46" s="637">
        <f>IF(compras_mes10[[#This Row],[NETO GRAVADO]]="","",compras_mes10[[#This Row],[NETO GRAVADO]]*0.21)</f>
        <v>9614.2829999999994</v>
      </c>
      <c r="J46" s="689"/>
      <c r="K46" s="174"/>
      <c r="L46" s="174"/>
      <c r="M46" s="174"/>
      <c r="N46" s="174"/>
      <c r="O46" s="174"/>
      <c r="P46" s="638">
        <f>SUM(compras_mes10[[#This Row],[NETO GRAVADO]:[Otros / No Grav.]])</f>
        <v>55396.582999999999</v>
      </c>
      <c r="Q46" s="636" t="str">
        <f>IFERROR(IF(compras_mes10[[#This Row],[CUIT]]="","-",VLOOKUP(compras_mes10[[#This Row],[CUIT]],Lista_CUIT[#All],3,0)),"CUIT NO CARGADO")</f>
        <v>Gastos Varios</v>
      </c>
      <c r="R46" s="639">
        <f>IFERROR(IF(compras_mes10[[#This Row],[CUIT]]="","-",VLOOKUP(compras_mes10[[#This Row],[CUIT]],Lista_CUIT[#All],4,0)),"CUIT NO CARGADO")</f>
        <v>0</v>
      </c>
    </row>
    <row r="47" spans="1:18" ht="15.75" customHeight="1">
      <c r="A47" s="128"/>
      <c r="B47" s="631" t="s">
        <v>2472</v>
      </c>
      <c r="C47" s="632">
        <v>1</v>
      </c>
      <c r="D47" s="633">
        <v>11</v>
      </c>
      <c r="E47" s="634">
        <v>9521</v>
      </c>
      <c r="F47" s="635">
        <v>30717193926</v>
      </c>
      <c r="G47" s="636" t="str">
        <f>IFERROR(IF(compras_mes10[[#This Row],[CUIT]]="","-",VLOOKUP(compras_mes10[[#This Row],[CUIT]],Lista_CUIT[#All],2,0)),"CUIT NO CARGADO")</f>
        <v>WORLD ONE TRADE</v>
      </c>
      <c r="H47" s="173">
        <v>45782.3</v>
      </c>
      <c r="I47" s="637">
        <f>IF(compras_mes10[[#This Row],[NETO GRAVADO]]="","",compras_mes10[[#This Row],[NETO GRAVADO]]*0.21)</f>
        <v>9614.2829999999994</v>
      </c>
      <c r="J47" s="689"/>
      <c r="K47" s="174"/>
      <c r="L47" s="174"/>
      <c r="M47" s="174"/>
      <c r="N47" s="174"/>
      <c r="O47" s="174"/>
      <c r="P47" s="638">
        <f>SUM(compras_mes10[[#This Row],[NETO GRAVADO]:[Otros / No Grav.]])</f>
        <v>55396.582999999999</v>
      </c>
      <c r="Q47" s="636" t="str">
        <f>IFERROR(IF(compras_mes10[[#This Row],[CUIT]]="","-",VLOOKUP(compras_mes10[[#This Row],[CUIT]],Lista_CUIT[#All],3,0)),"CUIT NO CARGADO")</f>
        <v>Gastos Varios</v>
      </c>
      <c r="R47" s="639">
        <f>IFERROR(IF(compras_mes10[[#This Row],[CUIT]]="","-",VLOOKUP(compras_mes10[[#This Row],[CUIT]],Lista_CUIT[#All],4,0)),"CUIT NO CARGADO")</f>
        <v>0</v>
      </c>
    </row>
    <row r="48" spans="1:18" ht="15.75" customHeight="1">
      <c r="A48" s="128"/>
      <c r="B48" s="631" t="s">
        <v>2472</v>
      </c>
      <c r="C48" s="632">
        <v>1</v>
      </c>
      <c r="D48" s="633">
        <v>2188</v>
      </c>
      <c r="E48" s="634">
        <v>131319</v>
      </c>
      <c r="F48" s="635">
        <v>30548083156</v>
      </c>
      <c r="G48" s="636" t="str">
        <f>IFERROR(IF(compras_mes10[[#This Row],[CUIT]]="","-",VLOOKUP(compras_mes10[[#This Row],[CUIT]],Lista_CUIT[#All],2,0)),"CUIT NO CARGADO")</f>
        <v>COTO CENTRO INTEGRAL DE COMERCIALIZACION SOCIEDAD ANONIMA</v>
      </c>
      <c r="H48" s="173">
        <v>78798.86</v>
      </c>
      <c r="I48" s="637">
        <v>13398.61</v>
      </c>
      <c r="J48" s="689"/>
      <c r="K48" s="174">
        <v>1574.58</v>
      </c>
      <c r="L48" s="174"/>
      <c r="M48" s="174"/>
      <c r="N48" s="174"/>
      <c r="O48" s="174">
        <v>6465.79</v>
      </c>
      <c r="P48" s="638">
        <f>SUM(compras_mes10[[#This Row],[NETO GRAVADO]:[Otros / No Grav.]])</f>
        <v>100237.84</v>
      </c>
      <c r="Q48" s="636" t="str">
        <f>IFERROR(IF(compras_mes10[[#This Row],[CUIT]]="","-",VLOOKUP(compras_mes10[[#This Row],[CUIT]],Lista_CUIT[#All],3,0)),"CUIT NO CARGADO")</f>
        <v>Gastos Varios</v>
      </c>
      <c r="R48" s="639">
        <f>IFERROR(IF(compras_mes10[[#This Row],[CUIT]]="","-",VLOOKUP(compras_mes10[[#This Row],[CUIT]],Lista_CUIT[#All],4,0)),"CUIT NO CARGADO")</f>
        <v>0</v>
      </c>
    </row>
    <row r="49" spans="1:18" s="128" customFormat="1">
      <c r="B49" s="631" t="s">
        <v>2472</v>
      </c>
      <c r="C49" s="632">
        <v>1</v>
      </c>
      <c r="D49" s="633">
        <v>2215</v>
      </c>
      <c r="E49" s="634">
        <v>47146</v>
      </c>
      <c r="F49" s="635">
        <v>30548083156</v>
      </c>
      <c r="G49" s="636" t="str">
        <f>IFERROR(IF(compras_mes10[[#This Row],[CUIT]]="","-",VLOOKUP(compras_mes10[[#This Row],[CUIT]],Lista_CUIT[#All],2,0)),"CUIT NO CARGADO")</f>
        <v>COTO CENTRO INTEGRAL DE COMERCIALIZACION SOCIEDAD ANONIMA</v>
      </c>
      <c r="H49" s="173">
        <v>56670.02</v>
      </c>
      <c r="I49" s="637">
        <f>IF(compras_mes10[[#This Row],[NETO GRAVADO]]="","",compras_mes10[[#This Row],[NETO GRAVADO]]*0.21)</f>
        <v>11900.704199999998</v>
      </c>
      <c r="J49" s="689"/>
      <c r="K49" s="174"/>
      <c r="L49" s="174"/>
      <c r="M49" s="174"/>
      <c r="N49" s="174"/>
      <c r="O49" s="174">
        <v>5100.3</v>
      </c>
      <c r="P49" s="638">
        <f>SUM(compras_mes10[[#This Row],[NETO GRAVADO]:[Otros / No Grav.]])</f>
        <v>73671.0242</v>
      </c>
      <c r="Q49" s="636" t="str">
        <f>IFERROR(IF(compras_mes10[[#This Row],[CUIT]]="","-",VLOOKUP(compras_mes10[[#This Row],[CUIT]],Lista_CUIT[#All],3,0)),"CUIT NO CARGADO")</f>
        <v>Gastos Varios</v>
      </c>
      <c r="R49" s="639">
        <f>IFERROR(IF(compras_mes10[[#This Row],[CUIT]]="","-",VLOOKUP(compras_mes10[[#This Row],[CUIT]],Lista_CUIT[#All],4,0)),"CUIT NO CARGADO")</f>
        <v>0</v>
      </c>
    </row>
    <row r="50" spans="1:18" s="128" customFormat="1">
      <c r="B50" s="631" t="s">
        <v>2487</v>
      </c>
      <c r="C50" s="632">
        <v>1</v>
      </c>
      <c r="D50" s="633">
        <v>2199</v>
      </c>
      <c r="E50" s="634">
        <v>32369</v>
      </c>
      <c r="F50" s="635">
        <v>30548083156</v>
      </c>
      <c r="G50" s="636" t="str">
        <f>IFERROR(IF(compras_mes10[[#This Row],[CUIT]]="","-",VLOOKUP(compras_mes10[[#This Row],[CUIT]],Lista_CUIT[#All],2,0)),"CUIT NO CARGADO")</f>
        <v>COTO CENTRO INTEGRAL DE COMERCIALIZACION SOCIEDAD ANONIMA</v>
      </c>
      <c r="H50" s="173">
        <v>37634.46</v>
      </c>
      <c r="I50" s="637">
        <v>6031.91</v>
      </c>
      <c r="J50" s="689"/>
      <c r="K50" s="174">
        <v>935.66</v>
      </c>
      <c r="L50" s="174"/>
      <c r="M50" s="174"/>
      <c r="N50" s="174"/>
      <c r="O50" s="174">
        <v>2712.84</v>
      </c>
      <c r="P50" s="638">
        <f>SUM(compras_mes10[[#This Row],[NETO GRAVADO]:[Otros / No Grav.]])</f>
        <v>47314.869999999995</v>
      </c>
      <c r="Q50" s="636" t="str">
        <f>IFERROR(IF(compras_mes10[[#This Row],[CUIT]]="","-",VLOOKUP(compras_mes10[[#This Row],[CUIT]],Lista_CUIT[#All],3,0)),"CUIT NO CARGADO")</f>
        <v>Gastos Varios</v>
      </c>
      <c r="R50" s="639">
        <f>IFERROR(IF(compras_mes10[[#This Row],[CUIT]]="","-",VLOOKUP(compras_mes10[[#This Row],[CUIT]],Lista_CUIT[#All],4,0)),"CUIT NO CARGADO")</f>
        <v>0</v>
      </c>
    </row>
    <row r="51" spans="1:18" s="128" customFormat="1">
      <c r="B51" s="631" t="s">
        <v>2473</v>
      </c>
      <c r="C51" s="632">
        <v>1</v>
      </c>
      <c r="D51" s="633">
        <v>2001</v>
      </c>
      <c r="E51" s="634">
        <v>1207</v>
      </c>
      <c r="F51" s="635">
        <v>30712289046</v>
      </c>
      <c r="G51" s="636" t="str">
        <f>IFERROR(IF(compras_mes10[[#This Row],[CUIT]]="","-",VLOOKUP(compras_mes10[[#This Row],[CUIT]],Lista_CUIT[#All],2,0)),"CUIT NO CARGADO")</f>
        <v>IMPIERI PIÑEIRO RIZZO Y ASOC SA</v>
      </c>
      <c r="H51" s="173">
        <v>8409.75</v>
      </c>
      <c r="I51" s="637">
        <f>IF(compras_mes10[[#This Row],[NETO GRAVADO]]="","",compras_mes10[[#This Row],[NETO GRAVADO]]*0.21)</f>
        <v>1766.0474999999999</v>
      </c>
      <c r="J51" s="689"/>
      <c r="K51" s="174"/>
      <c r="L51" s="174"/>
      <c r="M51" s="174"/>
      <c r="N51" s="174"/>
      <c r="O51" s="174">
        <v>1824.24</v>
      </c>
      <c r="P51" s="638">
        <f>SUM(compras_mes10[[#This Row],[NETO GRAVADO]:[Otros / No Grav.]])</f>
        <v>12000.0375</v>
      </c>
      <c r="Q51" s="636" t="str">
        <f>IFERROR(IF(compras_mes10[[#This Row],[CUIT]]="","-",VLOOKUP(compras_mes10[[#This Row],[CUIT]],Lista_CUIT[#All],3,0)),"CUIT NO CARGADO")</f>
        <v>Gastos Varios</v>
      </c>
      <c r="R51" s="639">
        <f>IFERROR(IF(compras_mes10[[#This Row],[CUIT]]="","-",VLOOKUP(compras_mes10[[#This Row],[CUIT]],Lista_CUIT[#All],4,0)),"CUIT NO CARGADO")</f>
        <v>0</v>
      </c>
    </row>
    <row r="52" spans="1:18">
      <c r="A52" s="128"/>
      <c r="B52" s="631" t="s">
        <v>2474</v>
      </c>
      <c r="C52" s="632">
        <v>1</v>
      </c>
      <c r="D52" s="633">
        <v>1678</v>
      </c>
      <c r="E52" s="634">
        <v>47490</v>
      </c>
      <c r="F52" s="635">
        <v>30589621499</v>
      </c>
      <c r="G52" s="636" t="str">
        <f>IFERROR(IF(compras_mes10[[#This Row],[CUIT]]="","-",VLOOKUP(compras_mes10[[#This Row],[CUIT]],Lista_CUIT[#All],2,0)),"CUIT NO CARGADO")</f>
        <v>MAKRO SA</v>
      </c>
      <c r="H52" s="173">
        <v>56469.54</v>
      </c>
      <c r="I52" s="637">
        <f>IF(compras_mes10[[#This Row],[NETO GRAVADO]]="","",compras_mes10[[#This Row],[NETO GRAVADO]]*0.21)</f>
        <v>11858.6034</v>
      </c>
      <c r="J52" s="689"/>
      <c r="K52" s="174"/>
      <c r="L52" s="174">
        <v>1694.09</v>
      </c>
      <c r="M52" s="174"/>
      <c r="N52" s="174">
        <v>3388.17</v>
      </c>
      <c r="O52" s="174"/>
      <c r="P52" s="638">
        <f>SUM(compras_mes10[[#This Row],[NETO GRAVADO]:[Otros / No Grav.]])</f>
        <v>73410.403399999996</v>
      </c>
      <c r="Q52" s="636" t="str">
        <f>IFERROR(IF(compras_mes10[[#This Row],[CUIT]]="","-",VLOOKUP(compras_mes10[[#This Row],[CUIT]],Lista_CUIT[#All],3,0)),"CUIT NO CARGADO")</f>
        <v>Gastos Varios</v>
      </c>
      <c r="R52" s="639">
        <f>IFERROR(IF(compras_mes10[[#This Row],[CUIT]]="","-",VLOOKUP(compras_mes10[[#This Row],[CUIT]],Lista_CUIT[#All],4,0)),"CUIT NO CARGADO")</f>
        <v>0</v>
      </c>
    </row>
    <row r="53" spans="1:18">
      <c r="A53" s="128"/>
      <c r="B53" s="631" t="s">
        <v>2474</v>
      </c>
      <c r="C53" s="632">
        <v>1</v>
      </c>
      <c r="D53" s="633">
        <v>6</v>
      </c>
      <c r="E53" s="634">
        <v>42</v>
      </c>
      <c r="F53" s="635">
        <v>20269531062</v>
      </c>
      <c r="G53" s="636" t="str">
        <f>IFERROR(IF(compras_mes10[[#This Row],[CUIT]]="","-",VLOOKUP(compras_mes10[[#This Row],[CUIT]],Lista_CUIT[#All],2,0)),"CUIT NO CARGADO")</f>
        <v>PEZZELATTO RICARDO OMAR</v>
      </c>
      <c r="H53" s="173">
        <v>18914.05</v>
      </c>
      <c r="I53" s="637">
        <f>IF(compras_mes10[[#This Row],[NETO GRAVADO]]="","",compras_mes10[[#This Row],[NETO GRAVADO]]*0.21)</f>
        <v>3971.9504999999999</v>
      </c>
      <c r="J53" s="689"/>
      <c r="K53" s="174"/>
      <c r="L53" s="174"/>
      <c r="M53" s="174"/>
      <c r="N53" s="174"/>
      <c r="O53" s="174"/>
      <c r="P53" s="638">
        <f>SUM(compras_mes10[[#This Row],[NETO GRAVADO]:[Otros / No Grav.]])</f>
        <v>22886.000499999998</v>
      </c>
      <c r="Q53" s="636" t="str">
        <f>IFERROR(IF(compras_mes10[[#This Row],[CUIT]]="","-",VLOOKUP(compras_mes10[[#This Row],[CUIT]],Lista_CUIT[#All],3,0)),"CUIT NO CARGADO")</f>
        <v>Gastos Varios</v>
      </c>
      <c r="R53" s="639">
        <f>IFERROR(IF(compras_mes10[[#This Row],[CUIT]]="","-",VLOOKUP(compras_mes10[[#This Row],[CUIT]],Lista_CUIT[#All],4,0)),"CUIT NO CARGADO")</f>
        <v>0</v>
      </c>
    </row>
    <row r="54" spans="1:18">
      <c r="A54" s="128"/>
      <c r="B54" s="631" t="s">
        <v>2475</v>
      </c>
      <c r="C54" s="632">
        <v>1</v>
      </c>
      <c r="D54" s="633">
        <v>2188</v>
      </c>
      <c r="E54" s="634">
        <v>131702</v>
      </c>
      <c r="F54" s="635">
        <v>30548083156</v>
      </c>
      <c r="G54" s="636" t="str">
        <f>IFERROR(IF(compras_mes10[[#This Row],[CUIT]]="","-",VLOOKUP(compras_mes10[[#This Row],[CUIT]],Lista_CUIT[#All],2,0)),"CUIT NO CARGADO")</f>
        <v>COTO CENTRO INTEGRAL DE COMERCIALIZACION SOCIEDAD ANONIMA</v>
      </c>
      <c r="H54" s="173">
        <v>45988.84</v>
      </c>
      <c r="I54" s="637">
        <v>3986.46</v>
      </c>
      <c r="J54" s="689"/>
      <c r="K54" s="174">
        <v>2835.6</v>
      </c>
      <c r="L54" s="174"/>
      <c r="M54" s="174"/>
      <c r="N54" s="174"/>
      <c r="O54" s="174">
        <v>3131.96</v>
      </c>
      <c r="P54" s="638">
        <f>SUM(compras_mes10[[#This Row],[NETO GRAVADO]:[Otros / No Grav.]])</f>
        <v>55942.859999999993</v>
      </c>
      <c r="Q54" s="636" t="str">
        <f>IFERROR(IF(compras_mes10[[#This Row],[CUIT]]="","-",VLOOKUP(compras_mes10[[#This Row],[CUIT]],Lista_CUIT[#All],3,0)),"CUIT NO CARGADO")</f>
        <v>Gastos Varios</v>
      </c>
      <c r="R54" s="639">
        <f>IFERROR(IF(compras_mes10[[#This Row],[CUIT]]="","-",VLOOKUP(compras_mes10[[#This Row],[CUIT]],Lista_CUIT[#All],4,0)),"CUIT NO CARGADO")</f>
        <v>0</v>
      </c>
    </row>
    <row r="55" spans="1:18">
      <c r="A55" s="128"/>
      <c r="B55" s="631" t="s">
        <v>2476</v>
      </c>
      <c r="C55" s="632">
        <v>1</v>
      </c>
      <c r="D55" s="633">
        <v>1</v>
      </c>
      <c r="E55" s="634">
        <v>172</v>
      </c>
      <c r="F55" s="635">
        <v>30717790800</v>
      </c>
      <c r="G55" s="636" t="str">
        <f>IFERROR(IF(compras_mes10[[#This Row],[CUIT]]="","-",VLOOKUP(compras_mes10[[#This Row],[CUIT]],Lista_CUIT[#All],2,0)),"CUIT NO CARGADO")</f>
        <v>MESAS VIEJAS S. A.</v>
      </c>
      <c r="H55" s="173">
        <v>32892.559999999998</v>
      </c>
      <c r="I55" s="637">
        <f>IF(compras_mes10[[#This Row],[NETO GRAVADO]]="","",compras_mes10[[#This Row],[NETO GRAVADO]]*0.21)</f>
        <v>6907.4375999999993</v>
      </c>
      <c r="J55" s="689"/>
      <c r="K55" s="174"/>
      <c r="L55" s="174"/>
      <c r="M55" s="174"/>
      <c r="N55" s="174"/>
      <c r="O55" s="174"/>
      <c r="P55" s="638">
        <f>SUM(compras_mes10[[#This Row],[NETO GRAVADO]:[Otros / No Grav.]])</f>
        <v>39799.997599999995</v>
      </c>
      <c r="Q55" s="636" t="str">
        <f>IFERROR(IF(compras_mes10[[#This Row],[CUIT]]="","-",VLOOKUP(compras_mes10[[#This Row],[CUIT]],Lista_CUIT[#All],3,0)),"CUIT NO CARGADO")</f>
        <v>Gastos Varios</v>
      </c>
      <c r="R55" s="639">
        <f>IFERROR(IF(compras_mes10[[#This Row],[CUIT]]="","-",VLOOKUP(compras_mes10[[#This Row],[CUIT]],Lista_CUIT[#All],4,0)),"CUIT NO CARGADO")</f>
        <v>0</v>
      </c>
    </row>
    <row r="56" spans="1:18">
      <c r="A56" s="128"/>
      <c r="B56" s="616" t="s">
        <v>2477</v>
      </c>
      <c r="C56" s="617">
        <v>1</v>
      </c>
      <c r="D56" s="618">
        <v>2</v>
      </c>
      <c r="E56" s="619">
        <v>238</v>
      </c>
      <c r="F56" s="620">
        <v>30717924548</v>
      </c>
      <c r="G56" s="621" t="str">
        <f>IFERROR(IF(compras_mes10[[#This Row],[CUIT]]="","-",VLOOKUP(compras_mes10[[#This Row],[CUIT]],Lista_CUIT[#All],2,0)),"CUIT NO CARGADO")</f>
        <v>GRUPO LEDUFT SA</v>
      </c>
      <c r="H56" s="46">
        <v>49966.94</v>
      </c>
      <c r="I56" s="623">
        <f>IF(compras_mes10[[#This Row],[NETO GRAVADO]]="","",compras_mes10[[#This Row],[NETO GRAVADO]]*0.21)</f>
        <v>10493.0574</v>
      </c>
      <c r="J56" s="691"/>
      <c r="K56" s="85"/>
      <c r="L56" s="85"/>
      <c r="M56" s="85"/>
      <c r="N56" s="85"/>
      <c r="O56" s="85"/>
      <c r="P56" s="624">
        <f>SUM(compras_mes10[[#This Row],[NETO GRAVADO]:[Otros / No Grav.]])</f>
        <v>60459.9974</v>
      </c>
      <c r="Q56" s="621" t="str">
        <f>IFERROR(IF(compras_mes10[[#This Row],[CUIT]]="","-",VLOOKUP(compras_mes10[[#This Row],[CUIT]],Lista_CUIT[#All],3,0)),"CUIT NO CARGADO")</f>
        <v>Gastos Varios</v>
      </c>
      <c r="R56" s="625">
        <f>IFERROR(IF(compras_mes10[[#This Row],[CUIT]]="","-",VLOOKUP(compras_mes10[[#This Row],[CUIT]],Lista_CUIT[#All],4,0)),"CUIT NO CARGADO")</f>
        <v>0</v>
      </c>
    </row>
    <row r="57" spans="1:18">
      <c r="A57" s="128"/>
      <c r="B57" s="631" t="s">
        <v>2478</v>
      </c>
      <c r="C57" s="632">
        <v>1</v>
      </c>
      <c r="D57" s="633">
        <v>50</v>
      </c>
      <c r="E57" s="634">
        <v>401461</v>
      </c>
      <c r="F57" s="635">
        <v>30610333822</v>
      </c>
      <c r="G57" s="636" t="str">
        <f>IFERROR(IF(compras_mes10[[#This Row],[CUIT]]="","-",VLOOKUP(compras_mes10[[#This Row],[CUIT]],Lista_CUIT[#All],2,0)),"CUIT NO CARGADO")</f>
        <v>MASIVOS S A</v>
      </c>
      <c r="H57" s="173">
        <v>10311.57</v>
      </c>
      <c r="I57" s="637">
        <f>IF(compras_mes10[[#This Row],[NETO GRAVADO]]="","",compras_mes10[[#This Row],[NETO GRAVADO]]*0.21)</f>
        <v>2165.4296999999997</v>
      </c>
      <c r="J57" s="689"/>
      <c r="K57" s="174"/>
      <c r="L57" s="174"/>
      <c r="M57" s="174"/>
      <c r="N57" s="174"/>
      <c r="O57" s="174"/>
      <c r="P57" s="638">
        <f>SUM(compras_mes10[[#This Row],[NETO GRAVADO]:[Otros / No Grav.]])</f>
        <v>12476.9997</v>
      </c>
      <c r="Q57" s="636" t="str">
        <f>IFERROR(IF(compras_mes10[[#This Row],[CUIT]]="","-",VLOOKUP(compras_mes10[[#This Row],[CUIT]],Lista_CUIT[#All],3,0)),"CUIT NO CARGADO")</f>
        <v>Gastos Varios</v>
      </c>
      <c r="R57" s="639">
        <f>IFERROR(IF(compras_mes10[[#This Row],[CUIT]]="","-",VLOOKUP(compras_mes10[[#This Row],[CUIT]],Lista_CUIT[#All],4,0)),"CUIT NO CARGADO")</f>
        <v>0</v>
      </c>
    </row>
    <row r="58" spans="1:18" ht="15.75" customHeight="1">
      <c r="A58" s="128"/>
      <c r="B58" s="616" t="s">
        <v>2478</v>
      </c>
      <c r="C58" s="617">
        <v>1</v>
      </c>
      <c r="D58" s="618">
        <v>4</v>
      </c>
      <c r="E58" s="619">
        <v>22757</v>
      </c>
      <c r="F58" s="620">
        <v>30714440779</v>
      </c>
      <c r="G58" s="621" t="str">
        <f>IFERROR(IF(compras_mes10[[#This Row],[CUIT]]="","-",VLOOKUP(compras_mes10[[#This Row],[CUIT]],Lista_CUIT[#All],2,0)),"CUIT NO CARGADO")</f>
        <v>KITA S.R.L.</v>
      </c>
      <c r="H58" s="46">
        <v>62793.39</v>
      </c>
      <c r="I58" s="623">
        <f>IF(compras_mes10[[#This Row],[NETO GRAVADO]]="","",compras_mes10[[#This Row],[NETO GRAVADO]]*0.21)</f>
        <v>13186.6119</v>
      </c>
      <c r="J58" s="691"/>
      <c r="K58" s="85"/>
      <c r="L58" s="85"/>
      <c r="M58" s="85"/>
      <c r="N58" s="85"/>
      <c r="O58" s="85"/>
      <c r="P58" s="624">
        <f>SUM(compras_mes10[[#This Row],[NETO GRAVADO]:[Otros / No Grav.]])</f>
        <v>75980.001900000003</v>
      </c>
      <c r="Q58" s="621" t="str">
        <f>IFERROR(IF(compras_mes10[[#This Row],[CUIT]]="","-",VLOOKUP(compras_mes10[[#This Row],[CUIT]],Lista_CUIT[#All],3,0)),"CUIT NO CARGADO")</f>
        <v>Gastos Varios</v>
      </c>
      <c r="R58" s="625">
        <f>IFERROR(IF(compras_mes10[[#This Row],[CUIT]]="","-",VLOOKUP(compras_mes10[[#This Row],[CUIT]],Lista_CUIT[#All],4,0)),"CUIT NO CARGADO")</f>
        <v>0</v>
      </c>
    </row>
    <row r="59" spans="1:18" ht="15.75" customHeight="1">
      <c r="A59" s="128"/>
      <c r="B59" s="631" t="s">
        <v>2491</v>
      </c>
      <c r="C59" s="632">
        <v>1</v>
      </c>
      <c r="D59" s="633">
        <v>2</v>
      </c>
      <c r="E59" s="634">
        <v>389</v>
      </c>
      <c r="F59" s="635">
        <v>27422248426</v>
      </c>
      <c r="G59" s="636" t="str">
        <f>IFERROR(IF(compras_mes10[[#This Row],[CUIT]]="","-",VLOOKUP(compras_mes10[[#This Row],[CUIT]],Lista_CUIT[#All],2,0)),"CUIT NO CARGADO")</f>
        <v>CARRERA VICTORIA</v>
      </c>
      <c r="H59" s="173">
        <v>71074.7</v>
      </c>
      <c r="I59" s="637">
        <f>IF(compras_mes10[[#This Row],[NETO GRAVADO]]="","",compras_mes10[[#This Row],[NETO GRAVADO]]*0.21)</f>
        <v>14925.686999999998</v>
      </c>
      <c r="J59" s="692"/>
      <c r="K59" s="637"/>
      <c r="L59" s="637"/>
      <c r="M59" s="637"/>
      <c r="N59" s="637"/>
      <c r="O59" s="637"/>
      <c r="P59" s="638">
        <f>SUM(compras_mes10[[#This Row],[NETO GRAVADO]:[Otros / No Grav.]])</f>
        <v>86000.386999999988</v>
      </c>
      <c r="Q59" s="636" t="str">
        <f>IFERROR(IF(compras_mes10[[#This Row],[CUIT]]="","-",VLOOKUP(compras_mes10[[#This Row],[CUIT]],Lista_CUIT[#All],3,0)),"CUIT NO CARGADO")</f>
        <v>Gastos Varios</v>
      </c>
      <c r="R59" s="639">
        <f>IFERROR(IF(compras_mes10[[#This Row],[CUIT]]="","-",VLOOKUP(compras_mes10[[#This Row],[CUIT]],Lista_CUIT[#All],4,0)),"CUIT NO CARGADO")</f>
        <v>0</v>
      </c>
    </row>
    <row r="60" spans="1:18">
      <c r="A60" s="128"/>
      <c r="B60" s="631" t="s">
        <v>2491</v>
      </c>
      <c r="C60" s="632">
        <v>1</v>
      </c>
      <c r="D60" s="633">
        <v>2</v>
      </c>
      <c r="E60" s="634">
        <v>2</v>
      </c>
      <c r="F60" s="635">
        <v>27317740196</v>
      </c>
      <c r="G60" s="636" t="str">
        <f>IFERROR(IF(compras_mes10[[#This Row],[CUIT]]="","-",VLOOKUP(compras_mes10[[#This Row],[CUIT]],Lista_CUIT[#All],2,0)),"CUIT NO CARGADO")</f>
        <v>HOKAMA ROMINA PAOLA</v>
      </c>
      <c r="H60" s="173">
        <v>34607.410000000003</v>
      </c>
      <c r="I60" s="637">
        <f>IF(compras_mes10[[#This Row],[NETO GRAVADO]]="","",compras_mes10[[#This Row],[NETO GRAVADO]]*0.21)</f>
        <v>7267.5561000000007</v>
      </c>
      <c r="J60" s="689"/>
      <c r="K60" s="174"/>
      <c r="L60" s="174"/>
      <c r="M60" s="174"/>
      <c r="N60" s="174"/>
      <c r="O60" s="174"/>
      <c r="P60" s="638">
        <f>SUM(compras_mes10[[#This Row],[NETO GRAVADO]:[Otros / No Grav.]])</f>
        <v>41874.966100000005</v>
      </c>
      <c r="Q60" s="636" t="str">
        <f>IFERROR(IF(compras_mes10[[#This Row],[CUIT]]="","-",VLOOKUP(compras_mes10[[#This Row],[CUIT]],Lista_CUIT[#All],3,0)),"CUIT NO CARGADO")</f>
        <v>Gastos Varios</v>
      </c>
      <c r="R60" s="639">
        <f>IFERROR(IF(compras_mes10[[#This Row],[CUIT]]="","-",VLOOKUP(compras_mes10[[#This Row],[CUIT]],Lista_CUIT[#All],4,0)),"CUIT NO CARGADO")</f>
        <v>0</v>
      </c>
    </row>
    <row r="61" spans="1:18">
      <c r="A61" s="128"/>
      <c r="B61" s="616" t="s">
        <v>2491</v>
      </c>
      <c r="C61" s="617">
        <v>1</v>
      </c>
      <c r="D61" s="618">
        <v>4</v>
      </c>
      <c r="E61" s="619">
        <v>22804</v>
      </c>
      <c r="F61" s="620">
        <v>30714440779</v>
      </c>
      <c r="G61" s="621" t="str">
        <f>IFERROR(IF(compras_mes10[[#This Row],[CUIT]]="","-",VLOOKUP(compras_mes10[[#This Row],[CUIT]],Lista_CUIT[#All],2,0)),"CUIT NO CARGADO")</f>
        <v>KITA S.R.L.</v>
      </c>
      <c r="H61" s="46">
        <v>38818.18</v>
      </c>
      <c r="I61" s="623">
        <f>IF(compras_mes10[[#This Row],[NETO GRAVADO]]="","",compras_mes10[[#This Row],[NETO GRAVADO]]*0.21)</f>
        <v>8151.8177999999998</v>
      </c>
      <c r="J61" s="691"/>
      <c r="K61" s="85"/>
      <c r="L61" s="85"/>
      <c r="M61" s="85"/>
      <c r="N61" s="85"/>
      <c r="O61" s="85"/>
      <c r="P61" s="624">
        <f>SUM(compras_mes10[[#This Row],[NETO GRAVADO]:[Otros / No Grav.]])</f>
        <v>46969.997799999997</v>
      </c>
      <c r="Q61" s="621" t="str">
        <f>IFERROR(IF(compras_mes10[[#This Row],[CUIT]]="","-",VLOOKUP(compras_mes10[[#This Row],[CUIT]],Lista_CUIT[#All],3,0)),"CUIT NO CARGADO")</f>
        <v>Gastos Varios</v>
      </c>
      <c r="R61" s="625">
        <f>IFERROR(IF(compras_mes10[[#This Row],[CUIT]]="","-",VLOOKUP(compras_mes10[[#This Row],[CUIT]],Lista_CUIT[#All],4,0)),"CUIT NO CARGADO")</f>
        <v>0</v>
      </c>
    </row>
    <row r="62" spans="1:18">
      <c r="A62" s="128"/>
      <c r="B62" s="631" t="s">
        <v>2491</v>
      </c>
      <c r="C62" s="632">
        <v>1</v>
      </c>
      <c r="D62" s="633">
        <v>3</v>
      </c>
      <c r="E62" s="634">
        <v>9631</v>
      </c>
      <c r="F62" s="635">
        <v>27412102431</v>
      </c>
      <c r="G62" s="636" t="str">
        <f>IFERROR(IF(compras_mes10[[#This Row],[CUIT]]="","-",VLOOKUP(compras_mes10[[#This Row],[CUIT]],Lista_CUIT[#All],2,0)),"CUIT NO CARGADO")</f>
        <v>ALVEZ ARIANA SOL</v>
      </c>
      <c r="H62" s="173">
        <v>24545.43</v>
      </c>
      <c r="I62" s="637">
        <f>IF(compras_mes10[[#This Row],[NETO GRAVADO]]="","",compras_mes10[[#This Row],[NETO GRAVADO]]*0.21)</f>
        <v>5154.5402999999997</v>
      </c>
      <c r="J62" s="689"/>
      <c r="K62" s="174"/>
      <c r="L62" s="174"/>
      <c r="M62" s="174"/>
      <c r="N62" s="174"/>
      <c r="O62" s="174"/>
      <c r="P62" s="638">
        <f>SUM(compras_mes10[[#This Row],[NETO GRAVADO]:[Otros / No Grav.]])</f>
        <v>29699.970300000001</v>
      </c>
      <c r="Q62" s="172" t="s">
        <v>79</v>
      </c>
      <c r="R62" s="639">
        <f>IFERROR(IF(compras_mes10[[#This Row],[CUIT]]="","-",VLOOKUP(compras_mes10[[#This Row],[CUIT]],Lista_CUIT[#All],4,0)),"CUIT NO CARGADO")</f>
        <v>0</v>
      </c>
    </row>
    <row r="63" spans="1:18">
      <c r="A63" s="128"/>
      <c r="B63" s="631" t="s">
        <v>2492</v>
      </c>
      <c r="C63" s="632">
        <v>1</v>
      </c>
      <c r="D63" s="633">
        <v>2188</v>
      </c>
      <c r="E63" s="634">
        <v>132405</v>
      </c>
      <c r="F63" s="635">
        <v>30548083156</v>
      </c>
      <c r="G63" s="636" t="str">
        <f>IFERROR(IF(compras_mes10[[#This Row],[CUIT]]="","-",VLOOKUP(compras_mes10[[#This Row],[CUIT]],Lista_CUIT[#All],2,0)),"CUIT NO CARGADO")</f>
        <v>COTO CENTRO INTEGRAL DE COMERCIALIZACION SOCIEDAD ANONIMA</v>
      </c>
      <c r="H63" s="173">
        <v>85822.22</v>
      </c>
      <c r="I63" s="637">
        <v>16193.59</v>
      </c>
      <c r="J63" s="689"/>
      <c r="K63" s="174">
        <v>914.54</v>
      </c>
      <c r="L63" s="174"/>
      <c r="M63" s="174"/>
      <c r="N63" s="174"/>
      <c r="O63" s="174">
        <v>6927.51</v>
      </c>
      <c r="P63" s="638">
        <f>SUM(compras_mes10[[#This Row],[NETO GRAVADO]:[Otros / No Grav.]])</f>
        <v>109857.85999999999</v>
      </c>
      <c r="Q63" s="636" t="str">
        <f>IFERROR(IF(compras_mes10[[#This Row],[CUIT]]="","-",VLOOKUP(compras_mes10[[#This Row],[CUIT]],Lista_CUIT[#All],3,0)),"CUIT NO CARGADO")</f>
        <v>Gastos Varios</v>
      </c>
      <c r="R63" s="639">
        <f>IFERROR(IF(compras_mes10[[#This Row],[CUIT]]="","-",VLOOKUP(compras_mes10[[#This Row],[CUIT]],Lista_CUIT[#All],4,0)),"CUIT NO CARGADO")</f>
        <v>0</v>
      </c>
    </row>
    <row r="64" spans="1:18">
      <c r="A64" s="128"/>
      <c r="B64" s="631" t="s">
        <v>2492</v>
      </c>
      <c r="C64" s="632">
        <v>1</v>
      </c>
      <c r="D64" s="633">
        <v>2199</v>
      </c>
      <c r="E64" s="634">
        <v>32620</v>
      </c>
      <c r="F64" s="635">
        <v>30548083156</v>
      </c>
      <c r="G64" s="636" t="str">
        <f>IFERROR(IF(compras_mes10[[#This Row],[CUIT]]="","-",VLOOKUP(compras_mes10[[#This Row],[CUIT]],Lista_CUIT[#All],2,0)),"CUIT NO CARGADO")</f>
        <v>COTO CENTRO INTEGRAL DE COMERCIALIZACION SOCIEDAD ANONIMA</v>
      </c>
      <c r="H64" s="173">
        <v>59594.76</v>
      </c>
      <c r="I64" s="637">
        <f>IF(compras_mes10[[#This Row],[NETO GRAVADO]]="","",compras_mes10[[#This Row],[NETO GRAVADO]]*0.21)</f>
        <v>12514.899600000001</v>
      </c>
      <c r="J64" s="689"/>
      <c r="K64" s="174"/>
      <c r="L64" s="174"/>
      <c r="M64" s="174"/>
      <c r="N64" s="174"/>
      <c r="O64" s="174">
        <v>5089.84</v>
      </c>
      <c r="P64" s="638">
        <f>SUM(compras_mes10[[#This Row],[NETO GRAVADO]:[Otros / No Grav.]])</f>
        <v>77199.499599999996</v>
      </c>
      <c r="Q64" s="636" t="str">
        <f>IFERROR(IF(compras_mes10[[#This Row],[CUIT]]="","-",VLOOKUP(compras_mes10[[#This Row],[CUIT]],Lista_CUIT[#All],3,0)),"CUIT NO CARGADO")</f>
        <v>Gastos Varios</v>
      </c>
      <c r="R64" s="639">
        <f>IFERROR(IF(compras_mes10[[#This Row],[CUIT]]="","-",VLOOKUP(compras_mes10[[#This Row],[CUIT]],Lista_CUIT[#All],4,0)),"CUIT NO CARGADO")</f>
        <v>0</v>
      </c>
    </row>
    <row r="65" spans="1:18">
      <c r="A65" s="128"/>
      <c r="B65" s="616" t="s">
        <v>2481</v>
      </c>
      <c r="C65" s="617">
        <v>1</v>
      </c>
      <c r="D65" s="618">
        <v>3</v>
      </c>
      <c r="E65" s="619">
        <v>6501</v>
      </c>
      <c r="F65" s="620">
        <v>30716627205</v>
      </c>
      <c r="G65" s="45" t="str">
        <f>IFERROR(IF(compras_mes10[[#This Row],[CUIT]]="","-",VLOOKUP(compras_mes10[[#This Row],[CUIT]],Lista_CUIT[#All],2,0)),"CUIT NO CARGADO")</f>
        <v>BIGUA CAMPESTRE S.A.</v>
      </c>
      <c r="H65" s="46">
        <v>46247.06</v>
      </c>
      <c r="I65" s="623"/>
      <c r="J65" s="691"/>
      <c r="K65" s="85">
        <f>compras_mes10[[#This Row],[NETO GRAVADO]]*0.105</f>
        <v>4855.9412999999995</v>
      </c>
      <c r="L65" s="85"/>
      <c r="M65" s="85"/>
      <c r="N65" s="85"/>
      <c r="O65" s="85"/>
      <c r="P65" s="48">
        <f>SUM(compras_mes10[[#This Row],[NETO GRAVADO]:[Otros / No Grav.]])</f>
        <v>51103.001299999996</v>
      </c>
      <c r="Q65" s="45" t="str">
        <f>IFERROR(IF(compras_mes10[[#This Row],[CUIT]]="","-",VLOOKUP(compras_mes10[[#This Row],[CUIT]],Lista_CUIT[#All],3,0)),"CUIT NO CARGADO")</f>
        <v>Gastos Varios</v>
      </c>
      <c r="R65" s="49">
        <f>IFERROR(IF(compras_mes10[[#This Row],[CUIT]]="","-",VLOOKUP(compras_mes10[[#This Row],[CUIT]],Lista_CUIT[#All],4,0)),"CUIT NO CARGADO")</f>
        <v>0</v>
      </c>
    </row>
    <row r="66" spans="1:18">
      <c r="A66" s="128"/>
      <c r="B66" s="631" t="s">
        <v>2482</v>
      </c>
      <c r="C66" s="632">
        <v>1</v>
      </c>
      <c r="D66" s="633">
        <v>1678</v>
      </c>
      <c r="E66" s="634">
        <v>48492</v>
      </c>
      <c r="F66" s="635">
        <v>30589621499</v>
      </c>
      <c r="G66" s="636" t="str">
        <f>IFERROR(IF(compras_mes10[[#This Row],[CUIT]]="","-",VLOOKUP(compras_mes10[[#This Row],[CUIT]],Lista_CUIT[#All],2,0)),"CUIT NO CARGADO")</f>
        <v>MAKRO SA</v>
      </c>
      <c r="H66" s="173">
        <v>72547.179999999993</v>
      </c>
      <c r="I66" s="637">
        <v>14926.25</v>
      </c>
      <c r="J66" s="689"/>
      <c r="K66" s="174">
        <v>154.33000000000001</v>
      </c>
      <c r="L66" s="174">
        <v>2154.37</v>
      </c>
      <c r="M66" s="174"/>
      <c r="N66" s="174">
        <v>4352.83</v>
      </c>
      <c r="O66" s="174"/>
      <c r="P66" s="638">
        <f>SUM(compras_mes10[[#This Row],[NETO GRAVADO]:[Otros / No Grav.]])</f>
        <v>94134.959999999992</v>
      </c>
      <c r="Q66" s="636" t="str">
        <f>IFERROR(IF(compras_mes10[[#This Row],[CUIT]]="","-",VLOOKUP(compras_mes10[[#This Row],[CUIT]],Lista_CUIT[#All],3,0)),"CUIT NO CARGADO")</f>
        <v>Gastos Varios</v>
      </c>
      <c r="R66" s="639">
        <f>IFERROR(IF(compras_mes10[[#This Row],[CUIT]]="","-",VLOOKUP(compras_mes10[[#This Row],[CUIT]],Lista_CUIT[#All],4,0)),"CUIT NO CARGADO")</f>
        <v>0</v>
      </c>
    </row>
    <row r="67" spans="1:18">
      <c r="A67" s="128"/>
      <c r="B67" s="631" t="s">
        <v>2494</v>
      </c>
      <c r="C67" s="632">
        <v>1</v>
      </c>
      <c r="D67" s="633">
        <v>2188</v>
      </c>
      <c r="E67" s="634">
        <v>132931</v>
      </c>
      <c r="F67" s="635">
        <v>30548083156</v>
      </c>
      <c r="G67" s="636" t="str">
        <f>IFERROR(IF(compras_mes10[[#This Row],[CUIT]]="","-",VLOOKUP(compras_mes10[[#This Row],[CUIT]],Lista_CUIT[#All],2,0)),"CUIT NO CARGADO")</f>
        <v>COTO CENTRO INTEGRAL DE COMERCIALIZACION SOCIEDAD ANONIMA</v>
      </c>
      <c r="H67" s="173">
        <v>71558.720000000001</v>
      </c>
      <c r="I67" s="637">
        <v>10497.52</v>
      </c>
      <c r="J67" s="689"/>
      <c r="K67" s="174">
        <v>2264.9</v>
      </c>
      <c r="L67" s="174"/>
      <c r="M67" s="174"/>
      <c r="N67" s="174"/>
      <c r="O67" s="174">
        <v>5546.19</v>
      </c>
      <c r="P67" s="638">
        <f>SUM(compras_mes10[[#This Row],[NETO GRAVADO]:[Otros / No Grav.]])</f>
        <v>89867.33</v>
      </c>
      <c r="Q67" s="636" t="str">
        <f>IFERROR(IF(compras_mes10[[#This Row],[CUIT]]="","-",VLOOKUP(compras_mes10[[#This Row],[CUIT]],Lista_CUIT[#All],3,0)),"CUIT NO CARGADO")</f>
        <v>Gastos Varios</v>
      </c>
      <c r="R67" s="639">
        <f>IFERROR(IF(compras_mes10[[#This Row],[CUIT]]="","-",VLOOKUP(compras_mes10[[#This Row],[CUIT]],Lista_CUIT[#All],4,0)),"CUIT NO CARGADO")</f>
        <v>0</v>
      </c>
    </row>
    <row r="68" spans="1:18">
      <c r="A68" s="128"/>
      <c r="B68" s="631" t="s">
        <v>2494</v>
      </c>
      <c r="C68" s="632">
        <v>1</v>
      </c>
      <c r="D68" s="633">
        <v>2</v>
      </c>
      <c r="E68" s="634">
        <v>18</v>
      </c>
      <c r="F68" s="635">
        <v>27317740196</v>
      </c>
      <c r="G68" s="636" t="str">
        <f>IFERROR(IF(compras_mes10[[#This Row],[CUIT]]="","-",VLOOKUP(compras_mes10[[#This Row],[CUIT]],Lista_CUIT[#All],2,0)),"CUIT NO CARGADO")</f>
        <v>HOKAMA ROMINA PAOLA</v>
      </c>
      <c r="H68" s="173">
        <v>52503.28</v>
      </c>
      <c r="I68" s="637">
        <f>IF(compras_mes10[[#This Row],[NETO GRAVADO]]="","",compras_mes10[[#This Row],[NETO GRAVADO]]*0.21)</f>
        <v>11025.6888</v>
      </c>
      <c r="J68" s="689"/>
      <c r="K68" s="174"/>
      <c r="L68" s="174"/>
      <c r="M68" s="174"/>
      <c r="N68" s="174"/>
      <c r="O68" s="174"/>
      <c r="P68" s="638">
        <f>SUM(compras_mes10[[#This Row],[NETO GRAVADO]:[Otros / No Grav.]])</f>
        <v>63528.968800000002</v>
      </c>
      <c r="Q68" s="636" t="str">
        <f>IFERROR(IF(compras_mes10[[#This Row],[CUIT]]="","-",VLOOKUP(compras_mes10[[#This Row],[CUIT]],Lista_CUIT[#All],3,0)),"CUIT NO CARGADO")</f>
        <v>Gastos Varios</v>
      </c>
      <c r="R68" s="639">
        <f>IFERROR(IF(compras_mes10[[#This Row],[CUIT]]="","-",VLOOKUP(compras_mes10[[#This Row],[CUIT]],Lista_CUIT[#All],4,0)),"CUIT NO CARGADO")</f>
        <v>0</v>
      </c>
    </row>
    <row r="69" spans="1:18">
      <c r="A69" s="128"/>
      <c r="B69" s="631" t="s">
        <v>2495</v>
      </c>
      <c r="C69" s="632">
        <v>1</v>
      </c>
      <c r="D69" s="633">
        <v>33</v>
      </c>
      <c r="E69" s="634">
        <v>56560</v>
      </c>
      <c r="F69" s="635">
        <v>30639111012</v>
      </c>
      <c r="G69" s="636" t="str">
        <f>IFERROR(IF(compras_mes10[[#This Row],[CUIT]]="","-",VLOOKUP(compras_mes10[[#This Row],[CUIT]],Lista_CUIT[#All],2,0)),"CUIT NO CARGADO")</f>
        <v>ALQUILO TODO S R L</v>
      </c>
      <c r="H69" s="173">
        <v>12975.21</v>
      </c>
      <c r="I69" s="637">
        <f>IF(compras_mes10[[#This Row],[NETO GRAVADO]]="","",compras_mes10[[#This Row],[NETO GRAVADO]]*0.21)</f>
        <v>2724.7940999999996</v>
      </c>
      <c r="J69" s="689"/>
      <c r="K69" s="174"/>
      <c r="L69" s="174"/>
      <c r="M69" s="174"/>
      <c r="N69" s="174"/>
      <c r="O69" s="174"/>
      <c r="P69" s="638">
        <f>SUM(compras_mes10[[#This Row],[NETO GRAVADO]:[Otros / No Grav.]])</f>
        <v>15700.004099999998</v>
      </c>
      <c r="Q69" s="636" t="str">
        <f>IFERROR(IF(compras_mes10[[#This Row],[CUIT]]="","-",VLOOKUP(compras_mes10[[#This Row],[CUIT]],Lista_CUIT[#All],3,0)),"CUIT NO CARGADO")</f>
        <v>Gastos Varios</v>
      </c>
      <c r="R69" s="639">
        <f>IFERROR(IF(compras_mes10[[#This Row],[CUIT]]="","-",VLOOKUP(compras_mes10[[#This Row],[CUIT]],Lista_CUIT[#All],4,0)),"CUIT NO CARGADO")</f>
        <v>0</v>
      </c>
    </row>
    <row r="70" spans="1:18">
      <c r="A70" s="128"/>
      <c r="B70" s="616" t="s">
        <v>2483</v>
      </c>
      <c r="C70" s="617">
        <v>1</v>
      </c>
      <c r="D70" s="618">
        <v>19</v>
      </c>
      <c r="E70" s="619">
        <v>42265</v>
      </c>
      <c r="F70" s="620">
        <v>30707830960</v>
      </c>
      <c r="G70" s="621" t="str">
        <f>IFERROR(IF(compras_mes10[[#This Row],[CUIT]]="","-",VLOOKUP(compras_mes10[[#This Row],[CUIT]],Lista_CUIT[#All],2,0)),"CUIT NO CARGADO")</f>
        <v>DINATECH SA</v>
      </c>
      <c r="H70" s="46">
        <v>122676.02</v>
      </c>
      <c r="I70" s="623"/>
      <c r="J70" s="691"/>
      <c r="K70" s="85">
        <f>compras_mes10[[#This Row],[NETO GRAVADO]]*0.105</f>
        <v>12880.982099999999</v>
      </c>
      <c r="L70" s="85"/>
      <c r="M70" s="85"/>
      <c r="N70" s="85"/>
      <c r="O70" s="85"/>
      <c r="P70" s="624">
        <f>SUM(compras_mes10[[#This Row],[NETO GRAVADO]:[Otros / No Grav.]])</f>
        <v>135557.00210000001</v>
      </c>
      <c r="Q70" s="45" t="s">
        <v>79</v>
      </c>
      <c r="R70" s="625">
        <f>IFERROR(IF(compras_mes10[[#This Row],[CUIT]]="","-",VLOOKUP(compras_mes10[[#This Row],[CUIT]],Lista_CUIT[#All],4,0)),"CUIT NO CARGADO")</f>
        <v>0</v>
      </c>
    </row>
    <row r="71" spans="1:18" s="128" customFormat="1">
      <c r="B71" s="631" t="s">
        <v>2484</v>
      </c>
      <c r="C71" s="632">
        <v>1</v>
      </c>
      <c r="D71" s="633">
        <v>6</v>
      </c>
      <c r="E71" s="634">
        <v>48</v>
      </c>
      <c r="F71" s="635">
        <v>20269531062</v>
      </c>
      <c r="G71" s="636" t="str">
        <f>IFERROR(IF(compras_mes10[[#This Row],[CUIT]]="","-",VLOOKUP(compras_mes10[[#This Row],[CUIT]],Lista_CUIT[#All],2,0)),"CUIT NO CARGADO")</f>
        <v>PEZZELATTO RICARDO OMAR</v>
      </c>
      <c r="H71" s="173">
        <v>23948.76</v>
      </c>
      <c r="I71" s="637">
        <f>IF(compras_mes10[[#This Row],[NETO GRAVADO]]="","",compras_mes10[[#This Row],[NETO GRAVADO]]*0.21)</f>
        <v>5029.2395999999999</v>
      </c>
      <c r="J71" s="689"/>
      <c r="K71" s="174"/>
      <c r="L71" s="174"/>
      <c r="M71" s="174"/>
      <c r="N71" s="174"/>
      <c r="O71" s="174"/>
      <c r="P71" s="638">
        <f>SUM(compras_mes10[[#This Row],[NETO GRAVADO]:[Otros / No Grav.]])</f>
        <v>28977.999599999999</v>
      </c>
      <c r="Q71" s="636" t="str">
        <f>IFERROR(IF(compras_mes10[[#This Row],[CUIT]]="","-",VLOOKUP(compras_mes10[[#This Row],[CUIT]],Lista_CUIT[#All],3,0)),"CUIT NO CARGADO")</f>
        <v>Gastos Varios</v>
      </c>
      <c r="R71" s="639">
        <f>IFERROR(IF(compras_mes10[[#This Row],[CUIT]]="","-",VLOOKUP(compras_mes10[[#This Row],[CUIT]],Lista_CUIT[#All],4,0)),"CUIT NO CARGADO")</f>
        <v>0</v>
      </c>
    </row>
    <row r="72" spans="1:18" s="127" customFormat="1">
      <c r="A72" s="128"/>
      <c r="B72" s="631" t="s">
        <v>2484</v>
      </c>
      <c r="C72" s="632">
        <v>1</v>
      </c>
      <c r="D72" s="633">
        <v>23</v>
      </c>
      <c r="E72" s="634">
        <v>2897647</v>
      </c>
      <c r="F72" s="635">
        <v>30703088534</v>
      </c>
      <c r="G72" s="636" t="str">
        <f>IFERROR(IF(compras_mes10[[#This Row],[CUIT]]="","-",VLOOKUP(compras_mes10[[#This Row],[CUIT]],Lista_CUIT[#All],2,0)),"CUIT NO CARGADO")</f>
        <v>MERCADO LIBRE SRL</v>
      </c>
      <c r="H72" s="173">
        <v>1310477.45</v>
      </c>
      <c r="I72" s="637">
        <f>IF(compras_mes10[[#This Row],[NETO GRAVADO]]="","",compras_mes10[[#This Row],[NETO GRAVADO]]*0.21)</f>
        <v>275200.26449999999</v>
      </c>
      <c r="J72" s="689"/>
      <c r="K72" s="174"/>
      <c r="L72" s="174"/>
      <c r="M72" s="174"/>
      <c r="N72" s="174"/>
      <c r="O72" s="174">
        <v>131047.6</v>
      </c>
      <c r="P72" s="638">
        <f>SUM(compras_mes10[[#This Row],[NETO GRAVADO]:[Otros / No Grav.]])</f>
        <v>1716725.3145000001</v>
      </c>
      <c r="Q72" s="636" t="str">
        <f>IFERROR(IF(compras_mes10[[#This Row],[CUIT]]="","-",VLOOKUP(compras_mes10[[#This Row],[CUIT]],Lista_CUIT[#All],3,0)),"CUIT NO CARGADO")</f>
        <v>Gastos Varios</v>
      </c>
      <c r="R72" s="639" t="str">
        <f>IFERROR(IF(compras_mes10[[#This Row],[CUIT]]="","-",VLOOKUP(compras_mes10[[#This Row],[CUIT]],Lista_CUIT[#All],4,0)),"CUIT NO CARGADO")</f>
        <v>CABA</v>
      </c>
    </row>
    <row r="73" spans="1:18">
      <c r="A73" s="128"/>
      <c r="B73" s="631" t="s">
        <v>2497</v>
      </c>
      <c r="C73" s="632">
        <v>1</v>
      </c>
      <c r="D73" s="633">
        <v>8289</v>
      </c>
      <c r="E73" s="634">
        <v>6786</v>
      </c>
      <c r="F73" s="635">
        <v>30590360763</v>
      </c>
      <c r="G73" s="172" t="str">
        <f>IFERROR(IF(compras_mes10[[#This Row],[CUIT]]="","-",VLOOKUP(compras_mes10[[#This Row],[CUIT]],Lista_CUIT[#All],2,0)),"CUIT NO CARGADO")</f>
        <v>CENCOSUD S.A</v>
      </c>
      <c r="H73" s="173">
        <v>28541.32</v>
      </c>
      <c r="I73" s="637">
        <f>IF(compras_mes10[[#This Row],[NETO GRAVADO]]="","",compras_mes10[[#This Row],[NETO GRAVADO]]*0.21)</f>
        <v>5993.6772000000001</v>
      </c>
      <c r="J73" s="689"/>
      <c r="K73" s="174"/>
      <c r="L73" s="174">
        <v>856.24</v>
      </c>
      <c r="M73" s="174"/>
      <c r="N73" s="174">
        <v>1712.48</v>
      </c>
      <c r="O73" s="174"/>
      <c r="P73" s="175">
        <f>SUM(compras_mes10[[#This Row],[NETO GRAVADO]:[Otros / No Grav.]])</f>
        <v>37103.717199999999</v>
      </c>
      <c r="Q73" s="172" t="str">
        <f>IFERROR(IF(compras_mes10[[#This Row],[CUIT]]="","-",VLOOKUP(compras_mes10[[#This Row],[CUIT]],Lista_CUIT[#All],3,0)),"CUIT NO CARGADO")</f>
        <v>Gastos Varios</v>
      </c>
      <c r="R73" s="176">
        <f>IFERROR(IF(compras_mes10[[#This Row],[CUIT]]="","-",VLOOKUP(compras_mes10[[#This Row],[CUIT]],Lista_CUIT[#All],4,0)),"CUIT NO CARGADO")</f>
        <v>0</v>
      </c>
    </row>
    <row r="74" spans="1:18" s="128" customFormat="1" ht="13.15" customHeight="1">
      <c r="B74" s="631" t="s">
        <v>2497</v>
      </c>
      <c r="C74" s="632">
        <v>1</v>
      </c>
      <c r="D74" s="633">
        <v>2</v>
      </c>
      <c r="E74" s="634">
        <v>32</v>
      </c>
      <c r="F74" s="635">
        <v>27317740196</v>
      </c>
      <c r="G74" s="636" t="str">
        <f>IFERROR(IF(compras_mes10[[#This Row],[CUIT]]="","-",VLOOKUP(compras_mes10[[#This Row],[CUIT]],Lista_CUIT[#All],2,0)),"CUIT NO CARGADO")</f>
        <v>HOKAMA ROMINA PAOLA</v>
      </c>
      <c r="H74" s="640">
        <v>43728.9</v>
      </c>
      <c r="I74" s="637">
        <f>IF(compras_mes10[[#This Row],[NETO GRAVADO]]="","",compras_mes10[[#This Row],[NETO GRAVADO]]*0.21)</f>
        <v>9183.0689999999995</v>
      </c>
      <c r="J74" s="692"/>
      <c r="K74" s="637"/>
      <c r="L74" s="637"/>
      <c r="M74" s="637"/>
      <c r="N74" s="637"/>
      <c r="O74" s="637"/>
      <c r="P74" s="638">
        <f>SUM(compras_mes10[[#This Row],[NETO GRAVADO]:[Otros / No Grav.]])</f>
        <v>52911.968999999997</v>
      </c>
      <c r="Q74" s="636" t="str">
        <f>IFERROR(IF(compras_mes10[[#This Row],[CUIT]]="","-",VLOOKUP(compras_mes10[[#This Row],[CUIT]],Lista_CUIT[#All],3,0)),"CUIT NO CARGADO")</f>
        <v>Gastos Varios</v>
      </c>
      <c r="R74" s="639">
        <f>IFERROR(IF(compras_mes10[[#This Row],[CUIT]]="","-",VLOOKUP(compras_mes10[[#This Row],[CUIT]],Lista_CUIT[#All],4,0)),"CUIT NO CARGADO")</f>
        <v>0</v>
      </c>
    </row>
    <row r="75" spans="1:18">
      <c r="A75" s="128"/>
      <c r="B75" s="616" t="s">
        <v>2498</v>
      </c>
      <c r="C75" s="617">
        <v>1</v>
      </c>
      <c r="D75" s="618">
        <v>6</v>
      </c>
      <c r="E75" s="619">
        <v>31924</v>
      </c>
      <c r="F75" s="620">
        <v>27136254990</v>
      </c>
      <c r="G75" s="621" t="str">
        <f>IFERROR(IF(compras_mes10[[#This Row],[CUIT]]="","-",VLOOKUP(compras_mes10[[#This Row],[CUIT]],Lista_CUIT[#All],2,0)),"CUIT NO CARGADO")</f>
        <v>ZALTSMAN AMELIA LILIANA</v>
      </c>
      <c r="H75" s="46">
        <v>5537.19</v>
      </c>
      <c r="I75" s="623">
        <f>IF(compras_mes10[[#This Row],[NETO GRAVADO]]="","",compras_mes10[[#This Row],[NETO GRAVADO]]*0.21)</f>
        <v>1162.8099</v>
      </c>
      <c r="J75" s="691"/>
      <c r="K75" s="85"/>
      <c r="L75" s="85"/>
      <c r="M75" s="85"/>
      <c r="N75" s="85"/>
      <c r="O75" s="85"/>
      <c r="P75" s="624">
        <f>SUM(compras_mes10[[#This Row],[NETO GRAVADO]:[Otros / No Grav.]])</f>
        <v>6699.9998999999998</v>
      </c>
      <c r="Q75" s="621" t="str">
        <f>IFERROR(IF(compras_mes10[[#This Row],[CUIT]]="","-",VLOOKUP(compras_mes10[[#This Row],[CUIT]],Lista_CUIT[#All],3,0)),"CUIT NO CARGADO")</f>
        <v>Gastos Varios</v>
      </c>
      <c r="R75" s="625">
        <f>IFERROR(IF(compras_mes10[[#This Row],[CUIT]]="","-",VLOOKUP(compras_mes10[[#This Row],[CUIT]],Lista_CUIT[#All],4,0)),"CUIT NO CARGADO")</f>
        <v>0</v>
      </c>
    </row>
    <row r="76" spans="1:18">
      <c r="A76" s="128"/>
      <c r="B76" s="616" t="s">
        <v>2490</v>
      </c>
      <c r="C76" s="617">
        <v>1</v>
      </c>
      <c r="D76" s="618">
        <v>1</v>
      </c>
      <c r="E76" s="619">
        <v>1306</v>
      </c>
      <c r="F76" s="620">
        <v>20234632613</v>
      </c>
      <c r="G76" s="621" t="str">
        <f>IFERROR(IF(compras_mes10[[#This Row],[CUIT]]="","-",VLOOKUP(compras_mes10[[#This Row],[CUIT]],Lista_CUIT[#All],2,0)),"CUIT NO CARGADO")</f>
        <v>FERNANDEZ CAMPON LUIS MARIA</v>
      </c>
      <c r="H76" s="46">
        <v>640000</v>
      </c>
      <c r="I76" s="623">
        <f>IF(compras_mes10[[#This Row],[NETO GRAVADO]]="","",compras_mes10[[#This Row],[NETO GRAVADO]]*0.21)</f>
        <v>134400</v>
      </c>
      <c r="J76" s="691"/>
      <c r="K76" s="85"/>
      <c r="L76" s="85"/>
      <c r="M76" s="85"/>
      <c r="N76" s="85"/>
      <c r="O76" s="85"/>
      <c r="P76" s="624">
        <f>SUM(compras_mes10[[#This Row],[NETO GRAVADO]:[Otros / No Grav.]])</f>
        <v>774400</v>
      </c>
      <c r="Q76" s="45" t="s">
        <v>2690</v>
      </c>
      <c r="R76" s="625">
        <f>IFERROR(IF(compras_mes10[[#This Row],[CUIT]]="","-",VLOOKUP(compras_mes10[[#This Row],[CUIT]],Lista_CUIT[#All],4,0)),"CUIT NO CARGADO")</f>
        <v>0</v>
      </c>
    </row>
    <row r="77" spans="1:18">
      <c r="A77" s="128"/>
      <c r="B77" s="631" t="s">
        <v>2482</v>
      </c>
      <c r="C77" s="632">
        <v>1</v>
      </c>
      <c r="D77" s="633">
        <v>2</v>
      </c>
      <c r="E77" s="634">
        <v>1971</v>
      </c>
      <c r="F77" s="635">
        <v>20205368826</v>
      </c>
      <c r="G77" s="636" t="str">
        <f>IFERROR(IF(compras_mes10[[#This Row],[CUIT]]="","-",VLOOKUP(compras_mes10[[#This Row],[CUIT]],Lista_CUIT[#All],2,0)),"CUIT NO CARGADO")</f>
        <v>FERRETTI HERNAN MARIO</v>
      </c>
      <c r="H77" s="173">
        <v>1534800</v>
      </c>
      <c r="I77" s="637">
        <f>IF(compras_mes10[[#This Row],[NETO GRAVADO]]="","",compras_mes10[[#This Row],[NETO GRAVADO]]*0.21)</f>
        <v>322308</v>
      </c>
      <c r="J77" s="689"/>
      <c r="K77" s="174"/>
      <c r="L77" s="174"/>
      <c r="M77" s="174"/>
      <c r="N77" s="174"/>
      <c r="O77" s="174">
        <v>1454740</v>
      </c>
      <c r="P77" s="638">
        <f>SUM(compras_mes10[[#This Row],[NETO GRAVADO]:[Otros / No Grav.]])</f>
        <v>3311848</v>
      </c>
      <c r="Q77" s="45" t="s">
        <v>2690</v>
      </c>
      <c r="R77" s="639">
        <f>IFERROR(IF(compras_mes10[[#This Row],[CUIT]]="","-",VLOOKUP(compras_mes10[[#This Row],[CUIT]],Lista_CUIT[#All],4,0)),"CUIT NO CARGADO")</f>
        <v>0</v>
      </c>
    </row>
    <row r="78" spans="1:18">
      <c r="A78" s="128"/>
      <c r="B78" s="616" t="s">
        <v>2469</v>
      </c>
      <c r="C78" s="617">
        <v>1</v>
      </c>
      <c r="D78" s="618">
        <v>3</v>
      </c>
      <c r="E78" s="619">
        <v>246841</v>
      </c>
      <c r="F78" s="620">
        <v>30693293754</v>
      </c>
      <c r="G78" s="621" t="str">
        <f>IFERROR(IF(compras_mes10[[#This Row],[CUIT]]="","-",VLOOKUP(compras_mes10[[#This Row],[CUIT]],Lista_CUIT[#All],2,0)),"CUIT NO CARGADO")</f>
        <v>CPT INTEGRAL SA</v>
      </c>
      <c r="H78" s="622">
        <v>58676.86</v>
      </c>
      <c r="I78" s="623">
        <f>IF(compras_mes10[[#This Row],[NETO GRAVADO]]="","",compras_mes10[[#This Row],[NETO GRAVADO]]*0.21)</f>
        <v>12322.140599999999</v>
      </c>
      <c r="J78" s="690"/>
      <c r="K78" s="623"/>
      <c r="L78" s="623"/>
      <c r="M78" s="623"/>
      <c r="N78" s="623">
        <v>3520.61</v>
      </c>
      <c r="O78" s="623"/>
      <c r="P78" s="624">
        <f>SUM(compras_mes10[[#This Row],[NETO GRAVADO]:[Otros / No Grav.]])</f>
        <v>74519.6106</v>
      </c>
      <c r="Q78" s="621" t="str">
        <f>IFERROR(IF(compras_mes10[[#This Row],[CUIT]]="","-",VLOOKUP(compras_mes10[[#This Row],[CUIT]],Lista_CUIT[#All],3,0)),"CUIT NO CARGADO")</f>
        <v>LIBRERÍA</v>
      </c>
      <c r="R78" s="625">
        <f>IFERROR(IF(compras_mes10[[#This Row],[CUIT]]="","-",VLOOKUP(compras_mes10[[#This Row],[CUIT]],Lista_CUIT[#All],4,0)),"CUIT NO CARGADO")</f>
        <v>0</v>
      </c>
    </row>
    <row r="79" spans="1:18">
      <c r="A79" s="128"/>
      <c r="B79" s="616" t="s">
        <v>2469</v>
      </c>
      <c r="C79" s="617">
        <v>1</v>
      </c>
      <c r="D79" s="618">
        <v>4</v>
      </c>
      <c r="E79" s="619">
        <v>2792</v>
      </c>
      <c r="F79" s="620">
        <v>30718201760</v>
      </c>
      <c r="G79" s="621" t="str">
        <f>IFERROR(IF(compras_mes10[[#This Row],[CUIT]]="","-",VLOOKUP(compras_mes10[[#This Row],[CUIT]],Lista_CUIT[#All],2,0)),"CUIT NO CARGADO")</f>
        <v>JM FACTIRY S.R.L.</v>
      </c>
      <c r="H79" s="46">
        <v>92555.37</v>
      </c>
      <c r="I79" s="623">
        <f>IF(compras_mes10[[#This Row],[NETO GRAVADO]]="","",compras_mes10[[#This Row],[NETO GRAVADO]]*0.21)</f>
        <v>19436.627699999997</v>
      </c>
      <c r="J79" s="691"/>
      <c r="K79" s="85"/>
      <c r="L79" s="85"/>
      <c r="M79" s="85"/>
      <c r="N79" s="85"/>
      <c r="O79" s="85"/>
      <c r="P79" s="624">
        <f>SUM(compras_mes10[[#This Row],[NETO GRAVADO]:[Otros / No Grav.]])</f>
        <v>111991.99769999999</v>
      </c>
      <c r="Q79" s="621" t="str">
        <f>IFERROR(IF(compras_mes10[[#This Row],[CUIT]]="","-",VLOOKUP(compras_mes10[[#This Row],[CUIT]],Lista_CUIT[#All],3,0)),"CUIT NO CARGADO")</f>
        <v>LIBRERÍA</v>
      </c>
      <c r="R79" s="625">
        <f>IFERROR(IF(compras_mes10[[#This Row],[CUIT]]="","-",VLOOKUP(compras_mes10[[#This Row],[CUIT]],Lista_CUIT[#All],4,0)),"CUIT NO CARGADO")</f>
        <v>0</v>
      </c>
    </row>
    <row r="80" spans="1:18">
      <c r="A80" s="128"/>
      <c r="B80" s="616" t="s">
        <v>2470</v>
      </c>
      <c r="C80" s="617">
        <v>1</v>
      </c>
      <c r="D80" s="618">
        <v>2</v>
      </c>
      <c r="E80" s="619">
        <v>946</v>
      </c>
      <c r="F80" s="620">
        <v>30718329805</v>
      </c>
      <c r="G80" s="621" t="str">
        <f>IFERROR(IF(compras_mes10[[#This Row],[CUIT]]="","-",VLOOKUP(compras_mes10[[#This Row],[CUIT]],Lista_CUIT[#All],2,0)),"CUIT NO CARGADO")</f>
        <v>CIEN POR CIENTO FOLLETOS SRL</v>
      </c>
      <c r="H80" s="46">
        <v>290247.93</v>
      </c>
      <c r="I80" s="623">
        <f>IF(compras_mes10[[#This Row],[NETO GRAVADO]]="","",compras_mes10[[#This Row],[NETO GRAVADO]]*0.21)</f>
        <v>60952.065299999995</v>
      </c>
      <c r="J80" s="691"/>
      <c r="K80" s="85"/>
      <c r="L80" s="85"/>
      <c r="M80" s="85"/>
      <c r="N80" s="85"/>
      <c r="O80" s="85"/>
      <c r="P80" s="624">
        <f>SUM(compras_mes10[[#This Row],[NETO GRAVADO]:[Otros / No Grav.]])</f>
        <v>351199.99530000001</v>
      </c>
      <c r="Q80" s="621" t="str">
        <f>IFERROR(IF(compras_mes10[[#This Row],[CUIT]]="","-",VLOOKUP(compras_mes10[[#This Row],[CUIT]],Lista_CUIT[#All],3,0)),"CUIT NO CARGADO")</f>
        <v>LIBRERÍA</v>
      </c>
      <c r="R80" s="625">
        <f>IFERROR(IF(compras_mes10[[#This Row],[CUIT]]="","-",VLOOKUP(compras_mes10[[#This Row],[CUIT]],Lista_CUIT[#All],4,0)),"CUIT NO CARGADO")</f>
        <v>0</v>
      </c>
    </row>
    <row r="81" spans="1:18">
      <c r="A81" s="128"/>
      <c r="B81" s="616" t="s">
        <v>2470</v>
      </c>
      <c r="C81" s="617">
        <v>1</v>
      </c>
      <c r="D81" s="618">
        <v>3</v>
      </c>
      <c r="E81" s="619">
        <v>246865</v>
      </c>
      <c r="F81" s="620">
        <v>30693293754</v>
      </c>
      <c r="G81" s="621" t="str">
        <f>IFERROR(IF(compras_mes10[[#This Row],[CUIT]]="","-",VLOOKUP(compras_mes10[[#This Row],[CUIT]],Lista_CUIT[#All],2,0)),"CUIT NO CARGADO")</f>
        <v>CPT INTEGRAL SA</v>
      </c>
      <c r="H81" s="46">
        <v>117353.72</v>
      </c>
      <c r="I81" s="623">
        <f>IF(compras_mes10[[#This Row],[NETO GRAVADO]]="","",compras_mes10[[#This Row],[NETO GRAVADO]]*0.21)</f>
        <v>24644.281199999998</v>
      </c>
      <c r="J81" s="691"/>
      <c r="K81" s="85"/>
      <c r="L81" s="85"/>
      <c r="M81" s="85">
        <v>7041.22</v>
      </c>
      <c r="N81" s="85"/>
      <c r="O81" s="85"/>
      <c r="P81" s="624">
        <f>SUM(compras_mes10[[#This Row],[NETO GRAVADO]:[Otros / No Grav.]])</f>
        <v>149039.2212</v>
      </c>
      <c r="Q81" s="621" t="str">
        <f>IFERROR(IF(compras_mes10[[#This Row],[CUIT]]="","-",VLOOKUP(compras_mes10[[#This Row],[CUIT]],Lista_CUIT[#All],3,0)),"CUIT NO CARGADO")</f>
        <v>LIBRERÍA</v>
      </c>
      <c r="R81" s="625">
        <f>IFERROR(IF(compras_mes10[[#This Row],[CUIT]]="","-",VLOOKUP(compras_mes10[[#This Row],[CUIT]],Lista_CUIT[#All],4,0)),"CUIT NO CARGADO")</f>
        <v>0</v>
      </c>
    </row>
    <row r="82" spans="1:18">
      <c r="A82" s="128"/>
      <c r="B82" s="616" t="s">
        <v>2472</v>
      </c>
      <c r="C82" s="617">
        <v>1</v>
      </c>
      <c r="D82" s="618">
        <v>11</v>
      </c>
      <c r="E82" s="619">
        <v>970</v>
      </c>
      <c r="F82" s="620">
        <v>30715360256</v>
      </c>
      <c r="G82" s="621" t="str">
        <f>IFERROR(IF(compras_mes10[[#This Row],[CUIT]]="","-",VLOOKUP(compras_mes10[[#This Row],[CUIT]],Lista_CUIT[#All],2,0)),"CUIT NO CARGADO")</f>
        <v>ATAWALLPA PAPELES SA</v>
      </c>
      <c r="H82" s="46">
        <v>188495.87</v>
      </c>
      <c r="I82" s="623">
        <f>IF(compras_mes10[[#This Row],[NETO GRAVADO]]="","",compras_mes10[[#This Row],[NETO GRAVADO]]*0.21)</f>
        <v>39584.132699999995</v>
      </c>
      <c r="J82" s="691"/>
      <c r="K82" s="85"/>
      <c r="L82" s="85"/>
      <c r="M82" s="85"/>
      <c r="N82" s="85"/>
      <c r="O82" s="85"/>
      <c r="P82" s="624">
        <f>SUM(compras_mes10[[#This Row],[NETO GRAVADO]:[Otros / No Grav.]])</f>
        <v>228080.00269999998</v>
      </c>
      <c r="Q82" s="621" t="str">
        <f>IFERROR(IF(compras_mes10[[#This Row],[CUIT]]="","-",VLOOKUP(compras_mes10[[#This Row],[CUIT]],Lista_CUIT[#All],3,0)),"CUIT NO CARGADO")</f>
        <v>LIBRERÍA</v>
      </c>
      <c r="R82" s="625">
        <f>IFERROR(IF(compras_mes10[[#This Row],[CUIT]]="","-",VLOOKUP(compras_mes10[[#This Row],[CUIT]],Lista_CUIT[#All],4,0)),"CUIT NO CARGADO")</f>
        <v>0</v>
      </c>
    </row>
    <row r="83" spans="1:18">
      <c r="A83" s="128"/>
      <c r="B83" s="616" t="s">
        <v>2473</v>
      </c>
      <c r="C83" s="617">
        <v>1</v>
      </c>
      <c r="D83" s="618">
        <v>2</v>
      </c>
      <c r="E83" s="619">
        <v>820</v>
      </c>
      <c r="F83" s="620">
        <v>30717768511</v>
      </c>
      <c r="G83" s="45" t="str">
        <f>IFERROR(IF(compras_mes10[[#This Row],[CUIT]]="","-",VLOOKUP(compras_mes10[[#This Row],[CUIT]],Lista_CUIT[#All],2,0)),"CUIT NO CARGADO")</f>
        <v>DEALER S. CAP I SECC IV</v>
      </c>
      <c r="H83" s="46">
        <v>32428.92</v>
      </c>
      <c r="I83" s="623">
        <f>IF(compras_mes10[[#This Row],[NETO GRAVADO]]="","",compras_mes10[[#This Row],[NETO GRAVADO]]*0.21)</f>
        <v>6810.0731999999998</v>
      </c>
      <c r="J83" s="691"/>
      <c r="K83" s="85"/>
      <c r="L83" s="85"/>
      <c r="M83" s="85"/>
      <c r="N83" s="85"/>
      <c r="O83" s="85"/>
      <c r="P83" s="48">
        <f>SUM(compras_mes10[[#This Row],[NETO GRAVADO]:[Otros / No Grav.]])</f>
        <v>39238.993199999997</v>
      </c>
      <c r="Q83" s="45" t="str">
        <f>IFERROR(IF(compras_mes10[[#This Row],[CUIT]]="","-",VLOOKUP(compras_mes10[[#This Row],[CUIT]],Lista_CUIT[#All],3,0)),"CUIT NO CARGADO")</f>
        <v>LIBRERÍA</v>
      </c>
      <c r="R83" s="49">
        <f>IFERROR(IF(compras_mes10[[#This Row],[CUIT]]="","-",VLOOKUP(compras_mes10[[#This Row],[CUIT]],Lista_CUIT[#All],4,0)),"CUIT NO CARGADO")</f>
        <v>0</v>
      </c>
    </row>
    <row r="84" spans="1:18">
      <c r="A84" s="128"/>
      <c r="B84" s="631" t="s">
        <v>2494</v>
      </c>
      <c r="C84" s="632">
        <v>1</v>
      </c>
      <c r="D84" s="633">
        <v>2</v>
      </c>
      <c r="E84" s="634">
        <v>1222</v>
      </c>
      <c r="F84" s="635">
        <v>30718329805</v>
      </c>
      <c r="G84" s="636" t="str">
        <f>IFERROR(IF(compras_mes10[[#This Row],[CUIT]]="","-",VLOOKUP(compras_mes10[[#This Row],[CUIT]],Lista_CUIT[#All],2,0)),"CUIT NO CARGADO")</f>
        <v>CIEN POR CIENTO FOLLETOS SRL</v>
      </c>
      <c r="H84" s="173">
        <v>177024.79</v>
      </c>
      <c r="I84" s="637">
        <f>IF(compras_mes10[[#This Row],[NETO GRAVADO]]="","",compras_mes10[[#This Row],[NETO GRAVADO]]*0.21)</f>
        <v>37175.205900000001</v>
      </c>
      <c r="J84" s="689"/>
      <c r="K84" s="174"/>
      <c r="L84" s="174"/>
      <c r="M84" s="174"/>
      <c r="N84" s="174"/>
      <c r="O84" s="174"/>
      <c r="P84" s="638">
        <f>SUM(compras_mes10[[#This Row],[NETO GRAVADO]:[Otros / No Grav.]])</f>
        <v>214199.99590000001</v>
      </c>
      <c r="Q84" s="636" t="str">
        <f>IFERROR(IF(compras_mes10[[#This Row],[CUIT]]="","-",VLOOKUP(compras_mes10[[#This Row],[CUIT]],Lista_CUIT[#All],3,0)),"CUIT NO CARGADO")</f>
        <v>LIBRERÍA</v>
      </c>
      <c r="R84" s="639">
        <f>IFERROR(IF(compras_mes10[[#This Row],[CUIT]]="","-",VLOOKUP(compras_mes10[[#This Row],[CUIT]],Lista_CUIT[#All],4,0)),"CUIT NO CARGADO")</f>
        <v>0</v>
      </c>
    </row>
    <row r="85" spans="1:18">
      <c r="A85" s="128"/>
      <c r="B85" s="631" t="s">
        <v>2494</v>
      </c>
      <c r="C85" s="632">
        <v>3</v>
      </c>
      <c r="D85" s="633">
        <v>2</v>
      </c>
      <c r="E85" s="634">
        <v>51</v>
      </c>
      <c r="F85" s="635">
        <v>30718329805</v>
      </c>
      <c r="G85" s="636" t="str">
        <f>IFERROR(IF(compras_mes10[[#This Row],[CUIT]]="","-",VLOOKUP(compras_mes10[[#This Row],[CUIT]],Lista_CUIT[#All],2,0)),"CUIT NO CARGADO")</f>
        <v>CIEN POR CIENTO FOLLETOS SRL</v>
      </c>
      <c r="H85" s="173">
        <v>-177024.79</v>
      </c>
      <c r="I85" s="637">
        <f>IF(compras_mes10[[#This Row],[NETO GRAVADO]]="","",compras_mes10[[#This Row],[NETO GRAVADO]]*0.21)</f>
        <v>-37175.205900000001</v>
      </c>
      <c r="J85" s="689"/>
      <c r="K85" s="174"/>
      <c r="L85" s="174"/>
      <c r="M85" s="174"/>
      <c r="N85" s="174"/>
      <c r="O85" s="174"/>
      <c r="P85" s="638">
        <f>SUM(compras_mes10[[#This Row],[NETO GRAVADO]:[Otros / No Grav.]])</f>
        <v>-214199.99590000001</v>
      </c>
      <c r="Q85" s="636" t="str">
        <f>IFERROR(IF(compras_mes10[[#This Row],[CUIT]]="","-",VLOOKUP(compras_mes10[[#This Row],[CUIT]],Lista_CUIT[#All],3,0)),"CUIT NO CARGADO")</f>
        <v>LIBRERÍA</v>
      </c>
      <c r="R85" s="639">
        <f>IFERROR(IF(compras_mes10[[#This Row],[CUIT]]="","-",VLOOKUP(compras_mes10[[#This Row],[CUIT]],Lista_CUIT[#All],4,0)),"CUIT NO CARGADO")</f>
        <v>0</v>
      </c>
    </row>
    <row r="86" spans="1:18">
      <c r="A86" s="128"/>
      <c r="B86" s="616" t="s">
        <v>2494</v>
      </c>
      <c r="C86" s="617">
        <v>1</v>
      </c>
      <c r="D86" s="618">
        <v>2</v>
      </c>
      <c r="E86" s="619">
        <v>1223</v>
      </c>
      <c r="F86" s="620">
        <v>30718329805</v>
      </c>
      <c r="G86" s="621" t="str">
        <f>IFERROR(IF(compras_mes10[[#This Row],[CUIT]]="","-",VLOOKUP(compras_mes10[[#This Row],[CUIT]],Lista_CUIT[#All],2,0)),"CUIT NO CARGADO")</f>
        <v>CIEN POR CIENTO FOLLETOS SRL</v>
      </c>
      <c r="H86" s="46">
        <v>265289.26</v>
      </c>
      <c r="I86" s="623">
        <f>IF(compras_mes10[[#This Row],[NETO GRAVADO]]="","",compras_mes10[[#This Row],[NETO GRAVADO]]*0.21)</f>
        <v>55710.744599999998</v>
      </c>
      <c r="J86" s="691"/>
      <c r="K86" s="85"/>
      <c r="L86" s="85"/>
      <c r="M86" s="85"/>
      <c r="N86" s="85"/>
      <c r="O86" s="85"/>
      <c r="P86" s="624">
        <f>SUM(compras_mes10[[#This Row],[NETO GRAVADO]:[Otros / No Grav.]])</f>
        <v>321000.00459999999</v>
      </c>
      <c r="Q86" s="621" t="str">
        <f>IFERROR(IF(compras_mes10[[#This Row],[CUIT]]="","-",VLOOKUP(compras_mes10[[#This Row],[CUIT]],Lista_CUIT[#All],3,0)),"CUIT NO CARGADO")</f>
        <v>LIBRERÍA</v>
      </c>
      <c r="R86" s="625">
        <f>IFERROR(IF(compras_mes10[[#This Row],[CUIT]]="","-",VLOOKUP(compras_mes10[[#This Row],[CUIT]],Lista_CUIT[#All],4,0)),"CUIT NO CARGADO")</f>
        <v>0</v>
      </c>
    </row>
    <row r="87" spans="1:18">
      <c r="A87" s="128"/>
      <c r="B87" s="616" t="s">
        <v>2497</v>
      </c>
      <c r="C87" s="617">
        <v>1</v>
      </c>
      <c r="D87" s="618">
        <v>2</v>
      </c>
      <c r="E87" s="619">
        <v>1288</v>
      </c>
      <c r="F87" s="620">
        <v>30718329805</v>
      </c>
      <c r="G87" s="621" t="str">
        <f>IFERROR(IF(compras_mes10[[#This Row],[CUIT]]="","-",VLOOKUP(compras_mes10[[#This Row],[CUIT]],Lista_CUIT[#All],2,0)),"CUIT NO CARGADO")</f>
        <v>CIEN POR CIENTO FOLLETOS SRL</v>
      </c>
      <c r="H87" s="46">
        <v>198545.45</v>
      </c>
      <c r="I87" s="623">
        <f>IF(compras_mes10[[#This Row],[NETO GRAVADO]]="","",compras_mes10[[#This Row],[NETO GRAVADO]]*0.21)</f>
        <v>41694.544500000004</v>
      </c>
      <c r="J87" s="691"/>
      <c r="K87" s="85"/>
      <c r="L87" s="85"/>
      <c r="M87" s="85"/>
      <c r="N87" s="85"/>
      <c r="O87" s="85"/>
      <c r="P87" s="624">
        <f>SUM(compras_mes10[[#This Row],[NETO GRAVADO]:[Otros / No Grav.]])</f>
        <v>240239.99450000003</v>
      </c>
      <c r="Q87" s="621" t="str">
        <f>IFERROR(IF(compras_mes10[[#This Row],[CUIT]]="","-",VLOOKUP(compras_mes10[[#This Row],[CUIT]],Lista_CUIT[#All],3,0)),"CUIT NO CARGADO")</f>
        <v>LIBRERÍA</v>
      </c>
      <c r="R87" s="625">
        <f>IFERROR(IF(compras_mes10[[#This Row],[CUIT]]="","-",VLOOKUP(compras_mes10[[#This Row],[CUIT]],Lista_CUIT[#All],4,0)),"CUIT NO CARGADO")</f>
        <v>0</v>
      </c>
    </row>
    <row r="88" spans="1:18" s="128" customFormat="1">
      <c r="B88" s="616" t="s">
        <v>2486</v>
      </c>
      <c r="C88" s="617">
        <v>1</v>
      </c>
      <c r="D88" s="618">
        <v>1</v>
      </c>
      <c r="E88" s="619">
        <v>10</v>
      </c>
      <c r="F88" s="620">
        <v>30717504824</v>
      </c>
      <c r="G88" s="621" t="str">
        <f>IFERROR(IF(compras_mes10[[#This Row],[CUIT]]="","-",VLOOKUP(compras_mes10[[#This Row],[CUIT]],Lista_CUIT[#All],2,0)),"CUIT NO CARGADO")</f>
        <v>FIDEICOMISO MAMBA</v>
      </c>
      <c r="H88" s="46">
        <v>2521266.9500000002</v>
      </c>
      <c r="I88" s="623"/>
      <c r="J88" s="691"/>
      <c r="K88" s="85">
        <v>264733.03000000003</v>
      </c>
      <c r="L88" s="85"/>
      <c r="M88" s="85"/>
      <c r="N88" s="85"/>
      <c r="O88" s="85"/>
      <c r="P88" s="624">
        <f>SUM(compras_mes10[[#This Row],[NETO GRAVADO]:[Otros / No Grav.]])</f>
        <v>2785999.9800000004</v>
      </c>
      <c r="Q88" s="621" t="str">
        <f>IFERROR(IF(compras_mes10[[#This Row],[CUIT]]="","-",VLOOKUP(compras_mes10[[#This Row],[CUIT]],Lista_CUIT[#All],3,0)),"CUIT NO CARGADO")</f>
        <v>MANTENIMIENTO</v>
      </c>
      <c r="R88" s="625">
        <f>IFERROR(IF(compras_mes10[[#This Row],[CUIT]]="","-",VLOOKUP(compras_mes10[[#This Row],[CUIT]],Lista_CUIT[#All],4,0)),"CUIT NO CARGADO")</f>
        <v>0</v>
      </c>
    </row>
    <row r="89" spans="1:18">
      <c r="A89" s="128"/>
      <c r="B89" s="631" t="s">
        <v>2498</v>
      </c>
      <c r="C89" s="632">
        <v>1</v>
      </c>
      <c r="D89" s="633">
        <v>13</v>
      </c>
      <c r="E89" s="634">
        <v>3967</v>
      </c>
      <c r="F89" s="635">
        <v>30694497701</v>
      </c>
      <c r="G89" s="636" t="str">
        <f>IFERROR(IF(compras_mes10[[#This Row],[CUIT]]="","-",VLOOKUP(compras_mes10[[#This Row],[CUIT]],Lista_CUIT[#All],2,0)),"CUIT NO CARGADO")</f>
        <v>DECOR ALUM SRL</v>
      </c>
      <c r="H89" s="173">
        <v>12196.98</v>
      </c>
      <c r="I89" s="637">
        <f>IF(compras_mes10[[#This Row],[NETO GRAVADO]]="","",compras_mes10[[#This Row],[NETO GRAVADO]]*0.21)</f>
        <v>2561.3658</v>
      </c>
      <c r="J89" s="689"/>
      <c r="K89" s="174"/>
      <c r="L89" s="174"/>
      <c r="M89" s="174"/>
      <c r="N89" s="174">
        <v>731.82</v>
      </c>
      <c r="O89" s="174"/>
      <c r="P89" s="638">
        <f>SUM(compras_mes10[[#This Row],[NETO GRAVADO]:[Otros / No Grav.]])</f>
        <v>15490.165799999999</v>
      </c>
      <c r="Q89" s="636" t="str">
        <f>IFERROR(IF(compras_mes10[[#This Row],[CUIT]]="","-",VLOOKUP(compras_mes10[[#This Row],[CUIT]],Lista_CUIT[#All],3,0)),"CUIT NO CARGADO")</f>
        <v>MANTENIMIENTO</v>
      </c>
      <c r="R89" s="639">
        <f>IFERROR(IF(compras_mes10[[#This Row],[CUIT]]="","-",VLOOKUP(compras_mes10[[#This Row],[CUIT]],Lista_CUIT[#All],4,0)),"CUIT NO CARGADO")</f>
        <v>0</v>
      </c>
    </row>
    <row r="90" spans="1:18">
      <c r="A90" s="128"/>
      <c r="B90" s="631">
        <v>45579</v>
      </c>
      <c r="C90" s="632">
        <v>1</v>
      </c>
      <c r="D90" s="633">
        <v>32</v>
      </c>
      <c r="E90" s="634">
        <v>2667</v>
      </c>
      <c r="F90" s="635">
        <v>30696106068</v>
      </c>
      <c r="G90" s="636" t="str">
        <f>IFERROR(IF(compras_mes10[[#This Row],[CUIT]]="","-",VLOOKUP(compras_mes10[[#This Row],[CUIT]],Lista_CUIT[#All],2,0)),"CUIT NO CARGADO")</f>
        <v>PINTURERIAS LIBERATO SRL</v>
      </c>
      <c r="H90" s="173">
        <v>19073.95</v>
      </c>
      <c r="I90" s="637">
        <f>IF(compras_mes10[[#This Row],[NETO GRAVADO]]="","",compras_mes10[[#This Row],[NETO GRAVADO]]*0.21)</f>
        <v>4005.5295000000001</v>
      </c>
      <c r="J90" s="689"/>
      <c r="K90" s="174"/>
      <c r="L90" s="174"/>
      <c r="M90" s="174"/>
      <c r="N90" s="174"/>
      <c r="O90" s="174">
        <v>0.02</v>
      </c>
      <c r="P90" s="638">
        <f>SUM(compras_mes10[[#This Row],[NETO GRAVADO]:[Otros / No Grav.]])</f>
        <v>23079.499500000002</v>
      </c>
      <c r="Q90" s="636" t="str">
        <f>IFERROR(IF(compras_mes10[[#This Row],[CUIT]]="","-",VLOOKUP(compras_mes10[[#This Row],[CUIT]],Lista_CUIT[#All],3,0)),"CUIT NO CARGADO")</f>
        <v>Mantenimiento Locales</v>
      </c>
      <c r="R90" s="639">
        <f>IFERROR(IF(compras_mes10[[#This Row],[CUIT]]="","-",VLOOKUP(compras_mes10[[#This Row],[CUIT]],Lista_CUIT[#All],4,0)),"CUIT NO CARGADO")</f>
        <v>0</v>
      </c>
    </row>
    <row r="91" spans="1:18">
      <c r="A91" s="128"/>
      <c r="B91" s="631" t="s">
        <v>2492</v>
      </c>
      <c r="C91" s="632">
        <v>1</v>
      </c>
      <c r="D91" s="633">
        <v>6</v>
      </c>
      <c r="E91" s="634">
        <v>29837</v>
      </c>
      <c r="F91" s="635">
        <v>30655261695</v>
      </c>
      <c r="G91" s="636" t="str">
        <f>IFERROR(IF(compras_mes10[[#This Row],[CUIT]]="","-",VLOOKUP(compras_mes10[[#This Row],[CUIT]],Lista_CUIT[#All],2,0)),"CUIT NO CARGADO")</f>
        <v>FERRETERIA Y PINTURERIA PATRICIOS S A</v>
      </c>
      <c r="H91" s="173">
        <v>4545.45</v>
      </c>
      <c r="I91" s="637">
        <f>IF(compras_mes10[[#This Row],[NETO GRAVADO]]="","",compras_mes10[[#This Row],[NETO GRAVADO]]*0.21)</f>
        <v>954.54449999999997</v>
      </c>
      <c r="J91" s="689"/>
      <c r="K91" s="174"/>
      <c r="L91" s="174"/>
      <c r="M91" s="174"/>
      <c r="N91" s="174"/>
      <c r="O91" s="174"/>
      <c r="P91" s="638">
        <f>SUM(compras_mes10[[#This Row],[NETO GRAVADO]:[Otros / No Grav.]])</f>
        <v>5499.9944999999998</v>
      </c>
      <c r="Q91" s="636" t="str">
        <f>IFERROR(IF(compras_mes10[[#This Row],[CUIT]]="","-",VLOOKUP(compras_mes10[[#This Row],[CUIT]],Lista_CUIT[#All],3,0)),"CUIT NO CARGADO")</f>
        <v>Mantenimiento Locales</v>
      </c>
      <c r="R91" s="639">
        <f>IFERROR(IF(compras_mes10[[#This Row],[CUIT]]="","-",VLOOKUP(compras_mes10[[#This Row],[CUIT]],Lista_CUIT[#All],4,0)),"CUIT NO CARGADO")</f>
        <v>0</v>
      </c>
    </row>
    <row r="92" spans="1:18">
      <c r="A92" s="128"/>
      <c r="B92" s="631" t="s">
        <v>2495</v>
      </c>
      <c r="C92" s="632">
        <v>1</v>
      </c>
      <c r="D92" s="633">
        <v>464</v>
      </c>
      <c r="E92" s="634">
        <v>19977</v>
      </c>
      <c r="F92" s="635">
        <v>30646512952</v>
      </c>
      <c r="G92" s="636" t="str">
        <f>IFERROR(IF(compras_mes10[[#This Row],[CUIT]]="","-",VLOOKUP(compras_mes10[[#This Row],[CUIT]],Lista_CUIT[#All],2,0)),"CUIT NO CARGADO")</f>
        <v xml:space="preserve">PINTURERIA REX </v>
      </c>
      <c r="H92" s="173">
        <v>145056.54999999999</v>
      </c>
      <c r="I92" s="637">
        <f>IF(compras_mes10[[#This Row],[NETO GRAVADO]]="","",compras_mes10[[#This Row],[NETO GRAVADO]]*0.21)</f>
        <v>30461.875499999995</v>
      </c>
      <c r="J92" s="689"/>
      <c r="K92" s="174"/>
      <c r="L92" s="174"/>
      <c r="M92" s="174"/>
      <c r="N92" s="174">
        <v>8703.39</v>
      </c>
      <c r="O92" s="174"/>
      <c r="P92" s="638">
        <f>SUM(compras_mes10[[#This Row],[NETO GRAVADO]:[Otros / No Grav.]])</f>
        <v>184221.81549999997</v>
      </c>
      <c r="Q92" s="636" t="str">
        <f>IFERROR(IF(compras_mes10[[#This Row],[CUIT]]="","-",VLOOKUP(compras_mes10[[#This Row],[CUIT]],Lista_CUIT[#All],3,0)),"CUIT NO CARGADO")</f>
        <v>Mantenimiento Locales</v>
      </c>
      <c r="R92" s="639">
        <f>IFERROR(IF(compras_mes10[[#This Row],[CUIT]]="","-",VLOOKUP(compras_mes10[[#This Row],[CUIT]],Lista_CUIT[#All],4,0)),"CUIT NO CARGADO")</f>
        <v>0</v>
      </c>
    </row>
    <row r="93" spans="1:18">
      <c r="A93" s="128"/>
      <c r="B93" s="631" t="s">
        <v>2495</v>
      </c>
      <c r="C93" s="632">
        <v>3</v>
      </c>
      <c r="D93" s="633">
        <v>464</v>
      </c>
      <c r="E93" s="634">
        <v>2868</v>
      </c>
      <c r="F93" s="635">
        <v>30646512952</v>
      </c>
      <c r="G93" s="636" t="str">
        <f>IFERROR(IF(compras_mes10[[#This Row],[CUIT]]="","-",VLOOKUP(compras_mes10[[#This Row],[CUIT]],Lista_CUIT[#All],2,0)),"CUIT NO CARGADO")</f>
        <v xml:space="preserve">PINTURERIA REX </v>
      </c>
      <c r="H93" s="173">
        <v>-43516.959999999999</v>
      </c>
      <c r="I93" s="637">
        <f>IF(compras_mes10[[#This Row],[NETO GRAVADO]]="","",compras_mes10[[#This Row],[NETO GRAVADO]]*0.21)</f>
        <v>-9138.5615999999991</v>
      </c>
      <c r="J93" s="689"/>
      <c r="K93" s="174"/>
      <c r="L93" s="174"/>
      <c r="M93" s="174"/>
      <c r="N93" s="174"/>
      <c r="O93" s="174"/>
      <c r="P93" s="638">
        <f>SUM(compras_mes10[[#This Row],[NETO GRAVADO]:[Otros / No Grav.]])</f>
        <v>-52655.5216</v>
      </c>
      <c r="Q93" s="636" t="str">
        <f>IFERROR(IF(compras_mes10[[#This Row],[CUIT]]="","-",VLOOKUP(compras_mes10[[#This Row],[CUIT]],Lista_CUIT[#All],3,0)),"CUIT NO CARGADO")</f>
        <v>Mantenimiento Locales</v>
      </c>
      <c r="R93" s="639">
        <f>IFERROR(IF(compras_mes10[[#This Row],[CUIT]]="","-",VLOOKUP(compras_mes10[[#This Row],[CUIT]],Lista_CUIT[#All],4,0)),"CUIT NO CARGADO")</f>
        <v>0</v>
      </c>
    </row>
    <row r="94" spans="1:18">
      <c r="A94" s="128"/>
      <c r="B94" s="631" t="s">
        <v>2498</v>
      </c>
      <c r="C94" s="632">
        <v>1</v>
      </c>
      <c r="D94" s="633">
        <v>12</v>
      </c>
      <c r="E94" s="634">
        <v>7640</v>
      </c>
      <c r="F94" s="635">
        <v>30707528008</v>
      </c>
      <c r="G94" s="636" t="str">
        <f>IFERROR(IF(compras_mes10[[#This Row],[CUIT]]="","-",VLOOKUP(compras_mes10[[#This Row],[CUIT]],Lista_CUIT[#All],2,0)),"CUIT NO CARGADO")</f>
        <v>PINTURERIA NORTE S R L</v>
      </c>
      <c r="H94" s="173">
        <v>11845.89</v>
      </c>
      <c r="I94" s="637">
        <f>IF(compras_mes10[[#This Row],[NETO GRAVADO]]="","",compras_mes10[[#This Row],[NETO GRAVADO]]*0.21)</f>
        <v>2487.6369</v>
      </c>
      <c r="J94" s="689"/>
      <c r="K94" s="174"/>
      <c r="L94" s="174"/>
      <c r="M94" s="174"/>
      <c r="N94" s="174"/>
      <c r="O94" s="174"/>
      <c r="P94" s="638">
        <f>SUM(compras_mes10[[#This Row],[NETO GRAVADO]:[Otros / No Grav.]])</f>
        <v>14333.526899999999</v>
      </c>
      <c r="Q94" s="636" t="str">
        <f>IFERROR(IF(compras_mes10[[#This Row],[CUIT]]="","-",VLOOKUP(compras_mes10[[#This Row],[CUIT]],Lista_CUIT[#All],3,0)),"CUIT NO CARGADO")</f>
        <v>Mantenimiento Locales</v>
      </c>
      <c r="R94" s="639">
        <f>IFERROR(IF(compras_mes10[[#This Row],[CUIT]]="","-",VLOOKUP(compras_mes10[[#This Row],[CUIT]],Lista_CUIT[#All],4,0)),"CUIT NO CARGADO")</f>
        <v>0</v>
      </c>
    </row>
    <row r="95" spans="1:18">
      <c r="A95" s="128"/>
      <c r="B95" s="631" t="s">
        <v>2498</v>
      </c>
      <c r="C95" s="632">
        <v>1</v>
      </c>
      <c r="D95" s="633">
        <v>16</v>
      </c>
      <c r="E95" s="634">
        <v>23537</v>
      </c>
      <c r="F95" s="635">
        <v>30553547942</v>
      </c>
      <c r="G95" s="636" t="str">
        <f>IFERROR(IF(compras_mes10[[#This Row],[CUIT]]="","-",VLOOKUP(compras_mes10[[#This Row],[CUIT]],Lista_CUIT[#All],2,0)),"CUIT NO CARGADO")</f>
        <v>PINTURERIAS MAFER SA</v>
      </c>
      <c r="H95" s="173">
        <v>64939.360000000001</v>
      </c>
      <c r="I95" s="637">
        <f>IF(compras_mes10[[#This Row],[NETO GRAVADO]]="","",compras_mes10[[#This Row],[NETO GRAVADO]]*0.21)</f>
        <v>13637.265599999999</v>
      </c>
      <c r="J95" s="692"/>
      <c r="K95" s="637"/>
      <c r="L95" s="637"/>
      <c r="M95" s="637"/>
      <c r="N95" s="637"/>
      <c r="O95" s="637"/>
      <c r="P95" s="638">
        <f>SUM(compras_mes10[[#This Row],[NETO GRAVADO]:[Otros / No Grav.]])</f>
        <v>78576.625599999999</v>
      </c>
      <c r="Q95" s="636" t="str">
        <f>IFERROR(IF(compras_mes10[[#This Row],[CUIT]]="","-",VLOOKUP(compras_mes10[[#This Row],[CUIT]],Lista_CUIT[#All],3,0)),"CUIT NO CARGADO")</f>
        <v>Mantenimiento Locales</v>
      </c>
      <c r="R95" s="639">
        <f>IFERROR(IF(compras_mes10[[#This Row],[CUIT]]="","-",VLOOKUP(compras_mes10[[#This Row],[CUIT]],Lista_CUIT[#All],4,0)),"CUIT NO CARGADO")</f>
        <v>0</v>
      </c>
    </row>
    <row r="96" spans="1:18">
      <c r="A96" s="128"/>
      <c r="B96" s="616" t="s">
        <v>2469</v>
      </c>
      <c r="C96" s="617">
        <v>1</v>
      </c>
      <c r="D96" s="618">
        <v>6</v>
      </c>
      <c r="E96" s="619">
        <v>25745</v>
      </c>
      <c r="F96" s="620">
        <v>33640878679</v>
      </c>
      <c r="G96" s="621" t="str">
        <f>IFERROR(IF(compras_mes10[[#This Row],[CUIT]]="","-",VLOOKUP(compras_mes10[[#This Row],[CUIT]],Lista_CUIT[#All],2,0)),"CUIT NO CARGADO")</f>
        <v>DHACAM S R L</v>
      </c>
      <c r="H96" s="46">
        <v>934650</v>
      </c>
      <c r="I96" s="623">
        <f>IF(compras_mes10[[#This Row],[NETO GRAVADO]]="","",compras_mes10[[#This Row],[NETO GRAVADO]]*0.21)</f>
        <v>196276.5</v>
      </c>
      <c r="J96" s="691"/>
      <c r="K96" s="85"/>
      <c r="L96" s="85"/>
      <c r="M96" s="85"/>
      <c r="N96" s="85"/>
      <c r="O96" s="85"/>
      <c r="P96" s="624">
        <f>SUM(compras_mes10[[#This Row],[NETO GRAVADO]:[Otros / No Grav.]])</f>
        <v>1130926.5</v>
      </c>
      <c r="Q96" s="621" t="str">
        <f>IFERROR(IF(compras_mes10[[#This Row],[CUIT]]="","-",VLOOKUP(compras_mes10[[#This Row],[CUIT]],Lista_CUIT[#All],3,0)),"CUIT NO CARGADO")</f>
        <v>Materia Prima</v>
      </c>
      <c r="R96" s="625">
        <f>IFERROR(IF(compras_mes10[[#This Row],[CUIT]]="","-",VLOOKUP(compras_mes10[[#This Row],[CUIT]],Lista_CUIT[#All],4,0)),"CUIT NO CARGADO")</f>
        <v>0</v>
      </c>
    </row>
    <row r="97" spans="1:18">
      <c r="A97" s="128"/>
      <c r="B97" s="616" t="s">
        <v>2473</v>
      </c>
      <c r="C97" s="617">
        <v>1</v>
      </c>
      <c r="D97" s="618">
        <v>11</v>
      </c>
      <c r="E97" s="619">
        <v>80749</v>
      </c>
      <c r="F97" s="620">
        <v>30534051049</v>
      </c>
      <c r="G97" s="621" t="str">
        <f>IFERROR(IF(compras_mes10[[#This Row],[CUIT]]="","-",VLOOKUP(compras_mes10[[#This Row],[CUIT]],Lista_CUIT[#All],2,0)),"CUIT NO CARGADO")</f>
        <v>PLIN METAL S A</v>
      </c>
      <c r="H97" s="46">
        <v>39199.699999999997</v>
      </c>
      <c r="I97" s="623">
        <f>IF(compras_mes10[[#This Row],[NETO GRAVADO]]="","",compras_mes10[[#This Row],[NETO GRAVADO]]*0.21)</f>
        <v>8231.9369999999999</v>
      </c>
      <c r="J97" s="691"/>
      <c r="K97" s="85"/>
      <c r="L97" s="85"/>
      <c r="M97" s="85"/>
      <c r="N97" s="85"/>
      <c r="O97" s="85"/>
      <c r="P97" s="624">
        <f>SUM(compras_mes10[[#This Row],[NETO GRAVADO]:[Otros / No Grav.]])</f>
        <v>47431.636999999995</v>
      </c>
      <c r="Q97" s="621" t="str">
        <f>IFERROR(IF(compras_mes10[[#This Row],[CUIT]]="","-",VLOOKUP(compras_mes10[[#This Row],[CUIT]],Lista_CUIT[#All],3,0)),"CUIT NO CARGADO")</f>
        <v>Materia Prima</v>
      </c>
      <c r="R97" s="625">
        <f>IFERROR(IF(compras_mes10[[#This Row],[CUIT]]="","-",VLOOKUP(compras_mes10[[#This Row],[CUIT]],Lista_CUIT[#All],4,0)),"CUIT NO CARGADO")</f>
        <v>0</v>
      </c>
    </row>
    <row r="98" spans="1:18">
      <c r="A98" s="128"/>
      <c r="B98" s="616" t="s">
        <v>2474</v>
      </c>
      <c r="C98" s="617">
        <v>1</v>
      </c>
      <c r="D98" s="618">
        <v>4</v>
      </c>
      <c r="E98" s="619">
        <v>47653</v>
      </c>
      <c r="F98" s="620">
        <v>30709863076</v>
      </c>
      <c r="G98" s="621" t="str">
        <f>IFERROR(IF(compras_mes10[[#This Row],[CUIT]]="","-",VLOOKUP(compras_mes10[[#This Row],[CUIT]],Lista_CUIT[#All],2,0)),"CUIT NO CARGADO")</f>
        <v>INDUSTRIAS PLASTICOS SALTA S.R.L.</v>
      </c>
      <c r="H98" s="46">
        <v>76000</v>
      </c>
      <c r="I98" s="623">
        <f>IF(compras_mes10[[#This Row],[NETO GRAVADO]]="","",compras_mes10[[#This Row],[NETO GRAVADO]]*0.21)</f>
        <v>15960</v>
      </c>
      <c r="J98" s="691"/>
      <c r="K98" s="85"/>
      <c r="L98" s="85"/>
      <c r="M98" s="85"/>
      <c r="N98" s="85"/>
      <c r="O98" s="85"/>
      <c r="P98" s="624">
        <f>SUM(compras_mes10[[#This Row],[NETO GRAVADO]:[Otros / No Grav.]])</f>
        <v>91960</v>
      </c>
      <c r="Q98" s="621" t="str">
        <f>IFERROR(IF(compras_mes10[[#This Row],[CUIT]]="","-",VLOOKUP(compras_mes10[[#This Row],[CUIT]],Lista_CUIT[#All],3,0)),"CUIT NO CARGADO")</f>
        <v>Materia Prima</v>
      </c>
      <c r="R98" s="625">
        <f>IFERROR(IF(compras_mes10[[#This Row],[CUIT]]="","-",VLOOKUP(compras_mes10[[#This Row],[CUIT]],Lista_CUIT[#All],4,0)),"CUIT NO CARGADO")</f>
        <v>0</v>
      </c>
    </row>
    <row r="99" spans="1:18">
      <c r="A99" s="128"/>
      <c r="B99" s="631" t="s">
        <v>2488</v>
      </c>
      <c r="C99" s="632">
        <v>1</v>
      </c>
      <c r="D99" s="633">
        <v>11</v>
      </c>
      <c r="E99" s="634">
        <v>80802</v>
      </c>
      <c r="F99" s="635">
        <v>30534051049</v>
      </c>
      <c r="G99" s="636" t="str">
        <f>IFERROR(IF(compras_mes10[[#This Row],[CUIT]]="","-",VLOOKUP(compras_mes10[[#This Row],[CUIT]],Lista_CUIT[#All],2,0)),"CUIT NO CARGADO")</f>
        <v>PLIN METAL S A</v>
      </c>
      <c r="H99" s="173">
        <v>7757.01</v>
      </c>
      <c r="I99" s="637">
        <f>IF(compras_mes10[[#This Row],[NETO GRAVADO]]="","",compras_mes10[[#This Row],[NETO GRAVADO]]*0.21)</f>
        <v>1628.9721</v>
      </c>
      <c r="J99" s="689"/>
      <c r="K99" s="174"/>
      <c r="L99" s="174"/>
      <c r="M99" s="174"/>
      <c r="N99" s="174"/>
      <c r="O99" s="174"/>
      <c r="P99" s="638">
        <f>SUM(compras_mes10[[#This Row],[NETO GRAVADO]:[Otros / No Grav.]])</f>
        <v>9385.9821000000011</v>
      </c>
      <c r="Q99" s="636" t="str">
        <f>IFERROR(IF(compras_mes10[[#This Row],[CUIT]]="","-",VLOOKUP(compras_mes10[[#This Row],[CUIT]],Lista_CUIT[#All],3,0)),"CUIT NO CARGADO")</f>
        <v>Materia Prima</v>
      </c>
      <c r="R99" s="639">
        <f>IFERROR(IF(compras_mes10[[#This Row],[CUIT]]="","-",VLOOKUP(compras_mes10[[#This Row],[CUIT]],Lista_CUIT[#All],4,0)),"CUIT NO CARGADO")</f>
        <v>0</v>
      </c>
    </row>
    <row r="100" spans="1:18">
      <c r="A100" s="128"/>
      <c r="B100" s="616" t="s">
        <v>2490</v>
      </c>
      <c r="C100" s="617">
        <v>1</v>
      </c>
      <c r="D100" s="618">
        <v>4</v>
      </c>
      <c r="E100" s="619">
        <v>47672</v>
      </c>
      <c r="F100" s="620">
        <v>30709863076</v>
      </c>
      <c r="G100" s="621" t="str">
        <f>IFERROR(IF(compras_mes10[[#This Row],[CUIT]]="","-",VLOOKUP(compras_mes10[[#This Row],[CUIT]],Lista_CUIT[#All],2,0)),"CUIT NO CARGADO")</f>
        <v>INDUSTRIAS PLASTICOS SALTA S.R.L.</v>
      </c>
      <c r="H100" s="46">
        <v>2921860</v>
      </c>
      <c r="I100" s="623">
        <f>IF(compras_mes10[[#This Row],[NETO GRAVADO]]="","",compras_mes10[[#This Row],[NETO GRAVADO]]*0.21)</f>
        <v>613590.6</v>
      </c>
      <c r="J100" s="691"/>
      <c r="K100" s="85"/>
      <c r="L100" s="85"/>
      <c r="M100" s="85"/>
      <c r="N100" s="85"/>
      <c r="O100" s="85"/>
      <c r="P100" s="624">
        <f>SUM(compras_mes10[[#This Row],[NETO GRAVADO]:[Otros / No Grav.]])</f>
        <v>3535450.6</v>
      </c>
      <c r="Q100" s="621" t="str">
        <f>IFERROR(IF(compras_mes10[[#This Row],[CUIT]]="","-",VLOOKUP(compras_mes10[[#This Row],[CUIT]],Lista_CUIT[#All],3,0)),"CUIT NO CARGADO")</f>
        <v>Materia Prima</v>
      </c>
      <c r="R100" s="625">
        <f>IFERROR(IF(compras_mes10[[#This Row],[CUIT]]="","-",VLOOKUP(compras_mes10[[#This Row],[CUIT]],Lista_CUIT[#All],4,0)),"CUIT NO CARGADO")</f>
        <v>0</v>
      </c>
    </row>
    <row r="101" spans="1:18">
      <c r="A101" s="128"/>
      <c r="B101" s="616" t="s">
        <v>2490</v>
      </c>
      <c r="C101" s="617">
        <v>1</v>
      </c>
      <c r="D101" s="618">
        <v>4</v>
      </c>
      <c r="E101" s="619">
        <v>47677</v>
      </c>
      <c r="F101" s="620">
        <v>30709863076</v>
      </c>
      <c r="G101" s="621" t="str">
        <f>IFERROR(IF(compras_mes10[[#This Row],[CUIT]]="","-",VLOOKUP(compras_mes10[[#This Row],[CUIT]],Lista_CUIT[#All],2,0)),"CUIT NO CARGADO")</f>
        <v>INDUSTRIAS PLASTICOS SALTA S.R.L.</v>
      </c>
      <c r="H101" s="46">
        <v>85950.41</v>
      </c>
      <c r="I101" s="623">
        <f>IF(compras_mes10[[#This Row],[NETO GRAVADO]]="","",compras_mes10[[#This Row],[NETO GRAVADO]]*0.21)</f>
        <v>18049.5861</v>
      </c>
      <c r="J101" s="691"/>
      <c r="K101" s="85"/>
      <c r="L101" s="85"/>
      <c r="M101" s="85"/>
      <c r="N101" s="85"/>
      <c r="O101" s="85"/>
      <c r="P101" s="624">
        <f>SUM(compras_mes10[[#This Row],[NETO GRAVADO]:[Otros / No Grav.]])</f>
        <v>103999.9961</v>
      </c>
      <c r="Q101" s="621" t="str">
        <f>IFERROR(IF(compras_mes10[[#This Row],[CUIT]]="","-",VLOOKUP(compras_mes10[[#This Row],[CUIT]],Lista_CUIT[#All],3,0)),"CUIT NO CARGADO")</f>
        <v>Materia Prima</v>
      </c>
      <c r="R101" s="625">
        <f>IFERROR(IF(compras_mes10[[#This Row],[CUIT]]="","-",VLOOKUP(compras_mes10[[#This Row],[CUIT]],Lista_CUIT[#All],4,0)),"CUIT NO CARGADO")</f>
        <v>0</v>
      </c>
    </row>
    <row r="102" spans="1:18">
      <c r="A102" s="128"/>
      <c r="B102" s="616" t="s">
        <v>2477</v>
      </c>
      <c r="C102" s="617">
        <v>1</v>
      </c>
      <c r="D102" s="618">
        <v>10</v>
      </c>
      <c r="E102" s="619">
        <v>56029</v>
      </c>
      <c r="F102" s="620">
        <v>30528214483</v>
      </c>
      <c r="G102" s="621" t="str">
        <f>IFERROR(IF(compras_mes10[[#This Row],[CUIT]]="","-",VLOOKUP(compras_mes10[[#This Row],[CUIT]],Lista_CUIT[#All],2,0)),"CUIT NO CARGADO")</f>
        <v>D WEINSTOCK S R L</v>
      </c>
      <c r="H102" s="46">
        <v>33330.58</v>
      </c>
      <c r="I102" s="623">
        <f>IF(compras_mes10[[#This Row],[NETO GRAVADO]]="","",compras_mes10[[#This Row],[NETO GRAVADO]]*0.21)</f>
        <v>6999.4218000000001</v>
      </c>
      <c r="J102" s="691"/>
      <c r="K102" s="85"/>
      <c r="L102" s="85"/>
      <c r="M102" s="85"/>
      <c r="N102" s="85"/>
      <c r="O102" s="85"/>
      <c r="P102" s="624">
        <f>SUM(compras_mes10[[#This Row],[NETO GRAVADO]:[Otros / No Grav.]])</f>
        <v>40330.001799999998</v>
      </c>
      <c r="Q102" s="621" t="str">
        <f>IFERROR(IF(compras_mes10[[#This Row],[CUIT]]="","-",VLOOKUP(compras_mes10[[#This Row],[CUIT]],Lista_CUIT[#All],3,0)),"CUIT NO CARGADO")</f>
        <v>Materia Prima</v>
      </c>
      <c r="R102" s="625">
        <f>IFERROR(IF(compras_mes10[[#This Row],[CUIT]]="","-",VLOOKUP(compras_mes10[[#This Row],[CUIT]],Lista_CUIT[#All],4,0)),"CUIT NO CARGADO")</f>
        <v>0</v>
      </c>
    </row>
    <row r="103" spans="1:18">
      <c r="A103" s="128"/>
      <c r="B103" s="631" t="s">
        <v>2492</v>
      </c>
      <c r="C103" s="632">
        <v>1</v>
      </c>
      <c r="D103" s="633">
        <v>11</v>
      </c>
      <c r="E103" s="634">
        <v>80921</v>
      </c>
      <c r="F103" s="635">
        <v>30534051049</v>
      </c>
      <c r="G103" s="636" t="str">
        <f>IFERROR(IF(compras_mes10[[#This Row],[CUIT]]="","-",VLOOKUP(compras_mes10[[#This Row],[CUIT]],Lista_CUIT[#All],2,0)),"CUIT NO CARGADO")</f>
        <v>PLIN METAL S A</v>
      </c>
      <c r="H103" s="173">
        <v>8003.27</v>
      </c>
      <c r="I103" s="637">
        <f>IF(compras_mes10[[#This Row],[NETO GRAVADO]]="","",compras_mes10[[#This Row],[NETO GRAVADO]]*0.21)</f>
        <v>1680.6867</v>
      </c>
      <c r="J103" s="689"/>
      <c r="K103" s="174"/>
      <c r="L103" s="174"/>
      <c r="M103" s="174"/>
      <c r="N103" s="174"/>
      <c r="O103" s="174"/>
      <c r="P103" s="638">
        <f>SUM(compras_mes10[[#This Row],[NETO GRAVADO]:[Otros / No Grav.]])</f>
        <v>9683.9567000000006</v>
      </c>
      <c r="Q103" s="636" t="str">
        <f>IFERROR(IF(compras_mes10[[#This Row],[CUIT]]="","-",VLOOKUP(compras_mes10[[#This Row],[CUIT]],Lista_CUIT[#All],3,0)),"CUIT NO CARGADO")</f>
        <v>Materia Prima</v>
      </c>
      <c r="R103" s="639">
        <f>IFERROR(IF(compras_mes10[[#This Row],[CUIT]]="","-",VLOOKUP(compras_mes10[[#This Row],[CUIT]],Lista_CUIT[#All],4,0)),"CUIT NO CARGADO")</f>
        <v>0</v>
      </c>
    </row>
    <row r="104" spans="1:18">
      <c r="A104" s="128"/>
      <c r="B104" s="616" t="s">
        <v>2479</v>
      </c>
      <c r="C104" s="617">
        <v>1</v>
      </c>
      <c r="D104" s="618">
        <v>4</v>
      </c>
      <c r="E104" s="619">
        <v>47757</v>
      </c>
      <c r="F104" s="620">
        <v>30709863076</v>
      </c>
      <c r="G104" s="621" t="str">
        <f>IFERROR(IF(compras_mes10[[#This Row],[CUIT]]="","-",VLOOKUP(compras_mes10[[#This Row],[CUIT]],Lista_CUIT[#All],2,0)),"CUIT NO CARGADO")</f>
        <v>INDUSTRIAS PLASTICOS SALTA S.R.L.</v>
      </c>
      <c r="H104" s="46">
        <v>142809.92000000001</v>
      </c>
      <c r="I104" s="623">
        <f>IF(compras_mes10[[#This Row],[NETO GRAVADO]]="","",compras_mes10[[#This Row],[NETO GRAVADO]]*0.21)</f>
        <v>29990.083200000001</v>
      </c>
      <c r="J104" s="691"/>
      <c r="K104" s="85"/>
      <c r="L104" s="85"/>
      <c r="M104" s="85"/>
      <c r="N104" s="85"/>
      <c r="O104" s="85"/>
      <c r="P104" s="624">
        <f>SUM(compras_mes10[[#This Row],[NETO GRAVADO]:[Otros / No Grav.]])</f>
        <v>172800.00320000001</v>
      </c>
      <c r="Q104" s="621" t="str">
        <f>IFERROR(IF(compras_mes10[[#This Row],[CUIT]]="","-",VLOOKUP(compras_mes10[[#This Row],[CUIT]],Lista_CUIT[#All],3,0)),"CUIT NO CARGADO")</f>
        <v>Materia Prima</v>
      </c>
      <c r="R104" s="625">
        <f>IFERROR(IF(compras_mes10[[#This Row],[CUIT]]="","-",VLOOKUP(compras_mes10[[#This Row],[CUIT]],Lista_CUIT[#All],4,0)),"CUIT NO CARGADO")</f>
        <v>0</v>
      </c>
    </row>
    <row r="105" spans="1:18">
      <c r="A105" s="128"/>
      <c r="B105" s="616" t="s">
        <v>2481</v>
      </c>
      <c r="C105" s="617">
        <v>1</v>
      </c>
      <c r="D105" s="618">
        <v>3</v>
      </c>
      <c r="E105" s="619">
        <v>11109</v>
      </c>
      <c r="F105" s="620">
        <v>30658667374</v>
      </c>
      <c r="G105" s="621" t="str">
        <f>IFERROR(IF(compras_mes10[[#This Row],[CUIT]]="","-",VLOOKUP(compras_mes10[[#This Row],[CUIT]],Lista_CUIT[#All],2,0)),"CUIT NO CARGADO")</f>
        <v>SASUAR SRL</v>
      </c>
      <c r="H105" s="46">
        <v>3216660.13</v>
      </c>
      <c r="I105" s="623">
        <f>IF(compras_mes10[[#This Row],[NETO GRAVADO]]="","",compras_mes10[[#This Row],[NETO GRAVADO]]*0.21)</f>
        <v>675498.62729999993</v>
      </c>
      <c r="J105" s="691"/>
      <c r="K105" s="85"/>
      <c r="L105" s="85"/>
      <c r="M105" s="85"/>
      <c r="N105" s="85"/>
      <c r="O105" s="85"/>
      <c r="P105" s="624">
        <f>SUM(compras_mes10[[#This Row],[NETO GRAVADO]:[Otros / No Grav.]])</f>
        <v>3892158.7572999997</v>
      </c>
      <c r="Q105" s="621" t="str">
        <f>IFERROR(IF(compras_mes10[[#This Row],[CUIT]]="","-",VLOOKUP(compras_mes10[[#This Row],[CUIT]],Lista_CUIT[#All],3,0)),"CUIT NO CARGADO")</f>
        <v>Materia Prima</v>
      </c>
      <c r="R105" s="625">
        <f>IFERROR(IF(compras_mes10[[#This Row],[CUIT]]="","-",VLOOKUP(compras_mes10[[#This Row],[CUIT]],Lista_CUIT[#All],4,0)),"CUIT NO CARGADO")</f>
        <v>0</v>
      </c>
    </row>
    <row r="106" spans="1:18">
      <c r="A106" s="128"/>
      <c r="B106" s="616" t="s">
        <v>2483</v>
      </c>
      <c r="C106" s="617">
        <v>1</v>
      </c>
      <c r="D106" s="618">
        <v>6</v>
      </c>
      <c r="E106" s="619">
        <v>25873</v>
      </c>
      <c r="F106" s="620">
        <v>33640878679</v>
      </c>
      <c r="G106" s="621" t="str">
        <f>IFERROR(IF(compras_mes10[[#This Row],[CUIT]]="","-",VLOOKUP(compras_mes10[[#This Row],[CUIT]],Lista_CUIT[#All],2,0)),"CUIT NO CARGADO")</f>
        <v>DHACAM S R L</v>
      </c>
      <c r="H106" s="46">
        <v>194260</v>
      </c>
      <c r="I106" s="623">
        <f>IF(compras_mes10[[#This Row],[NETO GRAVADO]]="","",compras_mes10[[#This Row],[NETO GRAVADO]]*0.21)</f>
        <v>40794.6</v>
      </c>
      <c r="J106" s="691"/>
      <c r="K106" s="85"/>
      <c r="L106" s="85"/>
      <c r="M106" s="85"/>
      <c r="N106" s="85"/>
      <c r="O106" s="85"/>
      <c r="P106" s="624">
        <f>SUM(compras_mes10[[#This Row],[NETO GRAVADO]:[Otros / No Grav.]])</f>
        <v>235054.6</v>
      </c>
      <c r="Q106" s="621" t="str">
        <f>IFERROR(IF(compras_mes10[[#This Row],[CUIT]]="","-",VLOOKUP(compras_mes10[[#This Row],[CUIT]],Lista_CUIT[#All],3,0)),"CUIT NO CARGADO")</f>
        <v>Materia Prima</v>
      </c>
      <c r="R106" s="625">
        <f>IFERROR(IF(compras_mes10[[#This Row],[CUIT]]="","-",VLOOKUP(compras_mes10[[#This Row],[CUIT]],Lista_CUIT[#All],4,0)),"CUIT NO CARGADO")</f>
        <v>0</v>
      </c>
    </row>
    <row r="107" spans="1:18">
      <c r="A107" s="128"/>
      <c r="B107" s="616" t="s">
        <v>2483</v>
      </c>
      <c r="C107" s="617">
        <v>1</v>
      </c>
      <c r="D107" s="618">
        <v>6</v>
      </c>
      <c r="E107" s="619">
        <v>25872</v>
      </c>
      <c r="F107" s="620">
        <v>33640878679</v>
      </c>
      <c r="G107" s="621" t="str">
        <f>IFERROR(IF(compras_mes10[[#This Row],[CUIT]]="","-",VLOOKUP(compras_mes10[[#This Row],[CUIT]],Lista_CUIT[#All],2,0)),"CUIT NO CARGADO")</f>
        <v>DHACAM S R L</v>
      </c>
      <c r="H107" s="46">
        <v>1509270</v>
      </c>
      <c r="I107" s="623">
        <f>IF(compras_mes10[[#This Row],[NETO GRAVADO]]="","",compras_mes10[[#This Row],[NETO GRAVADO]]*0.21)</f>
        <v>316946.7</v>
      </c>
      <c r="J107" s="691"/>
      <c r="K107" s="85"/>
      <c r="L107" s="85"/>
      <c r="M107" s="85"/>
      <c r="N107" s="85"/>
      <c r="O107" s="85"/>
      <c r="P107" s="624">
        <f>SUM(compras_mes10[[#This Row],[NETO GRAVADO]:[Otros / No Grav.]])</f>
        <v>1826216.7</v>
      </c>
      <c r="Q107" s="621" t="str">
        <f>IFERROR(IF(compras_mes10[[#This Row],[CUIT]]="","-",VLOOKUP(compras_mes10[[#This Row],[CUIT]],Lista_CUIT[#All],3,0)),"CUIT NO CARGADO")</f>
        <v>Materia Prima</v>
      </c>
      <c r="R107" s="625">
        <f>IFERROR(IF(compras_mes10[[#This Row],[CUIT]]="","-",VLOOKUP(compras_mes10[[#This Row],[CUIT]],Lista_CUIT[#All],4,0)),"CUIT NO CARGADO")</f>
        <v>0</v>
      </c>
    </row>
    <row r="108" spans="1:18">
      <c r="A108" s="128"/>
      <c r="B108" s="616" t="s">
        <v>2497</v>
      </c>
      <c r="C108" s="617">
        <v>1</v>
      </c>
      <c r="D108" s="618">
        <v>1</v>
      </c>
      <c r="E108" s="619">
        <v>25</v>
      </c>
      <c r="F108" s="620">
        <v>30716757249</v>
      </c>
      <c r="G108" s="621" t="str">
        <f>IFERROR(IF(compras_mes10[[#This Row],[CUIT]]="","-",VLOOKUP(compras_mes10[[#This Row],[CUIT]],Lista_CUIT[#All],2,0)),"CUIT NO CARGADO")</f>
        <v>BIONOVA SOCIEDAD POR ACCIONES SIMPLIFICADA</v>
      </c>
      <c r="H108" s="622">
        <v>49425</v>
      </c>
      <c r="I108" s="623">
        <f>IF(compras_mes10[[#This Row],[NETO GRAVADO]]="","",compras_mes10[[#This Row],[NETO GRAVADO]]*0.21)</f>
        <v>10379.25</v>
      </c>
      <c r="J108" s="690"/>
      <c r="K108" s="623"/>
      <c r="L108" s="623"/>
      <c r="M108" s="623"/>
      <c r="N108" s="623"/>
      <c r="O108" s="623"/>
      <c r="P108" s="624">
        <f>SUM(compras_mes10[[#This Row],[NETO GRAVADO]:[Otros / No Grav.]])</f>
        <v>59804.25</v>
      </c>
      <c r="Q108" s="621" t="str">
        <f>IFERROR(IF(compras_mes10[[#This Row],[CUIT]]="","-",VLOOKUP(compras_mes10[[#This Row],[CUIT]],Lista_CUIT[#All],3,0)),"CUIT NO CARGADO")</f>
        <v>Materia Prima</v>
      </c>
      <c r="R108" s="625">
        <f>IFERROR(IF(compras_mes10[[#This Row],[CUIT]]="","-",VLOOKUP(compras_mes10[[#This Row],[CUIT]],Lista_CUIT[#All],4,0)),"CUIT NO CARGADO")</f>
        <v>0</v>
      </c>
    </row>
    <row r="109" spans="1:18">
      <c r="A109" s="128"/>
      <c r="B109" s="616" t="s">
        <v>2498</v>
      </c>
      <c r="C109" s="617">
        <v>1</v>
      </c>
      <c r="D109" s="618">
        <v>10</v>
      </c>
      <c r="E109" s="619">
        <v>57634</v>
      </c>
      <c r="F109" s="620">
        <v>30528214483</v>
      </c>
      <c r="G109" s="621" t="str">
        <f>IFERROR(IF(compras_mes10[[#This Row],[CUIT]]="","-",VLOOKUP(compras_mes10[[#This Row],[CUIT]],Lista_CUIT[#All],2,0)),"CUIT NO CARGADO")</f>
        <v>D WEINSTOCK S R L</v>
      </c>
      <c r="H109" s="46">
        <v>32800.239999999998</v>
      </c>
      <c r="I109" s="623">
        <f>IF(compras_mes10[[#This Row],[NETO GRAVADO]]="","",compras_mes10[[#This Row],[NETO GRAVADO]]*0.21)</f>
        <v>6888.0503999999992</v>
      </c>
      <c r="J109" s="691"/>
      <c r="K109" s="85"/>
      <c r="L109" s="85"/>
      <c r="M109" s="85"/>
      <c r="N109" s="85"/>
      <c r="O109" s="85"/>
      <c r="P109" s="624">
        <f>SUM(compras_mes10[[#This Row],[NETO GRAVADO]:[Otros / No Grav.]])</f>
        <v>39688.290399999998</v>
      </c>
      <c r="Q109" s="621" t="str">
        <f>IFERROR(IF(compras_mes10[[#This Row],[CUIT]]="","-",VLOOKUP(compras_mes10[[#This Row],[CUIT]],Lista_CUIT[#All],3,0)),"CUIT NO CARGADO")</f>
        <v>Materia Prima</v>
      </c>
      <c r="R109" s="625">
        <f>IFERROR(IF(compras_mes10[[#This Row],[CUIT]]="","-",VLOOKUP(compras_mes10[[#This Row],[CUIT]],Lista_CUIT[#All],4,0)),"CUIT NO CARGADO")</f>
        <v>0</v>
      </c>
    </row>
    <row r="110" spans="1:18">
      <c r="A110" s="128"/>
      <c r="B110" s="616" t="s">
        <v>2473</v>
      </c>
      <c r="C110" s="617">
        <v>1</v>
      </c>
      <c r="D110" s="618">
        <v>2</v>
      </c>
      <c r="E110" s="619">
        <v>820</v>
      </c>
      <c r="F110" s="620">
        <v>20103069832</v>
      </c>
      <c r="G110" s="621" t="str">
        <f>IFERROR(IF(compras_mes10[[#This Row],[CUIT]]="","-",VLOOKUP(compras_mes10[[#This Row],[CUIT]],Lista_CUIT[#All],2,0)),"CUIT NO CARGADO")</f>
        <v>DE LUCA HECTOR RAFAEL FRANCI</v>
      </c>
      <c r="H110" s="46">
        <v>930600</v>
      </c>
      <c r="I110" s="623">
        <f>IF(compras_mes10[[#This Row],[NETO GRAVADO]]="","",compras_mes10[[#This Row],[NETO GRAVADO]]*0.21)</f>
        <v>195426</v>
      </c>
      <c r="J110" s="691"/>
      <c r="K110" s="85"/>
      <c r="L110" s="85"/>
      <c r="M110" s="85"/>
      <c r="N110" s="85"/>
      <c r="O110" s="85"/>
      <c r="P110" s="624">
        <f>SUM(compras_mes10[[#This Row],[NETO GRAVADO]:[Otros / No Grav.]])</f>
        <v>1126026</v>
      </c>
      <c r="Q110" s="621" t="str">
        <f>IFERROR(IF(compras_mes10[[#This Row],[CUIT]]="","-",VLOOKUP(compras_mes10[[#This Row],[CUIT]],Lista_CUIT[#All],3,0)),"CUIT NO CARGADO")</f>
        <v>Material de Empaque</v>
      </c>
      <c r="R110" s="625">
        <f>IFERROR(IF(compras_mes10[[#This Row],[CUIT]]="","-",VLOOKUP(compras_mes10[[#This Row],[CUIT]],Lista_CUIT[#All],4,0)),"CUIT NO CARGADO")</f>
        <v>0</v>
      </c>
    </row>
    <row r="111" spans="1:18">
      <c r="A111" s="128"/>
      <c r="B111" s="616" t="s">
        <v>2475</v>
      </c>
      <c r="C111" s="617">
        <v>1</v>
      </c>
      <c r="D111" s="618">
        <v>2</v>
      </c>
      <c r="E111" s="619">
        <v>3162</v>
      </c>
      <c r="F111" s="620">
        <v>27218204053</v>
      </c>
      <c r="G111" s="621" t="str">
        <f>IFERROR(IF(compras_mes10[[#This Row],[CUIT]]="","-",VLOOKUP(compras_mes10[[#This Row],[CUIT]],Lista_CUIT[#All],2,0)),"CUIT NO CARGADO")</f>
        <v>VEGA SANDRA ELIZABETH</v>
      </c>
      <c r="H111" s="46">
        <v>932280</v>
      </c>
      <c r="I111" s="623">
        <f>IF(compras_mes10[[#This Row],[NETO GRAVADO]]="","",compras_mes10[[#This Row],[NETO GRAVADO]]*0.21)</f>
        <v>195778.8</v>
      </c>
      <c r="J111" s="691"/>
      <c r="K111" s="85"/>
      <c r="L111" s="85"/>
      <c r="M111" s="85"/>
      <c r="N111" s="85"/>
      <c r="O111" s="85"/>
      <c r="P111" s="624">
        <f>SUM(compras_mes10[[#This Row],[NETO GRAVADO]:[Otros / No Grav.]])</f>
        <v>1128058.8</v>
      </c>
      <c r="Q111" s="621" t="str">
        <f>IFERROR(IF(compras_mes10[[#This Row],[CUIT]]="","-",VLOOKUP(compras_mes10[[#This Row],[CUIT]],Lista_CUIT[#All],3,0)),"CUIT NO CARGADO")</f>
        <v>Material de Empaque</v>
      </c>
      <c r="R111" s="625">
        <f>IFERROR(IF(compras_mes10[[#This Row],[CUIT]]="","-",VLOOKUP(compras_mes10[[#This Row],[CUIT]],Lista_CUIT[#All],4,0)),"CUIT NO CARGADO")</f>
        <v>0</v>
      </c>
    </row>
    <row r="112" spans="1:18">
      <c r="A112" s="128"/>
      <c r="B112" s="631" t="s">
        <v>2490</v>
      </c>
      <c r="C112" s="632">
        <v>1</v>
      </c>
      <c r="D112" s="633">
        <v>1</v>
      </c>
      <c r="E112" s="634">
        <v>277</v>
      </c>
      <c r="F112" s="635">
        <v>20077604627</v>
      </c>
      <c r="G112" s="636" t="str">
        <f>IFERROR(IF(compras_mes10[[#This Row],[CUIT]]="","-",VLOOKUP(compras_mes10[[#This Row],[CUIT]],Lista_CUIT[#All],2,0)),"CUIT NO CARGADO")</f>
        <v>OCAÑO ENRIQUE</v>
      </c>
      <c r="H112" s="173">
        <v>3796200</v>
      </c>
      <c r="I112" s="637">
        <f>IF(compras_mes10[[#This Row],[NETO GRAVADO]]="","",compras_mes10[[#This Row],[NETO GRAVADO]]*0.21)</f>
        <v>797202</v>
      </c>
      <c r="J112" s="689"/>
      <c r="K112" s="174"/>
      <c r="L112" s="174"/>
      <c r="M112" s="174"/>
      <c r="N112" s="174"/>
      <c r="O112" s="174"/>
      <c r="P112" s="638">
        <f>SUM(compras_mes10[[#This Row],[NETO GRAVADO]:[Otros / No Grav.]])</f>
        <v>4593402</v>
      </c>
      <c r="Q112" s="636" t="str">
        <f>IFERROR(IF(compras_mes10[[#This Row],[CUIT]]="","-",VLOOKUP(compras_mes10[[#This Row],[CUIT]],Lista_CUIT[#All],3,0)),"CUIT NO CARGADO")</f>
        <v>Material de Empaque</v>
      </c>
      <c r="R112" s="639">
        <f>IFERROR(IF(compras_mes10[[#This Row],[CUIT]]="","-",VLOOKUP(compras_mes10[[#This Row],[CUIT]],Lista_CUIT[#All],4,0)),"CUIT NO CARGADO")</f>
        <v>0</v>
      </c>
    </row>
    <row r="113" spans="1:18">
      <c r="A113" s="128"/>
      <c r="B113" s="616" t="s">
        <v>2478</v>
      </c>
      <c r="C113" s="617">
        <v>1</v>
      </c>
      <c r="D113" s="618">
        <v>1</v>
      </c>
      <c r="E113" s="619">
        <v>279</v>
      </c>
      <c r="F113" s="620">
        <v>20077604627</v>
      </c>
      <c r="G113" s="621" t="str">
        <f>IFERROR(IF(compras_mes10[[#This Row],[CUIT]]="","-",VLOOKUP(compras_mes10[[#This Row],[CUIT]],Lista_CUIT[#All],2,0)),"CUIT NO CARGADO")</f>
        <v>OCAÑO ENRIQUE</v>
      </c>
      <c r="H113" s="46">
        <v>6112681.1900000004</v>
      </c>
      <c r="I113" s="623">
        <f>IF(compras_mes10[[#This Row],[NETO GRAVADO]]="","",compras_mes10[[#This Row],[NETO GRAVADO]]*0.21)</f>
        <v>1283663.0499</v>
      </c>
      <c r="J113" s="691"/>
      <c r="K113" s="85"/>
      <c r="L113" s="85"/>
      <c r="M113" s="85"/>
      <c r="N113" s="85"/>
      <c r="O113" s="85"/>
      <c r="P113" s="624">
        <f>SUM(compras_mes10[[#This Row],[NETO GRAVADO]:[Otros / No Grav.]])</f>
        <v>7396344.2399000004</v>
      </c>
      <c r="Q113" s="621" t="str">
        <f>IFERROR(IF(compras_mes10[[#This Row],[CUIT]]="","-",VLOOKUP(compras_mes10[[#This Row],[CUIT]],Lista_CUIT[#All],3,0)),"CUIT NO CARGADO")</f>
        <v>Material de Empaque</v>
      </c>
      <c r="R113" s="625">
        <f>IFERROR(IF(compras_mes10[[#This Row],[CUIT]]="","-",VLOOKUP(compras_mes10[[#This Row],[CUIT]],Lista_CUIT[#All],4,0)),"CUIT NO CARGADO")</f>
        <v>0</v>
      </c>
    </row>
    <row r="114" spans="1:18">
      <c r="A114" s="128"/>
      <c r="B114" s="616" t="s">
        <v>2479</v>
      </c>
      <c r="C114" s="617">
        <v>1</v>
      </c>
      <c r="D114" s="618">
        <v>7</v>
      </c>
      <c r="E114" s="619">
        <v>12957</v>
      </c>
      <c r="F114" s="620">
        <v>30708017759</v>
      </c>
      <c r="G114" s="621" t="str">
        <f>IFERROR(IF(compras_mes10[[#This Row],[CUIT]]="","-",VLOOKUP(compras_mes10[[#This Row],[CUIT]],Lista_CUIT[#All],2,0)),"CUIT NO CARGADO")</f>
        <v>NEW  HIGH PACK  SA</v>
      </c>
      <c r="H114" s="46">
        <v>4372368</v>
      </c>
      <c r="I114" s="623">
        <f>IF(compras_mes10[[#This Row],[NETO GRAVADO]]="","",compras_mes10[[#This Row],[NETO GRAVADO]]*0.21)</f>
        <v>918197.27999999991</v>
      </c>
      <c r="J114" s="691"/>
      <c r="K114" s="85"/>
      <c r="L114" s="85"/>
      <c r="M114" s="85"/>
      <c r="N114" s="85">
        <v>262342.08</v>
      </c>
      <c r="O114" s="85"/>
      <c r="P114" s="624">
        <f>SUM(compras_mes10[[#This Row],[NETO GRAVADO]:[Otros / No Grav.]])</f>
        <v>5552907.3600000003</v>
      </c>
      <c r="Q114" s="621" t="str">
        <f>IFERROR(IF(compras_mes10[[#This Row],[CUIT]]="","-",VLOOKUP(compras_mes10[[#This Row],[CUIT]],Lista_CUIT[#All],3,0)),"CUIT NO CARGADO")</f>
        <v>Material de Empaque</v>
      </c>
      <c r="R114" s="625">
        <f>IFERROR(IF(compras_mes10[[#This Row],[CUIT]]="","-",VLOOKUP(compras_mes10[[#This Row],[CUIT]],Lista_CUIT[#All],4,0)),"CUIT NO CARGADO")</f>
        <v>0</v>
      </c>
    </row>
    <row r="115" spans="1:18">
      <c r="A115" s="128"/>
      <c r="B115" s="616" t="s">
        <v>2483</v>
      </c>
      <c r="C115" s="617">
        <v>1</v>
      </c>
      <c r="D115" s="618">
        <v>6</v>
      </c>
      <c r="E115" s="619">
        <v>6650</v>
      </c>
      <c r="F115" s="620">
        <v>30717381242</v>
      </c>
      <c r="G115" s="621" t="str">
        <f>IFERROR(IF(compras_mes10[[#This Row],[CUIT]]="","-",VLOOKUP(compras_mes10[[#This Row],[CUIT]],Lista_CUIT[#All],2,0)),"CUIT NO CARGADO")</f>
        <v>CASA MAYO GROUP S.R.L.</v>
      </c>
      <c r="H115" s="46">
        <v>107711.57</v>
      </c>
      <c r="I115" s="623">
        <f>IF(compras_mes10[[#This Row],[NETO GRAVADO]]="","",compras_mes10[[#This Row],[NETO GRAVADO]]*0.21)</f>
        <v>22619.429700000001</v>
      </c>
      <c r="J115" s="691"/>
      <c r="K115" s="85"/>
      <c r="L115" s="85"/>
      <c r="M115" s="85"/>
      <c r="N115" s="85"/>
      <c r="O115" s="85"/>
      <c r="P115" s="624">
        <f>SUM(compras_mes10[[#This Row],[NETO GRAVADO]:[Otros / No Grav.]])</f>
        <v>130330.99970000001</v>
      </c>
      <c r="Q115" s="621" t="str">
        <f>IFERROR(IF(compras_mes10[[#This Row],[CUIT]]="","-",VLOOKUP(compras_mes10[[#This Row],[CUIT]],Lista_CUIT[#All],3,0)),"CUIT NO CARGADO")</f>
        <v>Material de Empaque</v>
      </c>
      <c r="R115" s="625">
        <f>IFERROR(IF(compras_mes10[[#This Row],[CUIT]]="","-",VLOOKUP(compras_mes10[[#This Row],[CUIT]],Lista_CUIT[#All],4,0)),"CUIT NO CARGADO")</f>
        <v>0</v>
      </c>
    </row>
    <row r="116" spans="1:18">
      <c r="A116" s="128"/>
      <c r="B116" s="616" t="s">
        <v>2483</v>
      </c>
      <c r="C116" s="617">
        <v>1</v>
      </c>
      <c r="D116" s="618">
        <v>9</v>
      </c>
      <c r="E116" s="619">
        <v>859</v>
      </c>
      <c r="F116" s="620">
        <v>30710446047</v>
      </c>
      <c r="G116" s="621" t="str">
        <f>IFERROR(IF(compras_mes10[[#This Row],[CUIT]]="","-",VLOOKUP(compras_mes10[[#This Row],[CUIT]],Lista_CUIT[#All],2,0)),"CUIT NO CARGADO")</f>
        <v>ENSAMBLE GRAFICO S.H.</v>
      </c>
      <c r="H116" s="46">
        <v>1772062.5</v>
      </c>
      <c r="I116" s="623">
        <f>IF(compras_mes10[[#This Row],[NETO GRAVADO]]="","",compras_mes10[[#This Row],[NETO GRAVADO]]*0.21)</f>
        <v>372133.125</v>
      </c>
      <c r="J116" s="691"/>
      <c r="K116" s="85"/>
      <c r="L116" s="85"/>
      <c r="M116" s="85"/>
      <c r="N116" s="85"/>
      <c r="O116" s="85"/>
      <c r="P116" s="624">
        <f>SUM(compras_mes10[[#This Row],[NETO GRAVADO]:[Otros / No Grav.]])</f>
        <v>2144195.625</v>
      </c>
      <c r="Q116" s="621" t="str">
        <f>IFERROR(IF(compras_mes10[[#This Row],[CUIT]]="","-",VLOOKUP(compras_mes10[[#This Row],[CUIT]],Lista_CUIT[#All],3,0)),"CUIT NO CARGADO")</f>
        <v>Material de Empaque</v>
      </c>
      <c r="R116" s="625">
        <f>IFERROR(IF(compras_mes10[[#This Row],[CUIT]]="","-",VLOOKUP(compras_mes10[[#This Row],[CUIT]],Lista_CUIT[#All],4,0)),"CUIT NO CARGADO")</f>
        <v>0</v>
      </c>
    </row>
    <row r="117" spans="1:18">
      <c r="A117" s="128"/>
      <c r="B117" s="631" t="s">
        <v>2484</v>
      </c>
      <c r="C117" s="632">
        <v>1</v>
      </c>
      <c r="D117" s="633">
        <v>4</v>
      </c>
      <c r="E117" s="634">
        <v>26651</v>
      </c>
      <c r="F117" s="635">
        <v>30552433595</v>
      </c>
      <c r="G117" s="636" t="str">
        <f>IFERROR(IF(compras_mes10[[#This Row],[CUIT]]="","-",VLOOKUP(compras_mes10[[#This Row],[CUIT]],Lista_CUIT[#All],2,0)),"CUIT NO CARGADO")</f>
        <v>PIROPLAST SRL</v>
      </c>
      <c r="H117" s="173">
        <v>561230.25</v>
      </c>
      <c r="I117" s="637">
        <f>IF(compras_mes10[[#This Row],[NETO GRAVADO]]="","",compras_mes10[[#This Row],[NETO GRAVADO]]*0.21)</f>
        <v>117858.35249999999</v>
      </c>
      <c r="J117" s="689"/>
      <c r="K117" s="174"/>
      <c r="L117" s="174"/>
      <c r="M117" s="174"/>
      <c r="N117" s="174"/>
      <c r="O117" s="174"/>
      <c r="P117" s="638">
        <f>SUM(compras_mes10[[#This Row],[NETO GRAVADO]:[Otros / No Grav.]])</f>
        <v>679088.60250000004</v>
      </c>
      <c r="Q117" s="636" t="str">
        <f>IFERROR(IF(compras_mes10[[#This Row],[CUIT]]="","-",VLOOKUP(compras_mes10[[#This Row],[CUIT]],Lista_CUIT[#All],3,0)),"CUIT NO CARGADO")</f>
        <v>Material de Empaque</v>
      </c>
      <c r="R117" s="639">
        <f>IFERROR(IF(compras_mes10[[#This Row],[CUIT]]="","-",VLOOKUP(compras_mes10[[#This Row],[CUIT]],Lista_CUIT[#All],4,0)),"CUIT NO CARGADO")</f>
        <v>0</v>
      </c>
    </row>
    <row r="118" spans="1:18">
      <c r="A118" s="128"/>
      <c r="B118" s="631" t="s">
        <v>2470</v>
      </c>
      <c r="C118" s="632">
        <v>1</v>
      </c>
      <c r="D118" s="633">
        <v>629</v>
      </c>
      <c r="E118" s="634">
        <v>5491158</v>
      </c>
      <c r="F118" s="635">
        <v>30663498513</v>
      </c>
      <c r="G118" s="636" t="str">
        <f>IFERROR(IF(compras_mes10[[#This Row],[CUIT]]="","-",VLOOKUP(compras_mes10[[#This Row],[CUIT]],Lista_CUIT[#All],2,0)),"CUIT NO CARGADO")</f>
        <v>GRUPO CONCES. DEL OESTE SA</v>
      </c>
      <c r="H118" s="173">
        <v>29145.09</v>
      </c>
      <c r="I118" s="637">
        <f>IF(compras_mes10[[#This Row],[NETO GRAVADO]]="","",compras_mes10[[#This Row],[NETO GRAVADO]]*0.21)</f>
        <v>6120.4688999999998</v>
      </c>
      <c r="J118" s="689"/>
      <c r="K118" s="174"/>
      <c r="L118" s="174"/>
      <c r="M118" s="174"/>
      <c r="N118" s="174"/>
      <c r="O118" s="174"/>
      <c r="P118" s="638">
        <f>SUM(compras_mes10[[#This Row],[NETO GRAVADO]:[Otros / No Grav.]])</f>
        <v>35265.558900000004</v>
      </c>
      <c r="Q118" s="636" t="str">
        <f>IFERROR(IF(compras_mes10[[#This Row],[CUIT]]="","-",VLOOKUP(compras_mes10[[#This Row],[CUIT]],Lista_CUIT[#All],3,0)),"CUIT NO CARGADO")</f>
        <v>Peajes</v>
      </c>
      <c r="R118" s="639">
        <f>IFERROR(IF(compras_mes10[[#This Row],[CUIT]]="","-",VLOOKUP(compras_mes10[[#This Row],[CUIT]],Lista_CUIT[#All],4,0)),"CUIT NO CARGADO")</f>
        <v>0</v>
      </c>
    </row>
    <row r="119" spans="1:18">
      <c r="A119" s="128"/>
      <c r="B119" s="631" t="s">
        <v>2470</v>
      </c>
      <c r="C119" s="632">
        <v>1</v>
      </c>
      <c r="D119" s="633">
        <v>711</v>
      </c>
      <c r="E119" s="634">
        <v>6220066</v>
      </c>
      <c r="F119" s="635">
        <v>30677237119</v>
      </c>
      <c r="G119" s="636" t="str">
        <f>IFERROR(IF(compras_mes10[[#This Row],[CUIT]]="","-",VLOOKUP(compras_mes10[[#This Row],[CUIT]],Lista_CUIT[#All],2,0)),"CUIT NO CARGADO")</f>
        <v>AUTOPISTAS DEL SOL S A</v>
      </c>
      <c r="H119" s="640">
        <v>22971.98</v>
      </c>
      <c r="I119" s="637">
        <f>IF(compras_mes10[[#This Row],[NETO GRAVADO]]="","",compras_mes10[[#This Row],[NETO GRAVADO]]*0.21)</f>
        <v>4824.1157999999996</v>
      </c>
      <c r="J119" s="692"/>
      <c r="K119" s="637"/>
      <c r="L119" s="637"/>
      <c r="M119" s="637"/>
      <c r="N119" s="637"/>
      <c r="O119" s="637">
        <v>689.16</v>
      </c>
      <c r="P119" s="638">
        <f>SUM(compras_mes10[[#This Row],[NETO GRAVADO]:[Otros / No Grav.]])</f>
        <v>28485.255799999999</v>
      </c>
      <c r="Q119" s="636" t="str">
        <f>IFERROR(IF(compras_mes10[[#This Row],[CUIT]]="","-",VLOOKUP(compras_mes10[[#This Row],[CUIT]],Lista_CUIT[#All],3,0)),"CUIT NO CARGADO")</f>
        <v>Peajes</v>
      </c>
      <c r="R119" s="639">
        <f>IFERROR(IF(compras_mes10[[#This Row],[CUIT]]="","-",VLOOKUP(compras_mes10[[#This Row],[CUIT]],Lista_CUIT[#All],4,0)),"CUIT NO CARGADO")</f>
        <v>0</v>
      </c>
    </row>
    <row r="120" spans="1:18">
      <c r="A120" s="128"/>
      <c r="B120" s="631" t="s">
        <v>2474</v>
      </c>
      <c r="C120" s="632">
        <v>1</v>
      </c>
      <c r="D120" s="633">
        <v>5015</v>
      </c>
      <c r="E120" s="634">
        <v>653197</v>
      </c>
      <c r="F120" s="635">
        <v>30574876474</v>
      </c>
      <c r="G120" s="636" t="str">
        <f>IFERROR(IF(compras_mes10[[#This Row],[CUIT]]="","-",VLOOKUP(compras_mes10[[#This Row],[CUIT]],Lista_CUIT[#All],2,0)),"CUIT NO CARGADO")</f>
        <v>AUTOPISTAS URBANAS S A</v>
      </c>
      <c r="H120" s="173">
        <v>114187.36</v>
      </c>
      <c r="I120" s="637">
        <f>IF(compras_mes10[[#This Row],[NETO GRAVADO]]="","",compras_mes10[[#This Row],[NETO GRAVADO]]*0.21)</f>
        <v>23979.345600000001</v>
      </c>
      <c r="J120" s="689"/>
      <c r="K120" s="174"/>
      <c r="L120" s="174"/>
      <c r="M120" s="174"/>
      <c r="N120" s="174"/>
      <c r="O120" s="174">
        <v>14844.32</v>
      </c>
      <c r="P120" s="638">
        <f>SUM(compras_mes10[[#This Row],[NETO GRAVADO]:[Otros / No Grav.]])</f>
        <v>153011.02559999999</v>
      </c>
      <c r="Q120" s="636" t="str">
        <f>IFERROR(IF(compras_mes10[[#This Row],[CUIT]]="","-",VLOOKUP(compras_mes10[[#This Row],[CUIT]],Lista_CUIT[#All],3,0)),"CUIT NO CARGADO")</f>
        <v>Peajes</v>
      </c>
      <c r="R120" s="639">
        <f>IFERROR(IF(compras_mes10[[#This Row],[CUIT]]="","-",VLOOKUP(compras_mes10[[#This Row],[CUIT]],Lista_CUIT[#All],4,0)),"CUIT NO CARGADO")</f>
        <v>0</v>
      </c>
    </row>
    <row r="121" spans="1:18">
      <c r="A121" s="128"/>
      <c r="B121" s="631" t="s">
        <v>2474</v>
      </c>
      <c r="C121" s="632">
        <v>1</v>
      </c>
      <c r="D121" s="633">
        <v>700</v>
      </c>
      <c r="E121" s="634">
        <v>1974206</v>
      </c>
      <c r="F121" s="635">
        <v>30715804812</v>
      </c>
      <c r="G121" s="636" t="str">
        <f>IFERROR(IF(compras_mes10[[#This Row],[CUIT]]="","-",VLOOKUP(compras_mes10[[#This Row],[CUIT]],Lista_CUIT[#All],2,0)),"CUIT NO CARGADO")</f>
        <v>CORREDORES VIALES SOCIEDAD ANONIMA</v>
      </c>
      <c r="H121" s="173">
        <v>9107.75</v>
      </c>
      <c r="I121" s="637">
        <f>IF(compras_mes10[[#This Row],[NETO GRAVADO]]="","",compras_mes10[[#This Row],[NETO GRAVADO]]*0.21)</f>
        <v>1912.6274999999998</v>
      </c>
      <c r="J121" s="689"/>
      <c r="K121" s="174"/>
      <c r="L121" s="174"/>
      <c r="M121" s="174"/>
      <c r="N121" s="174"/>
      <c r="O121" s="174"/>
      <c r="P121" s="638">
        <f>SUM(compras_mes10[[#This Row],[NETO GRAVADO]:[Otros / No Grav.]])</f>
        <v>11020.377500000001</v>
      </c>
      <c r="Q121" s="636" t="str">
        <f>IFERROR(IF(compras_mes10[[#This Row],[CUIT]]="","-",VLOOKUP(compras_mes10[[#This Row],[CUIT]],Lista_CUIT[#All],3,0)),"CUIT NO CARGADO")</f>
        <v>Peajes</v>
      </c>
      <c r="R121" s="639">
        <f>IFERROR(IF(compras_mes10[[#This Row],[CUIT]]="","-",VLOOKUP(compras_mes10[[#This Row],[CUIT]],Lista_CUIT[#All],4,0)),"CUIT NO CARGADO")</f>
        <v>0</v>
      </c>
    </row>
    <row r="122" spans="1:18">
      <c r="B122" s="631" t="s">
        <v>2477</v>
      </c>
      <c r="C122" s="632">
        <v>1</v>
      </c>
      <c r="D122" s="633">
        <v>5015</v>
      </c>
      <c r="E122" s="634">
        <v>654732</v>
      </c>
      <c r="F122" s="635">
        <v>30574876474</v>
      </c>
      <c r="G122" s="636" t="str">
        <f>IFERROR(IF(compras_mes10[[#This Row],[CUIT]]="","-",VLOOKUP(compras_mes10[[#This Row],[CUIT]],Lista_CUIT[#All],2,0)),"CUIT NO CARGADO")</f>
        <v>AUTOPISTAS URBANAS S A</v>
      </c>
      <c r="H122" s="173">
        <v>72239.37</v>
      </c>
      <c r="I122" s="637">
        <f>IF(compras_mes10[[#This Row],[NETO GRAVADO]]="","",compras_mes10[[#This Row],[NETO GRAVADO]]*0.21)</f>
        <v>15170.267699999999</v>
      </c>
      <c r="J122" s="689"/>
      <c r="K122" s="174"/>
      <c r="L122" s="174"/>
      <c r="M122" s="174"/>
      <c r="N122" s="174"/>
      <c r="O122" s="174">
        <v>9391.09</v>
      </c>
      <c r="P122" s="638">
        <f>SUM(compras_mes10[[#This Row],[NETO GRAVADO]:[Otros / No Grav.]])</f>
        <v>96800.727699999989</v>
      </c>
      <c r="Q122" s="636" t="str">
        <f>IFERROR(IF(compras_mes10[[#This Row],[CUIT]]="","-",VLOOKUP(compras_mes10[[#This Row],[CUIT]],Lista_CUIT[#All],3,0)),"CUIT NO CARGADO")</f>
        <v>Peajes</v>
      </c>
      <c r="R122" s="639">
        <f>IFERROR(IF(compras_mes10[[#This Row],[CUIT]]="","-",VLOOKUP(compras_mes10[[#This Row],[CUIT]],Lista_CUIT[#All],4,0)),"CUIT NO CARGADO")</f>
        <v>0</v>
      </c>
    </row>
    <row r="123" spans="1:18">
      <c r="B123" s="631" t="s">
        <v>2477</v>
      </c>
      <c r="C123" s="632">
        <v>1</v>
      </c>
      <c r="D123" s="633">
        <v>104</v>
      </c>
      <c r="E123" s="634">
        <v>7017828</v>
      </c>
      <c r="F123" s="635">
        <v>30715804812</v>
      </c>
      <c r="G123" s="636" t="str">
        <f>IFERROR(IF(compras_mes10[[#This Row],[CUIT]]="","-",VLOOKUP(compras_mes10[[#This Row],[CUIT]],Lista_CUIT[#All],2,0)),"CUIT NO CARGADO")</f>
        <v>CORREDORES VIALES SOCIEDAD ANONIMA</v>
      </c>
      <c r="H123" s="173">
        <v>1821.55</v>
      </c>
      <c r="I123" s="637">
        <f>IF(compras_mes10[[#This Row],[NETO GRAVADO]]="","",compras_mes10[[#This Row],[NETO GRAVADO]]*0.21)</f>
        <v>382.52549999999997</v>
      </c>
      <c r="J123" s="689"/>
      <c r="K123" s="174"/>
      <c r="L123" s="174"/>
      <c r="M123" s="174"/>
      <c r="N123" s="174">
        <v>109.29</v>
      </c>
      <c r="O123" s="174"/>
      <c r="P123" s="638">
        <f>SUM(compras_mes10[[#This Row],[NETO GRAVADO]:[Otros / No Grav.]])</f>
        <v>2313.3654999999999</v>
      </c>
      <c r="Q123" s="636" t="str">
        <f>IFERROR(IF(compras_mes10[[#This Row],[CUIT]]="","-",VLOOKUP(compras_mes10[[#This Row],[CUIT]],Lista_CUIT[#All],3,0)),"CUIT NO CARGADO")</f>
        <v>Peajes</v>
      </c>
      <c r="R123" s="639">
        <f>IFERROR(IF(compras_mes10[[#This Row],[CUIT]]="","-",VLOOKUP(compras_mes10[[#This Row],[CUIT]],Lista_CUIT[#All],4,0)),"CUIT NO CARGADO")</f>
        <v>0</v>
      </c>
    </row>
    <row r="124" spans="1:18">
      <c r="B124" s="631" t="s">
        <v>2478</v>
      </c>
      <c r="C124" s="632">
        <v>1</v>
      </c>
      <c r="D124" s="633">
        <v>50</v>
      </c>
      <c r="E124" s="634">
        <v>3834574</v>
      </c>
      <c r="F124" s="635">
        <v>30714112836</v>
      </c>
      <c r="G124" s="636" t="str">
        <f>IFERROR(IF(compras_mes10[[#This Row],[CUIT]]="","-",VLOOKUP(compras_mes10[[#This Row],[CUIT]],Lista_CUIT[#All],2,0)),"CUIT NO CARGADO")</f>
        <v>AUTOPISTAS DE BS AS</v>
      </c>
      <c r="H124" s="173">
        <v>56045.46</v>
      </c>
      <c r="I124" s="637">
        <f>IF(compras_mes10[[#This Row],[NETO GRAVADO]]="","",compras_mes10[[#This Row],[NETO GRAVADO]]*0.21)</f>
        <v>11769.5466</v>
      </c>
      <c r="J124" s="689"/>
      <c r="K124" s="174"/>
      <c r="L124" s="174">
        <v>1681.36</v>
      </c>
      <c r="M124" s="174"/>
      <c r="N124" s="174"/>
      <c r="O124" s="174"/>
      <c r="P124" s="638">
        <f>SUM(compras_mes10[[#This Row],[NETO GRAVADO]:[Otros / No Grav.]])</f>
        <v>69496.366599999994</v>
      </c>
      <c r="Q124" s="636" t="str">
        <f>IFERROR(IF(compras_mes10[[#This Row],[CUIT]]="","-",VLOOKUP(compras_mes10[[#This Row],[CUIT]],Lista_CUIT[#All],3,0)),"CUIT NO CARGADO")</f>
        <v>Peajes</v>
      </c>
      <c r="R124" s="639">
        <f>IFERROR(IF(compras_mes10[[#This Row],[CUIT]]="","-",VLOOKUP(compras_mes10[[#This Row],[CUIT]],Lista_CUIT[#All],4,0)),"CUIT NO CARGADO")</f>
        <v>0</v>
      </c>
    </row>
    <row r="125" spans="1:18">
      <c r="B125" s="631" t="s">
        <v>2492</v>
      </c>
      <c r="C125" s="632">
        <v>1</v>
      </c>
      <c r="D125" s="633">
        <v>629</v>
      </c>
      <c r="E125" s="634">
        <v>5531541</v>
      </c>
      <c r="F125" s="635">
        <v>30663498513</v>
      </c>
      <c r="G125" s="636" t="str">
        <f>IFERROR(IF(compras_mes10[[#This Row],[CUIT]]="","-",VLOOKUP(compras_mes10[[#This Row],[CUIT]],Lista_CUIT[#All],2,0)),"CUIT NO CARGADO")</f>
        <v>GRUPO CONCES. DEL OESTE SA</v>
      </c>
      <c r="H125" s="173">
        <v>26228.97</v>
      </c>
      <c r="I125" s="637">
        <f>IF(compras_mes10[[#This Row],[NETO GRAVADO]]="","",compras_mes10[[#This Row],[NETO GRAVADO]]*0.21)</f>
        <v>5508.0837000000001</v>
      </c>
      <c r="J125" s="689"/>
      <c r="K125" s="174"/>
      <c r="L125" s="174"/>
      <c r="M125" s="174"/>
      <c r="N125" s="174"/>
      <c r="O125" s="174"/>
      <c r="P125" s="638">
        <f>SUM(compras_mes10[[#This Row],[NETO GRAVADO]:[Otros / No Grav.]])</f>
        <v>31737.0537</v>
      </c>
      <c r="Q125" s="636" t="str">
        <f>IFERROR(IF(compras_mes10[[#This Row],[CUIT]]="","-",VLOOKUP(compras_mes10[[#This Row],[CUIT]],Lista_CUIT[#All],3,0)),"CUIT NO CARGADO")</f>
        <v>Peajes</v>
      </c>
      <c r="R125" s="639">
        <f>IFERROR(IF(compras_mes10[[#This Row],[CUIT]]="","-",VLOOKUP(compras_mes10[[#This Row],[CUIT]],Lista_CUIT[#All],4,0)),"CUIT NO CARGADO")</f>
        <v>0</v>
      </c>
    </row>
    <row r="126" spans="1:18">
      <c r="B126" s="631" t="s">
        <v>2492</v>
      </c>
      <c r="C126" s="632">
        <v>1</v>
      </c>
      <c r="D126" s="633">
        <v>711</v>
      </c>
      <c r="E126" s="634">
        <v>6278636</v>
      </c>
      <c r="F126" s="635">
        <v>30677237119</v>
      </c>
      <c r="G126" s="636" t="str">
        <f>IFERROR(IF(compras_mes10[[#This Row],[CUIT]]="","-",VLOOKUP(compras_mes10[[#This Row],[CUIT]],Lista_CUIT[#All],2,0)),"CUIT NO CARGADO")</f>
        <v>AUTOPISTAS DEL SOL S A</v>
      </c>
      <c r="H126" s="173">
        <v>17659.900000000001</v>
      </c>
      <c r="I126" s="637">
        <f>IF(compras_mes10[[#This Row],[NETO GRAVADO]]="","",compras_mes10[[#This Row],[NETO GRAVADO]]*0.21)</f>
        <v>3708.5790000000002</v>
      </c>
      <c r="J126" s="689"/>
      <c r="K126" s="174"/>
      <c r="L126" s="174">
        <v>529.79999999999995</v>
      </c>
      <c r="M126" s="174"/>
      <c r="N126" s="174"/>
      <c r="O126" s="174">
        <v>529.79999999999995</v>
      </c>
      <c r="P126" s="638">
        <f>SUM(compras_mes10[[#This Row],[NETO GRAVADO]:[Otros / No Grav.]])</f>
        <v>22428.079000000002</v>
      </c>
      <c r="Q126" s="636" t="str">
        <f>IFERROR(IF(compras_mes10[[#This Row],[CUIT]]="","-",VLOOKUP(compras_mes10[[#This Row],[CUIT]],Lista_CUIT[#All],3,0)),"CUIT NO CARGADO")</f>
        <v>Peajes</v>
      </c>
      <c r="R126" s="639">
        <f>IFERROR(IF(compras_mes10[[#This Row],[CUIT]]="","-",VLOOKUP(compras_mes10[[#This Row],[CUIT]],Lista_CUIT[#All],4,0)),"CUIT NO CARGADO")</f>
        <v>0</v>
      </c>
    </row>
    <row r="127" spans="1:18">
      <c r="B127" s="631" t="s">
        <v>2481</v>
      </c>
      <c r="C127" s="632">
        <v>1</v>
      </c>
      <c r="D127" s="633">
        <v>5015</v>
      </c>
      <c r="E127" s="634">
        <v>658107</v>
      </c>
      <c r="F127" s="635">
        <v>30574876474</v>
      </c>
      <c r="G127" s="636" t="str">
        <f>IFERROR(IF(compras_mes10[[#This Row],[CUIT]]="","-",VLOOKUP(compras_mes10[[#This Row],[CUIT]],Lista_CUIT[#All],2,0)),"CUIT NO CARGADO")</f>
        <v>AUTOPISTAS URBANAS S A</v>
      </c>
      <c r="H127" s="173">
        <v>105461.95</v>
      </c>
      <c r="I127" s="637">
        <f>IF(compras_mes10[[#This Row],[NETO GRAVADO]]="","",compras_mes10[[#This Row],[NETO GRAVADO]]*0.21)</f>
        <v>22147.0095</v>
      </c>
      <c r="J127" s="692"/>
      <c r="K127" s="637"/>
      <c r="L127" s="637"/>
      <c r="M127" s="637"/>
      <c r="N127" s="637"/>
      <c r="O127" s="637">
        <v>13710.27</v>
      </c>
      <c r="P127" s="638">
        <f>SUM(compras_mes10[[#This Row],[NETO GRAVADO]:[Otros / No Grav.]])</f>
        <v>141319.22949999999</v>
      </c>
      <c r="Q127" s="636" t="str">
        <f>IFERROR(IF(compras_mes10[[#This Row],[CUIT]]="","-",VLOOKUP(compras_mes10[[#This Row],[CUIT]],Lista_CUIT[#All],3,0)),"CUIT NO CARGADO")</f>
        <v>Peajes</v>
      </c>
      <c r="R127" s="639">
        <f>IFERROR(IF(compras_mes10[[#This Row],[CUIT]]="","-",VLOOKUP(compras_mes10[[#This Row],[CUIT]],Lista_CUIT[#All],4,0)),"CUIT NO CARGADO")</f>
        <v>0</v>
      </c>
    </row>
    <row r="128" spans="1:18">
      <c r="B128" s="631" t="s">
        <v>2484</v>
      </c>
      <c r="C128" s="632">
        <v>1</v>
      </c>
      <c r="D128" s="633">
        <v>503</v>
      </c>
      <c r="E128" s="634">
        <v>1531944</v>
      </c>
      <c r="F128" s="635">
        <v>30639935872</v>
      </c>
      <c r="G128" s="636" t="str">
        <f>IFERROR(IF(compras_mes10[[#This Row],[CUIT]]="","-",VLOOKUP(compras_mes10[[#This Row],[CUIT]],Lista_CUIT[#All],2,0)),"CUIT NO CARGADO")</f>
        <v>CAMINOS DEL RIO URUGUAY S A DE CONSTRUCCIONES Y CONCESIONES VIALES</v>
      </c>
      <c r="H128" s="173">
        <v>3098.69</v>
      </c>
      <c r="I128" s="637">
        <f>IF(compras_mes10[[#This Row],[NETO GRAVADO]]="","",compras_mes10[[#This Row],[NETO GRAVADO]]*0.21)</f>
        <v>650.72489999999993</v>
      </c>
      <c r="J128" s="689"/>
      <c r="K128" s="174"/>
      <c r="L128" s="174"/>
      <c r="M128" s="174"/>
      <c r="N128" s="174">
        <v>185.92</v>
      </c>
      <c r="O128" s="174"/>
      <c r="P128" s="638">
        <f>SUM(compras_mes10[[#This Row],[NETO GRAVADO]:[Otros / No Grav.]])</f>
        <v>3935.3348999999998</v>
      </c>
      <c r="Q128" s="636" t="str">
        <f>IFERROR(IF(compras_mes10[[#This Row],[CUIT]]="","-",VLOOKUP(compras_mes10[[#This Row],[CUIT]],Lista_CUIT[#All],3,0)),"CUIT NO CARGADO")</f>
        <v>Peajes</v>
      </c>
      <c r="R128" s="639">
        <f>IFERROR(IF(compras_mes10[[#This Row],[CUIT]]="","-",VLOOKUP(compras_mes10[[#This Row],[CUIT]],Lista_CUIT[#All],4,0)),"CUIT NO CARGADO")</f>
        <v>0</v>
      </c>
    </row>
    <row r="129" spans="1:18">
      <c r="B129" s="631" t="s">
        <v>2498</v>
      </c>
      <c r="C129" s="632">
        <v>1</v>
      </c>
      <c r="D129" s="633">
        <v>50</v>
      </c>
      <c r="E129" s="634">
        <v>3870208</v>
      </c>
      <c r="F129" s="635">
        <v>30714112836</v>
      </c>
      <c r="G129" s="636" t="str">
        <f>IFERROR(IF(compras_mes10[[#This Row],[CUIT]]="","-",VLOOKUP(compras_mes10[[#This Row],[CUIT]],Lista_CUIT[#All],2,0)),"CUIT NO CARGADO")</f>
        <v>AUTOPISTAS DE BS AS</v>
      </c>
      <c r="H129" s="173">
        <v>24309.919999999998</v>
      </c>
      <c r="I129" s="637">
        <f>IF(compras_mes10[[#This Row],[NETO GRAVADO]]="","",compras_mes10[[#This Row],[NETO GRAVADO]]*0.21)</f>
        <v>5105.0831999999991</v>
      </c>
      <c r="J129" s="689"/>
      <c r="K129" s="174"/>
      <c r="L129" s="174">
        <v>729.3</v>
      </c>
      <c r="M129" s="174"/>
      <c r="N129" s="174"/>
      <c r="O129" s="174"/>
      <c r="P129" s="638">
        <f>SUM(compras_mes10[[#This Row],[NETO GRAVADO]:[Otros / No Grav.]])</f>
        <v>30144.303199999998</v>
      </c>
      <c r="Q129" s="636" t="str">
        <f>IFERROR(IF(compras_mes10[[#This Row],[CUIT]]="","-",VLOOKUP(compras_mes10[[#This Row],[CUIT]],Lista_CUIT[#All],3,0)),"CUIT NO CARGADO")</f>
        <v>Peajes</v>
      </c>
      <c r="R129" s="639">
        <f>IFERROR(IF(compras_mes10[[#This Row],[CUIT]]="","-",VLOOKUP(compras_mes10[[#This Row],[CUIT]],Lista_CUIT[#All],4,0)),"CUIT NO CARGADO")</f>
        <v>0</v>
      </c>
    </row>
    <row r="130" spans="1:18">
      <c r="B130" s="631" t="s">
        <v>2498</v>
      </c>
      <c r="C130" s="632">
        <v>1</v>
      </c>
      <c r="D130" s="633">
        <v>5015</v>
      </c>
      <c r="E130" s="634">
        <v>660681</v>
      </c>
      <c r="F130" s="635">
        <v>30574876474</v>
      </c>
      <c r="G130" s="636" t="str">
        <f>IFERROR(IF(compras_mes10[[#This Row],[CUIT]]="","-",VLOOKUP(compras_mes10[[#This Row],[CUIT]],Lista_CUIT[#All],2,0)),"CUIT NO CARGADO")</f>
        <v>AUTOPISTAS URBANAS S A</v>
      </c>
      <c r="H130" s="173">
        <v>166946.93</v>
      </c>
      <c r="I130" s="637">
        <f>IF(compras_mes10[[#This Row],[NETO GRAVADO]]="","",compras_mes10[[#This Row],[NETO GRAVADO]]*0.21)</f>
        <v>35058.855299999996</v>
      </c>
      <c r="J130" s="689"/>
      <c r="K130" s="174"/>
      <c r="L130" s="174"/>
      <c r="M130" s="174"/>
      <c r="N130" s="174"/>
      <c r="O130" s="174">
        <v>21703.07</v>
      </c>
      <c r="P130" s="638">
        <f>SUM(compras_mes10[[#This Row],[NETO GRAVADO]:[Otros / No Grav.]])</f>
        <v>223708.8553</v>
      </c>
      <c r="Q130" s="636" t="str">
        <f>IFERROR(IF(compras_mes10[[#This Row],[CUIT]]="","-",VLOOKUP(compras_mes10[[#This Row],[CUIT]],Lista_CUIT[#All],3,0)),"CUIT NO CARGADO")</f>
        <v>Peajes</v>
      </c>
      <c r="R130" s="639">
        <f>IFERROR(IF(compras_mes10[[#This Row],[CUIT]]="","-",VLOOKUP(compras_mes10[[#This Row],[CUIT]],Lista_CUIT[#All],4,0)),"CUIT NO CARGADO")</f>
        <v>0</v>
      </c>
    </row>
    <row r="131" spans="1:18">
      <c r="B131" s="616" t="s">
        <v>2469</v>
      </c>
      <c r="C131" s="617">
        <v>1</v>
      </c>
      <c r="D131" s="618">
        <v>6</v>
      </c>
      <c r="E131" s="619">
        <v>3301</v>
      </c>
      <c r="F131" s="620">
        <v>30574603788</v>
      </c>
      <c r="G131" s="621" t="str">
        <f>IFERROR(IF(compras_mes10[[#This Row],[CUIT]]="","-",VLOOKUP(compras_mes10[[#This Row],[CUIT]],Lista_CUIT[#All],2,0)),"CUIT NO CARGADO")</f>
        <v>CODAC SRL</v>
      </c>
      <c r="H131" s="46">
        <v>6826140</v>
      </c>
      <c r="I131" s="623">
        <f>IF(compras_mes10[[#This Row],[NETO GRAVADO]]="","",compras_mes10[[#This Row],[NETO GRAVADO]]*0.21)</f>
        <v>1433489.4</v>
      </c>
      <c r="J131" s="691"/>
      <c r="K131" s="85"/>
      <c r="L131" s="85"/>
      <c r="M131" s="85"/>
      <c r="N131" s="85"/>
      <c r="O131" s="85"/>
      <c r="P131" s="624">
        <f>SUM(compras_mes10[[#This Row],[NETO GRAVADO]:[Otros / No Grav.]])</f>
        <v>8259629.4000000004</v>
      </c>
      <c r="Q131" s="621" t="str">
        <f>IFERROR(IF(compras_mes10[[#This Row],[CUIT]]="","-",VLOOKUP(compras_mes10[[#This Row],[CUIT]],Lista_CUIT[#All],3,0)),"CUIT NO CARGADO")</f>
        <v>Productos Venta</v>
      </c>
      <c r="R131" s="625" t="str">
        <f>IFERROR(IF(compras_mes10[[#This Row],[CUIT]]="","-",VLOOKUP(compras_mes10[[#This Row],[CUIT]],Lista_CUIT[#All],4,0)),"CUIT NO CARGADO")</f>
        <v>BUENOS AIRES</v>
      </c>
    </row>
    <row r="132" spans="1:18">
      <c r="B132" s="616" t="s">
        <v>2470</v>
      </c>
      <c r="C132" s="617">
        <v>1</v>
      </c>
      <c r="D132" s="618">
        <v>5</v>
      </c>
      <c r="E132" s="619">
        <v>21746</v>
      </c>
      <c r="F132" s="620">
        <v>30616146447</v>
      </c>
      <c r="G132" s="621" t="str">
        <f>IFERROR(IF(compras_mes10[[#This Row],[CUIT]]="","-",VLOOKUP(compras_mes10[[#This Row],[CUIT]],Lista_CUIT[#All],2,0)),"CUIT NO CARGADO")</f>
        <v>EGEO SOCIEDAD DE RESPONSABILIDAD LIMITADA</v>
      </c>
      <c r="H132" s="46">
        <v>780000</v>
      </c>
      <c r="I132" s="623">
        <f>IF(compras_mes10[[#This Row],[NETO GRAVADO]]="","",compras_mes10[[#This Row],[NETO GRAVADO]]*0.21)</f>
        <v>163800</v>
      </c>
      <c r="J132" s="691"/>
      <c r="K132" s="85"/>
      <c r="L132" s="85"/>
      <c r="M132" s="85"/>
      <c r="N132" s="85"/>
      <c r="O132" s="85"/>
      <c r="P132" s="624">
        <f>SUM(compras_mes10[[#This Row],[NETO GRAVADO]:[Otros / No Grav.]])</f>
        <v>943800</v>
      </c>
      <c r="Q132" s="621" t="str">
        <f>IFERROR(IF(compras_mes10[[#This Row],[CUIT]]="","-",VLOOKUP(compras_mes10[[#This Row],[CUIT]],Lista_CUIT[#All],3,0)),"CUIT NO CARGADO")</f>
        <v>Productos Venta</v>
      </c>
      <c r="R132" s="625">
        <f>IFERROR(IF(compras_mes10[[#This Row],[CUIT]]="","-",VLOOKUP(compras_mes10[[#This Row],[CUIT]],Lista_CUIT[#All],4,0)),"CUIT NO CARGADO")</f>
        <v>0</v>
      </c>
    </row>
    <row r="133" spans="1:18">
      <c r="A133" s="128"/>
      <c r="B133" s="616" t="s">
        <v>2470</v>
      </c>
      <c r="C133" s="617">
        <v>1</v>
      </c>
      <c r="D133" s="618">
        <v>2</v>
      </c>
      <c r="E133" s="619">
        <v>3821</v>
      </c>
      <c r="F133" s="620">
        <v>30629863571</v>
      </c>
      <c r="G133" s="621" t="str">
        <f>IFERROR(IF(compras_mes10[[#This Row],[CUIT]]="","-",VLOOKUP(compras_mes10[[#This Row],[CUIT]],Lista_CUIT[#All],2,0)),"CUIT NO CARGADO")</f>
        <v>TECNIMAR S R L</v>
      </c>
      <c r="H133" s="46">
        <v>4724840</v>
      </c>
      <c r="I133" s="623">
        <f>IF(compras_mes10[[#This Row],[NETO GRAVADO]]="","",compras_mes10[[#This Row],[NETO GRAVADO]]*0.21)</f>
        <v>992216.39999999991</v>
      </c>
      <c r="J133" s="691"/>
      <c r="K133" s="85"/>
      <c r="L133" s="85"/>
      <c r="M133" s="85"/>
      <c r="N133" s="85"/>
      <c r="O133" s="85"/>
      <c r="P133" s="624">
        <f>SUM(compras_mes10[[#This Row],[NETO GRAVADO]:[Otros / No Grav.]])</f>
        <v>5717056.4000000004</v>
      </c>
      <c r="Q133" s="621" t="str">
        <f>IFERROR(IF(compras_mes10[[#This Row],[CUIT]]="","-",VLOOKUP(compras_mes10[[#This Row],[CUIT]],Lista_CUIT[#All],3,0)),"CUIT NO CARGADO")</f>
        <v>Productos Venta</v>
      </c>
      <c r="R133" s="625">
        <f>IFERROR(IF(compras_mes10[[#This Row],[CUIT]]="","-",VLOOKUP(compras_mes10[[#This Row],[CUIT]],Lista_CUIT[#All],4,0)),"CUIT NO CARGADO")</f>
        <v>0</v>
      </c>
    </row>
    <row r="134" spans="1:18" s="127" customFormat="1">
      <c r="A134" s="128"/>
      <c r="B134" s="616" t="s">
        <v>2471</v>
      </c>
      <c r="C134" s="617">
        <v>1</v>
      </c>
      <c r="D134" s="618">
        <v>2</v>
      </c>
      <c r="E134" s="619">
        <v>3823</v>
      </c>
      <c r="F134" s="620">
        <v>30629863571</v>
      </c>
      <c r="G134" s="621" t="str">
        <f>IFERROR(IF(compras_mes10[[#This Row],[CUIT]]="","-",VLOOKUP(compras_mes10[[#This Row],[CUIT]],Lista_CUIT[#All],2,0)),"CUIT NO CARGADO")</f>
        <v>TECNIMAR S R L</v>
      </c>
      <c r="H134" s="46">
        <v>792986.38</v>
      </c>
      <c r="I134" s="623">
        <f>IF(compras_mes10[[#This Row],[NETO GRAVADO]]="","",compras_mes10[[#This Row],[NETO GRAVADO]]*0.21)</f>
        <v>166527.1398</v>
      </c>
      <c r="J134" s="691"/>
      <c r="K134" s="85"/>
      <c r="L134" s="85"/>
      <c r="M134" s="85"/>
      <c r="N134" s="85"/>
      <c r="O134" s="85"/>
      <c r="P134" s="624">
        <f>SUM(compras_mes10[[#This Row],[NETO GRAVADO]:[Otros / No Grav.]])</f>
        <v>959513.51980000001</v>
      </c>
      <c r="Q134" s="621" t="str">
        <f>IFERROR(IF(compras_mes10[[#This Row],[CUIT]]="","-",VLOOKUP(compras_mes10[[#This Row],[CUIT]],Lista_CUIT[#All],3,0)),"CUIT NO CARGADO")</f>
        <v>Productos Venta</v>
      </c>
      <c r="R134" s="625">
        <f>IFERROR(IF(compras_mes10[[#This Row],[CUIT]]="","-",VLOOKUP(compras_mes10[[#This Row],[CUIT]],Lista_CUIT[#All],4,0)),"CUIT NO CARGADO")</f>
        <v>0</v>
      </c>
    </row>
    <row r="135" spans="1:18" s="128" customFormat="1">
      <c r="B135" s="616" t="s">
        <v>2472</v>
      </c>
      <c r="C135" s="617">
        <v>1</v>
      </c>
      <c r="D135" s="618">
        <v>2</v>
      </c>
      <c r="E135" s="619">
        <v>8605</v>
      </c>
      <c r="F135" s="620">
        <v>33714677239</v>
      </c>
      <c r="G135" s="621" t="str">
        <f>IFERROR(IF(compras_mes10[[#This Row],[CUIT]]="","-",VLOOKUP(compras_mes10[[#This Row],[CUIT]],Lista_CUIT[#All],2,0)),"CUIT NO CARGADO")</f>
        <v xml:space="preserve">BOMBAS VAPORIZADORAS </v>
      </c>
      <c r="H135" s="46">
        <v>1784700</v>
      </c>
      <c r="I135" s="623">
        <f>IF(compras_mes10[[#This Row],[NETO GRAVADO]]="","",compras_mes10[[#This Row],[NETO GRAVADO]]*0.21)</f>
        <v>374787</v>
      </c>
      <c r="J135" s="691"/>
      <c r="K135" s="85"/>
      <c r="L135" s="85"/>
      <c r="M135" s="85"/>
      <c r="N135" s="85"/>
      <c r="O135" s="85"/>
      <c r="P135" s="624">
        <f>SUM(compras_mes10[[#This Row],[NETO GRAVADO]:[Otros / No Grav.]])</f>
        <v>2159487</v>
      </c>
      <c r="Q135" s="621" t="str">
        <f>IFERROR(IF(compras_mes10[[#This Row],[CUIT]]="","-",VLOOKUP(compras_mes10[[#This Row],[CUIT]],Lista_CUIT[#All],3,0)),"CUIT NO CARGADO")</f>
        <v>Productos Venta</v>
      </c>
      <c r="R135" s="625">
        <f>IFERROR(IF(compras_mes10[[#This Row],[CUIT]]="","-",VLOOKUP(compras_mes10[[#This Row],[CUIT]],Lista_CUIT[#All],4,0)),"CUIT NO CARGADO")</f>
        <v>0</v>
      </c>
    </row>
    <row r="136" spans="1:18">
      <c r="A136" s="128"/>
      <c r="B136" s="616" t="s">
        <v>2472</v>
      </c>
      <c r="C136" s="617">
        <v>1</v>
      </c>
      <c r="D136" s="618">
        <v>1</v>
      </c>
      <c r="E136" s="619">
        <v>275</v>
      </c>
      <c r="F136" s="620">
        <v>20263486464</v>
      </c>
      <c r="G136" s="621" t="str">
        <f>IFERROR(IF(compras_mes10[[#This Row],[CUIT]]="","-",VLOOKUP(compras_mes10[[#This Row],[CUIT]],Lista_CUIT[#All],2,0)),"CUIT NO CARGADO")</f>
        <v>ROMANO SEBASTIAN ANTONIO</v>
      </c>
      <c r="H136" s="46">
        <v>444000</v>
      </c>
      <c r="I136" s="623">
        <f>IF(compras_mes10[[#This Row],[NETO GRAVADO]]="","",compras_mes10[[#This Row],[NETO GRAVADO]]*0.21)</f>
        <v>93240</v>
      </c>
      <c r="J136" s="691"/>
      <c r="K136" s="85"/>
      <c r="L136" s="85"/>
      <c r="M136" s="85"/>
      <c r="N136" s="85"/>
      <c r="O136" s="85"/>
      <c r="P136" s="624">
        <f>SUM(compras_mes10[[#This Row],[NETO GRAVADO]:[Otros / No Grav.]])</f>
        <v>537240</v>
      </c>
      <c r="Q136" s="621" t="str">
        <f>IFERROR(IF(compras_mes10[[#This Row],[CUIT]]="","-",VLOOKUP(compras_mes10[[#This Row],[CUIT]],Lista_CUIT[#All],3,0)),"CUIT NO CARGADO")</f>
        <v>Productos Venta</v>
      </c>
      <c r="R136" s="625">
        <f>IFERROR(IF(compras_mes10[[#This Row],[CUIT]]="","-",VLOOKUP(compras_mes10[[#This Row],[CUIT]],Lista_CUIT[#All],4,0)),"CUIT NO CARGADO")</f>
        <v>0</v>
      </c>
    </row>
    <row r="137" spans="1:18" s="127" customFormat="1">
      <c r="A137" s="128"/>
      <c r="B137" s="616" t="s">
        <v>2472</v>
      </c>
      <c r="C137" s="617">
        <v>1</v>
      </c>
      <c r="D137" s="618">
        <v>3</v>
      </c>
      <c r="E137" s="619">
        <v>6947</v>
      </c>
      <c r="F137" s="620">
        <v>30708006420</v>
      </c>
      <c r="G137" s="94" t="str">
        <f>IFERROR(IF(compras_mes10[[#This Row],[CUIT]]="","-",VLOOKUP(compras_mes10[[#This Row],[CUIT]],Lista_CUIT[#All],2,0)),"CUIT NO CARGADO")</f>
        <v>MEDILEA S.A.</v>
      </c>
      <c r="H137" s="95">
        <v>2200000</v>
      </c>
      <c r="I137" s="623">
        <f>IF(compras_mes10[[#This Row],[NETO GRAVADO]]="","",compras_mes10[[#This Row],[NETO GRAVADO]]*0.21)</f>
        <v>462000</v>
      </c>
      <c r="J137" s="691"/>
      <c r="K137" s="85"/>
      <c r="L137" s="85"/>
      <c r="M137" s="85"/>
      <c r="N137" s="85"/>
      <c r="O137" s="85"/>
      <c r="P137" s="87">
        <f>SUM(compras_mes10[[#This Row],[NETO GRAVADO]:[Otros / No Grav.]])</f>
        <v>2662000</v>
      </c>
      <c r="Q137" s="94" t="str">
        <f>IFERROR(IF(compras_mes10[[#This Row],[CUIT]]="","-",VLOOKUP(compras_mes10[[#This Row],[CUIT]],Lista_CUIT[#All],3,0)),"CUIT NO CARGADO")</f>
        <v>Productos Venta</v>
      </c>
      <c r="R137" s="88">
        <f>IFERROR(IF(compras_mes10[[#This Row],[CUIT]]="","-",VLOOKUP(compras_mes10[[#This Row],[CUIT]],Lista_CUIT[#All],4,0)),"CUIT NO CARGADO")</f>
        <v>0</v>
      </c>
    </row>
    <row r="138" spans="1:18">
      <c r="A138" s="128"/>
      <c r="B138" s="616" t="s">
        <v>2474</v>
      </c>
      <c r="C138" s="617">
        <v>1</v>
      </c>
      <c r="D138" s="618">
        <v>2</v>
      </c>
      <c r="E138" s="619">
        <v>3829</v>
      </c>
      <c r="F138" s="620">
        <v>30629863571</v>
      </c>
      <c r="G138" s="621" t="str">
        <f>IFERROR(IF(compras_mes10[[#This Row],[CUIT]]="","-",VLOOKUP(compras_mes10[[#This Row],[CUIT]],Lista_CUIT[#All],2,0)),"CUIT NO CARGADO")</f>
        <v>TECNIMAR S R L</v>
      </c>
      <c r="H138" s="46">
        <v>2911760</v>
      </c>
      <c r="I138" s="623">
        <f>IF(compras_mes10[[#This Row],[NETO GRAVADO]]="","",compras_mes10[[#This Row],[NETO GRAVADO]]*0.21)</f>
        <v>611469.6</v>
      </c>
      <c r="J138" s="691"/>
      <c r="K138" s="85"/>
      <c r="L138" s="85"/>
      <c r="M138" s="85"/>
      <c r="N138" s="85"/>
      <c r="O138" s="85"/>
      <c r="P138" s="624">
        <f>SUM(compras_mes10[[#This Row],[NETO GRAVADO]:[Otros / No Grav.]])</f>
        <v>3523229.6</v>
      </c>
      <c r="Q138" s="621" t="str">
        <f>IFERROR(IF(compras_mes10[[#This Row],[CUIT]]="","-",VLOOKUP(compras_mes10[[#This Row],[CUIT]],Lista_CUIT[#All],3,0)),"CUIT NO CARGADO")</f>
        <v>Productos Venta</v>
      </c>
      <c r="R138" s="625">
        <f>IFERROR(IF(compras_mes10[[#This Row],[CUIT]]="","-",VLOOKUP(compras_mes10[[#This Row],[CUIT]],Lista_CUIT[#All],4,0)),"CUIT NO CARGADO")</f>
        <v>0</v>
      </c>
    </row>
    <row r="139" spans="1:18">
      <c r="A139" s="128"/>
      <c r="B139" s="616" t="s">
        <v>2474</v>
      </c>
      <c r="C139" s="617">
        <v>1</v>
      </c>
      <c r="D139" s="618">
        <v>1</v>
      </c>
      <c r="E139" s="619">
        <v>33</v>
      </c>
      <c r="F139" s="620">
        <v>30718531736</v>
      </c>
      <c r="G139" s="621" t="str">
        <f>IFERROR(IF(compras_mes10[[#This Row],[CUIT]]="","-",VLOOKUP(compras_mes10[[#This Row],[CUIT]],Lista_CUIT[#All],2,0)),"CUIT NO CARGADO")</f>
        <v>SOL ESTUDIO CREATIVO S. CAP I SECC IV</v>
      </c>
      <c r="H139" s="46">
        <v>9940000</v>
      </c>
      <c r="I139" s="623">
        <f>IF(compras_mes10[[#This Row],[NETO GRAVADO]]="","",compras_mes10[[#This Row],[NETO GRAVADO]]*0.21)</f>
        <v>2087400</v>
      </c>
      <c r="J139" s="691"/>
      <c r="K139" s="85"/>
      <c r="L139" s="85"/>
      <c r="M139" s="85"/>
      <c r="N139" s="85"/>
      <c r="O139" s="85"/>
      <c r="P139" s="624">
        <f>SUM(compras_mes10[[#This Row],[NETO GRAVADO]:[Otros / No Grav.]])</f>
        <v>12027400</v>
      </c>
      <c r="Q139" s="621" t="str">
        <f>IFERROR(IF(compras_mes10[[#This Row],[CUIT]]="","-",VLOOKUP(compras_mes10[[#This Row],[CUIT]],Lista_CUIT[#All],3,0)),"CUIT NO CARGADO")</f>
        <v>Productos Venta</v>
      </c>
      <c r="R139" s="625">
        <f>IFERROR(IF(compras_mes10[[#This Row],[CUIT]]="","-",VLOOKUP(compras_mes10[[#This Row],[CUIT]],Lista_CUIT[#All],4,0)),"CUIT NO CARGADO")</f>
        <v>0</v>
      </c>
    </row>
    <row r="140" spans="1:18" s="127" customFormat="1">
      <c r="A140" s="128"/>
      <c r="B140" s="616" t="s">
        <v>2475</v>
      </c>
      <c r="C140" s="617">
        <v>1</v>
      </c>
      <c r="D140" s="618">
        <v>2</v>
      </c>
      <c r="E140" s="619">
        <v>3832</v>
      </c>
      <c r="F140" s="620">
        <v>30629863571</v>
      </c>
      <c r="G140" s="621" t="str">
        <f>IFERROR(IF(compras_mes10[[#This Row],[CUIT]]="","-",VLOOKUP(compras_mes10[[#This Row],[CUIT]],Lista_CUIT[#All],2,0)),"CUIT NO CARGADO")</f>
        <v>TECNIMAR S R L</v>
      </c>
      <c r="H140" s="46">
        <v>5218400</v>
      </c>
      <c r="I140" s="623">
        <f>IF(compras_mes10[[#This Row],[NETO GRAVADO]]="","",compras_mes10[[#This Row],[NETO GRAVADO]]*0.21)</f>
        <v>1095864</v>
      </c>
      <c r="J140" s="691"/>
      <c r="K140" s="85"/>
      <c r="L140" s="85"/>
      <c r="M140" s="85"/>
      <c r="N140" s="85"/>
      <c r="O140" s="85"/>
      <c r="P140" s="624">
        <f>SUM(compras_mes10[[#This Row],[NETO GRAVADO]:[Otros / No Grav.]])</f>
        <v>6314264</v>
      </c>
      <c r="Q140" s="621" t="str">
        <f>IFERROR(IF(compras_mes10[[#This Row],[CUIT]]="","-",VLOOKUP(compras_mes10[[#This Row],[CUIT]],Lista_CUIT[#All],3,0)),"CUIT NO CARGADO")</f>
        <v>Productos Venta</v>
      </c>
      <c r="R140" s="625">
        <f>IFERROR(IF(compras_mes10[[#This Row],[CUIT]]="","-",VLOOKUP(compras_mes10[[#This Row],[CUIT]],Lista_CUIT[#All],4,0)),"CUIT NO CARGADO")</f>
        <v>0</v>
      </c>
    </row>
    <row r="141" spans="1:18">
      <c r="A141" s="128"/>
      <c r="B141" s="616" t="s">
        <v>2488</v>
      </c>
      <c r="C141" s="617">
        <v>1</v>
      </c>
      <c r="D141" s="618">
        <v>2</v>
      </c>
      <c r="E141" s="619">
        <v>3833</v>
      </c>
      <c r="F141" s="620">
        <v>30629863571</v>
      </c>
      <c r="G141" s="621" t="str">
        <f>IFERROR(IF(compras_mes10[[#This Row],[CUIT]]="","-",VLOOKUP(compras_mes10[[#This Row],[CUIT]],Lista_CUIT[#All],2,0)),"CUIT NO CARGADO")</f>
        <v>TECNIMAR S R L</v>
      </c>
      <c r="H141" s="46">
        <v>7764240</v>
      </c>
      <c r="I141" s="623">
        <f>IF(compras_mes10[[#This Row],[NETO GRAVADO]]="","",compras_mes10[[#This Row],[NETO GRAVADO]]*0.21)</f>
        <v>1630490.4</v>
      </c>
      <c r="J141" s="691"/>
      <c r="K141" s="85"/>
      <c r="L141" s="85"/>
      <c r="M141" s="85"/>
      <c r="N141" s="85"/>
      <c r="O141" s="85"/>
      <c r="P141" s="624">
        <f>SUM(compras_mes10[[#This Row],[NETO GRAVADO]:[Otros / No Grav.]])</f>
        <v>9394730.4000000004</v>
      </c>
      <c r="Q141" s="621" t="str">
        <f>IFERROR(IF(compras_mes10[[#This Row],[CUIT]]="","-",VLOOKUP(compras_mes10[[#This Row],[CUIT]],Lista_CUIT[#All],3,0)),"CUIT NO CARGADO")</f>
        <v>Productos Venta</v>
      </c>
      <c r="R141" s="625">
        <f>IFERROR(IF(compras_mes10[[#This Row],[CUIT]]="","-",VLOOKUP(compras_mes10[[#This Row],[CUIT]],Lista_CUIT[#All],4,0)),"CUIT NO CARGADO")</f>
        <v>0</v>
      </c>
    </row>
    <row r="142" spans="1:18">
      <c r="B142" s="616" t="s">
        <v>2490</v>
      </c>
      <c r="C142" s="617">
        <v>1</v>
      </c>
      <c r="D142" s="618">
        <v>2</v>
      </c>
      <c r="E142" s="619">
        <v>3834</v>
      </c>
      <c r="F142" s="620">
        <v>30629863571</v>
      </c>
      <c r="G142" s="621" t="str">
        <f>IFERROR(IF(compras_mes10[[#This Row],[CUIT]]="","-",VLOOKUP(compras_mes10[[#This Row],[CUIT]],Lista_CUIT[#All],2,0)),"CUIT NO CARGADO")</f>
        <v>TECNIMAR S R L</v>
      </c>
      <c r="H142" s="46">
        <v>1589280</v>
      </c>
      <c r="I142" s="623">
        <f>IF(compras_mes10[[#This Row],[NETO GRAVADO]]="","",compras_mes10[[#This Row],[NETO GRAVADO]]*0.21)</f>
        <v>333748.8</v>
      </c>
      <c r="J142" s="691"/>
      <c r="K142" s="85"/>
      <c r="L142" s="85"/>
      <c r="M142" s="85"/>
      <c r="N142" s="85"/>
      <c r="O142" s="85"/>
      <c r="P142" s="624">
        <f>SUM(compras_mes10[[#This Row],[NETO GRAVADO]:[Otros / No Grav.]])</f>
        <v>1923028.8</v>
      </c>
      <c r="Q142" s="621" t="str">
        <f>IFERROR(IF(compras_mes10[[#This Row],[CUIT]]="","-",VLOOKUP(compras_mes10[[#This Row],[CUIT]],Lista_CUIT[#All],3,0)),"CUIT NO CARGADO")</f>
        <v>Productos Venta</v>
      </c>
      <c r="R142" s="625">
        <f>IFERROR(IF(compras_mes10[[#This Row],[CUIT]]="","-",VLOOKUP(compras_mes10[[#This Row],[CUIT]],Lista_CUIT[#All],4,0)),"CUIT NO CARGADO")</f>
        <v>0</v>
      </c>
    </row>
    <row r="143" spans="1:18">
      <c r="B143" s="616" t="s">
        <v>2477</v>
      </c>
      <c r="C143" s="617">
        <v>1</v>
      </c>
      <c r="D143" s="618">
        <v>3</v>
      </c>
      <c r="E143" s="619">
        <v>6953</v>
      </c>
      <c r="F143" s="620">
        <v>30708006420</v>
      </c>
      <c r="G143" s="621" t="str">
        <f>IFERROR(IF(compras_mes10[[#This Row],[CUIT]]="","-",VLOOKUP(compras_mes10[[#This Row],[CUIT]],Lista_CUIT[#All],2,0)),"CUIT NO CARGADO")</f>
        <v>MEDILEA S.A.</v>
      </c>
      <c r="H143" s="46">
        <v>3134000</v>
      </c>
      <c r="I143" s="623">
        <f>IF(compras_mes10[[#This Row],[NETO GRAVADO]]="","",compras_mes10[[#This Row],[NETO GRAVADO]]*0.21)</f>
        <v>658140</v>
      </c>
      <c r="J143" s="690"/>
      <c r="K143" s="623"/>
      <c r="L143" s="623"/>
      <c r="M143" s="623"/>
      <c r="N143" s="623"/>
      <c r="O143" s="623"/>
      <c r="P143" s="624">
        <f>SUM(compras_mes10[[#This Row],[NETO GRAVADO]:[Otros / No Grav.]])</f>
        <v>3792140</v>
      </c>
      <c r="Q143" s="621" t="str">
        <f>IFERROR(IF(compras_mes10[[#This Row],[CUIT]]="","-",VLOOKUP(compras_mes10[[#This Row],[CUIT]],Lista_CUIT[#All],3,0)),"CUIT NO CARGADO")</f>
        <v>Productos Venta</v>
      </c>
      <c r="R143" s="625">
        <f>IFERROR(IF(compras_mes10[[#This Row],[CUIT]]="","-",VLOOKUP(compras_mes10[[#This Row],[CUIT]],Lista_CUIT[#All],4,0)),"CUIT NO CARGADO")</f>
        <v>0</v>
      </c>
    </row>
    <row r="144" spans="1:18">
      <c r="B144" s="616" t="s">
        <v>2491</v>
      </c>
      <c r="C144" s="617">
        <v>1</v>
      </c>
      <c r="D144" s="618">
        <v>2</v>
      </c>
      <c r="E144" s="619">
        <v>3836</v>
      </c>
      <c r="F144" s="620">
        <v>30629863571</v>
      </c>
      <c r="G144" s="621" t="str">
        <f>IFERROR(IF(compras_mes10[[#This Row],[CUIT]]="","-",VLOOKUP(compras_mes10[[#This Row],[CUIT]],Lista_CUIT[#All],2,0)),"CUIT NO CARGADO")</f>
        <v>TECNIMAR S R L</v>
      </c>
      <c r="H144" s="46">
        <v>6503601.4800000004</v>
      </c>
      <c r="I144" s="623">
        <f>IF(compras_mes10[[#This Row],[NETO GRAVADO]]="","",compras_mes10[[#This Row],[NETO GRAVADO]]*0.21)</f>
        <v>1365756.3108000001</v>
      </c>
      <c r="J144" s="691"/>
      <c r="K144" s="85"/>
      <c r="L144" s="85"/>
      <c r="M144" s="85"/>
      <c r="N144" s="85"/>
      <c r="O144" s="85"/>
      <c r="P144" s="624">
        <f>SUM(compras_mes10[[#This Row],[NETO GRAVADO]:[Otros / No Grav.]])</f>
        <v>7869357.7908000005</v>
      </c>
      <c r="Q144" s="621" t="str">
        <f>IFERROR(IF(compras_mes10[[#This Row],[CUIT]]="","-",VLOOKUP(compras_mes10[[#This Row],[CUIT]],Lista_CUIT[#All],3,0)),"CUIT NO CARGADO")</f>
        <v>Productos Venta</v>
      </c>
      <c r="R144" s="625">
        <f>IFERROR(IF(compras_mes10[[#This Row],[CUIT]]="","-",VLOOKUP(compras_mes10[[#This Row],[CUIT]],Lista_CUIT[#All],4,0)),"CUIT NO CARGADO")</f>
        <v>0</v>
      </c>
    </row>
    <row r="145" spans="2:18">
      <c r="B145" s="616" t="s">
        <v>2492</v>
      </c>
      <c r="C145" s="617">
        <v>1</v>
      </c>
      <c r="D145" s="618">
        <v>1</v>
      </c>
      <c r="E145" s="619">
        <v>114</v>
      </c>
      <c r="F145" s="620">
        <v>30718148207</v>
      </c>
      <c r="G145" s="621" t="str">
        <f>IFERROR(IF(compras_mes10[[#This Row],[CUIT]]="","-",VLOOKUP(compras_mes10[[#This Row],[CUIT]],Lista_CUIT[#All],2,0)),"CUIT NO CARGADO")</f>
        <v>VIPA INTERNATIONAL S.R.L.</v>
      </c>
      <c r="H145" s="46">
        <v>2040720</v>
      </c>
      <c r="I145" s="623">
        <f>IF(compras_mes10[[#This Row],[NETO GRAVADO]]="","",compras_mes10[[#This Row],[NETO GRAVADO]]*0.21)</f>
        <v>428551.2</v>
      </c>
      <c r="J145" s="691"/>
      <c r="K145" s="85"/>
      <c r="L145" s="85"/>
      <c r="M145" s="85"/>
      <c r="N145" s="85"/>
      <c r="O145" s="85"/>
      <c r="P145" s="624">
        <f>SUM(compras_mes10[[#This Row],[NETO GRAVADO]:[Otros / No Grav.]])</f>
        <v>2469271.2000000002</v>
      </c>
      <c r="Q145" s="621" t="str">
        <f>IFERROR(IF(compras_mes10[[#This Row],[CUIT]]="","-",VLOOKUP(compras_mes10[[#This Row],[CUIT]],Lista_CUIT[#All],3,0)),"CUIT NO CARGADO")</f>
        <v>Productos Venta</v>
      </c>
      <c r="R145" s="625">
        <f>IFERROR(IF(compras_mes10[[#This Row],[CUIT]]="","-",VLOOKUP(compras_mes10[[#This Row],[CUIT]],Lista_CUIT[#All],4,0)),"CUIT NO CARGADO")</f>
        <v>0</v>
      </c>
    </row>
    <row r="146" spans="2:18">
      <c r="B146" s="616" t="s">
        <v>2492</v>
      </c>
      <c r="C146" s="617">
        <v>1</v>
      </c>
      <c r="D146" s="618">
        <v>1</v>
      </c>
      <c r="E146" s="619">
        <v>23</v>
      </c>
      <c r="F146" s="620">
        <v>30718189388</v>
      </c>
      <c r="G146" s="621" t="str">
        <f>IFERROR(IF(compras_mes10[[#This Row],[CUIT]]="","-",VLOOKUP(compras_mes10[[#This Row],[CUIT]],Lista_CUIT[#All],2,0)),"CUIT NO CARGADO")</f>
        <v>PICALI Y ASOCIADOS S.R.L.</v>
      </c>
      <c r="H146" s="46">
        <v>650000</v>
      </c>
      <c r="I146" s="623">
        <f>IF(compras_mes10[[#This Row],[NETO GRAVADO]]="","",compras_mes10[[#This Row],[NETO GRAVADO]]*0.21)</f>
        <v>136500</v>
      </c>
      <c r="J146" s="691"/>
      <c r="K146" s="85"/>
      <c r="L146" s="85"/>
      <c r="M146" s="85"/>
      <c r="N146" s="85"/>
      <c r="O146" s="85"/>
      <c r="P146" s="624">
        <f>SUM(compras_mes10[[#This Row],[NETO GRAVADO]:[Otros / No Grav.]])</f>
        <v>786500</v>
      </c>
      <c r="Q146" s="621" t="str">
        <f>IFERROR(IF(compras_mes10[[#This Row],[CUIT]]="","-",VLOOKUP(compras_mes10[[#This Row],[CUIT]],Lista_CUIT[#All],3,0)),"CUIT NO CARGADO")</f>
        <v>Productos Venta</v>
      </c>
      <c r="R146" s="625">
        <f>IFERROR(IF(compras_mes10[[#This Row],[CUIT]]="","-",VLOOKUP(compras_mes10[[#This Row],[CUIT]],Lista_CUIT[#All],4,0)),"CUIT NO CARGADO")</f>
        <v>0</v>
      </c>
    </row>
    <row r="147" spans="2:18" s="128" customFormat="1">
      <c r="B147" s="616" t="s">
        <v>2492</v>
      </c>
      <c r="C147" s="617">
        <v>1</v>
      </c>
      <c r="D147" s="618">
        <v>2</v>
      </c>
      <c r="E147" s="619">
        <v>3842</v>
      </c>
      <c r="F147" s="620">
        <v>30629863571</v>
      </c>
      <c r="G147" s="621" t="str">
        <f>IFERROR(IF(compras_mes10[[#This Row],[CUIT]]="","-",VLOOKUP(compras_mes10[[#This Row],[CUIT]],Lista_CUIT[#All],2,0)),"CUIT NO CARGADO")</f>
        <v>TECNIMAR S R L</v>
      </c>
      <c r="H147" s="46">
        <v>852452.62</v>
      </c>
      <c r="I147" s="623">
        <f>IF(compras_mes10[[#This Row],[NETO GRAVADO]]="","",compras_mes10[[#This Row],[NETO GRAVADO]]*0.21)</f>
        <v>179015.0502</v>
      </c>
      <c r="J147" s="691"/>
      <c r="K147" s="85"/>
      <c r="L147" s="85"/>
      <c r="M147" s="85"/>
      <c r="N147" s="85"/>
      <c r="O147" s="85"/>
      <c r="P147" s="624">
        <f>SUM(compras_mes10[[#This Row],[NETO GRAVADO]:[Otros / No Grav.]])</f>
        <v>1031467.6702000001</v>
      </c>
      <c r="Q147" s="621" t="str">
        <f>IFERROR(IF(compras_mes10[[#This Row],[CUIT]]="","-",VLOOKUP(compras_mes10[[#This Row],[CUIT]],Lista_CUIT[#All],3,0)),"CUIT NO CARGADO")</f>
        <v>Productos Venta</v>
      </c>
      <c r="R147" s="625">
        <f>IFERROR(IF(compras_mes10[[#This Row],[CUIT]]="","-",VLOOKUP(compras_mes10[[#This Row],[CUIT]],Lista_CUIT[#All],4,0)),"CUIT NO CARGADO")</f>
        <v>0</v>
      </c>
    </row>
    <row r="148" spans="2:18">
      <c r="B148" s="616" t="s">
        <v>2479</v>
      </c>
      <c r="C148" s="617">
        <v>1</v>
      </c>
      <c r="D148" s="618">
        <v>6</v>
      </c>
      <c r="E148" s="619">
        <v>3333</v>
      </c>
      <c r="F148" s="620">
        <v>30574603788</v>
      </c>
      <c r="G148" s="621" t="str">
        <f>IFERROR(IF(compras_mes10[[#This Row],[CUIT]]="","-",VLOOKUP(compras_mes10[[#This Row],[CUIT]],Lista_CUIT[#All],2,0)),"CUIT NO CARGADO")</f>
        <v>CODAC SRL</v>
      </c>
      <c r="H148" s="46">
        <v>2695522</v>
      </c>
      <c r="I148" s="623">
        <f>IF(compras_mes10[[#This Row],[NETO GRAVADO]]="","",compras_mes10[[#This Row],[NETO GRAVADO]]*0.21)</f>
        <v>566059.62</v>
      </c>
      <c r="J148" s="691"/>
      <c r="K148" s="85"/>
      <c r="L148" s="85"/>
      <c r="M148" s="85"/>
      <c r="N148" s="85"/>
      <c r="O148" s="85"/>
      <c r="P148" s="624">
        <f>SUM(compras_mes10[[#This Row],[NETO GRAVADO]:[Otros / No Grav.]])</f>
        <v>3261581.62</v>
      </c>
      <c r="Q148" s="621" t="str">
        <f>IFERROR(IF(compras_mes10[[#This Row],[CUIT]]="","-",VLOOKUP(compras_mes10[[#This Row],[CUIT]],Lista_CUIT[#All],3,0)),"CUIT NO CARGADO")</f>
        <v>Productos Venta</v>
      </c>
      <c r="R148" s="625" t="str">
        <f>IFERROR(IF(compras_mes10[[#This Row],[CUIT]]="","-",VLOOKUP(compras_mes10[[#This Row],[CUIT]],Lista_CUIT[#All],4,0)),"CUIT NO CARGADO")</f>
        <v>BUENOS AIRES</v>
      </c>
    </row>
    <row r="149" spans="2:18">
      <c r="B149" s="616" t="s">
        <v>2479</v>
      </c>
      <c r="C149" s="617">
        <v>1</v>
      </c>
      <c r="D149" s="618">
        <v>2</v>
      </c>
      <c r="E149" s="619">
        <v>3843</v>
      </c>
      <c r="F149" s="620">
        <v>30629863571</v>
      </c>
      <c r="G149" s="94" t="str">
        <f>IFERROR(IF(compras_mes10[[#This Row],[CUIT]]="","-",VLOOKUP(compras_mes10[[#This Row],[CUIT]],Lista_CUIT[#All],2,0)),"CUIT NO CARGADO")</f>
        <v>TECNIMAR S R L</v>
      </c>
      <c r="H149" s="95">
        <v>2153125.67</v>
      </c>
      <c r="I149" s="623">
        <f>IF(compras_mes10[[#This Row],[NETO GRAVADO]]="","",compras_mes10[[#This Row],[NETO GRAVADO]]*0.21)</f>
        <v>452156.39069999999</v>
      </c>
      <c r="J149" s="691"/>
      <c r="K149" s="85"/>
      <c r="L149" s="85"/>
      <c r="M149" s="85"/>
      <c r="N149" s="85"/>
      <c r="O149" s="85"/>
      <c r="P149" s="87">
        <f>SUM(compras_mes10[[#This Row],[NETO GRAVADO]:[Otros / No Grav.]])</f>
        <v>2605282.0606999998</v>
      </c>
      <c r="Q149" s="94" t="str">
        <f>IFERROR(IF(compras_mes10[[#This Row],[CUIT]]="","-",VLOOKUP(compras_mes10[[#This Row],[CUIT]],Lista_CUIT[#All],3,0)),"CUIT NO CARGADO")</f>
        <v>Productos Venta</v>
      </c>
      <c r="R149" s="88">
        <f>IFERROR(IF(compras_mes10[[#This Row],[CUIT]]="","-",VLOOKUP(compras_mes10[[#This Row],[CUIT]],Lista_CUIT[#All],4,0)),"CUIT NO CARGADO")</f>
        <v>0</v>
      </c>
    </row>
    <row r="150" spans="2:18" s="128" customFormat="1">
      <c r="B150" s="616" t="s">
        <v>2480</v>
      </c>
      <c r="C150" s="617">
        <v>1</v>
      </c>
      <c r="D150" s="618">
        <v>1</v>
      </c>
      <c r="E150" s="619">
        <v>115</v>
      </c>
      <c r="F150" s="620">
        <v>30718148207</v>
      </c>
      <c r="G150" s="621" t="str">
        <f>IFERROR(IF(compras_mes10[[#This Row],[CUIT]]="","-",VLOOKUP(compras_mes10[[#This Row],[CUIT]],Lista_CUIT[#All],2,0)),"CUIT NO CARGADO")</f>
        <v>VIPA INTERNATIONAL S.R.L.</v>
      </c>
      <c r="H150" s="46">
        <v>1305800</v>
      </c>
      <c r="I150" s="623">
        <f>IF(compras_mes10[[#This Row],[NETO GRAVADO]]="","",compras_mes10[[#This Row],[NETO GRAVADO]]*0.21)</f>
        <v>274218</v>
      </c>
      <c r="J150" s="690"/>
      <c r="K150" s="623"/>
      <c r="L150" s="623"/>
      <c r="M150" s="623"/>
      <c r="N150" s="623"/>
      <c r="O150" s="623"/>
      <c r="P150" s="624">
        <f>SUM(compras_mes10[[#This Row],[NETO GRAVADO]:[Otros / No Grav.]])</f>
        <v>1580018</v>
      </c>
      <c r="Q150" s="621" t="str">
        <f>IFERROR(IF(compras_mes10[[#This Row],[CUIT]]="","-",VLOOKUP(compras_mes10[[#This Row],[CUIT]],Lista_CUIT[#All],3,0)),"CUIT NO CARGADO")</f>
        <v>Productos Venta</v>
      </c>
      <c r="R150" s="625">
        <f>IFERROR(IF(compras_mes10[[#This Row],[CUIT]]="","-",VLOOKUP(compras_mes10[[#This Row],[CUIT]],Lista_CUIT[#All],4,0)),"CUIT NO CARGADO")</f>
        <v>0</v>
      </c>
    </row>
    <row r="151" spans="2:18">
      <c r="B151" s="616" t="s">
        <v>2480</v>
      </c>
      <c r="C151" s="617">
        <v>1</v>
      </c>
      <c r="D151" s="618">
        <v>3</v>
      </c>
      <c r="E151" s="619">
        <v>6957</v>
      </c>
      <c r="F151" s="620">
        <v>30708006420</v>
      </c>
      <c r="G151" s="621" t="str">
        <f>IFERROR(IF(compras_mes10[[#This Row],[CUIT]]="","-",VLOOKUP(compras_mes10[[#This Row],[CUIT]],Lista_CUIT[#All],2,0)),"CUIT NO CARGADO")</f>
        <v>MEDILEA S.A.</v>
      </c>
      <c r="H151" s="46">
        <v>2000000</v>
      </c>
      <c r="I151" s="623">
        <f>IF(compras_mes10[[#This Row],[NETO GRAVADO]]="","",compras_mes10[[#This Row],[NETO GRAVADO]]*0.21)</f>
        <v>420000</v>
      </c>
      <c r="J151" s="691"/>
      <c r="K151" s="85"/>
      <c r="L151" s="85"/>
      <c r="M151" s="85"/>
      <c r="N151" s="85"/>
      <c r="O151" s="85"/>
      <c r="P151" s="624">
        <f>SUM(compras_mes10[[#This Row],[NETO GRAVADO]:[Otros / No Grav.]])</f>
        <v>2420000</v>
      </c>
      <c r="Q151" s="621" t="str">
        <f>IFERROR(IF(compras_mes10[[#This Row],[CUIT]]="","-",VLOOKUP(compras_mes10[[#This Row],[CUIT]],Lista_CUIT[#All],3,0)),"CUIT NO CARGADO")</f>
        <v>Productos Venta</v>
      </c>
      <c r="R151" s="625">
        <f>IFERROR(IF(compras_mes10[[#This Row],[CUIT]]="","-",VLOOKUP(compras_mes10[[#This Row],[CUIT]],Lista_CUIT[#All],4,0)),"CUIT NO CARGADO")</f>
        <v>0</v>
      </c>
    </row>
    <row r="152" spans="2:18">
      <c r="B152" s="616" t="s">
        <v>2481</v>
      </c>
      <c r="C152" s="617">
        <v>1</v>
      </c>
      <c r="D152" s="618">
        <v>2</v>
      </c>
      <c r="E152" s="619">
        <v>3844</v>
      </c>
      <c r="F152" s="620">
        <v>30629863571</v>
      </c>
      <c r="G152" s="621" t="str">
        <f>IFERROR(IF(compras_mes10[[#This Row],[CUIT]]="","-",VLOOKUP(compras_mes10[[#This Row],[CUIT]],Lista_CUIT[#All],2,0)),"CUIT NO CARGADO")</f>
        <v>TECNIMAR S R L</v>
      </c>
      <c r="H152" s="46">
        <v>2237159.14</v>
      </c>
      <c r="I152" s="623">
        <f>IF(compras_mes10[[#This Row],[NETO GRAVADO]]="","",compras_mes10[[#This Row],[NETO GRAVADO]]*0.21)</f>
        <v>469803.41940000001</v>
      </c>
      <c r="J152" s="691"/>
      <c r="K152" s="85"/>
      <c r="L152" s="85"/>
      <c r="M152" s="85"/>
      <c r="N152" s="85"/>
      <c r="O152" s="85"/>
      <c r="P152" s="624">
        <f>SUM(compras_mes10[[#This Row],[NETO GRAVADO]:[Otros / No Grav.]])</f>
        <v>2706962.5594000001</v>
      </c>
      <c r="Q152" s="621" t="str">
        <f>IFERROR(IF(compras_mes10[[#This Row],[CUIT]]="","-",VLOOKUP(compras_mes10[[#This Row],[CUIT]],Lista_CUIT[#All],3,0)),"CUIT NO CARGADO")</f>
        <v>Productos Venta</v>
      </c>
      <c r="R152" s="625">
        <f>IFERROR(IF(compras_mes10[[#This Row],[CUIT]]="","-",VLOOKUP(compras_mes10[[#This Row],[CUIT]],Lista_CUIT[#All],4,0)),"CUIT NO CARGADO")</f>
        <v>0</v>
      </c>
    </row>
    <row r="153" spans="2:18">
      <c r="B153" s="616" t="s">
        <v>2482</v>
      </c>
      <c r="C153" s="617">
        <v>1</v>
      </c>
      <c r="D153" s="618">
        <v>2</v>
      </c>
      <c r="E153" s="619">
        <v>3845</v>
      </c>
      <c r="F153" s="620">
        <v>30629863571</v>
      </c>
      <c r="G153" s="621" t="str">
        <f>IFERROR(IF(compras_mes10[[#This Row],[CUIT]]="","-",VLOOKUP(compras_mes10[[#This Row],[CUIT]],Lista_CUIT[#All],2,0)),"CUIT NO CARGADO")</f>
        <v>TECNIMAR S R L</v>
      </c>
      <c r="H153" s="46">
        <v>3979047.71</v>
      </c>
      <c r="I153" s="623">
        <f>IF(compras_mes10[[#This Row],[NETO GRAVADO]]="","",compras_mes10[[#This Row],[NETO GRAVADO]]*0.21)</f>
        <v>835600.01909999992</v>
      </c>
      <c r="J153" s="691"/>
      <c r="K153" s="85"/>
      <c r="L153" s="85"/>
      <c r="M153" s="85"/>
      <c r="N153" s="85"/>
      <c r="O153" s="85"/>
      <c r="P153" s="624">
        <f>SUM(compras_mes10[[#This Row],[NETO GRAVADO]:[Otros / No Grav.]])</f>
        <v>4814647.7291000001</v>
      </c>
      <c r="Q153" s="621" t="str">
        <f>IFERROR(IF(compras_mes10[[#This Row],[CUIT]]="","-",VLOOKUP(compras_mes10[[#This Row],[CUIT]],Lista_CUIT[#All],3,0)),"CUIT NO CARGADO")</f>
        <v>Productos Venta</v>
      </c>
      <c r="R153" s="625">
        <f>IFERROR(IF(compras_mes10[[#This Row],[CUIT]]="","-",VLOOKUP(compras_mes10[[#This Row],[CUIT]],Lista_CUIT[#All],4,0)),"CUIT NO CARGADO")</f>
        <v>0</v>
      </c>
    </row>
    <row r="154" spans="2:18">
      <c r="B154" s="616" t="s">
        <v>2482</v>
      </c>
      <c r="C154" s="617">
        <v>1</v>
      </c>
      <c r="D154" s="618">
        <v>1</v>
      </c>
      <c r="E154" s="619">
        <v>116</v>
      </c>
      <c r="F154" s="620">
        <v>30718148207</v>
      </c>
      <c r="G154" s="621" t="str">
        <f>IFERROR(IF(compras_mes10[[#This Row],[CUIT]]="","-",VLOOKUP(compras_mes10[[#This Row],[CUIT]],Lista_CUIT[#All],2,0)),"CUIT NO CARGADO")</f>
        <v>VIPA INTERNATIONAL S.R.L.</v>
      </c>
      <c r="H154" s="46">
        <v>960000</v>
      </c>
      <c r="I154" s="623">
        <f>IF(compras_mes10[[#This Row],[NETO GRAVADO]]="","",compras_mes10[[#This Row],[NETO GRAVADO]]*0.21)</f>
        <v>201600</v>
      </c>
      <c r="J154" s="691"/>
      <c r="K154" s="85"/>
      <c r="L154" s="85"/>
      <c r="M154" s="85"/>
      <c r="N154" s="85"/>
      <c r="O154" s="85"/>
      <c r="P154" s="624">
        <f>SUM(compras_mes10[[#This Row],[NETO GRAVADO]:[Otros / No Grav.]])</f>
        <v>1161600</v>
      </c>
      <c r="Q154" s="621" t="str">
        <f>IFERROR(IF(compras_mes10[[#This Row],[CUIT]]="","-",VLOOKUP(compras_mes10[[#This Row],[CUIT]],Lista_CUIT[#All],3,0)),"CUIT NO CARGADO")</f>
        <v>Productos Venta</v>
      </c>
      <c r="R154" s="625">
        <f>IFERROR(IF(compras_mes10[[#This Row],[CUIT]]="","-",VLOOKUP(compras_mes10[[#This Row],[CUIT]],Lista_CUIT[#All],4,0)),"CUIT NO CARGADO")</f>
        <v>0</v>
      </c>
    </row>
    <row r="155" spans="2:18">
      <c r="B155" s="631" t="s">
        <v>2494</v>
      </c>
      <c r="C155" s="632">
        <v>1</v>
      </c>
      <c r="D155" s="633">
        <v>2</v>
      </c>
      <c r="E155" s="634">
        <v>3849</v>
      </c>
      <c r="F155" s="635">
        <v>30629863571</v>
      </c>
      <c r="G155" s="636" t="str">
        <f>IFERROR(IF(compras_mes10[[#This Row],[CUIT]]="","-",VLOOKUP(compras_mes10[[#This Row],[CUIT]],Lista_CUIT[#All],2,0)),"CUIT NO CARGADO")</f>
        <v>TECNIMAR S R L</v>
      </c>
      <c r="H155" s="173">
        <v>2513492.48</v>
      </c>
      <c r="I155" s="637">
        <f>IF(compras_mes10[[#This Row],[NETO GRAVADO]]="","",compras_mes10[[#This Row],[NETO GRAVADO]]*0.21)</f>
        <v>527833.42079999996</v>
      </c>
      <c r="J155" s="689"/>
      <c r="K155" s="174"/>
      <c r="L155" s="174"/>
      <c r="M155" s="174"/>
      <c r="N155" s="174"/>
      <c r="O155" s="174"/>
      <c r="P155" s="638">
        <f>SUM(compras_mes10[[#This Row],[NETO GRAVADO]:[Otros / No Grav.]])</f>
        <v>3041325.9007999999</v>
      </c>
      <c r="Q155" s="636" t="str">
        <f>IFERROR(IF(compras_mes10[[#This Row],[CUIT]]="","-",VLOOKUP(compras_mes10[[#This Row],[CUIT]],Lista_CUIT[#All],3,0)),"CUIT NO CARGADO")</f>
        <v>Productos Venta</v>
      </c>
      <c r="R155" s="639">
        <f>IFERROR(IF(compras_mes10[[#This Row],[CUIT]]="","-",VLOOKUP(compras_mes10[[#This Row],[CUIT]],Lista_CUIT[#All],4,0)),"CUIT NO CARGADO")</f>
        <v>0</v>
      </c>
    </row>
    <row r="156" spans="2:18">
      <c r="B156" s="616" t="s">
        <v>2494</v>
      </c>
      <c r="C156" s="617">
        <v>1</v>
      </c>
      <c r="D156" s="618">
        <v>2</v>
      </c>
      <c r="E156" s="619">
        <v>45832</v>
      </c>
      <c r="F156" s="620">
        <v>30711234191</v>
      </c>
      <c r="G156" s="621" t="str">
        <f>IFERROR(IF(compras_mes10[[#This Row],[CUIT]]="","-",VLOOKUP(compras_mes10[[#This Row],[CUIT]],Lista_CUIT[#All],2,0)),"CUIT NO CARGADO")</f>
        <v>NORSUPPLY SRL</v>
      </c>
      <c r="H156" s="46">
        <v>180991.7</v>
      </c>
      <c r="I156" s="623">
        <f>IF(compras_mes10[[#This Row],[NETO GRAVADO]]="","",compras_mes10[[#This Row],[NETO GRAVADO]]*0.21)</f>
        <v>38008.256999999998</v>
      </c>
      <c r="J156" s="691"/>
      <c r="K156" s="85"/>
      <c r="L156" s="85"/>
      <c r="M156" s="85"/>
      <c r="N156" s="85"/>
      <c r="O156" s="85">
        <v>5429.75</v>
      </c>
      <c r="P156" s="624">
        <f>SUM(compras_mes10[[#This Row],[NETO GRAVADO]:[Otros / No Grav.]])</f>
        <v>224429.70699999999</v>
      </c>
      <c r="Q156" s="621" t="str">
        <f>IFERROR(IF(compras_mes10[[#This Row],[CUIT]]="","-",VLOOKUP(compras_mes10[[#This Row],[CUIT]],Lista_CUIT[#All],3,0)),"CUIT NO CARGADO")</f>
        <v>Productos Venta</v>
      </c>
      <c r="R156" s="625">
        <f>IFERROR(IF(compras_mes10[[#This Row],[CUIT]]="","-",VLOOKUP(compras_mes10[[#This Row],[CUIT]],Lista_CUIT[#All],4,0)),"CUIT NO CARGADO")</f>
        <v>0</v>
      </c>
    </row>
    <row r="157" spans="2:18">
      <c r="B157" s="616" t="s">
        <v>2494</v>
      </c>
      <c r="C157" s="617">
        <v>1</v>
      </c>
      <c r="D157" s="618">
        <v>2</v>
      </c>
      <c r="E157" s="619">
        <v>3846</v>
      </c>
      <c r="F157" s="620">
        <v>30629863571</v>
      </c>
      <c r="G157" s="621" t="str">
        <f>IFERROR(IF(compras_mes10[[#This Row],[CUIT]]="","-",VLOOKUP(compras_mes10[[#This Row],[CUIT]],Lista_CUIT[#All],2,0)),"CUIT NO CARGADO")</f>
        <v>TECNIMAR S R L</v>
      </c>
      <c r="H157" s="46">
        <v>2931315.52</v>
      </c>
      <c r="I157" s="623">
        <f>IF(compras_mes10[[#This Row],[NETO GRAVADO]]="","",compras_mes10[[#This Row],[NETO GRAVADO]]*0.21)</f>
        <v>615576.25919999997</v>
      </c>
      <c r="J157" s="691"/>
      <c r="K157" s="85"/>
      <c r="L157" s="85"/>
      <c r="M157" s="85"/>
      <c r="N157" s="85"/>
      <c r="O157" s="85"/>
      <c r="P157" s="624">
        <f>SUM(compras_mes10[[#This Row],[NETO GRAVADO]:[Otros / No Grav.]])</f>
        <v>3546891.7791999998</v>
      </c>
      <c r="Q157" s="621" t="str">
        <f>IFERROR(IF(compras_mes10[[#This Row],[CUIT]]="","-",VLOOKUP(compras_mes10[[#This Row],[CUIT]],Lista_CUIT[#All],3,0)),"CUIT NO CARGADO")</f>
        <v>Productos Venta</v>
      </c>
      <c r="R157" s="625">
        <f>IFERROR(IF(compras_mes10[[#This Row],[CUIT]]="","-",VLOOKUP(compras_mes10[[#This Row],[CUIT]],Lista_CUIT[#All],4,0)),"CUIT NO CARGADO")</f>
        <v>0</v>
      </c>
    </row>
    <row r="158" spans="2:18">
      <c r="B158" s="616" t="s">
        <v>2483</v>
      </c>
      <c r="C158" s="617">
        <v>1</v>
      </c>
      <c r="D158" s="618">
        <v>5</v>
      </c>
      <c r="E158" s="619">
        <v>108</v>
      </c>
      <c r="F158" s="620">
        <v>20946785300</v>
      </c>
      <c r="G158" s="621" t="str">
        <f>IFERROR(IF(compras_mes10[[#This Row],[CUIT]]="","-",VLOOKUP(compras_mes10[[#This Row],[CUIT]],Lista_CUIT[#All],2,0)),"CUIT NO CARGADO")</f>
        <v>FLORES HUAYRA MICHAEL MARTIN</v>
      </c>
      <c r="H158" s="46">
        <v>300000</v>
      </c>
      <c r="I158" s="623">
        <f>IF(compras_mes10[[#This Row],[NETO GRAVADO]]="","",compras_mes10[[#This Row],[NETO GRAVADO]]*0.21)</f>
        <v>63000</v>
      </c>
      <c r="J158" s="691"/>
      <c r="K158" s="85"/>
      <c r="L158" s="85"/>
      <c r="M158" s="85"/>
      <c r="N158" s="85"/>
      <c r="O158" s="85"/>
      <c r="P158" s="624">
        <f>SUM(compras_mes10[[#This Row],[NETO GRAVADO]:[Otros / No Grav.]])</f>
        <v>363000</v>
      </c>
      <c r="Q158" s="621" t="str">
        <f>IFERROR(IF(compras_mes10[[#This Row],[CUIT]]="","-",VLOOKUP(compras_mes10[[#This Row],[CUIT]],Lista_CUIT[#All],3,0)),"CUIT NO CARGADO")</f>
        <v>Productos Venta</v>
      </c>
      <c r="R158" s="625">
        <f>IFERROR(IF(compras_mes10[[#This Row],[CUIT]]="","-",VLOOKUP(compras_mes10[[#This Row],[CUIT]],Lista_CUIT[#All],4,0)),"CUIT NO CARGADO")</f>
        <v>0</v>
      </c>
    </row>
    <row r="159" spans="2:18">
      <c r="B159" s="616" t="s">
        <v>2483</v>
      </c>
      <c r="C159" s="617">
        <v>1</v>
      </c>
      <c r="D159" s="618">
        <v>1</v>
      </c>
      <c r="E159" s="619">
        <v>117</v>
      </c>
      <c r="F159" s="620">
        <v>30718148207</v>
      </c>
      <c r="G159" s="621" t="str">
        <f>IFERROR(IF(compras_mes10[[#This Row],[CUIT]]="","-",VLOOKUP(compras_mes10[[#This Row],[CUIT]],Lista_CUIT[#All],2,0)),"CUIT NO CARGADO")</f>
        <v>VIPA INTERNATIONAL S.R.L.</v>
      </c>
      <c r="H159" s="46">
        <v>629500</v>
      </c>
      <c r="I159" s="623">
        <f>IF(compras_mes10[[#This Row],[NETO GRAVADO]]="","",compras_mes10[[#This Row],[NETO GRAVADO]]*0.21)</f>
        <v>132195</v>
      </c>
      <c r="J159" s="691"/>
      <c r="K159" s="85"/>
      <c r="L159" s="85"/>
      <c r="M159" s="85"/>
      <c r="N159" s="85"/>
      <c r="O159" s="85"/>
      <c r="P159" s="624">
        <f>SUM(compras_mes10[[#This Row],[NETO GRAVADO]:[Otros / No Grav.]])</f>
        <v>761695</v>
      </c>
      <c r="Q159" s="621" t="str">
        <f>IFERROR(IF(compras_mes10[[#This Row],[CUIT]]="","-",VLOOKUP(compras_mes10[[#This Row],[CUIT]],Lista_CUIT[#All],3,0)),"CUIT NO CARGADO")</f>
        <v>Productos Venta</v>
      </c>
      <c r="R159" s="625">
        <f>IFERROR(IF(compras_mes10[[#This Row],[CUIT]]="","-",VLOOKUP(compras_mes10[[#This Row],[CUIT]],Lista_CUIT[#All],4,0)),"CUIT NO CARGADO")</f>
        <v>0</v>
      </c>
    </row>
    <row r="160" spans="2:18">
      <c r="B160" s="616" t="s">
        <v>2483</v>
      </c>
      <c r="C160" s="617">
        <v>1</v>
      </c>
      <c r="D160" s="618">
        <v>2</v>
      </c>
      <c r="E160" s="619">
        <v>3851</v>
      </c>
      <c r="F160" s="620">
        <v>30629863571</v>
      </c>
      <c r="G160" s="621" t="str">
        <f>IFERROR(IF(compras_mes10[[#This Row],[CUIT]]="","-",VLOOKUP(compras_mes10[[#This Row],[CUIT]],Lista_CUIT[#All],2,0)),"CUIT NO CARGADO")</f>
        <v>TECNIMAR S R L</v>
      </c>
      <c r="H160" s="46">
        <v>1952802</v>
      </c>
      <c r="I160" s="623">
        <f>IF(compras_mes10[[#This Row],[NETO GRAVADO]]="","",compras_mes10[[#This Row],[NETO GRAVADO]]*0.21)</f>
        <v>410088.42</v>
      </c>
      <c r="J160" s="691"/>
      <c r="K160" s="85"/>
      <c r="L160" s="85"/>
      <c r="M160" s="85"/>
      <c r="N160" s="85"/>
      <c r="O160" s="85"/>
      <c r="P160" s="624">
        <f>SUM(compras_mes10[[#This Row],[NETO GRAVADO]:[Otros / No Grav.]])</f>
        <v>2362890.42</v>
      </c>
      <c r="Q160" s="621" t="str">
        <f>IFERROR(IF(compras_mes10[[#This Row],[CUIT]]="","-",VLOOKUP(compras_mes10[[#This Row],[CUIT]],Lista_CUIT[#All],3,0)),"CUIT NO CARGADO")</f>
        <v>Productos Venta</v>
      </c>
      <c r="R160" s="625">
        <f>IFERROR(IF(compras_mes10[[#This Row],[CUIT]]="","-",VLOOKUP(compras_mes10[[#This Row],[CUIT]],Lista_CUIT[#All],4,0)),"CUIT NO CARGADO")</f>
        <v>0</v>
      </c>
    </row>
    <row r="161" spans="1:18">
      <c r="B161" s="616" t="s">
        <v>2484</v>
      </c>
      <c r="C161" s="617">
        <v>1</v>
      </c>
      <c r="D161" s="618">
        <v>2</v>
      </c>
      <c r="E161" s="619">
        <v>3852</v>
      </c>
      <c r="F161" s="620">
        <v>30629863571</v>
      </c>
      <c r="G161" s="621" t="str">
        <f>IFERROR(IF(compras_mes10[[#This Row],[CUIT]]="","-",VLOOKUP(compras_mes10[[#This Row],[CUIT]],Lista_CUIT[#All],2,0)),"CUIT NO CARGADO")</f>
        <v>TECNIMAR S R L</v>
      </c>
      <c r="H161" s="46">
        <v>2035303.19</v>
      </c>
      <c r="I161" s="623">
        <f>IF(compras_mes10[[#This Row],[NETO GRAVADO]]="","",compras_mes10[[#This Row],[NETO GRAVADO]]*0.21)</f>
        <v>427413.66989999998</v>
      </c>
      <c r="J161" s="691"/>
      <c r="K161" s="85"/>
      <c r="L161" s="85"/>
      <c r="M161" s="85"/>
      <c r="N161" s="85"/>
      <c r="O161" s="85"/>
      <c r="P161" s="624">
        <f>SUM(compras_mes10[[#This Row],[NETO GRAVADO]:[Otros / No Grav.]])</f>
        <v>2462716.8599</v>
      </c>
      <c r="Q161" s="621" t="str">
        <f>IFERROR(IF(compras_mes10[[#This Row],[CUIT]]="","-",VLOOKUP(compras_mes10[[#This Row],[CUIT]],Lista_CUIT[#All],3,0)),"CUIT NO CARGADO")</f>
        <v>Productos Venta</v>
      </c>
      <c r="R161" s="625">
        <f>IFERROR(IF(compras_mes10[[#This Row],[CUIT]]="","-",VLOOKUP(compras_mes10[[#This Row],[CUIT]],Lista_CUIT[#All],4,0)),"CUIT NO CARGADO")</f>
        <v>0</v>
      </c>
    </row>
    <row r="162" spans="1:18">
      <c r="B162" s="631" t="s">
        <v>2497</v>
      </c>
      <c r="C162" s="632">
        <v>1</v>
      </c>
      <c r="D162" s="633">
        <v>2</v>
      </c>
      <c r="E162" s="634">
        <v>2775</v>
      </c>
      <c r="F162" s="635">
        <v>30715811622</v>
      </c>
      <c r="G162" s="636" t="str">
        <f>IFERROR(IF(compras_mes10[[#This Row],[CUIT]]="","-",VLOOKUP(compras_mes10[[#This Row],[CUIT]],Lista_CUIT[#All],2,0)),"CUIT NO CARGADO")</f>
        <v>VTEC SRL</v>
      </c>
      <c r="H162" s="173">
        <v>1146531.82</v>
      </c>
      <c r="I162" s="637">
        <f>IF(compras_mes10[[#This Row],[NETO GRAVADO]]="","",compras_mes10[[#This Row],[NETO GRAVADO]]*0.21)</f>
        <v>240771.68220000001</v>
      </c>
      <c r="J162" s="692"/>
      <c r="K162" s="637"/>
      <c r="L162" s="637"/>
      <c r="M162" s="637"/>
      <c r="N162" s="637"/>
      <c r="O162" s="637"/>
      <c r="P162" s="638">
        <f>SUM(compras_mes10[[#This Row],[NETO GRAVADO]:[Otros / No Grav.]])</f>
        <v>1387303.5022</v>
      </c>
      <c r="Q162" s="636" t="str">
        <f>IFERROR(IF(compras_mes10[[#This Row],[CUIT]]="","-",VLOOKUP(compras_mes10[[#This Row],[CUIT]],Lista_CUIT[#All],3,0)),"CUIT NO CARGADO")</f>
        <v>Productos Venta</v>
      </c>
      <c r="R162" s="639">
        <f>IFERROR(IF(compras_mes10[[#This Row],[CUIT]]="","-",VLOOKUP(compras_mes10[[#This Row],[CUIT]],Lista_CUIT[#All],4,0)),"CUIT NO CARGADO")</f>
        <v>0</v>
      </c>
    </row>
    <row r="163" spans="1:18">
      <c r="A163" s="128"/>
      <c r="B163" s="631" t="s">
        <v>2497</v>
      </c>
      <c r="C163" s="632">
        <v>1</v>
      </c>
      <c r="D163" s="633">
        <v>5</v>
      </c>
      <c r="E163" s="634">
        <v>109</v>
      </c>
      <c r="F163" s="635">
        <v>20946785300</v>
      </c>
      <c r="G163" s="636" t="str">
        <f>IFERROR(IF(compras_mes10[[#This Row],[CUIT]]="","-",VLOOKUP(compras_mes10[[#This Row],[CUIT]],Lista_CUIT[#All],2,0)),"CUIT NO CARGADO")</f>
        <v>FLORES HUAYRA MICHAEL MARTIN</v>
      </c>
      <c r="H163" s="173">
        <v>246522</v>
      </c>
      <c r="I163" s="637">
        <f>IF(compras_mes10[[#This Row],[NETO GRAVADO]]="","",compras_mes10[[#This Row],[NETO GRAVADO]]*0.21)</f>
        <v>51769.619999999995</v>
      </c>
      <c r="J163" s="689"/>
      <c r="K163" s="174"/>
      <c r="L163" s="174"/>
      <c r="M163" s="174"/>
      <c r="N163" s="174"/>
      <c r="O163" s="174"/>
      <c r="P163" s="638">
        <f>SUM(compras_mes10[[#This Row],[NETO GRAVADO]:[Otros / No Grav.]])</f>
        <v>298291.62</v>
      </c>
      <c r="Q163" s="636" t="str">
        <f>IFERROR(IF(compras_mes10[[#This Row],[CUIT]]="","-",VLOOKUP(compras_mes10[[#This Row],[CUIT]],Lista_CUIT[#All],3,0)),"CUIT NO CARGADO")</f>
        <v>Productos Venta</v>
      </c>
      <c r="R163" s="639">
        <f>IFERROR(IF(compras_mes10[[#This Row],[CUIT]]="","-",VLOOKUP(compras_mes10[[#This Row],[CUIT]],Lista_CUIT[#All],4,0)),"CUIT NO CARGADO")</f>
        <v>0</v>
      </c>
    </row>
    <row r="164" spans="1:18">
      <c r="A164" s="128"/>
      <c r="B164" s="616" t="s">
        <v>2497</v>
      </c>
      <c r="C164" s="617">
        <v>1</v>
      </c>
      <c r="D164" s="618">
        <v>1</v>
      </c>
      <c r="E164" s="619">
        <v>118</v>
      </c>
      <c r="F164" s="620">
        <v>30718148207</v>
      </c>
      <c r="G164" s="621" t="str">
        <f>IFERROR(IF(compras_mes10[[#This Row],[CUIT]]="","-",VLOOKUP(compras_mes10[[#This Row],[CUIT]],Lista_CUIT[#All],2,0)),"CUIT NO CARGADO")</f>
        <v>VIPA INTERNATIONAL S.R.L.</v>
      </c>
      <c r="H164" s="46">
        <v>620400</v>
      </c>
      <c r="I164" s="623">
        <f>IF(compras_mes10[[#This Row],[NETO GRAVADO]]="","",compras_mes10[[#This Row],[NETO GRAVADO]]*0.21)</f>
        <v>130284</v>
      </c>
      <c r="J164" s="691"/>
      <c r="K164" s="85"/>
      <c r="L164" s="85"/>
      <c r="M164" s="85"/>
      <c r="N164" s="85"/>
      <c r="O164" s="85"/>
      <c r="P164" s="624">
        <f>SUM(compras_mes10[[#This Row],[NETO GRAVADO]:[Otros / No Grav.]])</f>
        <v>750684</v>
      </c>
      <c r="Q164" s="621" t="str">
        <f>IFERROR(IF(compras_mes10[[#This Row],[CUIT]]="","-",VLOOKUP(compras_mes10[[#This Row],[CUIT]],Lista_CUIT[#All],3,0)),"CUIT NO CARGADO")</f>
        <v>Productos Venta</v>
      </c>
      <c r="R164" s="625">
        <f>IFERROR(IF(compras_mes10[[#This Row],[CUIT]]="","-",VLOOKUP(compras_mes10[[#This Row],[CUIT]],Lista_CUIT[#All],4,0)),"CUIT NO CARGADO")</f>
        <v>0</v>
      </c>
    </row>
    <row r="165" spans="1:18" s="127" customFormat="1">
      <c r="A165" s="128"/>
      <c r="B165" s="616" t="s">
        <v>2497</v>
      </c>
      <c r="C165" s="617">
        <v>1</v>
      </c>
      <c r="D165" s="618">
        <v>2</v>
      </c>
      <c r="E165" s="619">
        <v>3855</v>
      </c>
      <c r="F165" s="620">
        <v>30629863571</v>
      </c>
      <c r="G165" s="621" t="str">
        <f>IFERROR(IF(compras_mes10[[#This Row],[CUIT]]="","-",VLOOKUP(compras_mes10[[#This Row],[CUIT]],Lista_CUIT[#All],2,0)),"CUIT NO CARGADO")</f>
        <v>TECNIMAR S R L</v>
      </c>
      <c r="H165" s="46">
        <v>2289604.7599999998</v>
      </c>
      <c r="I165" s="623">
        <f>IF(compras_mes10[[#This Row],[NETO GRAVADO]]="","",compras_mes10[[#This Row],[NETO GRAVADO]]*0.21)</f>
        <v>480816.99959999992</v>
      </c>
      <c r="J165" s="691"/>
      <c r="K165" s="85"/>
      <c r="L165" s="85"/>
      <c r="M165" s="85"/>
      <c r="N165" s="85"/>
      <c r="O165" s="85"/>
      <c r="P165" s="624">
        <f>SUM(compras_mes10[[#This Row],[NETO GRAVADO]:[Otros / No Grav.]])</f>
        <v>2770421.7595999995</v>
      </c>
      <c r="Q165" s="621" t="str">
        <f>IFERROR(IF(compras_mes10[[#This Row],[CUIT]]="","-",VLOOKUP(compras_mes10[[#This Row],[CUIT]],Lista_CUIT[#All],3,0)),"CUIT NO CARGADO")</f>
        <v>Productos Venta</v>
      </c>
      <c r="R165" s="625">
        <f>IFERROR(IF(compras_mes10[[#This Row],[CUIT]]="","-",VLOOKUP(compras_mes10[[#This Row],[CUIT]],Lista_CUIT[#All],4,0)),"CUIT NO CARGADO")</f>
        <v>0</v>
      </c>
    </row>
    <row r="166" spans="1:18">
      <c r="A166" s="128"/>
      <c r="B166" s="631" t="s">
        <v>2471</v>
      </c>
      <c r="C166" s="632">
        <v>1</v>
      </c>
      <c r="D166" s="633">
        <v>3</v>
      </c>
      <c r="E166" s="634">
        <v>26196</v>
      </c>
      <c r="F166" s="635">
        <v>33707953549</v>
      </c>
      <c r="G166" s="172" t="str">
        <f>IFERROR(IF(compras_mes10[[#This Row],[CUIT]]="","-",VLOOKUP(compras_mes10[[#This Row],[CUIT]],Lista_CUIT[#All],2,0)),"CUIT NO CARGADO")</f>
        <v>TELESMART</v>
      </c>
      <c r="H166" s="173">
        <v>19500</v>
      </c>
      <c r="I166" s="637">
        <f>IF(compras_mes10[[#This Row],[NETO GRAVADO]]="","",compras_mes10[[#This Row],[NETO GRAVADO]]*0.21)</f>
        <v>4095</v>
      </c>
      <c r="J166" s="689"/>
      <c r="K166" s="174"/>
      <c r="L166" s="174"/>
      <c r="M166" s="174"/>
      <c r="N166" s="174"/>
      <c r="O166" s="174"/>
      <c r="P166" s="175">
        <f>SUM(compras_mes10[[#This Row],[NETO GRAVADO]:[Otros / No Grav.]])</f>
        <v>23595</v>
      </c>
      <c r="Q166" s="172" t="str">
        <f>IFERROR(IF(compras_mes10[[#This Row],[CUIT]]="","-",VLOOKUP(compras_mes10[[#This Row],[CUIT]],Lista_CUIT[#All],3,0)),"CUIT NO CARGADO")</f>
        <v>Servicios Gas, Luz, etc.</v>
      </c>
      <c r="R166" s="176">
        <f>IFERROR(IF(compras_mes10[[#This Row],[CUIT]]="","-",VLOOKUP(compras_mes10[[#This Row],[CUIT]],Lista_CUIT[#All],4,0)),"CUIT NO CARGADO")</f>
        <v>0</v>
      </c>
    </row>
    <row r="167" spans="1:18">
      <c r="A167" s="128"/>
      <c r="B167" s="616" t="s">
        <v>2471</v>
      </c>
      <c r="C167" s="617">
        <v>1</v>
      </c>
      <c r="D167" s="618">
        <v>3099</v>
      </c>
      <c r="E167" s="619">
        <v>262961</v>
      </c>
      <c r="F167" s="620">
        <v>30678814357</v>
      </c>
      <c r="G167" s="621" t="str">
        <f>IFERROR(IF(compras_mes10[[#This Row],[CUIT]]="","-",VLOOKUP(compras_mes10[[#This Row],[CUIT]],Lista_CUIT[#All],2,0)),"CUIT NO CARGADO")</f>
        <v>TELEFONICA MOVILES ARG</v>
      </c>
      <c r="H167" s="46">
        <v>133006.79999999999</v>
      </c>
      <c r="I167" s="623"/>
      <c r="J167" s="691">
        <v>35911.839999999997</v>
      </c>
      <c r="K167" s="85"/>
      <c r="L167" s="85">
        <v>3990.2</v>
      </c>
      <c r="M167" s="85"/>
      <c r="N167" s="85">
        <v>7980.41</v>
      </c>
      <c r="O167" s="85"/>
      <c r="P167" s="624">
        <f>SUM(compras_mes10[[#This Row],[NETO GRAVADO]:[Otros / No Grav.]])</f>
        <v>180889.25</v>
      </c>
      <c r="Q167" s="621" t="str">
        <f>IFERROR(IF(compras_mes10[[#This Row],[CUIT]]="","-",VLOOKUP(compras_mes10[[#This Row],[CUIT]],Lista_CUIT[#All],3,0)),"CUIT NO CARGADO")</f>
        <v>Servicios Gas, Luz, etc.</v>
      </c>
      <c r="R167" s="625">
        <f>IFERROR(IF(compras_mes10[[#This Row],[CUIT]]="","-",VLOOKUP(compras_mes10[[#This Row],[CUIT]],Lista_CUIT[#All],4,0)),"CUIT NO CARGADO")</f>
        <v>0</v>
      </c>
    </row>
    <row r="168" spans="1:18">
      <c r="A168" s="128"/>
      <c r="B168" s="616" t="s">
        <v>2473</v>
      </c>
      <c r="C168" s="617">
        <v>1</v>
      </c>
      <c r="D168" s="618">
        <v>63</v>
      </c>
      <c r="E168" s="619">
        <v>3012512</v>
      </c>
      <c r="F168" s="620">
        <v>30640897267</v>
      </c>
      <c r="G168" s="621" t="str">
        <f>IFERROR(IF(compras_mes10[[#This Row],[CUIT]]="","-",VLOOKUP(compras_mes10[[#This Row],[CUIT]],Lista_CUIT[#All],2,0)),"CUIT NO CARGADO")</f>
        <v>TELECENTRO S.A.</v>
      </c>
      <c r="H168" s="46">
        <v>50550.17</v>
      </c>
      <c r="I168" s="623">
        <f>IF(compras_mes10[[#This Row],[NETO GRAVADO]]="","",compras_mes10[[#This Row],[NETO GRAVADO]]*0.21)</f>
        <v>10615.535699999999</v>
      </c>
      <c r="J168" s="691"/>
      <c r="K168" s="85"/>
      <c r="L168" s="85">
        <v>1516.51</v>
      </c>
      <c r="M168" s="85"/>
      <c r="N168" s="85">
        <v>3033.01</v>
      </c>
      <c r="O168" s="85"/>
      <c r="P168" s="624">
        <f>SUM(compras_mes10[[#This Row],[NETO GRAVADO]:[Otros / No Grav.]])</f>
        <v>65715.225699999995</v>
      </c>
      <c r="Q168" s="621" t="str">
        <f>IFERROR(IF(compras_mes10[[#This Row],[CUIT]]="","-",VLOOKUP(compras_mes10[[#This Row],[CUIT]],Lista_CUIT[#All],3,0)),"CUIT NO CARGADO")</f>
        <v>Servicios Gas, Luz, etc.</v>
      </c>
      <c r="R168" s="625">
        <f>IFERROR(IF(compras_mes10[[#This Row],[CUIT]]="","-",VLOOKUP(compras_mes10[[#This Row],[CUIT]],Lista_CUIT[#All],4,0)),"CUIT NO CARGADO")</f>
        <v>0</v>
      </c>
    </row>
    <row r="169" spans="1:18">
      <c r="A169" s="128"/>
      <c r="B169" s="616" t="s">
        <v>2473</v>
      </c>
      <c r="C169" s="617">
        <v>1</v>
      </c>
      <c r="D169" s="618">
        <v>63</v>
      </c>
      <c r="E169" s="619">
        <v>3013463</v>
      </c>
      <c r="F169" s="620">
        <v>30640897267</v>
      </c>
      <c r="G169" s="621" t="str">
        <f>IFERROR(IF(compras_mes10[[#This Row],[CUIT]]="","-",VLOOKUP(compras_mes10[[#This Row],[CUIT]],Lista_CUIT[#All],2,0)),"CUIT NO CARGADO")</f>
        <v>TELECENTRO S.A.</v>
      </c>
      <c r="H169" s="46">
        <v>50550.17</v>
      </c>
      <c r="I169" s="623">
        <f>IF(compras_mes10[[#This Row],[NETO GRAVADO]]="","",compras_mes10[[#This Row],[NETO GRAVADO]]*0.21)</f>
        <v>10615.535699999999</v>
      </c>
      <c r="J169" s="691"/>
      <c r="K169" s="85"/>
      <c r="L169" s="85">
        <v>1516.51</v>
      </c>
      <c r="M169" s="85"/>
      <c r="N169" s="85">
        <v>3033.01</v>
      </c>
      <c r="O169" s="85"/>
      <c r="P169" s="624">
        <f>SUM(compras_mes10[[#This Row],[NETO GRAVADO]:[Otros / No Grav.]])</f>
        <v>65715.225699999995</v>
      </c>
      <c r="Q169" s="621" t="str">
        <f>IFERROR(IF(compras_mes10[[#This Row],[CUIT]]="","-",VLOOKUP(compras_mes10[[#This Row],[CUIT]],Lista_CUIT[#All],3,0)),"CUIT NO CARGADO")</f>
        <v>Servicios Gas, Luz, etc.</v>
      </c>
      <c r="R169" s="625">
        <f>IFERROR(IF(compras_mes10[[#This Row],[CUIT]]="","-",VLOOKUP(compras_mes10[[#This Row],[CUIT]],Lista_CUIT[#All],4,0)),"CUIT NO CARGADO")</f>
        <v>0</v>
      </c>
    </row>
    <row r="170" spans="1:18">
      <c r="A170" s="128"/>
      <c r="B170" s="631" t="s">
        <v>2475</v>
      </c>
      <c r="C170" s="632">
        <v>1</v>
      </c>
      <c r="D170" s="633">
        <v>3101</v>
      </c>
      <c r="E170" s="634">
        <v>178120</v>
      </c>
      <c r="F170" s="635">
        <v>30678814357</v>
      </c>
      <c r="G170" s="636" t="str">
        <f>IFERROR(IF(compras_mes10[[#This Row],[CUIT]]="","-",VLOOKUP(compras_mes10[[#This Row],[CUIT]],Lista_CUIT[#All],2,0)),"CUIT NO CARGADO")</f>
        <v>TELEFONICA MOVILES ARG</v>
      </c>
      <c r="H170" s="173">
        <v>39252</v>
      </c>
      <c r="I170" s="637"/>
      <c r="J170" s="689">
        <v>10598.04</v>
      </c>
      <c r="K170" s="174"/>
      <c r="L170" s="174">
        <v>1177.56</v>
      </c>
      <c r="M170" s="174">
        <v>2355.12</v>
      </c>
      <c r="N170" s="174"/>
      <c r="O170" s="174"/>
      <c r="P170" s="638">
        <f>SUM(compras_mes10[[#This Row],[NETO GRAVADO]:[Otros / No Grav.]])</f>
        <v>53382.720000000001</v>
      </c>
      <c r="Q170" s="636" t="str">
        <f>IFERROR(IF(compras_mes10[[#This Row],[CUIT]]="","-",VLOOKUP(compras_mes10[[#This Row],[CUIT]],Lista_CUIT[#All],3,0)),"CUIT NO CARGADO")</f>
        <v>Servicios Gas, Luz, etc.</v>
      </c>
      <c r="R170" s="639">
        <f>IFERROR(IF(compras_mes10[[#This Row],[CUIT]]="","-",VLOOKUP(compras_mes10[[#This Row],[CUIT]],Lista_CUIT[#All],4,0)),"CUIT NO CARGADO")</f>
        <v>0</v>
      </c>
    </row>
    <row r="171" spans="1:18">
      <c r="B171" s="616" t="s">
        <v>2488</v>
      </c>
      <c r="C171" s="617">
        <v>1</v>
      </c>
      <c r="D171" s="618">
        <v>6364</v>
      </c>
      <c r="E171" s="619">
        <v>8639341</v>
      </c>
      <c r="F171" s="620">
        <v>30639453738</v>
      </c>
      <c r="G171" s="621" t="str">
        <f>IFERROR(IF(compras_mes10[[#This Row],[CUIT]]="","-",VLOOKUP(compras_mes10[[#This Row],[CUIT]],Lista_CUIT[#All],2,0)),"CUIT NO CARGADO")</f>
        <v>TELECOM ARG SA</v>
      </c>
      <c r="H171" s="46">
        <v>251017.62</v>
      </c>
      <c r="I171" s="623">
        <v>52447.5</v>
      </c>
      <c r="J171" s="691">
        <v>342.25</v>
      </c>
      <c r="K171" s="85"/>
      <c r="L171" s="85"/>
      <c r="M171" s="85">
        <v>13991.71</v>
      </c>
      <c r="N171" s="85"/>
      <c r="O171" s="85">
        <v>7603.17</v>
      </c>
      <c r="P171" s="624">
        <f>SUM(compras_mes10[[#This Row],[NETO GRAVADO]:[Otros / No Grav.]])</f>
        <v>325402.25</v>
      </c>
      <c r="Q171" s="621" t="str">
        <f>IFERROR(IF(compras_mes10[[#This Row],[CUIT]]="","-",VLOOKUP(compras_mes10[[#This Row],[CUIT]],Lista_CUIT[#All],3,0)),"CUIT NO CARGADO")</f>
        <v>Servicios Gas, Luz, etc.</v>
      </c>
      <c r="R171" s="625">
        <f>IFERROR(IF(compras_mes10[[#This Row],[CUIT]]="","-",VLOOKUP(compras_mes10[[#This Row],[CUIT]],Lista_CUIT[#All],4,0)),"CUIT NO CARGADO")</f>
        <v>0</v>
      </c>
    </row>
    <row r="172" spans="1:18">
      <c r="B172" s="631" t="s">
        <v>2492</v>
      </c>
      <c r="C172" s="632">
        <v>1</v>
      </c>
      <c r="D172" s="633">
        <v>4264</v>
      </c>
      <c r="E172" s="634">
        <v>4406636</v>
      </c>
      <c r="F172" s="635">
        <v>30639453738</v>
      </c>
      <c r="G172" s="636" t="str">
        <f>IFERROR(IF(compras_mes10[[#This Row],[CUIT]]="","-",VLOOKUP(compras_mes10[[#This Row],[CUIT]],Lista_CUIT[#All],2,0)),"CUIT NO CARGADO")</f>
        <v>TELECOM ARG SA</v>
      </c>
      <c r="H172" s="173">
        <v>81550</v>
      </c>
      <c r="I172" s="637">
        <f>IF(compras_mes10[[#This Row],[NETO GRAVADO]]="","",compras_mes10[[#This Row],[NETO GRAVADO]]*0.21)</f>
        <v>17125.5</v>
      </c>
      <c r="J172" s="689"/>
      <c r="K172" s="174"/>
      <c r="L172" s="174"/>
      <c r="M172" s="174"/>
      <c r="N172" s="174">
        <v>7339.5</v>
      </c>
      <c r="O172" s="174"/>
      <c r="P172" s="638">
        <f>SUM(compras_mes10[[#This Row],[NETO GRAVADO]:[Otros / No Grav.]])</f>
        <v>106015</v>
      </c>
      <c r="Q172" s="636" t="str">
        <f>IFERROR(IF(compras_mes10[[#This Row],[CUIT]]="","-",VLOOKUP(compras_mes10[[#This Row],[CUIT]],Lista_CUIT[#All],3,0)),"CUIT NO CARGADO")</f>
        <v>Servicios Gas, Luz, etc.</v>
      </c>
      <c r="R172" s="639">
        <f>IFERROR(IF(compras_mes10[[#This Row],[CUIT]]="","-",VLOOKUP(compras_mes10[[#This Row],[CUIT]],Lista_CUIT[#All],4,0)),"CUIT NO CARGADO")</f>
        <v>0</v>
      </c>
    </row>
    <row r="173" spans="1:18">
      <c r="B173" s="631" t="s">
        <v>2492</v>
      </c>
      <c r="C173" s="632">
        <v>1</v>
      </c>
      <c r="D173" s="633">
        <v>4264</v>
      </c>
      <c r="E173" s="634">
        <v>4451084</v>
      </c>
      <c r="F173" s="635">
        <v>30639453738</v>
      </c>
      <c r="G173" s="636" t="str">
        <f>IFERROR(IF(compras_mes10[[#This Row],[CUIT]]="","-",VLOOKUP(compras_mes10[[#This Row],[CUIT]],Lista_CUIT[#All],2,0)),"CUIT NO CARGADO")</f>
        <v>TELECOM ARG SA</v>
      </c>
      <c r="H173" s="173">
        <v>163100</v>
      </c>
      <c r="I173" s="637">
        <f>IF(compras_mes10[[#This Row],[NETO GRAVADO]]="","",compras_mes10[[#This Row],[NETO GRAVADO]]*0.21)</f>
        <v>34251</v>
      </c>
      <c r="J173" s="689"/>
      <c r="K173" s="174"/>
      <c r="L173" s="174"/>
      <c r="M173" s="174"/>
      <c r="N173" s="174">
        <v>14679</v>
      </c>
      <c r="O173" s="174"/>
      <c r="P173" s="638">
        <f>SUM(compras_mes10[[#This Row],[NETO GRAVADO]:[Otros / No Grav.]])</f>
        <v>212030</v>
      </c>
      <c r="Q173" s="636" t="str">
        <f>IFERROR(IF(compras_mes10[[#This Row],[CUIT]]="","-",VLOOKUP(compras_mes10[[#This Row],[CUIT]],Lista_CUIT[#All],3,0)),"CUIT NO CARGADO")</f>
        <v>Servicios Gas, Luz, etc.</v>
      </c>
      <c r="R173" s="639">
        <f>IFERROR(IF(compras_mes10[[#This Row],[CUIT]]="","-",VLOOKUP(compras_mes10[[#This Row],[CUIT]],Lista_CUIT[#All],4,0)),"CUIT NO CARGADO")</f>
        <v>0</v>
      </c>
    </row>
    <row r="174" spans="1:18">
      <c r="B174" s="631" t="s">
        <v>2492</v>
      </c>
      <c r="C174" s="632">
        <v>1</v>
      </c>
      <c r="D174" s="633">
        <v>4264</v>
      </c>
      <c r="E174" s="634">
        <v>4415958</v>
      </c>
      <c r="F174" s="635">
        <v>30639453738</v>
      </c>
      <c r="G174" s="636" t="str">
        <f>IFERROR(IF(compras_mes10[[#This Row],[CUIT]]="","-",VLOOKUP(compras_mes10[[#This Row],[CUIT]],Lista_CUIT[#All],2,0)),"CUIT NO CARGADO")</f>
        <v>TELECOM ARG SA</v>
      </c>
      <c r="H174" s="640">
        <v>30275</v>
      </c>
      <c r="I174" s="637">
        <f>IF(compras_mes10[[#This Row],[NETO GRAVADO]]="","",compras_mes10[[#This Row],[NETO GRAVADO]]*0.21)</f>
        <v>6357.75</v>
      </c>
      <c r="J174" s="692"/>
      <c r="K174" s="637"/>
      <c r="L174" s="637"/>
      <c r="M174" s="637">
        <v>908.25</v>
      </c>
      <c r="N174" s="637"/>
      <c r="O174" s="637"/>
      <c r="P174" s="638">
        <f>SUM(compras_mes10[[#This Row],[NETO GRAVADO]:[Otros / No Grav.]])</f>
        <v>37541</v>
      </c>
      <c r="Q174" s="636" t="str">
        <f>IFERROR(IF(compras_mes10[[#This Row],[CUIT]]="","-",VLOOKUP(compras_mes10[[#This Row],[CUIT]],Lista_CUIT[#All],3,0)),"CUIT NO CARGADO")</f>
        <v>Servicios Gas, Luz, etc.</v>
      </c>
      <c r="R174" s="639">
        <f>IFERROR(IF(compras_mes10[[#This Row],[CUIT]]="","-",VLOOKUP(compras_mes10[[#This Row],[CUIT]],Lista_CUIT[#All],4,0)),"CUIT NO CARGADO")</f>
        <v>0</v>
      </c>
    </row>
    <row r="175" spans="1:18">
      <c r="B175" s="631" t="s">
        <v>2480</v>
      </c>
      <c r="C175" s="632">
        <v>1</v>
      </c>
      <c r="D175" s="633">
        <v>5</v>
      </c>
      <c r="E175" s="634">
        <v>3150647</v>
      </c>
      <c r="F175" s="635">
        <v>30702652975</v>
      </c>
      <c r="G175" s="636" t="str">
        <f>IFERROR(IF(compras_mes10[[#This Row],[CUIT]]="","-",VLOOKUP(compras_mes10[[#This Row],[CUIT]],Lista_CUIT[#All],2,0)),"CUIT NO CARGADO")</f>
        <v>NSS SA</v>
      </c>
      <c r="H175" s="173">
        <v>29946.48</v>
      </c>
      <c r="I175" s="637">
        <f>IF(compras_mes10[[#This Row],[NETO GRAVADO]]="","",compras_mes10[[#This Row],[NETO GRAVADO]]*0.21)</f>
        <v>6288.7608</v>
      </c>
      <c r="J175" s="689"/>
      <c r="K175" s="174"/>
      <c r="L175" s="174"/>
      <c r="M175" s="174"/>
      <c r="N175" s="174">
        <v>1796.79</v>
      </c>
      <c r="O175" s="174"/>
      <c r="P175" s="638">
        <f>SUM(compras_mes10[[#This Row],[NETO GRAVADO]:[Otros / No Grav.]])</f>
        <v>38032.0308</v>
      </c>
      <c r="Q175" s="636" t="str">
        <f>IFERROR(IF(compras_mes10[[#This Row],[CUIT]]="","-",VLOOKUP(compras_mes10[[#This Row],[CUIT]],Lista_CUIT[#All],3,0)),"CUIT NO CARGADO")</f>
        <v>Servicios Gas, Luz, etc.</v>
      </c>
      <c r="R175" s="639">
        <f>IFERROR(IF(compras_mes10[[#This Row],[CUIT]]="","-",VLOOKUP(compras_mes10[[#This Row],[CUIT]],Lista_CUIT[#All],4,0)),"CUIT NO CARGADO")</f>
        <v>0</v>
      </c>
    </row>
    <row r="176" spans="1:18">
      <c r="B176" s="96" t="s">
        <v>103</v>
      </c>
      <c r="C176" s="96"/>
      <c r="D176" s="96"/>
      <c r="E176" s="96"/>
      <c r="F176" s="96"/>
      <c r="G176" s="97"/>
      <c r="H176" s="98">
        <f>SUBTOTAL(109,compras_mes10[NETO GRAVADO])</f>
        <v>130988533.28999999</v>
      </c>
      <c r="I176" s="98">
        <f>SUBTOTAL(109,compras_mes10[IVA 21 %])</f>
        <v>26841463.250900008</v>
      </c>
      <c r="J176" s="693">
        <f>SUBTOTAL(109,compras_mes10[IVA 27%])</f>
        <v>46852.13</v>
      </c>
      <c r="K176" s="98">
        <f>SUBTOTAL(109,compras_mes10[IVA 10,5%])</f>
        <v>314844.09530000004</v>
      </c>
      <c r="L176" s="98">
        <f>SUBTOTAL(109,compras_mes10[PERC. IVA])</f>
        <v>17568.18</v>
      </c>
      <c r="M176" s="98">
        <f>SUBTOTAL(109,compras_mes10[PERC IIBB 
BS AS])</f>
        <v>34939.31</v>
      </c>
      <c r="N176" s="98">
        <f>SUBTOTAL(109,compras_mes10[PERC. IIBB CABA])</f>
        <v>322908.31999999995</v>
      </c>
      <c r="O176" s="98">
        <f>SUBTOTAL(109,compras_mes10[Otros / No Grav.])</f>
        <v>1966080.61</v>
      </c>
      <c r="P176" s="98">
        <f>SUBTOTAL(109,compras_mes10[TOTAL])</f>
        <v>160533189.18619999</v>
      </c>
      <c r="Q176" s="96"/>
      <c r="R176" s="96"/>
    </row>
    <row r="177" spans="2:18">
      <c r="B177" s="40"/>
      <c r="C177" s="41"/>
      <c r="D177" s="42"/>
      <c r="E177" s="43"/>
      <c r="F177" s="44"/>
      <c r="G177" s="45"/>
      <c r="H177" s="46"/>
      <c r="I177" s="47"/>
      <c r="J177" s="680"/>
      <c r="K177" s="47"/>
      <c r="L177" s="47"/>
      <c r="M177" s="47"/>
      <c r="N177" s="47"/>
      <c r="O177" s="47"/>
      <c r="P177" s="48"/>
      <c r="Q177" s="49"/>
      <c r="R177" s="49"/>
    </row>
    <row r="178" spans="2:18">
      <c r="B178" s="40"/>
      <c r="C178" s="41"/>
      <c r="D178" s="42"/>
      <c r="E178" s="43"/>
      <c r="F178" s="44"/>
      <c r="G178" s="45"/>
      <c r="H178" s="46"/>
      <c r="I178" s="47"/>
      <c r="J178" s="680"/>
      <c r="K178" s="47"/>
      <c r="L178" s="47"/>
      <c r="M178" s="47"/>
      <c r="N178" s="47"/>
      <c r="O178" s="47"/>
      <c r="P178" s="48"/>
      <c r="Q178" s="49"/>
      <c r="R178" s="49"/>
    </row>
    <row r="179" spans="2:18">
      <c r="B179" s="40"/>
      <c r="C179" s="41"/>
      <c r="D179" s="42"/>
      <c r="E179" s="43"/>
      <c r="F179" s="44"/>
      <c r="G179" s="45"/>
      <c r="H179" s="46"/>
      <c r="I179" s="47"/>
      <c r="J179" s="680"/>
      <c r="K179" s="47"/>
      <c r="L179" s="47"/>
      <c r="M179" s="47"/>
      <c r="N179" s="47"/>
      <c r="O179" s="47"/>
      <c r="P179" s="48"/>
      <c r="Q179" s="49"/>
      <c r="R179" s="49"/>
    </row>
    <row r="180" spans="2:18">
      <c r="B180" s="40"/>
      <c r="C180" s="41"/>
      <c r="D180" s="42"/>
      <c r="E180" s="43"/>
      <c r="F180" s="44"/>
      <c r="G180" s="45"/>
      <c r="H180" s="46"/>
      <c r="I180" s="47"/>
      <c r="J180" s="680"/>
      <c r="K180" s="47"/>
      <c r="L180" s="47"/>
    </row>
    <row r="181" spans="2:18" ht="21">
      <c r="D181" s="712" t="s">
        <v>15</v>
      </c>
      <c r="E181" s="712"/>
      <c r="F181" s="712"/>
      <c r="G181" s="712"/>
      <c r="H181" s="712"/>
      <c r="I181" s="712"/>
      <c r="J181" s="712"/>
      <c r="K181" s="712"/>
      <c r="L181" s="712"/>
    </row>
    <row r="182" spans="2:18" ht="15.75">
      <c r="D182" s="73" t="s">
        <v>0</v>
      </c>
      <c r="E182" s="74" t="s">
        <v>26</v>
      </c>
      <c r="F182" s="74" t="s">
        <v>16</v>
      </c>
      <c r="G182" s="74" t="s">
        <v>5</v>
      </c>
      <c r="H182" s="74" t="s">
        <v>17</v>
      </c>
      <c r="I182" s="74" t="s">
        <v>7</v>
      </c>
      <c r="J182" s="694" t="s">
        <v>18</v>
      </c>
      <c r="K182" s="75" t="s">
        <v>19</v>
      </c>
      <c r="L182" s="76" t="s">
        <v>20</v>
      </c>
      <c r="M182" s="283" t="s">
        <v>10</v>
      </c>
    </row>
    <row r="183" spans="2:18">
      <c r="D183" s="50"/>
      <c r="E183" s="80"/>
      <c r="F183" s="80"/>
      <c r="G183" s="81"/>
      <c r="H183" s="81"/>
      <c r="I183" s="81"/>
      <c r="J183" s="439"/>
      <c r="K183" s="81"/>
      <c r="L183" s="81"/>
      <c r="M183" s="282">
        <f>SUM(extracto_banco_mes10[[#This Row],[NETO]:[PERC IIBB]])</f>
        <v>0</v>
      </c>
    </row>
    <row r="184" spans="2:18">
      <c r="D184" s="50"/>
      <c r="E184" s="79"/>
      <c r="F184" s="80"/>
      <c r="G184" s="81"/>
      <c r="H184" s="81"/>
      <c r="I184" s="81"/>
      <c r="J184" s="439"/>
      <c r="K184" s="81"/>
      <c r="L184" s="81"/>
      <c r="M184" s="282">
        <f>SUM(extracto_banco_mes10[[#This Row],[NETO]:[PERC IIBB]])</f>
        <v>0</v>
      </c>
    </row>
    <row r="185" spans="2:18">
      <c r="D185" s="50"/>
      <c r="E185" s="130"/>
      <c r="F185" s="80"/>
      <c r="G185" s="131"/>
      <c r="H185" s="131"/>
      <c r="I185" s="131"/>
      <c r="J185" s="695"/>
      <c r="K185" s="131"/>
      <c r="L185" s="131"/>
      <c r="M185" s="282">
        <f>SUM(extracto_banco_mes10[[#This Row],[NETO]:[PERC IIBB]])</f>
        <v>0</v>
      </c>
    </row>
    <row r="186" spans="2:18">
      <c r="D186" s="50"/>
      <c r="E186" s="130"/>
      <c r="F186" s="80"/>
      <c r="G186" s="131"/>
      <c r="H186" s="131"/>
      <c r="I186" s="131"/>
      <c r="J186" s="695"/>
      <c r="K186" s="131"/>
      <c r="L186" s="131"/>
      <c r="M186" s="282">
        <f>SUM(extracto_banco_mes10[[#This Row],[NETO]:[PERC IIBB]])</f>
        <v>0</v>
      </c>
    </row>
    <row r="187" spans="2:18">
      <c r="D187" s="50"/>
      <c r="E187" s="130"/>
      <c r="F187" s="80"/>
      <c r="G187" s="131"/>
      <c r="H187" s="131"/>
      <c r="I187" s="131"/>
      <c r="J187" s="695"/>
      <c r="K187" s="131"/>
      <c r="L187" s="131"/>
      <c r="M187" s="282">
        <f>SUM(extracto_banco_mes10[[#This Row],[NETO]:[PERC IIBB]])</f>
        <v>0</v>
      </c>
    </row>
    <row r="188" spans="2:18">
      <c r="D188" s="50"/>
      <c r="E188" s="130"/>
      <c r="F188" s="80"/>
      <c r="G188" s="131"/>
      <c r="H188" s="131"/>
      <c r="I188" s="131"/>
      <c r="J188" s="695"/>
      <c r="K188" s="131"/>
      <c r="L188" s="131"/>
      <c r="M188" s="282">
        <f>SUM(extracto_banco_mes10[[#This Row],[NETO]:[PERC IIBB]])</f>
        <v>0</v>
      </c>
    </row>
    <row r="189" spans="2:18">
      <c r="D189" s="50"/>
      <c r="E189" s="274"/>
      <c r="F189" s="272"/>
      <c r="G189" s="275"/>
      <c r="H189" s="275"/>
      <c r="I189" s="275"/>
      <c r="J189" s="696"/>
      <c r="K189" s="275"/>
      <c r="L189" s="275"/>
      <c r="M189" s="282">
        <f>SUM(extracto_banco_mes10[[#This Row],[NETO]:[PERC IIBB]])</f>
        <v>0</v>
      </c>
    </row>
    <row r="190" spans="2:18">
      <c r="D190" s="50"/>
      <c r="E190" s="79"/>
      <c r="F190" s="80"/>
      <c r="G190" s="81"/>
      <c r="H190" s="81"/>
      <c r="I190" s="81"/>
      <c r="J190" s="439"/>
      <c r="K190" s="81"/>
      <c r="L190" s="81"/>
      <c r="M190" s="282">
        <f>SUM(extracto_banco_mes10[[#This Row],[NETO]:[PERC IIBB]])</f>
        <v>0</v>
      </c>
    </row>
    <row r="191" spans="2:18">
      <c r="D191" s="50"/>
      <c r="E191" s="274"/>
      <c r="F191" s="272"/>
      <c r="G191" s="275"/>
      <c r="H191" s="275"/>
      <c r="I191" s="275"/>
      <c r="J191" s="696"/>
      <c r="K191" s="275"/>
      <c r="L191" s="275"/>
      <c r="M191" s="282">
        <f>SUM(extracto_banco_mes10[[#This Row],[NETO]:[PERC IIBB]])</f>
        <v>0</v>
      </c>
    </row>
    <row r="192" spans="2:18">
      <c r="D192" s="271" t="s">
        <v>103</v>
      </c>
      <c r="E192" s="272"/>
      <c r="F192" s="272"/>
      <c r="G192" s="273">
        <f>SUBTOTAL(109,extracto_banco_mes10[NETO])</f>
        <v>0</v>
      </c>
      <c r="H192" s="273">
        <f>SUBTOTAL(109,extracto_banco_mes10[IVA 21%])</f>
        <v>0</v>
      </c>
      <c r="I192" s="273">
        <f>SUBTOTAL(109,extracto_banco_mes10[IVA 10,5%])</f>
        <v>0</v>
      </c>
      <c r="J192" s="697">
        <f>SUBTOTAL(109,extracto_banco_mes10[RET IIBB CABA])</f>
        <v>0</v>
      </c>
      <c r="K192" s="273">
        <f>SUBTOTAL(109,extracto_banco_mes10[PERC IVA])</f>
        <v>0</v>
      </c>
      <c r="L192" s="273">
        <f>SUBTOTAL(109,extracto_banco_mes10[PERC IIBB])</f>
        <v>0</v>
      </c>
      <c r="M192" s="281"/>
    </row>
    <row r="196" spans="4:11" ht="21">
      <c r="D196" s="712" t="s">
        <v>25</v>
      </c>
      <c r="E196" s="712"/>
      <c r="F196" s="712"/>
      <c r="G196" s="712"/>
      <c r="H196" s="712"/>
      <c r="I196" s="712"/>
      <c r="J196" s="712"/>
      <c r="K196" s="712"/>
    </row>
    <row r="197" spans="4:11">
      <c r="D197" s="51" t="s">
        <v>0</v>
      </c>
      <c r="E197" s="51" t="s">
        <v>2</v>
      </c>
      <c r="F197" s="51" t="s">
        <v>74</v>
      </c>
      <c r="G197" s="51" t="s">
        <v>3</v>
      </c>
      <c r="H197" s="51" t="s">
        <v>4</v>
      </c>
      <c r="I197" s="52" t="s">
        <v>10</v>
      </c>
      <c r="J197" s="442" t="s">
        <v>13</v>
      </c>
      <c r="K197" s="51" t="s">
        <v>38</v>
      </c>
    </row>
    <row r="198" spans="4:11">
      <c r="D198" s="50"/>
      <c r="E198" s="42"/>
      <c r="F198" s="43"/>
      <c r="G198" s="44"/>
      <c r="H198" s="124" t="str">
        <f>IFERROR(IF(factura_c_mes10[[#This Row],[CUIT]]="","-",VLOOKUP(factura_c_mes10[[#This Row],[CUIT]],Lista_CUIT[#All],2,0)),"CUIT NO CARGADO")</f>
        <v>-</v>
      </c>
      <c r="I198" s="125"/>
      <c r="J198" s="698" t="str">
        <f>IFERROR(IF(factura_c_mes10[[#This Row],[CUIT]]="","-",VLOOKUP(factura_c_mes10[[#This Row],[CUIT]],Lista_CUIT[#All],3,0)),"CUIT NO CARGADO")</f>
        <v>-</v>
      </c>
      <c r="K198" s="126" t="str">
        <f>IFERROR(IF(factura_c_mes10[[#This Row],[CUIT]]="","-",VLOOKUP(factura_c_mes10[[#This Row],[CUIT]],Lista_CUIT[#All],4,0)),"CUIT NO CARGADO")</f>
        <v>-</v>
      </c>
    </row>
    <row r="199" spans="4:11">
      <c r="D199" s="50"/>
      <c r="E199" s="42"/>
      <c r="F199" s="43"/>
      <c r="G199" s="44"/>
      <c r="H199" s="124" t="str">
        <f>IFERROR(IF(factura_c_mes10[[#This Row],[CUIT]]="","-",VLOOKUP(factura_c_mes10[[#This Row],[CUIT]],Lista_CUIT[#All],2,0)),"CUIT NO CARGADO")</f>
        <v>-</v>
      </c>
      <c r="I199" s="125"/>
      <c r="J199" s="698" t="str">
        <f>IFERROR(IF(factura_c_mes10[[#This Row],[CUIT]]="","-",VLOOKUP(factura_c_mes10[[#This Row],[CUIT]],Lista_CUIT[#All],3,0)),"CUIT NO CARGADO")</f>
        <v>-</v>
      </c>
      <c r="K199" s="126" t="str">
        <f>IFERROR(IF(factura_c_mes10[[#This Row],[CUIT]]="","-",VLOOKUP(factura_c_mes10[[#This Row],[CUIT]],Lista_CUIT[#All],4,0)),"CUIT NO CARGADO")</f>
        <v>-</v>
      </c>
    </row>
    <row r="200" spans="4:11">
      <c r="D200" s="626" t="s">
        <v>2474</v>
      </c>
      <c r="E200" s="626">
        <v>2</v>
      </c>
      <c r="F200" s="626">
        <v>1517</v>
      </c>
      <c r="G200" s="627">
        <v>23277121859</v>
      </c>
      <c r="H200" s="628" t="str">
        <f>IFERROR(IF(factura_c_mes10[[#This Row],[CUIT]]="","-",VLOOKUP(factura_c_mes10[[#This Row],[CUIT]],Lista_CUIT[#All],2,0)),"CUIT NO CARGADO")</f>
        <v>BARCELONAMOTOS</v>
      </c>
      <c r="I200" s="629">
        <v>136000</v>
      </c>
      <c r="J200" s="699" t="str">
        <f>IFERROR(IF(factura_c_mes10[[#This Row],[CUIT]]="","-",VLOOKUP(factura_c_mes10[[#This Row],[CUIT]],Lista_CUIT[#All],3,0)),"CUIT NO CARGADO")</f>
        <v>Gastos Varios</v>
      </c>
      <c r="K200" s="630">
        <f>IFERROR(IF(factura_c_mes10[[#This Row],[CUIT]]="","-",VLOOKUP(factura_c_mes10[[#This Row],[CUIT]],Lista_CUIT[#All],4,0)),"CUIT NO CARGADO")</f>
        <v>0</v>
      </c>
    </row>
    <row r="201" spans="4:11">
      <c r="D201" s="626" t="s">
        <v>2483</v>
      </c>
      <c r="E201" s="626">
        <v>3</v>
      </c>
      <c r="F201" s="626">
        <v>2216</v>
      </c>
      <c r="G201" s="627">
        <v>20367304007</v>
      </c>
      <c r="H201" s="628" t="str">
        <f>IFERROR(IF(factura_c_mes10[[#This Row],[CUIT]]="","-",VLOOKUP(factura_c_mes10[[#This Row],[CUIT]],Lista_CUIT[#All],2,0)),"CUIT NO CARGADO")</f>
        <v>DELETRAZ JULIAN NAHUEL</v>
      </c>
      <c r="I201" s="629">
        <v>9600</v>
      </c>
      <c r="J201" s="699" t="str">
        <f>IFERROR(IF(factura_c_mes10[[#This Row],[CUIT]]="","-",VLOOKUP(factura_c_mes10[[#This Row],[CUIT]],Lista_CUIT[#All],3,0)),"CUIT NO CARGADO")</f>
        <v>Gastos Varios</v>
      </c>
      <c r="K201" s="630">
        <f>IFERROR(IF(factura_c_mes10[[#This Row],[CUIT]]="","-",VLOOKUP(factura_c_mes10[[#This Row],[CUIT]],Lista_CUIT[#All],4,0)),"CUIT NO CARGADO")</f>
        <v>0</v>
      </c>
    </row>
    <row r="202" spans="4:11">
      <c r="D202" s="50" t="s">
        <v>2483</v>
      </c>
      <c r="E202" s="42">
        <v>3</v>
      </c>
      <c r="F202" s="43">
        <v>2215</v>
      </c>
      <c r="G202" s="44">
        <v>20367304007</v>
      </c>
      <c r="H202" s="124" t="str">
        <f>IFERROR(IF(factura_c_mes10[[#This Row],[CUIT]]="","-",VLOOKUP(factura_c_mes10[[#This Row],[CUIT]],Lista_CUIT[#All],2,0)),"CUIT NO CARGADO")</f>
        <v>DELETRAZ JULIAN NAHUEL</v>
      </c>
      <c r="I202" s="125">
        <v>3700</v>
      </c>
      <c r="J202" s="698" t="str">
        <f>IFERROR(IF(factura_c_mes10[[#This Row],[CUIT]]="","-",VLOOKUP(factura_c_mes10[[#This Row],[CUIT]],Lista_CUIT[#All],3,0)),"CUIT NO CARGADO")</f>
        <v>Gastos Varios</v>
      </c>
      <c r="K202" s="126">
        <f>IFERROR(IF(factura_c_mes10[[#This Row],[CUIT]]="","-",VLOOKUP(factura_c_mes10[[#This Row],[CUIT]],Lista_CUIT[#All],4,0)),"CUIT NO CARGADO")</f>
        <v>0</v>
      </c>
    </row>
    <row r="203" spans="4:11">
      <c r="D203" s="626" t="s">
        <v>2478</v>
      </c>
      <c r="E203" s="626">
        <v>2</v>
      </c>
      <c r="F203" s="626">
        <v>4710</v>
      </c>
      <c r="G203" s="627">
        <v>20136536320</v>
      </c>
      <c r="H203" s="628" t="str">
        <f>IFERROR(IF(factura_c_mes10[[#This Row],[CUIT]]="","-",VLOOKUP(factura_c_mes10[[#This Row],[CUIT]],Lista_CUIT[#All],2,0)),"CUIT NO CARGADO")</f>
        <v>FONTENLA ERNESTO MARIO</v>
      </c>
      <c r="I203" s="629">
        <v>1600</v>
      </c>
      <c r="J203" s="699" t="str">
        <f>IFERROR(IF(factura_c_mes10[[#This Row],[CUIT]]="","-",VLOOKUP(factura_c_mes10[[#This Row],[CUIT]],Lista_CUIT[#All],3,0)),"CUIT NO CARGADO")</f>
        <v>Gastos Varios</v>
      </c>
      <c r="K203" s="630" t="str">
        <f>IFERROR(IF(factura_c_mes10[[#This Row],[CUIT]]="","-",VLOOKUP(factura_c_mes10[[#This Row],[CUIT]],Lista_CUIT[#All],4,0)),"CUIT NO CARGADO")</f>
        <v>CABA</v>
      </c>
    </row>
    <row r="204" spans="4:11">
      <c r="D204" s="626" t="s">
        <v>2480</v>
      </c>
      <c r="E204" s="626">
        <v>2</v>
      </c>
      <c r="F204" s="626">
        <v>4731</v>
      </c>
      <c r="G204" s="627">
        <v>20136536320</v>
      </c>
      <c r="H204" s="628" t="str">
        <f>IFERROR(IF(factura_c_mes10[[#This Row],[CUIT]]="","-",VLOOKUP(factura_c_mes10[[#This Row],[CUIT]],Lista_CUIT[#All],2,0)),"CUIT NO CARGADO")</f>
        <v>FONTENLA ERNESTO MARIO</v>
      </c>
      <c r="I204" s="629">
        <v>3200</v>
      </c>
      <c r="J204" s="699" t="str">
        <f>IFERROR(IF(factura_c_mes10[[#This Row],[CUIT]]="","-",VLOOKUP(factura_c_mes10[[#This Row],[CUIT]],Lista_CUIT[#All],3,0)),"CUIT NO CARGADO")</f>
        <v>Gastos Varios</v>
      </c>
      <c r="K204" s="630" t="str">
        <f>IFERROR(IF(factura_c_mes10[[#This Row],[CUIT]]="","-",VLOOKUP(factura_c_mes10[[#This Row],[CUIT]],Lista_CUIT[#All],4,0)),"CUIT NO CARGADO")</f>
        <v>CABA</v>
      </c>
    </row>
    <row r="205" spans="4:11">
      <c r="D205" s="50" t="s">
        <v>2471</v>
      </c>
      <c r="E205" s="42">
        <v>2</v>
      </c>
      <c r="F205" s="43">
        <v>3815</v>
      </c>
      <c r="G205" s="44">
        <v>20206480409</v>
      </c>
      <c r="H205" s="124" t="str">
        <f>IFERROR(IF(factura_c_mes10[[#This Row],[CUIT]]="","-",VLOOKUP(factura_c_mes10[[#This Row],[CUIT]],Lista_CUIT[#All],2,0)),"CUIT NO CARGADO")</f>
        <v>GRACIA SANDRO EDUARDO</v>
      </c>
      <c r="I205" s="125">
        <v>5200</v>
      </c>
      <c r="J205" s="698" t="str">
        <f>IFERROR(IF(factura_c_mes10[[#This Row],[CUIT]]="","-",VLOOKUP(factura_c_mes10[[#This Row],[CUIT]],Lista_CUIT[#All],3,0)),"CUIT NO CARGADO")</f>
        <v>Gastos Varios</v>
      </c>
      <c r="K205" s="126" t="str">
        <f>IFERROR(IF(factura_c_mes10[[#This Row],[CUIT]]="","-",VLOOKUP(factura_c_mes10[[#This Row],[CUIT]],Lista_CUIT[#All],4,0)),"CUIT NO CARGADO")</f>
        <v>CABA</v>
      </c>
    </row>
    <row r="206" spans="4:11">
      <c r="D206" s="626" t="s">
        <v>2477</v>
      </c>
      <c r="E206" s="626">
        <v>3</v>
      </c>
      <c r="F206" s="626">
        <v>1383</v>
      </c>
      <c r="G206" s="627">
        <v>20173025557</v>
      </c>
      <c r="H206" s="628" t="str">
        <f>IFERROR(IF(factura_c_mes10[[#This Row],[CUIT]]="","-",VLOOKUP(factura_c_mes10[[#This Row],[CUIT]],Lista_CUIT[#All],2,0)),"CUIT NO CARGADO")</f>
        <v>MARAUDA HECTOR</v>
      </c>
      <c r="I206" s="629">
        <v>6000</v>
      </c>
      <c r="J206" s="699" t="str">
        <f>IFERROR(IF(factura_c_mes10[[#This Row],[CUIT]]="","-",VLOOKUP(factura_c_mes10[[#This Row],[CUIT]],Lista_CUIT[#All],3,0)),"CUIT NO CARGADO")</f>
        <v>Gastos Varios</v>
      </c>
      <c r="K206" s="630">
        <f>IFERROR(IF(factura_c_mes10[[#This Row],[CUIT]]="","-",VLOOKUP(factura_c_mes10[[#This Row],[CUIT]],Lista_CUIT[#All],4,0)),"CUIT NO CARGADO")</f>
        <v>0</v>
      </c>
    </row>
    <row r="207" spans="4:11">
      <c r="D207" s="626" t="s">
        <v>2481</v>
      </c>
      <c r="E207" s="626">
        <v>10</v>
      </c>
      <c r="F207" s="626">
        <v>222</v>
      </c>
      <c r="G207" s="627">
        <v>20302234389</v>
      </c>
      <c r="H207" s="628" t="str">
        <f>IFERROR(IF(factura_c_mes10[[#This Row],[CUIT]]="","-",VLOOKUP(factura_c_mes10[[#This Row],[CUIT]],Lista_CUIT[#All],2,0)),"CUIT NO CARGADO")</f>
        <v>VIGORELLI GUILLERMO DANIEL</v>
      </c>
      <c r="I207" s="629">
        <v>160000</v>
      </c>
      <c r="J207" s="699" t="str">
        <f>IFERROR(IF(factura_c_mes10[[#This Row],[CUIT]]="","-",VLOOKUP(factura_c_mes10[[#This Row],[CUIT]],Lista_CUIT[#All],3,0)),"CUIT NO CARGADO")</f>
        <v>Gastos Varios</v>
      </c>
      <c r="K207" s="630">
        <f>IFERROR(IF(factura_c_mes10[[#This Row],[CUIT]]="","-",VLOOKUP(factura_c_mes10[[#This Row],[CUIT]],Lista_CUIT[#All],4,0)),"CUIT NO CARGADO")</f>
        <v>0</v>
      </c>
    </row>
    <row r="208" spans="4:11">
      <c r="D208" s="50" t="s">
        <v>2469</v>
      </c>
      <c r="E208" s="42">
        <v>1</v>
      </c>
      <c r="F208" s="43">
        <v>9</v>
      </c>
      <c r="G208" s="44">
        <v>27309116343</v>
      </c>
      <c r="H208" s="124" t="str">
        <f>IFERROR(IF(factura_c_mes10[[#This Row],[CUIT]]="","-",VLOOKUP(factura_c_mes10[[#This Row],[CUIT]],Lista_CUIT[#All],2,0)),"CUIT NO CARGADO")</f>
        <v>FERNANDEZ DANIELA NATALIA</v>
      </c>
      <c r="I208" s="125">
        <v>63000</v>
      </c>
      <c r="J208" s="698" t="str">
        <f>IFERROR(IF(factura_c_mes10[[#This Row],[CUIT]]="","-",VLOOKUP(factura_c_mes10[[#This Row],[CUIT]],Lista_CUIT[#All],3,0)),"CUIT NO CARGADO")</f>
        <v>Honorarios Administrativos</v>
      </c>
      <c r="K208" s="126">
        <f>IFERROR(IF(factura_c_mes10[[#This Row],[CUIT]]="","-",VLOOKUP(factura_c_mes10[[#This Row],[CUIT]],Lista_CUIT[#All],4,0)),"CUIT NO CARGADO")</f>
        <v>0</v>
      </c>
    </row>
    <row r="209" spans="4:11">
      <c r="D209" s="626" t="s">
        <v>2475</v>
      </c>
      <c r="E209" s="626">
        <v>1</v>
      </c>
      <c r="F209" s="626">
        <v>10</v>
      </c>
      <c r="G209" s="627">
        <v>27309116343</v>
      </c>
      <c r="H209" s="628" t="str">
        <f>IFERROR(IF(factura_c_mes10[[#This Row],[CUIT]]="","-",VLOOKUP(factura_c_mes10[[#This Row],[CUIT]],Lista_CUIT[#All],2,0)),"CUIT NO CARGADO")</f>
        <v>FERNANDEZ DANIELA NATALIA</v>
      </c>
      <c r="I209" s="629">
        <v>63000</v>
      </c>
      <c r="J209" s="699" t="str">
        <f>IFERROR(IF(factura_c_mes10[[#This Row],[CUIT]]="","-",VLOOKUP(factura_c_mes10[[#This Row],[CUIT]],Lista_CUIT[#All],3,0)),"CUIT NO CARGADO")</f>
        <v>Honorarios Administrativos</v>
      </c>
      <c r="K209" s="630">
        <f>IFERROR(IF(factura_c_mes10[[#This Row],[CUIT]]="","-",VLOOKUP(factura_c_mes10[[#This Row],[CUIT]],Lista_CUIT[#All],4,0)),"CUIT NO CARGADO")</f>
        <v>0</v>
      </c>
    </row>
    <row r="210" spans="4:11">
      <c r="D210" s="626" t="s">
        <v>2481</v>
      </c>
      <c r="E210" s="626">
        <v>1</v>
      </c>
      <c r="F210" s="626">
        <v>11</v>
      </c>
      <c r="G210" s="627">
        <v>27309116343</v>
      </c>
      <c r="H210" s="628" t="str">
        <f>IFERROR(IF(factura_c_mes10[[#This Row],[CUIT]]="","-",VLOOKUP(factura_c_mes10[[#This Row],[CUIT]],Lista_CUIT[#All],2,0)),"CUIT NO CARGADO")</f>
        <v>FERNANDEZ DANIELA NATALIA</v>
      </c>
      <c r="I210" s="629">
        <v>63000</v>
      </c>
      <c r="J210" s="699" t="str">
        <f>IFERROR(IF(factura_c_mes10[[#This Row],[CUIT]]="","-",VLOOKUP(factura_c_mes10[[#This Row],[CUIT]],Lista_CUIT[#All],3,0)),"CUIT NO CARGADO")</f>
        <v>Honorarios Administrativos</v>
      </c>
      <c r="K210" s="630">
        <f>IFERROR(IF(factura_c_mes10[[#This Row],[CUIT]]="","-",VLOOKUP(factura_c_mes10[[#This Row],[CUIT]],Lista_CUIT[#All],4,0)),"CUIT NO CARGADO")</f>
        <v>0</v>
      </c>
    </row>
    <row r="211" spans="4:11">
      <c r="D211" s="50" t="s">
        <v>2471</v>
      </c>
      <c r="E211" s="42">
        <v>3</v>
      </c>
      <c r="F211" s="43">
        <v>884</v>
      </c>
      <c r="G211" s="44">
        <v>20086277523</v>
      </c>
      <c r="H211" s="124" t="str">
        <f>IFERROR(IF(factura_c_mes10[[#This Row],[CUIT]]="","-",VLOOKUP(factura_c_mes10[[#This Row],[CUIT]],Lista_CUIT[#All],2,0)),"CUIT NO CARGADO")</f>
        <v>BOTINDARI JUAN CARLOS</v>
      </c>
      <c r="I211" s="125">
        <v>245000</v>
      </c>
      <c r="J211" s="698" t="str">
        <f>IFERROR(IF(factura_c_mes10[[#This Row],[CUIT]]="","-",VLOOKUP(factura_c_mes10[[#This Row],[CUIT]],Lista_CUIT[#All],3,0)),"CUIT NO CARGADO")</f>
        <v>Honorarios Contables</v>
      </c>
      <c r="K211" s="126">
        <f>IFERROR(IF(factura_c_mes10[[#This Row],[CUIT]]="","-",VLOOKUP(factura_c_mes10[[#This Row],[CUIT]],Lista_CUIT[#All],4,0)),"CUIT NO CARGADO")</f>
        <v>0</v>
      </c>
    </row>
    <row r="212" spans="4:11">
      <c r="D212" s="626" t="s">
        <v>2472</v>
      </c>
      <c r="E212" s="626">
        <v>2</v>
      </c>
      <c r="F212" s="626">
        <v>311</v>
      </c>
      <c r="G212" s="627">
        <v>23319210954</v>
      </c>
      <c r="H212" s="628" t="str">
        <f>IFERROR(IF(factura_c_mes10[[#This Row],[CUIT]]="","-",VLOOKUP(factura_c_mes10[[#This Row],[CUIT]],Lista_CUIT[#All],2,0)),"CUIT NO CARGADO")</f>
        <v>CAFFARATTI ROMINA PAOLA</v>
      </c>
      <c r="I212" s="629">
        <v>195000</v>
      </c>
      <c r="J212" s="699" t="str">
        <f>IFERROR(IF(factura_c_mes10[[#This Row],[CUIT]]="","-",VLOOKUP(factura_c_mes10[[#This Row],[CUIT]],Lista_CUIT[#All],3,0)),"CUIT NO CARGADO")</f>
        <v>Honorarios Contables</v>
      </c>
      <c r="K212" s="630">
        <f>IFERROR(IF(factura_c_mes10[[#This Row],[CUIT]]="","-",VLOOKUP(factura_c_mes10[[#This Row],[CUIT]],Lista_CUIT[#All],4,0)),"CUIT NO CARGADO")</f>
        <v>0</v>
      </c>
    </row>
    <row r="213" spans="4:11">
      <c r="D213" s="50" t="s">
        <v>2470</v>
      </c>
      <c r="E213" s="42">
        <v>3</v>
      </c>
      <c r="F213" s="43">
        <v>503</v>
      </c>
      <c r="G213" s="44">
        <v>20210551574</v>
      </c>
      <c r="H213" s="124" t="str">
        <f>IFERROR(IF(factura_c_mes10[[#This Row],[CUIT]]="","-",VLOOKUP(factura_c_mes10[[#This Row],[CUIT]],Lista_CUIT[#All],2,0)),"CUIT NO CARGADO")</f>
        <v>REUS JORGE DIEGO</v>
      </c>
      <c r="I213" s="125">
        <v>255000</v>
      </c>
      <c r="J213" s="698" t="str">
        <f>IFERROR(IF(factura_c_mes10[[#This Row],[CUIT]]="","-",VLOOKUP(factura_c_mes10[[#This Row],[CUIT]],Lista_CUIT[#All],3,0)),"CUIT NO CARGADO")</f>
        <v>Honorarios Legales</v>
      </c>
      <c r="K213" s="126">
        <f>IFERROR(IF(factura_c_mes10[[#This Row],[CUIT]]="","-",VLOOKUP(factura_c_mes10[[#This Row],[CUIT]],Lista_CUIT[#All],4,0)),"CUIT NO CARGADO")</f>
        <v>0</v>
      </c>
    </row>
    <row r="214" spans="4:11">
      <c r="D214" s="626" t="s">
        <v>2484</v>
      </c>
      <c r="E214" s="626">
        <v>1</v>
      </c>
      <c r="F214" s="626">
        <v>76</v>
      </c>
      <c r="G214" s="627">
        <v>20176922363</v>
      </c>
      <c r="H214" s="628" t="str">
        <f>IFERROR(IF(factura_c_mes10[[#This Row],[CUIT]]="","-",VLOOKUP(factura_c_mes10[[#This Row],[CUIT]],Lista_CUIT[#All],2,0)),"CUIT NO CARGADO")</f>
        <v>CASTILLO JUAN RAMON</v>
      </c>
      <c r="I214" s="629">
        <v>1200000</v>
      </c>
      <c r="J214" s="699" t="str">
        <f>IFERROR(IF(factura_c_mes10[[#This Row],[CUIT]]="","-",VLOOKUP(factura_c_mes10[[#This Row],[CUIT]],Lista_CUIT[#All],3,0)),"CUIT NO CARGADO")</f>
        <v>Honorarios Profesionales</v>
      </c>
      <c r="K214" s="630">
        <f>IFERROR(IF(factura_c_mes10[[#This Row],[CUIT]]="","-",VLOOKUP(factura_c_mes10[[#This Row],[CUIT]],Lista_CUIT[#All],4,0)),"CUIT NO CARGADO")</f>
        <v>0</v>
      </c>
    </row>
    <row r="215" spans="4:11">
      <c r="D215" s="626" t="s">
        <v>2484</v>
      </c>
      <c r="E215" s="626">
        <v>1</v>
      </c>
      <c r="F215" s="626">
        <v>77</v>
      </c>
      <c r="G215" s="627">
        <v>20176922363</v>
      </c>
      <c r="H215" s="628" t="str">
        <f>IFERROR(IF(factura_c_mes10[[#This Row],[CUIT]]="","-",VLOOKUP(factura_c_mes10[[#This Row],[CUIT]],Lista_CUIT[#All],2,0)),"CUIT NO CARGADO")</f>
        <v>CASTILLO JUAN RAMON</v>
      </c>
      <c r="I215" s="629">
        <v>800000</v>
      </c>
      <c r="J215" s="699" t="str">
        <f>IFERROR(IF(factura_c_mes10[[#This Row],[CUIT]]="","-",VLOOKUP(factura_c_mes10[[#This Row],[CUIT]],Lista_CUIT[#All],3,0)),"CUIT NO CARGADO")</f>
        <v>Honorarios Profesionales</v>
      </c>
      <c r="K215" s="630">
        <f>IFERROR(IF(factura_c_mes10[[#This Row],[CUIT]]="","-",VLOOKUP(factura_c_mes10[[#This Row],[CUIT]],Lista_CUIT[#All],4,0)),"CUIT NO CARGADO")</f>
        <v>0</v>
      </c>
    </row>
    <row r="216" spans="4:11">
      <c r="D216" s="626" t="s">
        <v>2479</v>
      </c>
      <c r="E216" s="626">
        <v>2</v>
      </c>
      <c r="F216" s="626">
        <v>686</v>
      </c>
      <c r="G216" s="627">
        <v>27218690160</v>
      </c>
      <c r="H216" s="628" t="str">
        <f>IFERROR(IF(factura_c_mes10[[#This Row],[CUIT]]="","-",VLOOKUP(factura_c_mes10[[#This Row],[CUIT]],Lista_CUIT[#All],2,0)),"CUIT NO CARGADO")</f>
        <v>RAMIREZ LAURA VERONICA</v>
      </c>
      <c r="I216" s="629">
        <v>21000</v>
      </c>
      <c r="J216" s="699" t="str">
        <f>IFERROR(IF(factura_c_mes10[[#This Row],[CUIT]]="","-",VLOOKUP(factura_c_mes10[[#This Row],[CUIT]],Lista_CUIT[#All],3,0)),"CUIT NO CARGADO")</f>
        <v>Honorarios Profesionales</v>
      </c>
      <c r="K216" s="630">
        <f>IFERROR(IF(factura_c_mes10[[#This Row],[CUIT]]="","-",VLOOKUP(factura_c_mes10[[#This Row],[CUIT]],Lista_CUIT[#All],4,0)),"CUIT NO CARGADO")</f>
        <v>0</v>
      </c>
    </row>
    <row r="217" spans="4:11">
      <c r="D217" s="626" t="s">
        <v>2483</v>
      </c>
      <c r="E217" s="626">
        <v>2</v>
      </c>
      <c r="F217" s="626">
        <v>689</v>
      </c>
      <c r="G217" s="627">
        <v>27218690160</v>
      </c>
      <c r="H217" s="628" t="str">
        <f>IFERROR(IF(factura_c_mes10[[#This Row],[CUIT]]="","-",VLOOKUP(factura_c_mes10[[#This Row],[CUIT]],Lista_CUIT[#All],2,0)),"CUIT NO CARGADO")</f>
        <v>RAMIREZ LAURA VERONICA</v>
      </c>
      <c r="I217" s="629">
        <v>21000</v>
      </c>
      <c r="J217" s="699" t="str">
        <f>IFERROR(IF(factura_c_mes10[[#This Row],[CUIT]]="","-",VLOOKUP(factura_c_mes10[[#This Row],[CUIT]],Lista_CUIT[#All],3,0)),"CUIT NO CARGADO")</f>
        <v>Honorarios Profesionales</v>
      </c>
      <c r="K217" s="630">
        <f>IFERROR(IF(factura_c_mes10[[#This Row],[CUIT]]="","-",VLOOKUP(factura_c_mes10[[#This Row],[CUIT]],Lista_CUIT[#All],4,0)),"CUIT NO CARGADO")</f>
        <v>0</v>
      </c>
    </row>
    <row r="218" spans="4:11">
      <c r="D218" s="50" t="s">
        <v>2469</v>
      </c>
      <c r="E218" s="42">
        <v>8</v>
      </c>
      <c r="F218" s="43">
        <v>685</v>
      </c>
      <c r="G218" s="44">
        <v>27409592487</v>
      </c>
      <c r="H218" s="124" t="str">
        <f>IFERROR(IF(factura_c_mes10[[#This Row],[CUIT]]="","-",VLOOKUP(factura_c_mes10[[#This Row],[CUIT]],Lista_CUIT[#All],2,0)),"CUIT NO CARGADO")</f>
        <v>BAUDONE ANTONELLA AGOSTINA</v>
      </c>
      <c r="I218" s="125">
        <v>77000</v>
      </c>
      <c r="J218" s="698" t="str">
        <f>IFERROR(IF(factura_c_mes10[[#This Row],[CUIT]]="","-",VLOOKUP(factura_c_mes10[[#This Row],[CUIT]],Lista_CUIT[#All],3,0)),"CUIT NO CARGADO")</f>
        <v>Material de Empaque</v>
      </c>
      <c r="K218" s="126">
        <f>IFERROR(IF(factura_c_mes10[[#This Row],[CUIT]]="","-",VLOOKUP(factura_c_mes10[[#This Row],[CUIT]],Lista_CUIT[#All],4,0)),"CUIT NO CARGADO")</f>
        <v>0</v>
      </c>
    </row>
    <row r="219" spans="4:11">
      <c r="D219" s="626" t="s">
        <v>2482</v>
      </c>
      <c r="E219" s="626">
        <v>8</v>
      </c>
      <c r="F219" s="626">
        <v>714</v>
      </c>
      <c r="G219" s="627">
        <v>27409592487</v>
      </c>
      <c r="H219" s="628" t="str">
        <f>IFERROR(IF(factura_c_mes10[[#This Row],[CUIT]]="","-",VLOOKUP(factura_c_mes10[[#This Row],[CUIT]],Lista_CUIT[#All],2,0)),"CUIT NO CARGADO")</f>
        <v>BAUDONE ANTONELLA AGOSTINA</v>
      </c>
      <c r="I219" s="629">
        <v>162400</v>
      </c>
      <c r="J219" s="699" t="str">
        <f>IFERROR(IF(factura_c_mes10[[#This Row],[CUIT]]="","-",VLOOKUP(factura_c_mes10[[#This Row],[CUIT]],Lista_CUIT[#All],3,0)),"CUIT NO CARGADO")</f>
        <v>Material de Empaque</v>
      </c>
      <c r="K219" s="630">
        <f>IFERROR(IF(factura_c_mes10[[#This Row],[CUIT]]="","-",VLOOKUP(factura_c_mes10[[#This Row],[CUIT]],Lista_CUIT[#All],4,0)),"CUIT NO CARGADO")</f>
        <v>0</v>
      </c>
    </row>
    <row r="220" spans="4:11">
      <c r="D220" s="50" t="s">
        <v>2469</v>
      </c>
      <c r="E220" s="42">
        <v>2</v>
      </c>
      <c r="F220" s="43">
        <v>379</v>
      </c>
      <c r="G220" s="44">
        <v>20300814094</v>
      </c>
      <c r="H220" s="124" t="str">
        <f>IFERROR(IF(factura_c_mes10[[#This Row],[CUIT]]="","-",VLOOKUP(factura_c_mes10[[#This Row],[CUIT]],Lista_CUIT[#All],2,0)),"CUIT NO CARGADO")</f>
        <v>FARRAPEIRA OSCAR MAXIMO</v>
      </c>
      <c r="I220" s="125">
        <v>534950</v>
      </c>
      <c r="J220" s="698" t="str">
        <f>IFERROR(IF(factura_c_mes10[[#This Row],[CUIT]]="","-",VLOOKUP(factura_c_mes10[[#This Row],[CUIT]],Lista_CUIT[#All],3,0)),"CUIT NO CARGADO")</f>
        <v>Material de Empaque</v>
      </c>
      <c r="K220" s="126">
        <f>IFERROR(IF(factura_c_mes10[[#This Row],[CUIT]]="","-",VLOOKUP(factura_c_mes10[[#This Row],[CUIT]],Lista_CUIT[#All],4,0)),"CUIT NO CARGADO")</f>
        <v>0</v>
      </c>
    </row>
    <row r="221" spans="4:11">
      <c r="D221" s="626" t="s">
        <v>2473</v>
      </c>
      <c r="E221" s="626">
        <v>1</v>
      </c>
      <c r="F221" s="626">
        <v>86</v>
      </c>
      <c r="G221" s="627">
        <v>20299505430</v>
      </c>
      <c r="H221" s="628" t="str">
        <f>IFERROR(IF(factura_c_mes10[[#This Row],[CUIT]]="","-",VLOOKUP(factura_c_mes10[[#This Row],[CUIT]],Lista_CUIT[#All],2,0)),"CUIT NO CARGADO")</f>
        <v>PRADO EMILIANO HERNAN</v>
      </c>
      <c r="I221" s="629">
        <v>819771</v>
      </c>
      <c r="J221" s="699" t="str">
        <f>IFERROR(IF(factura_c_mes10[[#This Row],[CUIT]]="","-",VLOOKUP(factura_c_mes10[[#This Row],[CUIT]],Lista_CUIT[#All],3,0)),"CUIT NO CARGADO")</f>
        <v>Material de Empaque</v>
      </c>
      <c r="K221" s="630">
        <f>IFERROR(IF(factura_c_mes10[[#This Row],[CUIT]]="","-",VLOOKUP(factura_c_mes10[[#This Row],[CUIT]],Lista_CUIT[#All],4,0)),"CUIT NO CARGADO")</f>
        <v>0</v>
      </c>
    </row>
    <row r="222" spans="4:11">
      <c r="D222" s="626" t="s">
        <v>2476</v>
      </c>
      <c r="E222" s="626">
        <v>1</v>
      </c>
      <c r="F222" s="626">
        <v>87</v>
      </c>
      <c r="G222" s="627">
        <v>20299505430</v>
      </c>
      <c r="H222" s="628" t="str">
        <f>IFERROR(IF(factura_c_mes10[[#This Row],[CUIT]]="","-",VLOOKUP(factura_c_mes10[[#This Row],[CUIT]],Lista_CUIT[#All],2,0)),"CUIT NO CARGADO")</f>
        <v>PRADO EMILIANO HERNAN</v>
      </c>
      <c r="I222" s="629">
        <v>1581424</v>
      </c>
      <c r="J222" s="699" t="str">
        <f>IFERROR(IF(factura_c_mes10[[#This Row],[CUIT]]="","-",VLOOKUP(factura_c_mes10[[#This Row],[CUIT]],Lista_CUIT[#All],3,0)),"CUIT NO CARGADO")</f>
        <v>Material de Empaque</v>
      </c>
      <c r="K222" s="630">
        <f>IFERROR(IF(factura_c_mes10[[#This Row],[CUIT]]="","-",VLOOKUP(factura_c_mes10[[#This Row],[CUIT]],Lista_CUIT[#All],4,0)),"CUIT NO CARGADO")</f>
        <v>0</v>
      </c>
    </row>
    <row r="223" spans="4:11">
      <c r="D223" s="626" t="s">
        <v>2483</v>
      </c>
      <c r="E223" s="626">
        <v>1</v>
      </c>
      <c r="F223" s="626">
        <v>88</v>
      </c>
      <c r="G223" s="627">
        <v>20299505430</v>
      </c>
      <c r="H223" s="628" t="str">
        <f>IFERROR(IF(factura_c_mes10[[#This Row],[CUIT]]="","-",VLOOKUP(factura_c_mes10[[#This Row],[CUIT]],Lista_CUIT[#All],2,0)),"CUIT NO CARGADO")</f>
        <v>PRADO EMILIANO HERNAN</v>
      </c>
      <c r="I223" s="629">
        <v>1192980</v>
      </c>
      <c r="J223" s="699" t="str">
        <f>IFERROR(IF(factura_c_mes10[[#This Row],[CUIT]]="","-",VLOOKUP(factura_c_mes10[[#This Row],[CUIT]],Lista_CUIT[#All],3,0)),"CUIT NO CARGADO")</f>
        <v>Material de Empaque</v>
      </c>
      <c r="K223" s="630">
        <f>IFERROR(IF(factura_c_mes10[[#This Row],[CUIT]]="","-",VLOOKUP(factura_c_mes10[[#This Row],[CUIT]],Lista_CUIT[#All],4,0)),"CUIT NO CARGADO")</f>
        <v>0</v>
      </c>
    </row>
    <row r="224" spans="4:11">
      <c r="D224" s="55" t="s">
        <v>103</v>
      </c>
      <c r="E224" s="55"/>
      <c r="F224" s="55"/>
      <c r="G224" s="55"/>
      <c r="H224" s="57"/>
      <c r="I224" s="58">
        <f>SUBTOTAL(109,factura_c_mes10[TOTAL])</f>
        <v>7619825</v>
      </c>
      <c r="J224" s="57"/>
      <c r="K224" s="55"/>
    </row>
    <row r="225" spans="2:18">
      <c r="B225" s="56"/>
      <c r="C225" s="56"/>
      <c r="L225" s="56"/>
      <c r="M225" s="56"/>
      <c r="N225" s="56"/>
      <c r="O225" s="56"/>
      <c r="P225" s="56"/>
      <c r="Q225" s="56"/>
      <c r="R225" s="56"/>
    </row>
    <row r="230" spans="2:18" ht="26.25">
      <c r="B230" s="720" t="s">
        <v>29</v>
      </c>
      <c r="C230" s="720"/>
      <c r="D230" s="720"/>
      <c r="E230" s="720"/>
      <c r="F230" s="720"/>
      <c r="G230" s="720"/>
      <c r="H230" s="720"/>
      <c r="I230" s="720"/>
      <c r="J230" s="720"/>
      <c r="K230" s="716">
        <f>N1</f>
        <v>45200</v>
      </c>
      <c r="L230" s="716"/>
      <c r="M230" s="716"/>
    </row>
    <row r="232" spans="2:18" ht="21">
      <c r="B232" s="713" t="s">
        <v>30</v>
      </c>
      <c r="C232" s="713"/>
    </row>
    <row r="233" spans="2:18" ht="15.75">
      <c r="B233" s="60" t="s">
        <v>0</v>
      </c>
      <c r="C233" s="61" t="s">
        <v>1</v>
      </c>
      <c r="D233" s="61" t="s">
        <v>21</v>
      </c>
      <c r="E233" s="61" t="s">
        <v>22</v>
      </c>
      <c r="F233" s="61" t="s">
        <v>3</v>
      </c>
      <c r="G233" s="61" t="s">
        <v>4</v>
      </c>
      <c r="H233" s="61" t="s">
        <v>23</v>
      </c>
      <c r="I233" s="61" t="s">
        <v>17</v>
      </c>
      <c r="J233" s="444" t="s">
        <v>7</v>
      </c>
      <c r="K233" s="61" t="s">
        <v>24</v>
      </c>
      <c r="L233" s="61" t="s">
        <v>10</v>
      </c>
      <c r="M233" s="62" t="s">
        <v>38</v>
      </c>
    </row>
    <row r="234" spans="2:18">
      <c r="B234" s="40"/>
      <c r="C234" s="41"/>
      <c r="D234" s="42"/>
      <c r="E234" s="43"/>
      <c r="F234" s="44"/>
      <c r="G234" s="99" t="str">
        <f>IFERROR(IF(venta_a_mes10[[#This Row],[CUIT]]="","-",VLOOKUP(venta_a_mes10[[#This Row],[CUIT]],Lista_CUIT[#All],2,0)),"CUIT NO CARGADO")</f>
        <v>-</v>
      </c>
      <c r="H234" s="100"/>
      <c r="I234" s="101">
        <f>venta_a_mes10[[#This Row],[IMPORTE NETO]]*0.21</f>
        <v>0</v>
      </c>
      <c r="J234" s="700"/>
      <c r="K234" s="65"/>
      <c r="L234" s="65">
        <f>SUM(venta_a_mes10[[#This Row],[IMPORTE NETO]:[EXENTO]])</f>
        <v>0</v>
      </c>
      <c r="M234" s="59"/>
    </row>
    <row r="235" spans="2:18">
      <c r="B235" s="40"/>
      <c r="C235" s="41"/>
      <c r="D235" s="42"/>
      <c r="E235" s="43"/>
      <c r="F235" s="44"/>
      <c r="G235" s="99" t="str">
        <f>IFERROR(IF(venta_a_mes10[[#This Row],[CUIT]]="","-",VLOOKUP(venta_a_mes10[[#This Row],[CUIT]],Lista_CUIT[#All],2,0)),"CUIT NO CARGADO")</f>
        <v>-</v>
      </c>
      <c r="H235" s="100"/>
      <c r="I235" s="101">
        <f>venta_a_mes10[[#This Row],[IMPORTE NETO]]*0.21</f>
        <v>0</v>
      </c>
      <c r="J235" s="700"/>
      <c r="K235" s="65"/>
      <c r="L235" s="65">
        <f>SUM(venta_a_mes10[[#This Row],[IMPORTE NETO]:[EXENTO]])</f>
        <v>0</v>
      </c>
      <c r="M235" s="59"/>
    </row>
    <row r="236" spans="2:18">
      <c r="B236" s="40"/>
      <c r="C236" s="41"/>
      <c r="D236" s="42"/>
      <c r="E236" s="43"/>
      <c r="F236" s="44"/>
      <c r="G236" s="99" t="str">
        <f>IFERROR(IF(venta_a_mes10[[#This Row],[CUIT]]="","-",VLOOKUP(venta_a_mes10[[#This Row],[CUIT]],Lista_CUIT[#All],2,0)),"CUIT NO CARGADO")</f>
        <v>-</v>
      </c>
      <c r="H236" s="100"/>
      <c r="I236" s="101">
        <f>venta_a_mes10[[#This Row],[IMPORTE NETO]]*0.21</f>
        <v>0</v>
      </c>
      <c r="J236" s="700"/>
      <c r="K236" s="65"/>
      <c r="L236" s="65">
        <f>SUM(venta_a_mes10[[#This Row],[IMPORTE NETO]:[EXENTO]])</f>
        <v>0</v>
      </c>
      <c r="M236" s="59"/>
    </row>
    <row r="237" spans="2:18">
      <c r="B237" s="40"/>
      <c r="C237" s="41"/>
      <c r="D237" s="42"/>
      <c r="E237" s="43"/>
      <c r="F237" s="44"/>
      <c r="G237" s="99" t="str">
        <f>IFERROR(IF(venta_a_mes10[[#This Row],[CUIT]]="","-",VLOOKUP(venta_a_mes10[[#This Row],[CUIT]],Lista_CUIT[#All],2,0)),"CUIT NO CARGADO")</f>
        <v>-</v>
      </c>
      <c r="H237" s="100"/>
      <c r="I237" s="101">
        <f>venta_a_mes10[[#This Row],[IMPORTE NETO]]*0.21</f>
        <v>0</v>
      </c>
      <c r="J237" s="700"/>
      <c r="K237" s="65"/>
      <c r="L237" s="65">
        <f>SUM(venta_a_mes10[[#This Row],[IMPORTE NETO]:[EXENTO]])</f>
        <v>0</v>
      </c>
      <c r="M237" s="59"/>
    </row>
    <row r="238" spans="2:18">
      <c r="B238" s="40"/>
      <c r="C238" s="41"/>
      <c r="D238" s="42"/>
      <c r="E238" s="43"/>
      <c r="F238" s="44"/>
      <c r="G238" s="99" t="str">
        <f>IFERROR(IF(venta_a_mes10[[#This Row],[CUIT]]="","-",VLOOKUP(venta_a_mes10[[#This Row],[CUIT]],Lista_CUIT[#All],2,0)),"CUIT NO CARGADO")</f>
        <v>-</v>
      </c>
      <c r="H238" s="100"/>
      <c r="I238" s="101">
        <f>venta_a_mes10[[#This Row],[IMPORTE NETO]]*0.21</f>
        <v>0</v>
      </c>
      <c r="J238" s="700"/>
      <c r="K238" s="65"/>
      <c r="L238" s="65">
        <f>SUM(venta_a_mes10[[#This Row],[IMPORTE NETO]:[EXENTO]])</f>
        <v>0</v>
      </c>
      <c r="M238" s="59"/>
    </row>
    <row r="239" spans="2:18">
      <c r="B239" s="40"/>
      <c r="C239" s="41"/>
      <c r="D239" s="42"/>
      <c r="E239" s="43"/>
      <c r="F239" s="44"/>
      <c r="G239" s="99" t="str">
        <f>IFERROR(IF(venta_a_mes10[[#This Row],[CUIT]]="","-",VLOOKUP(venta_a_mes10[[#This Row],[CUIT]],Lista_CUIT[#All],2,0)),"CUIT NO CARGADO")</f>
        <v>-</v>
      </c>
      <c r="H239" s="100"/>
      <c r="I239" s="101">
        <f>venta_a_mes10[[#This Row],[IMPORTE NETO]]*0.21</f>
        <v>0</v>
      </c>
      <c r="J239" s="700"/>
      <c r="K239" s="65"/>
      <c r="L239" s="65">
        <f>SUM(venta_a_mes10[[#This Row],[IMPORTE NETO]:[EXENTO]])</f>
        <v>0</v>
      </c>
      <c r="M239" s="59"/>
    </row>
    <row r="240" spans="2:18">
      <c r="B240" s="40"/>
      <c r="C240" s="41"/>
      <c r="D240" s="42"/>
      <c r="E240" s="43"/>
      <c r="F240" s="44"/>
      <c r="G240" s="99" t="str">
        <f>IFERROR(IF(venta_a_mes10[[#This Row],[CUIT]]="","-",VLOOKUP(venta_a_mes10[[#This Row],[CUIT]],Lista_CUIT[#All],2,0)),"CUIT NO CARGADO")</f>
        <v>-</v>
      </c>
      <c r="H240" s="100"/>
      <c r="I240" s="101">
        <f>venta_a_mes10[[#This Row],[IMPORTE NETO]]*0.21</f>
        <v>0</v>
      </c>
      <c r="J240" s="700"/>
      <c r="K240" s="65"/>
      <c r="L240" s="65">
        <f>SUM(venta_a_mes10[[#This Row],[IMPORTE NETO]:[EXENTO]])</f>
        <v>0</v>
      </c>
      <c r="M240" s="63"/>
    </row>
    <row r="241" spans="2:13">
      <c r="B241" s="102"/>
      <c r="C241" s="103"/>
      <c r="D241" s="104"/>
      <c r="E241" s="105"/>
      <c r="F241" s="106"/>
      <c r="G241" s="99" t="str">
        <f>IFERROR(IF(venta_a_mes10[[#This Row],[CUIT]]="","-",VLOOKUP(venta_a_mes10[[#This Row],[CUIT]],Lista_CUIT[#All],2,0)),"CUIT NO CARGADO")</f>
        <v>-</v>
      </c>
      <c r="H241" s="107"/>
      <c r="I241" s="108">
        <f>venta_a_mes10[[#This Row],[IMPORTE NETO]]*0.21</f>
        <v>0</v>
      </c>
      <c r="J241" s="701"/>
      <c r="K241" s="72"/>
      <c r="L241" s="72">
        <f>SUM(venta_a_mes10[[#This Row],[IMPORTE NETO]:[EXENTO]])</f>
        <v>0</v>
      </c>
      <c r="M241" s="63"/>
    </row>
    <row r="242" spans="2:13">
      <c r="B242" s="109"/>
      <c r="C242" s="110"/>
      <c r="D242" s="111"/>
      <c r="E242" s="112"/>
      <c r="F242" s="113"/>
      <c r="G242" s="99" t="str">
        <f>IFERROR(IF(venta_a_mes10[[#This Row],[CUIT]]="","-",VLOOKUP(venta_a_mes10[[#This Row],[CUIT]],Lista_CUIT[#All],2,0)),"CUIT NO CARGADO")</f>
        <v>-</v>
      </c>
      <c r="H242" s="100"/>
      <c r="I242" s="101">
        <f>venta_a_mes10[[#This Row],[IMPORTE NETO]]*0.21</f>
        <v>0</v>
      </c>
      <c r="J242" s="700"/>
      <c r="K242" s="65"/>
      <c r="L242" s="65">
        <f>SUM(venta_a_mes10[[#This Row],[IMPORTE NETO]:[EXENTO]])</f>
        <v>0</v>
      </c>
      <c r="M242" s="59"/>
    </row>
    <row r="243" spans="2:13">
      <c r="B243" s="66" t="s">
        <v>103</v>
      </c>
      <c r="C243" s="67"/>
      <c r="D243" s="67"/>
      <c r="E243" s="67"/>
      <c r="F243" s="67"/>
      <c r="G243" s="67"/>
      <c r="H243" s="69">
        <f>SUBTOTAL(109,venta_a_mes10[IMPORTE NETO])</f>
        <v>0</v>
      </c>
      <c r="I243" s="70">
        <f>SUBTOTAL(109,venta_a_mes10[IVA 21%])</f>
        <v>0</v>
      </c>
      <c r="J243" s="702">
        <f>SUBTOTAL(109,venta_a_mes10[IVA 10,5%])</f>
        <v>0</v>
      </c>
      <c r="K243" s="71">
        <f>SUBTOTAL(109,venta_a_mes10[EXENTO])</f>
        <v>0</v>
      </c>
      <c r="L243" s="71">
        <f>SUBTOTAL(109,venta_a_mes10[TOTAL])</f>
        <v>0</v>
      </c>
      <c r="M243" s="68">
        <f>SUBTOTAL(103,venta_a_mes10[Provincia])</f>
        <v>0</v>
      </c>
    </row>
    <row r="246" spans="2:13" ht="21">
      <c r="B246" s="713" t="s">
        <v>2000</v>
      </c>
      <c r="C246" s="713"/>
      <c r="G246" t="s">
        <v>2002</v>
      </c>
    </row>
    <row r="247" spans="2:13" ht="15.75">
      <c r="B247" s="60" t="s">
        <v>0</v>
      </c>
      <c r="C247" s="61" t="s">
        <v>1</v>
      </c>
      <c r="D247" s="61" t="s">
        <v>21</v>
      </c>
      <c r="E247" s="61" t="s">
        <v>22</v>
      </c>
      <c r="F247" s="61" t="s">
        <v>3</v>
      </c>
      <c r="G247" s="61" t="s">
        <v>4</v>
      </c>
      <c r="H247" s="61" t="s">
        <v>23</v>
      </c>
      <c r="I247" s="61" t="s">
        <v>17</v>
      </c>
      <c r="J247" s="444" t="s">
        <v>7</v>
      </c>
      <c r="K247" s="61" t="s">
        <v>24</v>
      </c>
      <c r="L247" s="61" t="s">
        <v>10</v>
      </c>
      <c r="M247" s="62" t="s">
        <v>38</v>
      </c>
    </row>
    <row r="248" spans="2:13">
      <c r="B248" s="40"/>
      <c r="C248" s="41"/>
      <c r="D248" s="42"/>
      <c r="E248" s="43"/>
      <c r="F248" s="44"/>
      <c r="G248" s="1" t="str">
        <f>IFERROR(IF(ventas_b_mes10[[#This Row],[CUIT]]="","-",VLOOKUP(ventas_b_mes10[[#This Row],[CUIT]],Lista_CUIT[#All],2,0)),"CUIT NO CARGADO")</f>
        <v>-</v>
      </c>
      <c r="H248" s="64"/>
      <c r="I248" s="64"/>
      <c r="J248" s="703"/>
      <c r="K248" s="64"/>
      <c r="L248" s="64"/>
      <c r="M248" s="59"/>
    </row>
    <row r="249" spans="2:13">
      <c r="B249" s="40"/>
      <c r="C249" s="41"/>
      <c r="D249" s="42"/>
      <c r="E249" s="43"/>
      <c r="F249" s="44"/>
      <c r="G249" s="1" t="str">
        <f>IFERROR(IF(ventas_b_mes10[[#This Row],[CUIT]]="","-",VLOOKUP(ventas_b_mes10[[#This Row],[CUIT]],Lista_CUIT[#All],2,0)),"CUIT NO CARGADO")</f>
        <v>-</v>
      </c>
      <c r="H249" s="64"/>
      <c r="I249" s="64"/>
      <c r="J249" s="703"/>
      <c r="K249" s="64"/>
      <c r="L249" s="64"/>
      <c r="M249" s="59"/>
    </row>
    <row r="250" spans="2:13">
      <c r="B250" s="284"/>
      <c r="C250" s="285"/>
      <c r="D250" s="286"/>
      <c r="E250" s="287"/>
      <c r="F250" s="44"/>
      <c r="G250" s="289" t="str">
        <f>IFERROR(IF(ventas_b_mes10[[#This Row],[CUIT]]="","-",VLOOKUP(ventas_b_mes10[[#This Row],[CUIT]],Lista_CUIT[#All],2,0)),"CUIT NO CARGADO")</f>
        <v>-</v>
      </c>
      <c r="H250" s="290"/>
      <c r="I250" s="291"/>
      <c r="J250" s="704"/>
      <c r="K250" s="292"/>
      <c r="L250" s="292"/>
      <c r="M250" s="293"/>
    </row>
    <row r="251" spans="2:13">
      <c r="B251" s="284"/>
      <c r="C251" s="285"/>
      <c r="D251" s="286"/>
      <c r="E251" s="287"/>
      <c r="F251" s="44"/>
      <c r="G251" s="289" t="str">
        <f>IFERROR(IF(ventas_b_mes10[[#This Row],[CUIT]]="","-",VLOOKUP(ventas_b_mes10[[#This Row],[CUIT]],Lista_CUIT[#All],2,0)),"CUIT NO CARGADO")</f>
        <v>-</v>
      </c>
      <c r="H251" s="290"/>
      <c r="I251" s="291"/>
      <c r="J251" s="704"/>
      <c r="K251" s="292"/>
      <c r="L251" s="292"/>
      <c r="M251" s="293"/>
    </row>
    <row r="252" spans="2:13">
      <c r="B252" s="284"/>
      <c r="C252" s="285"/>
      <c r="D252" s="286"/>
      <c r="E252" s="287"/>
      <c r="F252" s="44"/>
      <c r="G252" s="289" t="str">
        <f>IFERROR(IF(ventas_b_mes10[[#This Row],[CUIT]]="","-",VLOOKUP(ventas_b_mes10[[#This Row],[CUIT]],Lista_CUIT[#All],2,0)),"CUIT NO CARGADO")</f>
        <v>-</v>
      </c>
      <c r="H252" s="290"/>
      <c r="I252" s="291"/>
      <c r="J252" s="704"/>
      <c r="K252" s="292"/>
      <c r="L252" s="292"/>
      <c r="M252" s="293"/>
    </row>
    <row r="253" spans="2:13">
      <c r="B253" s="304"/>
      <c r="C253" s="305"/>
      <c r="D253" s="306"/>
      <c r="E253" s="307"/>
      <c r="F253" s="308"/>
      <c r="G253" s="309" t="s">
        <v>2001</v>
      </c>
      <c r="H253" s="310"/>
      <c r="I253" s="291"/>
      <c r="J253" s="704"/>
      <c r="K253" s="292"/>
      <c r="L253" s="292"/>
      <c r="M253" s="293"/>
    </row>
    <row r="254" spans="2:13">
      <c r="B254" s="304"/>
      <c r="C254" s="305"/>
      <c r="D254" s="306"/>
      <c r="E254" s="307"/>
      <c r="F254" s="308"/>
      <c r="G254" s="309" t="s">
        <v>2001</v>
      </c>
      <c r="H254" s="310"/>
      <c r="I254" s="291"/>
      <c r="J254" s="704"/>
      <c r="K254" s="292"/>
      <c r="L254" s="292"/>
      <c r="M254" s="293"/>
    </row>
    <row r="255" spans="2:13">
      <c r="B255" s="304"/>
      <c r="C255" s="305"/>
      <c r="D255" s="306"/>
      <c r="E255" s="307"/>
      <c r="F255" s="308"/>
      <c r="G255" s="309" t="s">
        <v>2001</v>
      </c>
      <c r="H255" s="310"/>
      <c r="I255" s="291"/>
      <c r="J255" s="704"/>
      <c r="K255" s="292"/>
      <c r="L255" s="292"/>
      <c r="M255" s="293"/>
    </row>
    <row r="256" spans="2:13">
      <c r="B256" s="304"/>
      <c r="C256" s="305"/>
      <c r="D256" s="306"/>
      <c r="E256" s="307"/>
      <c r="F256" s="308"/>
      <c r="G256" s="309" t="s">
        <v>2001</v>
      </c>
      <c r="H256" s="310"/>
      <c r="I256" s="291"/>
      <c r="J256" s="704"/>
      <c r="K256" s="292"/>
      <c r="L256" s="292"/>
      <c r="M256" s="293"/>
    </row>
    <row r="257" spans="2:13">
      <c r="B257" s="304"/>
      <c r="C257" s="305"/>
      <c r="D257" s="306"/>
      <c r="E257" s="307"/>
      <c r="F257" s="308"/>
      <c r="G257" s="309" t="s">
        <v>2001</v>
      </c>
      <c r="H257" s="310"/>
      <c r="I257" s="291"/>
      <c r="J257" s="704"/>
      <c r="K257" s="292"/>
      <c r="L257" s="292"/>
      <c r="M257" s="293"/>
    </row>
    <row r="258" spans="2:13">
      <c r="B258" s="304"/>
      <c r="C258" s="305"/>
      <c r="D258" s="306"/>
      <c r="E258" s="307"/>
      <c r="F258" s="308"/>
      <c r="G258" s="309" t="s">
        <v>2001</v>
      </c>
      <c r="H258" s="310"/>
      <c r="I258" s="291"/>
      <c r="J258" s="704"/>
      <c r="K258" s="292"/>
      <c r="L258" s="292"/>
      <c r="M258" s="293"/>
    </row>
    <row r="259" spans="2:13">
      <c r="B259" s="304"/>
      <c r="C259" s="305"/>
      <c r="D259" s="306"/>
      <c r="E259" s="307"/>
      <c r="F259" s="308"/>
      <c r="G259" s="309" t="s">
        <v>2001</v>
      </c>
      <c r="H259" s="310"/>
      <c r="I259" s="291"/>
      <c r="J259" s="704"/>
      <c r="K259" s="292"/>
      <c r="L259" s="292"/>
      <c r="M259" s="293"/>
    </row>
    <row r="260" spans="2:13">
      <c r="B260" s="304"/>
      <c r="C260" s="305"/>
      <c r="D260" s="306"/>
      <c r="E260" s="307"/>
      <c r="F260" s="308"/>
      <c r="G260" s="309" t="s">
        <v>2001</v>
      </c>
      <c r="H260" s="310"/>
      <c r="I260" s="291"/>
      <c r="J260" s="704"/>
      <c r="K260" s="292"/>
      <c r="L260" s="292"/>
      <c r="M260" s="293"/>
    </row>
    <row r="261" spans="2:13">
      <c r="B261" s="304"/>
      <c r="C261" s="305"/>
      <c r="D261" s="306"/>
      <c r="E261" s="307"/>
      <c r="F261" s="308"/>
      <c r="G261" s="309" t="s">
        <v>2001</v>
      </c>
      <c r="H261" s="310"/>
      <c r="I261" s="291"/>
      <c r="J261" s="704"/>
      <c r="K261" s="292"/>
      <c r="L261" s="292"/>
      <c r="M261" s="293"/>
    </row>
    <row r="262" spans="2:13">
      <c r="B262" s="304"/>
      <c r="C262" s="305"/>
      <c r="D262" s="306"/>
      <c r="E262" s="307"/>
      <c r="F262" s="308"/>
      <c r="G262" s="309" t="s">
        <v>2001</v>
      </c>
      <c r="H262" s="310"/>
      <c r="I262" s="291"/>
      <c r="J262" s="704"/>
      <c r="K262" s="292"/>
      <c r="L262" s="292"/>
      <c r="M262" s="293"/>
    </row>
    <row r="263" spans="2:13">
      <c r="B263" s="304"/>
      <c r="C263" s="305"/>
      <c r="D263" s="306"/>
      <c r="E263" s="307"/>
      <c r="F263" s="308"/>
      <c r="G263" s="309" t="s">
        <v>2001</v>
      </c>
      <c r="H263" s="310"/>
      <c r="I263" s="291"/>
      <c r="J263" s="704"/>
      <c r="K263" s="292"/>
      <c r="L263" s="292"/>
      <c r="M263" s="293"/>
    </row>
    <row r="264" spans="2:13">
      <c r="B264" s="304"/>
      <c r="C264" s="305"/>
      <c r="D264" s="306"/>
      <c r="E264" s="307"/>
      <c r="F264" s="308"/>
      <c r="G264" s="309" t="s">
        <v>2001</v>
      </c>
      <c r="H264" s="310"/>
      <c r="I264" s="291"/>
      <c r="J264" s="704"/>
      <c r="K264" s="292"/>
      <c r="L264" s="292"/>
      <c r="M264" s="293"/>
    </row>
    <row r="265" spans="2:13">
      <c r="B265" s="304"/>
      <c r="C265" s="305"/>
      <c r="D265" s="306"/>
      <c r="E265" s="307"/>
      <c r="F265" s="308"/>
      <c r="G265" s="309" t="s">
        <v>2001</v>
      </c>
      <c r="H265" s="310"/>
      <c r="I265" s="291"/>
      <c r="J265" s="704"/>
      <c r="K265" s="292"/>
      <c r="L265" s="292"/>
      <c r="M265" s="293"/>
    </row>
    <row r="266" spans="2:13">
      <c r="B266" s="304"/>
      <c r="C266" s="305"/>
      <c r="D266" s="306"/>
      <c r="E266" s="307"/>
      <c r="F266" s="308"/>
      <c r="G266" s="309" t="s">
        <v>2001</v>
      </c>
      <c r="H266" s="310"/>
      <c r="I266" s="291"/>
      <c r="J266" s="704"/>
      <c r="K266" s="292"/>
      <c r="L266" s="292"/>
      <c r="M266" s="293"/>
    </row>
    <row r="267" spans="2:13">
      <c r="B267" s="304"/>
      <c r="C267" s="305"/>
      <c r="D267" s="306"/>
      <c r="E267" s="307"/>
      <c r="F267" s="308"/>
      <c r="G267" s="309" t="s">
        <v>2001</v>
      </c>
      <c r="H267" s="310"/>
      <c r="I267" s="291"/>
      <c r="J267" s="704"/>
      <c r="K267" s="292"/>
      <c r="L267" s="292"/>
      <c r="M267" s="293"/>
    </row>
    <row r="268" spans="2:13">
      <c r="B268" s="284"/>
      <c r="C268" s="285"/>
      <c r="D268" s="286"/>
      <c r="E268" s="287"/>
      <c r="F268" s="288"/>
      <c r="G268" s="289" t="str">
        <f>IFERROR(IF(ventas_b_mes10[[#This Row],[CUIT]]="","-",VLOOKUP(ventas_b_mes10[[#This Row],[CUIT]],Lista_CUIT[#All],2,0)),"CUIT NO CARGADO")</f>
        <v>-</v>
      </c>
      <c r="H268" s="290"/>
      <c r="I268" s="291"/>
      <c r="J268" s="704"/>
      <c r="K268" s="292"/>
      <c r="L268" s="292"/>
      <c r="M268" s="293"/>
    </row>
    <row r="269" spans="2:13">
      <c r="B269" s="284"/>
      <c r="C269" s="285"/>
      <c r="D269" s="286"/>
      <c r="E269" s="287"/>
      <c r="F269" s="288"/>
      <c r="G269" s="289" t="str">
        <f>IFERROR(IF(ventas_b_mes10[[#This Row],[CUIT]]="","-",VLOOKUP(ventas_b_mes10[[#This Row],[CUIT]],Lista_CUIT[#All],2,0)),"CUIT NO CARGADO")</f>
        <v>-</v>
      </c>
      <c r="H269" s="290"/>
      <c r="I269" s="291"/>
      <c r="J269" s="704"/>
      <c r="K269" s="292"/>
      <c r="L269" s="292"/>
      <c r="M269" s="293"/>
    </row>
    <row r="270" spans="2:13" ht="22.5" customHeight="1">
      <c r="B270" s="40"/>
      <c r="C270" s="41"/>
      <c r="D270" s="42"/>
      <c r="E270" s="43"/>
      <c r="F270" s="44"/>
      <c r="G270" s="1" t="str">
        <f>IFERROR(IF(ventas_b_mes10[[#This Row],[CUIT]]="","-",VLOOKUP(ventas_b_mes10[[#This Row],[CUIT]],Lista_CUIT[#All],2,0)),"CUIT NO CARGADO")</f>
        <v>-</v>
      </c>
      <c r="H270" s="64"/>
      <c r="I270" s="64"/>
      <c r="J270" s="703"/>
      <c r="K270" s="64"/>
      <c r="L270" s="64"/>
      <c r="M270" s="59"/>
    </row>
    <row r="271" spans="2:13">
      <c r="B271" s="40"/>
      <c r="C271" s="41"/>
      <c r="D271" s="42"/>
      <c r="E271" s="43"/>
      <c r="F271" s="44"/>
      <c r="G271" s="1" t="str">
        <f>IFERROR(IF(ventas_b_mes10[[#This Row],[CUIT]]="","-",VLOOKUP(ventas_b_mes10[[#This Row],[CUIT]],Lista_CUIT[#All],2,0)),"CUIT NO CARGADO")</f>
        <v>-</v>
      </c>
      <c r="H271" s="64"/>
      <c r="I271" s="64"/>
      <c r="J271" s="703"/>
      <c r="K271" s="64"/>
      <c r="L271" s="64"/>
      <c r="M271" s="59"/>
    </row>
    <row r="272" spans="2:13">
      <c r="B272" s="40"/>
      <c r="C272" s="41"/>
      <c r="D272" s="42"/>
      <c r="E272" s="43"/>
      <c r="F272" s="44"/>
      <c r="G272" s="1" t="str">
        <f>IFERROR(IF(ventas_b_mes10[[#This Row],[CUIT]]="","-",VLOOKUP(ventas_b_mes10[[#This Row],[CUIT]],Lista_CUIT[#All],2,0)),"CUIT NO CARGADO")</f>
        <v>-</v>
      </c>
      <c r="H272" s="64"/>
      <c r="I272" s="64"/>
      <c r="J272" s="703"/>
      <c r="K272" s="64"/>
      <c r="L272" s="64"/>
      <c r="M272" s="59"/>
    </row>
    <row r="273" spans="2:13">
      <c r="B273" s="40"/>
      <c r="C273" s="41"/>
      <c r="D273" s="42"/>
      <c r="E273" s="43"/>
      <c r="F273" s="44"/>
      <c r="G273" s="1" t="str">
        <f>IFERROR(IF(ventas_b_mes10[[#This Row],[CUIT]]="","-",VLOOKUP(ventas_b_mes10[[#This Row],[CUIT]],Lista_CUIT[#All],2,0)),"CUIT NO CARGADO")</f>
        <v>-</v>
      </c>
      <c r="H273" s="64"/>
      <c r="I273" s="64"/>
      <c r="J273" s="703"/>
      <c r="K273" s="64"/>
      <c r="L273" s="64"/>
      <c r="M273" s="59"/>
    </row>
    <row r="274" spans="2:13">
      <c r="B274" s="294"/>
      <c r="C274" s="295"/>
      <c r="D274" s="296"/>
      <c r="E274" s="297"/>
      <c r="F274" s="298"/>
      <c r="G274" s="299" t="str">
        <f>IFERROR(IF(ventas_b_mes10[[#This Row],[CUIT]]="","-",VLOOKUP(ventas_b_mes10[[#This Row],[CUIT]],Lista_CUIT[#All],2,0)),"CUIT NO CARGADO")</f>
        <v>-</v>
      </c>
      <c r="H274" s="300"/>
      <c r="I274" s="301"/>
      <c r="J274" s="705"/>
      <c r="K274" s="302"/>
      <c r="L274" s="302"/>
      <c r="M274" s="303"/>
    </row>
    <row r="275" spans="2:13">
      <c r="B275" s="294"/>
      <c r="C275" s="295"/>
      <c r="D275" s="296"/>
      <c r="E275" s="297"/>
      <c r="F275" s="298"/>
      <c r="G275" s="299" t="str">
        <f>IFERROR(IF(ventas_b_mes10[[#This Row],[CUIT]]="","-",VLOOKUP(ventas_b_mes10[[#This Row],[CUIT]],Lista_CUIT[#All],2,0)),"CUIT NO CARGADO")</f>
        <v>-</v>
      </c>
      <c r="H275" s="300"/>
      <c r="I275" s="301"/>
      <c r="J275" s="705"/>
      <c r="K275" s="302"/>
      <c r="L275" s="302"/>
      <c r="M275" s="303"/>
    </row>
    <row r="276" spans="2:13">
      <c r="B276" s="294"/>
      <c r="C276" s="295"/>
      <c r="D276" s="296"/>
      <c r="E276" s="297"/>
      <c r="F276" s="298"/>
      <c r="G276" s="299" t="str">
        <f>IFERROR(IF(ventas_b_mes10[[#This Row],[CUIT]]="","-",VLOOKUP(ventas_b_mes10[[#This Row],[CUIT]],Lista_CUIT[#All],2,0)),"CUIT NO CARGADO")</f>
        <v>-</v>
      </c>
      <c r="H276" s="300"/>
      <c r="I276" s="301">
        <f>ventas_b_mes10[[#This Row],[IMPORTE NETO]]*0.21</f>
        <v>0</v>
      </c>
      <c r="J276" s="705"/>
      <c r="K276" s="302"/>
      <c r="L276" s="302"/>
      <c r="M276" s="303"/>
    </row>
    <row r="277" spans="2:13">
      <c r="B277" s="294"/>
      <c r="C277" s="295"/>
      <c r="D277" s="296"/>
      <c r="E277" s="297"/>
      <c r="F277" s="298"/>
      <c r="G277" s="299" t="str">
        <f>IFERROR(IF(ventas_b_mes10[[#This Row],[CUIT]]="","-",VLOOKUP(ventas_b_mes10[[#This Row],[CUIT]],Lista_CUIT[#All],2,0)),"CUIT NO CARGADO")</f>
        <v>-</v>
      </c>
      <c r="H277" s="300"/>
      <c r="I277" s="301">
        <f>ventas_b_mes10[[#This Row],[IMPORTE NETO]]*0.21</f>
        <v>0</v>
      </c>
      <c r="J277" s="705"/>
      <c r="K277" s="302"/>
      <c r="L277" s="302"/>
      <c r="M277" s="303"/>
    </row>
    <row r="278" spans="2:13">
      <c r="B278" s="294"/>
      <c r="C278" s="295"/>
      <c r="D278" s="296"/>
      <c r="E278" s="297"/>
      <c r="F278" s="298"/>
      <c r="G278" s="299" t="str">
        <f>IFERROR(IF(ventas_b_mes10[[#This Row],[CUIT]]="","-",VLOOKUP(ventas_b_mes10[[#This Row],[CUIT]],Lista_CUIT[#All],2,0)),"CUIT NO CARGADO")</f>
        <v>-</v>
      </c>
      <c r="H278" s="300"/>
      <c r="I278" s="301">
        <f>ventas_b_mes10[[#This Row],[IMPORTE NETO]]*0.21</f>
        <v>0</v>
      </c>
      <c r="J278" s="705"/>
      <c r="K278" s="302"/>
      <c r="L278" s="302"/>
      <c r="M278" s="303"/>
    </row>
    <row r="279" spans="2:13">
      <c r="B279" s="294"/>
      <c r="C279" s="295"/>
      <c r="D279" s="296"/>
      <c r="E279" s="297"/>
      <c r="F279" s="298"/>
      <c r="G279" s="299" t="str">
        <f>IFERROR(IF(ventas_b_mes10[[#This Row],[CUIT]]="","-",VLOOKUP(ventas_b_mes10[[#This Row],[CUIT]],Lista_CUIT[#All],2,0)),"CUIT NO CARGADO")</f>
        <v>-</v>
      </c>
      <c r="H279" s="300"/>
      <c r="I279" s="301">
        <f>ventas_b_mes10[[#This Row],[IMPORTE NETO]]*0.21</f>
        <v>0</v>
      </c>
      <c r="J279" s="705"/>
      <c r="K279" s="302"/>
      <c r="L279" s="302"/>
      <c r="M279" s="303"/>
    </row>
    <row r="280" spans="2:13">
      <c r="B280" s="294"/>
      <c r="C280" s="295"/>
      <c r="D280" s="296"/>
      <c r="E280" s="297"/>
      <c r="F280" s="298"/>
      <c r="G280" s="299" t="str">
        <f>IFERROR(IF(ventas_b_mes10[[#This Row],[CUIT]]="","-",VLOOKUP(ventas_b_mes10[[#This Row],[CUIT]],Lista_CUIT[#All],2,0)),"CUIT NO CARGADO")</f>
        <v>-</v>
      </c>
      <c r="H280" s="300"/>
      <c r="I280" s="301">
        <f>ventas_b_mes10[[#This Row],[IMPORTE NETO]]*0.21</f>
        <v>0</v>
      </c>
      <c r="J280" s="705"/>
      <c r="K280" s="302"/>
      <c r="L280" s="302"/>
      <c r="M280" s="303"/>
    </row>
    <row r="281" spans="2:13" ht="15.75" thickBot="1">
      <c r="B281" s="66" t="s">
        <v>103</v>
      </c>
      <c r="C281" s="67"/>
      <c r="D281" s="67"/>
      <c r="E281" s="67"/>
      <c r="F281" s="67"/>
      <c r="G281" s="67"/>
      <c r="H281" s="77">
        <f>SUBTOTAL(109,ventas_b_mes10[IMPORTE NETO])</f>
        <v>0</v>
      </c>
      <c r="I281" s="77">
        <f>SUBTOTAL(109,ventas_b_mes10[IVA 21%])</f>
        <v>0</v>
      </c>
      <c r="J281" s="706">
        <f>SUBTOTAL(109,ventas_b_mes10[IVA 10,5%])</f>
        <v>0</v>
      </c>
      <c r="K281" s="78">
        <f>SUBTOTAL(109,ventas_b_mes10[EXENTO])</f>
        <v>0</v>
      </c>
      <c r="L281" s="78">
        <f>SUBTOTAL(109,ventas_b_mes10[TOTAL])</f>
        <v>0</v>
      </c>
      <c r="M281" s="68">
        <f>SUBTOTAL(103,ventas_b_mes10[Provincia])</f>
        <v>0</v>
      </c>
    </row>
    <row r="282" spans="2:13" ht="15.75" thickTop="1">
      <c r="C282" s="726" t="s">
        <v>66</v>
      </c>
      <c r="D282" s="726"/>
      <c r="E282" s="726"/>
      <c r="F282" s="726"/>
      <c r="G282" s="726"/>
      <c r="H282" s="32"/>
      <c r="I282" s="32"/>
      <c r="J282" s="707"/>
    </row>
    <row r="283" spans="2:13" ht="15.75">
      <c r="C283" s="114" t="s">
        <v>67</v>
      </c>
      <c r="D283" s="115" t="s">
        <v>68</v>
      </c>
      <c r="E283" s="115" t="s">
        <v>105</v>
      </c>
      <c r="F283" s="115" t="s">
        <v>3</v>
      </c>
      <c r="G283" s="115" t="s">
        <v>4</v>
      </c>
      <c r="H283" s="116" t="s">
        <v>69</v>
      </c>
      <c r="I283" s="116" t="s">
        <v>70</v>
      </c>
      <c r="J283" s="708" t="s">
        <v>71</v>
      </c>
      <c r="K283" s="116" t="s">
        <v>72</v>
      </c>
      <c r="L283" s="116" t="s">
        <v>73</v>
      </c>
    </row>
    <row r="284" spans="2:13">
      <c r="C284" s="117"/>
      <c r="D284" s="118"/>
      <c r="E284" s="118"/>
      <c r="F284" s="119"/>
      <c r="G284" s="53" t="str">
        <f>IFERROR(IF(Retenciones_mes10[[#This Row],[CUIT]]="","-",VLOOKUP(Retenciones_mes10[[#This Row],[CUIT]],Lista_CUIT[#All],2,0)),"CUIT NO CARGADO")</f>
        <v>-</v>
      </c>
      <c r="H284" s="120"/>
      <c r="I284" s="120"/>
      <c r="J284" s="709"/>
      <c r="K284" s="120"/>
      <c r="L284" s="120"/>
    </row>
    <row r="285" spans="2:13">
      <c r="C285" s="117"/>
      <c r="D285" s="118"/>
      <c r="E285" s="118"/>
      <c r="F285" s="119"/>
      <c r="G285" s="53" t="str">
        <f>IFERROR(IF(Retenciones_mes10[[#This Row],[CUIT]]="","-",VLOOKUP(Retenciones_mes10[[#This Row],[CUIT]],Lista_CUIT[#All],2,0)),"CUIT NO CARGADO")</f>
        <v>-</v>
      </c>
      <c r="H285" s="120"/>
      <c r="I285" s="120"/>
      <c r="J285" s="709"/>
      <c r="K285" s="120"/>
      <c r="L285" s="120"/>
    </row>
    <row r="286" spans="2:13">
      <c r="C286" s="117"/>
      <c r="D286" s="118"/>
      <c r="E286" s="118"/>
      <c r="F286" s="119"/>
      <c r="G286" s="53" t="str">
        <f>IFERROR(IF(Retenciones_mes10[[#This Row],[CUIT]]="","-",VLOOKUP(Retenciones_mes10[[#This Row],[CUIT]],Lista_CUIT[#All],2,0)),"CUIT NO CARGADO")</f>
        <v>-</v>
      </c>
      <c r="H286" s="120"/>
      <c r="I286" s="120"/>
      <c r="J286" s="709"/>
      <c r="K286" s="120"/>
      <c r="L286" s="120"/>
    </row>
    <row r="287" spans="2:13">
      <c r="C287" s="117"/>
      <c r="D287" s="118"/>
      <c r="E287" s="118"/>
      <c r="F287" s="119"/>
      <c r="G287" s="53" t="str">
        <f>IFERROR(IF(Retenciones_mes10[[#This Row],[CUIT]]="","-",VLOOKUP(Retenciones_mes10[[#This Row],[CUIT]],Lista_CUIT[#All],2,0)),"CUIT NO CARGADO")</f>
        <v>-</v>
      </c>
      <c r="H287" s="120"/>
      <c r="I287" s="120"/>
      <c r="J287" s="709"/>
      <c r="K287" s="120"/>
      <c r="L287" s="120"/>
    </row>
    <row r="288" spans="2:13">
      <c r="D288" s="118"/>
      <c r="E288" s="118"/>
      <c r="G288" s="53" t="str">
        <f>IFERROR(IF(Retenciones_mes10[[#This Row],[CUIT]]="","-",VLOOKUP(Retenciones_mes10[[#This Row],[CUIT]],Lista_CUIT[#All],2,0)),"CUIT NO CARGADO")</f>
        <v>-</v>
      </c>
    </row>
    <row r="289" spans="3:3">
      <c r="C289" s="33"/>
    </row>
  </sheetData>
  <mergeCells count="20">
    <mergeCell ref="C282:G282"/>
    <mergeCell ref="B4:E4"/>
    <mergeCell ref="G4:H4"/>
    <mergeCell ref="J4:K4"/>
    <mergeCell ref="M4:N4"/>
    <mergeCell ref="D196:K196"/>
    <mergeCell ref="B230:J230"/>
    <mergeCell ref="K230:M230"/>
    <mergeCell ref="B232:C232"/>
    <mergeCell ref="B246:C246"/>
    <mergeCell ref="P4:R4"/>
    <mergeCell ref="D181:L18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custom" allowBlank="1" showInputMessage="1" showErrorMessage="1" sqref="L239:L240">
      <formula1>IF($C176=3,L176&lt;0,L176&gt;=0)</formula1>
    </dataValidation>
    <dataValidation type="custom" allowBlank="1" showInputMessage="1" showErrorMessage="1" sqref="L234:L238">
      <formula1>IF(#REF!=3,#REF!&lt;0,#REF!&gt;=0)</formula1>
    </dataValidation>
    <dataValidation type="custom" allowBlank="1" showInputMessage="1" showErrorMessage="1" sqref="H234:K234 H236:K236 H238:K238 H240:K240">
      <formula1>IF($C234=3,H234&lt;0,H234&gt;=0)</formula1>
    </dataValidation>
    <dataValidation type="whole" allowBlank="1" showInputMessage="1" showErrorMessage="1" sqref="C177:C180 C234:C242 C9:C175">
      <formula1>1</formula1>
      <formula2>3</formula2>
    </dataValidation>
    <dataValidation type="date" allowBlank="1" showInputMessage="1" showErrorMessage="1" sqref="B234:B242 B177:B180 D183:D191 B248:B280 D198:D223 B9:B175">
      <formula1>40179</formula1>
      <formula2>TODAY()</formula2>
    </dataValidation>
    <dataValidation type="whole" allowBlank="1" showInputMessage="1" showErrorMessage="1" sqref="F234:F242 F248:F280 G198:G223 F9:F175">
      <formula1>20000000000</formula1>
      <formula2>33999999999</formula2>
    </dataValidation>
    <dataValidation type="whole" allowBlank="1" showInputMessage="1" showErrorMessage="1" sqref="E234:E242 E248:E280 F198:F223 E9:E175">
      <formula1>1</formula1>
      <formula2>99999999</formula2>
    </dataValidation>
    <dataValidation type="whole" allowBlank="1" showInputMessage="1" showErrorMessage="1" sqref="D234:D242 D248:D280 E198:E223 D9:D175">
      <formula1>1</formula1>
      <formula2>9999</formula2>
    </dataValidation>
    <dataValidation type="whole" allowBlank="1" showInputMessage="1" showErrorMessage="1" sqref="C248:C280">
      <formula1>6</formula1>
      <formula2>8</formula2>
    </dataValidation>
    <dataValidation type="custom" allowBlank="1" showInputMessage="1" showErrorMessage="1" sqref="H248:L280">
      <formula1>IF($C248=8,H248&lt;0,H248&gt;=0)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75">
      <formula1>IF($C9=3,H9&lt;0,H9&gt;=0)</formula1>
    </dataValidation>
  </dataValidations>
  <pageMargins left="0.7" right="0.7" top="0.75" bottom="0.75" header="0.3" footer="0.3"/>
  <pageSetup paperSize="9" orientation="portrait" r:id="rId1"/>
  <ignoredErrors>
    <ignoredError sqref="I248:I275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Z2590"/>
  <sheetViews>
    <sheetView showGridLines="0" topLeftCell="A2" zoomScale="93" zoomScaleNormal="93" workbookViewId="0">
      <selection activeCell="E201" sqref="E201"/>
    </sheetView>
  </sheetViews>
  <sheetFormatPr baseColWidth="10" defaultColWidth="0" defaultRowHeight="15"/>
  <cols>
    <col min="1" max="1" width="0.7109375" customWidth="1"/>
    <col min="2" max="2" width="8.85546875" customWidth="1"/>
    <col min="3" max="3" width="5.5703125" customWidth="1"/>
    <col min="4" max="4" width="19.140625" customWidth="1"/>
    <col min="5" max="5" width="12.85546875" customWidth="1"/>
    <col min="6" max="6" width="27" customWidth="1"/>
    <col min="7" max="7" width="26.7109375" customWidth="1"/>
    <col min="8" max="8" width="28.140625" customWidth="1"/>
    <col min="9" max="9" width="18.28515625" customWidth="1"/>
    <col min="10" max="10" width="24.7109375" customWidth="1"/>
    <col min="11" max="11" width="18.42578125" customWidth="1"/>
    <col min="12" max="12" width="18.28515625" bestFit="1" customWidth="1"/>
    <col min="13" max="13" width="15.7109375" customWidth="1"/>
    <col min="14" max="14" width="18.85546875" bestFit="1" customWidth="1"/>
    <col min="15" max="15" width="15.7109375" customWidth="1"/>
    <col min="16" max="16" width="23.140625" customWidth="1"/>
    <col min="17" max="17" width="21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15" t="e">
        <v>#REF!</v>
      </c>
      <c r="H1" s="715"/>
      <c r="I1" s="715"/>
      <c r="J1" s="715"/>
      <c r="K1" s="715"/>
      <c r="L1" s="715"/>
      <c r="M1" s="715"/>
      <c r="N1" s="711">
        <f>EDATE('Ene-24'!N1,11)</f>
        <v>45261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SUM(compras_mes123[[#Totals],[NETO GRAVADO]])+extracto_banco_mes1256[[#Totals],[NETO]]</f>
        <v>97471460.844188228</v>
      </c>
      <c r="C4" s="718"/>
      <c r="D4" s="718"/>
      <c r="E4" s="718"/>
      <c r="F4" s="39"/>
      <c r="G4" s="719">
        <f>compras_mes123[[#Totals],[IVA 21 %]]+compras_mes123[[#Totals],[IVA 27%]]+compras_mes123[[#Totals],[IVA 10,5%]]+extracto_banco_mes1256[[#Totals],[IVA 21%]]+extracto_banco_mes1256[[#Totals],[IVA 10,5%]]</f>
        <v>20072542.711227924</v>
      </c>
      <c r="H4" s="719"/>
      <c r="I4" s="39"/>
      <c r="J4" s="725">
        <f>venta_a_mes1254[[#Totals],[IMPORTE NETO]]+ventas_b_mes1255[[#Totals],[IMPORTE NETO]]</f>
        <v>0</v>
      </c>
      <c r="K4" s="725"/>
      <c r="L4" s="39"/>
      <c r="M4" s="725">
        <f>venta_a_mes1254[[#Totals],[IVA 21%]]+venta_a_mes1254[[#Totals],[IVA 10,5%]]+ventas_b_mes1255[[#Totals],[IVA 21%]]+ventas_b_mes1255[[#Totals],[IVA 10,5%]]</f>
        <v>0</v>
      </c>
      <c r="N4" s="725"/>
      <c r="O4" s="39"/>
      <c r="P4" s="721">
        <f>G4-M4</f>
        <v>20072542.711227924</v>
      </c>
      <c r="Q4" s="722"/>
      <c r="R4" s="722"/>
    </row>
    <row r="5" spans="1:26" ht="13.15" customHeight="1"/>
    <row r="6" spans="1:26">
      <c r="G6" s="673" t="s">
        <v>2602</v>
      </c>
      <c r="H6" s="576" t="s">
        <v>2603</v>
      </c>
    </row>
    <row r="7" spans="1:26" s="2" customForma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/>
      <c r="C9" s="41"/>
      <c r="D9" s="42"/>
      <c r="E9" s="43"/>
      <c r="F9" s="44"/>
      <c r="G9" s="45" t="str">
        <f>IFERROR(IF(compras_mes123[[#This Row],[CUIT]]="","-",VLOOKUP(compras_mes123[[#This Row],[CUIT]],Lista_CUIT[#All],2,0)),"CUIT NO CARGADO")</f>
        <v>-</v>
      </c>
      <c r="H9" s="46"/>
      <c r="I9" s="85" t="str">
        <f>IF(compras_mes123[[#This Row],[NETO GRAVADO]]="","",compras_mes123[[#This Row],[NETO GRAVADO]]*0.21)</f>
        <v/>
      </c>
      <c r="J9" s="85"/>
      <c r="K9" s="85"/>
      <c r="L9" s="85"/>
      <c r="M9" s="85"/>
      <c r="N9" s="85"/>
      <c r="O9" s="85"/>
      <c r="P9" s="48">
        <f>SUM(compras_mes123[[#This Row],[NETO GRAVADO]:[Otros / No Grav.]])</f>
        <v>0</v>
      </c>
      <c r="Q9" s="49" t="str">
        <f>IFERROR(IF(compras_mes123[[#This Row],[CUIT]]="","-",VLOOKUP(compras_mes123[[#This Row],[CUIT]],Lista_CUIT[#All],3,0)),"CUIT NO CARGADO")</f>
        <v>-</v>
      </c>
      <c r="R9" s="49" t="str">
        <f>IFERROR(IF(compras_mes123[[#This Row],[CUIT]]="","-",VLOOKUP(compras_mes123[[#This Row],[CUIT]],Lista_CUIT[#All],4,0)),"CUIT NO CARGADO")</f>
        <v>-</v>
      </c>
    </row>
    <row r="10" spans="1:26">
      <c r="B10" s="40"/>
      <c r="C10" s="41"/>
      <c r="D10" s="42"/>
      <c r="E10" s="43"/>
      <c r="F10" s="44"/>
      <c r="G10" s="45" t="str">
        <f>IFERROR(IF(compras_mes123[[#This Row],[CUIT]]="","-",VLOOKUP(compras_mes123[[#This Row],[CUIT]],Lista_CUIT[#All],2,0)),"CUIT NO CARGADO")</f>
        <v>-</v>
      </c>
      <c r="H10" s="46"/>
      <c r="I10" s="85" t="str">
        <f>IF(compras_mes123[[#This Row],[NETO GRAVADO]]="","",compras_mes123[[#This Row],[NETO GRAVADO]]*0.21)</f>
        <v/>
      </c>
      <c r="J10" s="85"/>
      <c r="K10" s="85"/>
      <c r="L10" s="85"/>
      <c r="M10" s="85"/>
      <c r="N10" s="85"/>
      <c r="O10" s="85"/>
      <c r="P10" s="48">
        <f>SUM(compras_mes123[[#This Row],[NETO GRAVADO]:[Otros / No Grav.]])</f>
        <v>0</v>
      </c>
      <c r="Q10" s="49" t="str">
        <f>IFERROR(IF(compras_mes123[[#This Row],[CUIT]]="","-",VLOOKUP(compras_mes123[[#This Row],[CUIT]],Lista_CUIT[#All],3,0)),"CUIT NO CARGADO")</f>
        <v>-</v>
      </c>
      <c r="R10" s="49" t="str">
        <f>IFERROR(IF(compras_mes123[[#This Row],[CUIT]]="","-",VLOOKUP(compras_mes123[[#This Row],[CUIT]],Lista_CUIT[#All],4,0)),"CUIT NO CARGADO")</f>
        <v>-</v>
      </c>
    </row>
    <row r="11" spans="1:26">
      <c r="B11" s="40"/>
      <c r="C11" s="41"/>
      <c r="D11" s="42"/>
      <c r="E11" s="43"/>
      <c r="F11" s="44"/>
      <c r="G11" s="45" t="str">
        <f>IFERROR(IF(compras_mes123[[#This Row],[CUIT]]="","-",VLOOKUP(compras_mes123[[#This Row],[CUIT]],Lista_CUIT[#All],2,0)),"CUIT NO CARGADO")</f>
        <v>-</v>
      </c>
      <c r="H11" s="46"/>
      <c r="I11" s="85" t="str">
        <f>IF(compras_mes123[[#This Row],[NETO GRAVADO]]="","",compras_mes123[[#This Row],[NETO GRAVADO]]*0.21)</f>
        <v/>
      </c>
      <c r="J11" s="85"/>
      <c r="K11" s="85"/>
      <c r="L11" s="85"/>
      <c r="M11" s="85"/>
      <c r="N11" s="85"/>
      <c r="O11" s="85"/>
      <c r="P11" s="48">
        <f>SUM(compras_mes123[[#This Row],[NETO GRAVADO]:[Otros / No Grav.]])</f>
        <v>0</v>
      </c>
      <c r="Q11" s="49" t="str">
        <f>IFERROR(IF(compras_mes123[[#This Row],[CUIT]]="","-",VLOOKUP(compras_mes123[[#This Row],[CUIT]],Lista_CUIT[#All],3,0)),"CUIT NO CARGADO")</f>
        <v>-</v>
      </c>
      <c r="R11" s="49" t="str">
        <f>IFERROR(IF(compras_mes123[[#This Row],[CUIT]]="","-",VLOOKUP(compras_mes123[[#This Row],[CUIT]],Lista_CUIT[#All],4,0)),"CUIT NO CARGADO")</f>
        <v>-</v>
      </c>
    </row>
    <row r="12" spans="1:26">
      <c r="B12" s="40"/>
      <c r="C12" s="41"/>
      <c r="D12" s="42"/>
      <c r="E12" s="43"/>
      <c r="F12" s="44"/>
      <c r="G12" s="45" t="str">
        <f>IFERROR(IF(compras_mes123[[#This Row],[CUIT]]="","-",VLOOKUP(compras_mes123[[#This Row],[CUIT]],Lista_CUIT[#All],2,0)),"CUIT NO CARGADO")</f>
        <v>-</v>
      </c>
      <c r="H12" s="46"/>
      <c r="I12" s="85" t="str">
        <f>IF(compras_mes123[[#This Row],[NETO GRAVADO]]="","",compras_mes123[[#This Row],[NETO GRAVADO]]*0.21)</f>
        <v/>
      </c>
      <c r="J12" s="85"/>
      <c r="K12" s="85"/>
      <c r="L12" s="85"/>
      <c r="M12" s="85"/>
      <c r="N12" s="85"/>
      <c r="O12" s="85"/>
      <c r="P12" s="48">
        <f>SUM(compras_mes123[[#This Row],[NETO GRAVADO]:[Otros / No Grav.]])</f>
        <v>0</v>
      </c>
      <c r="Q12" s="49" t="str">
        <f>IFERROR(IF(compras_mes123[[#This Row],[CUIT]]="","-",VLOOKUP(compras_mes123[[#This Row],[CUIT]],Lista_CUIT[#All],3,0)),"CUIT NO CARGADO")</f>
        <v>-</v>
      </c>
      <c r="R12" s="49" t="str">
        <f>IFERROR(IF(compras_mes123[[#This Row],[CUIT]]="","-",VLOOKUP(compras_mes123[[#This Row],[CUIT]],Lista_CUIT[#All],4,0)),"CUIT NO CARGADO")</f>
        <v>-</v>
      </c>
    </row>
    <row r="13" spans="1:26">
      <c r="B13" s="40"/>
      <c r="C13" s="41"/>
      <c r="D13" s="42"/>
      <c r="E13" s="43"/>
      <c r="F13" s="44"/>
      <c r="G13" s="45" t="str">
        <f>IFERROR(IF(compras_mes123[[#This Row],[CUIT]]="","-",VLOOKUP(compras_mes123[[#This Row],[CUIT]],Lista_CUIT[#All],2,0)),"CUIT NO CARGADO")</f>
        <v>-</v>
      </c>
      <c r="H13" s="46"/>
      <c r="I13" s="85" t="str">
        <f>IF(compras_mes123[[#This Row],[NETO GRAVADO]]="","",compras_mes123[[#This Row],[NETO GRAVADO]]*0.21)</f>
        <v/>
      </c>
      <c r="J13" s="85"/>
      <c r="K13" s="85"/>
      <c r="L13" s="85"/>
      <c r="M13" s="85"/>
      <c r="N13" s="85"/>
      <c r="O13" s="85"/>
      <c r="P13" s="48">
        <f>SUM(compras_mes123[[#This Row],[NETO GRAVADO]:[Otros / No Grav.]])</f>
        <v>0</v>
      </c>
      <c r="Q13" s="49" t="str">
        <f>IFERROR(IF(compras_mes123[[#This Row],[CUIT]]="","-",VLOOKUP(compras_mes123[[#This Row],[CUIT]],Lista_CUIT[#All],3,0)),"CUIT NO CARGADO")</f>
        <v>-</v>
      </c>
      <c r="R13" s="49" t="str">
        <f>IFERROR(IF(compras_mes123[[#This Row],[CUIT]]="","-",VLOOKUP(compras_mes123[[#This Row],[CUIT]],Lista_CUIT[#All],4,0)),"CUIT NO CARGADO")</f>
        <v>-</v>
      </c>
    </row>
    <row r="14" spans="1:26" s="56" customFormat="1" ht="18.600000000000001" customHeight="1">
      <c r="B14" s="649" t="s">
        <v>2525</v>
      </c>
      <c r="C14" s="650">
        <v>1</v>
      </c>
      <c r="D14" s="651">
        <v>1</v>
      </c>
      <c r="E14" s="652">
        <v>556</v>
      </c>
      <c r="F14" s="653">
        <v>20131206144</v>
      </c>
      <c r="G14" s="654" t="str">
        <f>IFERROR(IF(compras_mes123[[#This Row],[CUIT]]="","-",VLOOKUP(compras_mes123[[#This Row],[CUIT]],Lista_CUIT[#All],2,0)),"CUIT NO CARGADO")</f>
        <v>CHAMORRO MANUEL</v>
      </c>
      <c r="H14" s="615">
        <v>1009489</v>
      </c>
      <c r="I14" s="609">
        <f>IF(compras_mes123[[#This Row],[NETO GRAVADO]]="","",compras_mes123[[#This Row],[NETO GRAVADO]]*0.21)</f>
        <v>211992.69</v>
      </c>
      <c r="J14" s="609"/>
      <c r="K14" s="609"/>
      <c r="L14" s="609"/>
      <c r="M14" s="609"/>
      <c r="N14" s="609"/>
      <c r="O14" s="609"/>
      <c r="P14" s="610">
        <f>SUM(compras_mes123[[#This Row],[NETO GRAVADO]:[Otros / No Grav.]])</f>
        <v>1221481.69</v>
      </c>
      <c r="Q14" s="655" t="str">
        <f>IFERROR(IF(compras_mes123[[#This Row],[CUIT]]="","-",VLOOKUP(compras_mes123[[#This Row],[CUIT]],Lista_CUIT[#All],3,0)),"CUIT NO CARGADO")</f>
        <v>Alquiler</v>
      </c>
      <c r="R14" s="655">
        <f>IFERROR(IF(compras_mes123[[#This Row],[CUIT]]="","-",VLOOKUP(compras_mes123[[#This Row],[CUIT]],Lista_CUIT[#All],4,0)),"CUIT NO CARGADO")</f>
        <v>0</v>
      </c>
    </row>
    <row r="15" spans="1:26">
      <c r="B15" s="167" t="s">
        <v>2580</v>
      </c>
      <c r="C15" s="168">
        <v>1</v>
      </c>
      <c r="D15" s="169">
        <v>2</v>
      </c>
      <c r="E15" s="170">
        <v>281</v>
      </c>
      <c r="F15" s="171">
        <v>27309896063</v>
      </c>
      <c r="G15" s="172" t="str">
        <f>IFERROR(IF(compras_mes123[[#This Row],[CUIT]]="","-",VLOOKUP(compras_mes123[[#This Row],[CUIT]],Lista_CUIT[#All],2,0)),"CUIT NO CARGADO")</f>
        <v>BATTELLINI MARIA SOLEDAD</v>
      </c>
      <c r="H15" s="173">
        <v>550000</v>
      </c>
      <c r="I15" s="174">
        <f>IF(compras_mes123[[#This Row],[NETO GRAVADO]]="","",compras_mes123[[#This Row],[NETO GRAVADO]]*0.21)</f>
        <v>115500</v>
      </c>
      <c r="J15" s="174"/>
      <c r="K15" s="174"/>
      <c r="L15" s="174"/>
      <c r="M15" s="174"/>
      <c r="N15" s="174"/>
      <c r="O15" s="174"/>
      <c r="P15" s="175">
        <f>SUM(compras_mes123[[#This Row],[NETO GRAVADO]:[Otros / No Grav.]])</f>
        <v>665500</v>
      </c>
      <c r="Q15" s="176" t="str">
        <f>IFERROR(IF(compras_mes123[[#This Row],[CUIT]]="","-",VLOOKUP(compras_mes123[[#This Row],[CUIT]],Lista_CUIT[#All],3,0)),"CUIT NO CARGADO")</f>
        <v>Alquiler</v>
      </c>
      <c r="R15" s="176">
        <f>IFERROR(IF(compras_mes123[[#This Row],[CUIT]]="","-",VLOOKUP(compras_mes123[[#This Row],[CUIT]],Lista_CUIT[#All],4,0)),"CUIT NO CARGADO")</f>
        <v>0</v>
      </c>
    </row>
    <row r="16" spans="1:26">
      <c r="B16" s="649" t="s">
        <v>2527</v>
      </c>
      <c r="C16" s="650">
        <v>1</v>
      </c>
      <c r="D16" s="651">
        <v>1</v>
      </c>
      <c r="E16" s="652">
        <v>138</v>
      </c>
      <c r="F16" s="653">
        <v>30716010313</v>
      </c>
      <c r="G16" s="654" t="str">
        <f>IFERROR(IF(compras_mes123[[#This Row],[CUIT]]="","-",VLOOKUP(compras_mes123[[#This Row],[CUIT]],Lista_CUIT[#All],2,0)),"CUIT NO CARGADO")</f>
        <v>H UNO 1469 S.A.</v>
      </c>
      <c r="H16" s="615">
        <v>500000</v>
      </c>
      <c r="I16" s="609">
        <f>IF(compras_mes123[[#This Row],[NETO GRAVADO]]="","",compras_mes123[[#This Row],[NETO GRAVADO]]*0.21)</f>
        <v>105000</v>
      </c>
      <c r="J16" s="609"/>
      <c r="K16" s="609"/>
      <c r="L16" s="609"/>
      <c r="M16" s="609"/>
      <c r="N16" s="609"/>
      <c r="O16" s="609"/>
      <c r="P16" s="610">
        <f>SUM(compras_mes123[[#This Row],[NETO GRAVADO]:[Otros / No Grav.]])</f>
        <v>605000</v>
      </c>
      <c r="Q16" s="655" t="str">
        <f>IFERROR(IF(compras_mes123[[#This Row],[CUIT]]="","-",VLOOKUP(compras_mes123[[#This Row],[CUIT]],Lista_CUIT[#All],3,0)),"CUIT NO CARGADO")</f>
        <v>Alquiler</v>
      </c>
      <c r="R16" s="655">
        <f>IFERROR(IF(compras_mes123[[#This Row],[CUIT]]="","-",VLOOKUP(compras_mes123[[#This Row],[CUIT]],Lista_CUIT[#All],4,0)),"CUIT NO CARGADO")</f>
        <v>0</v>
      </c>
    </row>
    <row r="17" spans="2:18" ht="14.45" customHeight="1">
      <c r="B17" s="40" t="s">
        <v>2526</v>
      </c>
      <c r="C17" s="41">
        <v>1</v>
      </c>
      <c r="D17" s="42">
        <v>12</v>
      </c>
      <c r="E17" s="43">
        <v>52460</v>
      </c>
      <c r="F17" s="44">
        <v>30696131003</v>
      </c>
      <c r="G17" s="45" t="str">
        <f>IFERROR(IF(compras_mes123[[#This Row],[CUIT]]="","-",VLOOKUP(compras_mes123[[#This Row],[CUIT]],Lista_CUIT[#All],2,0)),"CUIT NO CARGADO")</f>
        <v>Petrolfe S.A.</v>
      </c>
      <c r="H17" s="46">
        <v>161729.591796875</v>
      </c>
      <c r="I17" s="85">
        <f>IF(compras_mes123[[#This Row],[NETO GRAVADO]]="","",compras_mes123[[#This Row],[NETO GRAVADO]]*0.21)</f>
        <v>33963.214277343752</v>
      </c>
      <c r="J17" s="85"/>
      <c r="K17" s="85"/>
      <c r="L17" s="85"/>
      <c r="M17" s="85"/>
      <c r="N17" s="85"/>
      <c r="O17" s="85">
        <v>30372.689453125</v>
      </c>
      <c r="P17" s="48">
        <f>SUM(compras_mes123[[#This Row],[NETO GRAVADO]:[Otros / No Grav.]])</f>
        <v>226065.49552734377</v>
      </c>
      <c r="Q17" s="49" t="str">
        <f>IFERROR(IF(compras_mes123[[#This Row],[CUIT]]="","-",VLOOKUP(compras_mes123[[#This Row],[CUIT]],Lista_CUIT[#All],3,0)),"CUIT NO CARGADO")</f>
        <v>Combustible</v>
      </c>
      <c r="R17" s="49">
        <f>IFERROR(IF(compras_mes123[[#This Row],[CUIT]]="","-",VLOOKUP(compras_mes123[[#This Row],[CUIT]],Lista_CUIT[#All],4,0)),"CUIT NO CARGADO")</f>
        <v>0</v>
      </c>
    </row>
    <row r="18" spans="2:18" ht="14.45" customHeight="1">
      <c r="B18" s="167" t="s">
        <v>2580</v>
      </c>
      <c r="C18" s="168">
        <v>1</v>
      </c>
      <c r="D18" s="169">
        <v>6850</v>
      </c>
      <c r="E18" s="170">
        <v>23632</v>
      </c>
      <c r="F18" s="171">
        <v>30678774495</v>
      </c>
      <c r="G18" s="172" t="str">
        <f>IFERROR(IF(compras_mes123[[#This Row],[CUIT]]="","-",VLOOKUP(compras_mes123[[#This Row],[CUIT]],Lista_CUIT[#All],2,0)),"CUIT NO CARGADO")</f>
        <v>OPER. DE EST. DE SERV. SA</v>
      </c>
      <c r="H18" s="173">
        <v>7906.47</v>
      </c>
      <c r="I18" s="174">
        <f>IF(compras_mes123[[#This Row],[NETO GRAVADO]]="","",compras_mes123[[#This Row],[NETO GRAVADO]]*0.21)</f>
        <v>1660.3587</v>
      </c>
      <c r="J18" s="174"/>
      <c r="K18" s="174"/>
      <c r="L18" s="174"/>
      <c r="M18" s="174"/>
      <c r="N18" s="174"/>
      <c r="O18" s="174">
        <v>1433.15</v>
      </c>
      <c r="P18" s="175">
        <f>SUM(compras_mes123[[#This Row],[NETO GRAVADO]:[Otros / No Grav.]])</f>
        <v>10999.9787</v>
      </c>
      <c r="Q18" s="176" t="str">
        <f>IFERROR(IF(compras_mes123[[#This Row],[CUIT]]="","-",VLOOKUP(compras_mes123[[#This Row],[CUIT]],Lista_CUIT[#All],3,0)),"CUIT NO CARGADO")</f>
        <v>Combustible</v>
      </c>
      <c r="R18" s="176">
        <f>IFERROR(IF(compras_mes123[[#This Row],[CUIT]]="","-",VLOOKUP(compras_mes123[[#This Row],[CUIT]],Lista_CUIT[#All],4,0)),"CUIT NO CARGADO")</f>
        <v>0</v>
      </c>
    </row>
    <row r="19" spans="2:18" ht="15" customHeight="1">
      <c r="B19" s="167" t="s">
        <v>2565</v>
      </c>
      <c r="C19" s="168">
        <v>1</v>
      </c>
      <c r="D19" s="169">
        <v>6852</v>
      </c>
      <c r="E19" s="170">
        <v>27636</v>
      </c>
      <c r="F19" s="171">
        <v>30678774495</v>
      </c>
      <c r="G19" s="172" t="str">
        <f>IFERROR(IF(compras_mes123[[#This Row],[CUIT]]="","-",VLOOKUP(compras_mes123[[#This Row],[CUIT]],Lista_CUIT[#All],2,0)),"CUIT NO CARGADO")</f>
        <v>OPER. DE EST. DE SERV. SA</v>
      </c>
      <c r="H19" s="173">
        <v>8630.99</v>
      </c>
      <c r="I19" s="174">
        <f>IF(compras_mes123[[#This Row],[NETO GRAVADO]]="","",compras_mes123[[#This Row],[NETO GRAVADO]]*0.21)</f>
        <v>1812.5078999999998</v>
      </c>
      <c r="J19" s="174"/>
      <c r="K19" s="174"/>
      <c r="L19" s="174"/>
      <c r="M19" s="174"/>
      <c r="N19" s="174"/>
      <c r="O19" s="174">
        <v>1564.48</v>
      </c>
      <c r="P19" s="175">
        <f>SUM(compras_mes123[[#This Row],[NETO GRAVADO]:[Otros / No Grav.]])</f>
        <v>12007.9779</v>
      </c>
      <c r="Q19" s="176" t="str">
        <f>IFERROR(IF(compras_mes123[[#This Row],[CUIT]]="","-",VLOOKUP(compras_mes123[[#This Row],[CUIT]],Lista_CUIT[#All],3,0)),"CUIT NO CARGADO")</f>
        <v>Combustible</v>
      </c>
      <c r="R19" s="176">
        <f>IFERROR(IF(compras_mes123[[#This Row],[CUIT]]="","-",VLOOKUP(compras_mes123[[#This Row],[CUIT]],Lista_CUIT[#All],4,0)),"CUIT NO CARGADO")</f>
        <v>0</v>
      </c>
    </row>
    <row r="20" spans="2:18" ht="15" customHeight="1">
      <c r="B20" s="158" t="s">
        <v>2529</v>
      </c>
      <c r="C20" s="41">
        <v>1</v>
      </c>
      <c r="D20" s="159">
        <v>12</v>
      </c>
      <c r="E20" s="160">
        <v>52868</v>
      </c>
      <c r="F20" s="161">
        <v>30696131003</v>
      </c>
      <c r="G20" s="162" t="str">
        <f>IFERROR(IF(compras_mes123[[#This Row],[CUIT]]="","-",VLOOKUP(compras_mes123[[#This Row],[CUIT]],Lista_CUIT[#All],2,0)),"CUIT NO CARGADO")</f>
        <v>Petrolfe S.A.</v>
      </c>
      <c r="H20" s="163">
        <v>137849.703125</v>
      </c>
      <c r="I20" s="85">
        <f>IF(compras_mes123[[#This Row],[NETO GRAVADO]]="","",compras_mes123[[#This Row],[NETO GRAVADO]]*0.21)</f>
        <v>28948.43765625</v>
      </c>
      <c r="J20" s="164"/>
      <c r="K20" s="164"/>
      <c r="L20" s="164"/>
      <c r="M20" s="164"/>
      <c r="N20" s="164"/>
      <c r="O20" s="164">
        <v>24089.76953125</v>
      </c>
      <c r="P20" s="165">
        <f>SUM(compras_mes123[[#This Row],[NETO GRAVADO]:[Otros / No Grav.]])</f>
        <v>190887.9103125</v>
      </c>
      <c r="Q20" s="166" t="str">
        <f>IFERROR(IF(compras_mes123[[#This Row],[CUIT]]="","-",VLOOKUP(compras_mes123[[#This Row],[CUIT]],Lista_CUIT[#All],3,0)),"CUIT NO CARGADO")</f>
        <v>Combustible</v>
      </c>
      <c r="R20" s="166">
        <f>IFERROR(IF(compras_mes123[[#This Row],[CUIT]]="","-",VLOOKUP(compras_mes123[[#This Row],[CUIT]],Lista_CUIT[#All],4,0)),"CUIT NO CARGADO")</f>
        <v>0</v>
      </c>
    </row>
    <row r="21" spans="2:18" ht="15" customHeight="1">
      <c r="B21" s="167" t="s">
        <v>2591</v>
      </c>
      <c r="C21" s="168">
        <v>1</v>
      </c>
      <c r="D21" s="169">
        <v>6852</v>
      </c>
      <c r="E21" s="170">
        <v>27760</v>
      </c>
      <c r="F21" s="171">
        <v>30678774495</v>
      </c>
      <c r="G21" s="172" t="str">
        <f>IFERROR(IF(compras_mes123[[#This Row],[CUIT]]="","-",VLOOKUP(compras_mes123[[#This Row],[CUIT]],Lista_CUIT[#All],2,0)),"CUIT NO CARGADO")</f>
        <v>OPER. DE EST. DE SERV. SA</v>
      </c>
      <c r="H21" s="173">
        <v>7187.75</v>
      </c>
      <c r="I21" s="174">
        <f>IF(compras_mes123[[#This Row],[NETO GRAVADO]]="","",compras_mes123[[#This Row],[NETO GRAVADO]]*0.21)</f>
        <v>1509.4275</v>
      </c>
      <c r="J21" s="174"/>
      <c r="K21" s="174"/>
      <c r="L21" s="174"/>
      <c r="M21" s="174"/>
      <c r="N21" s="174"/>
      <c r="O21" s="174">
        <v>1302.8699999999999</v>
      </c>
      <c r="P21" s="175">
        <f>SUM(compras_mes123[[#This Row],[NETO GRAVADO]:[Otros / No Grav.]])</f>
        <v>10000.047500000001</v>
      </c>
      <c r="Q21" s="176" t="str">
        <f>IFERROR(IF(compras_mes123[[#This Row],[CUIT]]="","-",VLOOKUP(compras_mes123[[#This Row],[CUIT]],Lista_CUIT[#All],3,0)),"CUIT NO CARGADO")</f>
        <v>Combustible</v>
      </c>
      <c r="R21" s="176">
        <f>IFERROR(IF(compras_mes123[[#This Row],[CUIT]]="","-",VLOOKUP(compras_mes123[[#This Row],[CUIT]],Lista_CUIT[#All],4,0)),"CUIT NO CARGADO")</f>
        <v>0</v>
      </c>
    </row>
    <row r="22" spans="2:18" ht="15" customHeight="1">
      <c r="B22" s="167" t="s">
        <v>2578</v>
      </c>
      <c r="C22" s="168">
        <v>1</v>
      </c>
      <c r="D22" s="169">
        <v>6854</v>
      </c>
      <c r="E22" s="170">
        <v>17610</v>
      </c>
      <c r="F22" s="171">
        <v>30678774495</v>
      </c>
      <c r="G22" s="172" t="str">
        <f>IFERROR(IF(compras_mes123[[#This Row],[CUIT]]="","-",VLOOKUP(compras_mes123[[#This Row],[CUIT]],Lista_CUIT[#All],2,0)),"CUIT NO CARGADO")</f>
        <v>OPER. DE EST. DE SERV. SA</v>
      </c>
      <c r="H22" s="173">
        <v>28992.38</v>
      </c>
      <c r="I22" s="174">
        <f>IF(compras_mes123[[#This Row],[NETO GRAVADO]]="","",compras_mes123[[#This Row],[NETO GRAVADO]]*0.21)</f>
        <v>6088.3998000000001</v>
      </c>
      <c r="J22" s="174"/>
      <c r="K22" s="174"/>
      <c r="L22" s="174"/>
      <c r="M22" s="174"/>
      <c r="N22" s="174"/>
      <c r="O22" s="174">
        <v>5255.23</v>
      </c>
      <c r="P22" s="175">
        <f>SUM(compras_mes123[[#This Row],[NETO GRAVADO]:[Otros / No Grav.]])</f>
        <v>40336.0098</v>
      </c>
      <c r="Q22" s="176" t="str">
        <f>IFERROR(IF(compras_mes123[[#This Row],[CUIT]]="","-",VLOOKUP(compras_mes123[[#This Row],[CUIT]],Lista_CUIT[#All],3,0)),"CUIT NO CARGADO")</f>
        <v>Combustible</v>
      </c>
      <c r="R22" s="176">
        <f>IFERROR(IF(compras_mes123[[#This Row],[CUIT]]="","-",VLOOKUP(compras_mes123[[#This Row],[CUIT]],Lista_CUIT[#All],4,0)),"CUIT NO CARGADO")</f>
        <v>0</v>
      </c>
    </row>
    <row r="23" spans="2:18" ht="15" customHeight="1">
      <c r="B23" s="40" t="s">
        <v>2535</v>
      </c>
      <c r="C23" s="41">
        <v>1</v>
      </c>
      <c r="D23" s="42">
        <v>12</v>
      </c>
      <c r="E23" s="43">
        <v>53275</v>
      </c>
      <c r="F23" s="44">
        <v>30696131003</v>
      </c>
      <c r="G23" s="45" t="str">
        <f>IFERROR(IF(compras_mes123[[#This Row],[CUIT]]="","-",VLOOKUP(compras_mes123[[#This Row],[CUIT]],Lista_CUIT[#All],2,0)),"CUIT NO CARGADO")</f>
        <v>Petrolfe S.A.</v>
      </c>
      <c r="H23" s="46">
        <v>146206.99609375</v>
      </c>
      <c r="I23" s="85">
        <f>IF(compras_mes123[[#This Row],[NETO GRAVADO]]="","",compras_mes123[[#This Row],[NETO GRAVADO]]*0.21)</f>
        <v>30703.469179687498</v>
      </c>
      <c r="J23" s="85"/>
      <c r="K23" s="85"/>
      <c r="L23" s="85"/>
      <c r="M23" s="85"/>
      <c r="N23" s="85"/>
      <c r="O23" s="85">
        <v>27638.19921875</v>
      </c>
      <c r="P23" s="48">
        <f>SUM(compras_mes123[[#This Row],[NETO GRAVADO]:[Otros / No Grav.]])</f>
        <v>204548.6644921875</v>
      </c>
      <c r="Q23" s="49" t="str">
        <f>IFERROR(IF(compras_mes123[[#This Row],[CUIT]]="","-",VLOOKUP(compras_mes123[[#This Row],[CUIT]],Lista_CUIT[#All],3,0)),"CUIT NO CARGADO")</f>
        <v>Combustible</v>
      </c>
      <c r="R23" s="49">
        <f>IFERROR(IF(compras_mes123[[#This Row],[CUIT]]="","-",VLOOKUP(compras_mes123[[#This Row],[CUIT]],Lista_CUIT[#All],4,0)),"CUIT NO CARGADO")</f>
        <v>0</v>
      </c>
    </row>
    <row r="24" spans="2:18">
      <c r="B24" s="40" t="s">
        <v>2538</v>
      </c>
      <c r="C24" s="41">
        <v>1</v>
      </c>
      <c r="D24" s="42">
        <v>12</v>
      </c>
      <c r="E24" s="43">
        <v>53470</v>
      </c>
      <c r="F24" s="44">
        <v>30696131003</v>
      </c>
      <c r="G24" s="45" t="str">
        <f>IFERROR(IF(compras_mes123[[#This Row],[CUIT]]="","-",VLOOKUP(compras_mes123[[#This Row],[CUIT]],Lista_CUIT[#All],2,0)),"CUIT NO CARGADO")</f>
        <v>Petrolfe S.A.</v>
      </c>
      <c r="H24" s="46">
        <v>130250.498046875</v>
      </c>
      <c r="I24" s="85">
        <f>IF(compras_mes123[[#This Row],[NETO GRAVADO]]="","",compras_mes123[[#This Row],[NETO GRAVADO]]*0.21)</f>
        <v>27352.604589843748</v>
      </c>
      <c r="J24" s="85"/>
      <c r="K24" s="85"/>
      <c r="L24" s="85"/>
      <c r="M24" s="85"/>
      <c r="N24" s="85"/>
      <c r="O24" s="85">
        <v>24621.69921875</v>
      </c>
      <c r="P24" s="48">
        <f>SUM(compras_mes123[[#This Row],[NETO GRAVADO]:[Otros / No Grav.]])</f>
        <v>182224.80185546874</v>
      </c>
      <c r="Q24" s="49" t="str">
        <f>IFERROR(IF(compras_mes123[[#This Row],[CUIT]]="","-",VLOOKUP(compras_mes123[[#This Row],[CUIT]],Lista_CUIT[#All],3,0)),"CUIT NO CARGADO")</f>
        <v>Combustible</v>
      </c>
      <c r="R24" s="49">
        <f>IFERROR(IF(compras_mes123[[#This Row],[CUIT]]="","-",VLOOKUP(compras_mes123[[#This Row],[CUIT]],Lista_CUIT[#All],4,0)),"CUIT NO CARGADO")</f>
        <v>0</v>
      </c>
    </row>
    <row r="25" spans="2:18">
      <c r="B25" s="167">
        <v>45597</v>
      </c>
      <c r="C25" s="168">
        <v>1</v>
      </c>
      <c r="D25" s="169">
        <v>18</v>
      </c>
      <c r="E25" s="170">
        <v>35049</v>
      </c>
      <c r="F25" s="171">
        <v>30515800219</v>
      </c>
      <c r="G25" s="172" t="str">
        <f>IFERROR(IF(compras_mes123[[#This Row],[CUIT]]="","-",VLOOKUP(compras_mes123[[#This Row],[CUIT]],Lista_CUIT[#All],2,0)),"CUIT NO CARGADO")</f>
        <v>INCAT SRL</v>
      </c>
      <c r="H25" s="173">
        <v>33490.519999999997</v>
      </c>
      <c r="I25" s="174">
        <f>IF(compras_mes123[[#This Row],[NETO GRAVADO]]="","",compras_mes123[[#This Row],[NETO GRAVADO]]*0.21)</f>
        <v>7033.0091999999995</v>
      </c>
      <c r="J25" s="174"/>
      <c r="K25" s="174"/>
      <c r="L25" s="174"/>
      <c r="M25" s="174"/>
      <c r="N25" s="174"/>
      <c r="O25" s="174">
        <v>14961.04</v>
      </c>
      <c r="P25" s="175">
        <f>SUM(compras_mes123[[#This Row],[NETO GRAVADO]:[Otros / No Grav.]])</f>
        <v>55484.569199999998</v>
      </c>
      <c r="Q25" s="176" t="str">
        <f>IFERROR(IF(compras_mes123[[#This Row],[CUIT]]="","-",VLOOKUP(compras_mes123[[#This Row],[CUIT]],Lista_CUIT[#All],3,0)),"CUIT NO CARGADO")</f>
        <v>Combustible</v>
      </c>
      <c r="R25" s="176" t="str">
        <f>IFERROR(IF(compras_mes123[[#This Row],[CUIT]]="","-",VLOOKUP(compras_mes123[[#This Row],[CUIT]],Lista_CUIT[#All],4,0)),"CUIT NO CARGADO")</f>
        <v>CABA</v>
      </c>
    </row>
    <row r="26" spans="2:18">
      <c r="B26" s="167">
        <v>45615</v>
      </c>
      <c r="C26" s="168">
        <v>1</v>
      </c>
      <c r="D26" s="169">
        <v>19</v>
      </c>
      <c r="E26" s="170">
        <v>29536</v>
      </c>
      <c r="F26" s="171">
        <v>30515800219</v>
      </c>
      <c r="G26" s="172" t="str">
        <f>IFERROR(IF(compras_mes123[[#This Row],[CUIT]]="","-",VLOOKUP(compras_mes123[[#This Row],[CUIT]],Lista_CUIT[#All],2,0)),"CUIT NO CARGADO")</f>
        <v>INCAT SRL</v>
      </c>
      <c r="H26" s="173">
        <v>33081.19</v>
      </c>
      <c r="I26" s="174">
        <f>IF(compras_mes123[[#This Row],[NETO GRAVADO]]="","",compras_mes123[[#This Row],[NETO GRAVADO]]*0.21)</f>
        <v>6947.0499</v>
      </c>
      <c r="J26" s="174"/>
      <c r="K26" s="174"/>
      <c r="L26" s="174"/>
      <c r="M26" s="174"/>
      <c r="N26" s="174"/>
      <c r="O26" s="174">
        <v>15983.48</v>
      </c>
      <c r="P26" s="175">
        <f>SUM(compras_mes123[[#This Row],[NETO GRAVADO]:[Otros / No Grav.]])</f>
        <v>56011.719899999996</v>
      </c>
      <c r="Q26" s="176" t="str">
        <f>IFERROR(IF(compras_mes123[[#This Row],[CUIT]]="","-",VLOOKUP(compras_mes123[[#This Row],[CUIT]],Lista_CUIT[#All],3,0)),"CUIT NO CARGADO")</f>
        <v>Combustible</v>
      </c>
      <c r="R26" s="176" t="str">
        <f>IFERROR(IF(compras_mes123[[#This Row],[CUIT]]="","-",VLOOKUP(compras_mes123[[#This Row],[CUIT]],Lista_CUIT[#All],4,0)),"CUIT NO CARGADO")</f>
        <v>CABA</v>
      </c>
    </row>
    <row r="27" spans="2:18">
      <c r="B27" s="347">
        <v>45622</v>
      </c>
      <c r="C27" s="343">
        <v>1</v>
      </c>
      <c r="D27" s="360">
        <v>20</v>
      </c>
      <c r="E27" s="361">
        <v>15634</v>
      </c>
      <c r="F27" s="362">
        <v>30515800219</v>
      </c>
      <c r="G27" s="279" t="str">
        <f>IFERROR(IF(compras_mes123[[#This Row],[CUIT]]="","-",VLOOKUP(compras_mes123[[#This Row],[CUIT]],Lista_CUIT[#All],2,0)),"CUIT NO CARGADO")</f>
        <v>INCAT SRL</v>
      </c>
      <c r="H27" s="276">
        <v>2474.19</v>
      </c>
      <c r="I27" s="266">
        <f>IF(compras_mes123[[#This Row],[NETO GRAVADO]]="","",compras_mes123[[#This Row],[NETO GRAVADO]]*0.21)</f>
        <v>519.57989999999995</v>
      </c>
      <c r="J27" s="266"/>
      <c r="K27" s="266"/>
      <c r="L27" s="266"/>
      <c r="M27" s="266"/>
      <c r="N27" s="266"/>
      <c r="O27" s="266"/>
      <c r="P27" s="267">
        <f>SUM(compras_mes123[[#This Row],[NETO GRAVADO]:[Otros / No Grav.]])</f>
        <v>2993.7699000000002</v>
      </c>
      <c r="Q27" s="280" t="str">
        <f>IFERROR(IF(compras_mes123[[#This Row],[CUIT]]="","-",VLOOKUP(compras_mes123[[#This Row],[CUIT]],Lista_CUIT[#All],3,0)),"CUIT NO CARGADO")</f>
        <v>Combustible</v>
      </c>
      <c r="R27" s="280" t="str">
        <f>IFERROR(IF(compras_mes123[[#This Row],[CUIT]]="","-",VLOOKUP(compras_mes123[[#This Row],[CUIT]],Lista_CUIT[#All],4,0)),"CUIT NO CARGADO")</f>
        <v>CABA</v>
      </c>
    </row>
    <row r="28" spans="2:18" ht="16.899999999999999" customHeight="1">
      <c r="B28" s="649" t="s">
        <v>2541</v>
      </c>
      <c r="C28" s="650">
        <v>1</v>
      </c>
      <c r="D28" s="651">
        <v>8</v>
      </c>
      <c r="E28" s="652">
        <v>4596</v>
      </c>
      <c r="F28" s="653">
        <v>20338956496</v>
      </c>
      <c r="G28" s="654" t="str">
        <f>IFERROR(IF(compras_mes123[[#This Row],[CUIT]]="","-",VLOOKUP(compras_mes123[[#This Row],[CUIT]],Lista_CUIT[#All],2,0)),"CUIT NO CARGADO")</f>
        <v>MOREIRA CORONEL NESTOR NAHUEL</v>
      </c>
      <c r="H28" s="615">
        <v>7023.9699707031295</v>
      </c>
      <c r="I28" s="609">
        <f>IF(compras_mes123[[#This Row],[NETO GRAVADO]]="","",compras_mes123[[#This Row],[NETO GRAVADO]]*0.21)</f>
        <v>1475.0336938476571</v>
      </c>
      <c r="J28" s="609"/>
      <c r="K28" s="609"/>
      <c r="L28" s="609"/>
      <c r="M28" s="609"/>
      <c r="N28" s="609"/>
      <c r="O28" s="609"/>
      <c r="P28" s="610">
        <f>SUM(compras_mes123[[#This Row],[NETO GRAVADO]:[Otros / No Grav.]])</f>
        <v>8499.0036645507862</v>
      </c>
      <c r="Q28" s="655" t="s">
        <v>2687</v>
      </c>
      <c r="R28" s="655">
        <f>IFERROR(IF(compras_mes123[[#This Row],[CUIT]]="","-",VLOOKUP(compras_mes123[[#This Row],[CUIT]],Lista_CUIT[#All],4,0)),"CUIT NO CARGADO")</f>
        <v>0</v>
      </c>
    </row>
    <row r="29" spans="2:18">
      <c r="B29" s="649" t="s">
        <v>2541</v>
      </c>
      <c r="C29" s="650">
        <v>1</v>
      </c>
      <c r="D29" s="651">
        <v>8</v>
      </c>
      <c r="E29" s="652">
        <v>4600</v>
      </c>
      <c r="F29" s="653">
        <v>20338956496</v>
      </c>
      <c r="G29" s="654" t="str">
        <f>IFERROR(IF(compras_mes123[[#This Row],[CUIT]]="","-",VLOOKUP(compras_mes123[[#This Row],[CUIT]],Lista_CUIT[#All],2,0)),"CUIT NO CARGADO")</f>
        <v>MOREIRA CORONEL NESTOR NAHUEL</v>
      </c>
      <c r="H29" s="615">
        <v>21071.909667968801</v>
      </c>
      <c r="I29" s="609">
        <f>IF(compras_mes123[[#This Row],[NETO GRAVADO]]="","",compras_mes123[[#This Row],[NETO GRAVADO]]*0.21)</f>
        <v>4425.1010302734485</v>
      </c>
      <c r="J29" s="609"/>
      <c r="K29" s="609"/>
      <c r="L29" s="609"/>
      <c r="M29" s="609"/>
      <c r="N29" s="609"/>
      <c r="O29" s="609"/>
      <c r="P29" s="610">
        <f>SUM(compras_mes123[[#This Row],[NETO GRAVADO]:[Otros / No Grav.]])</f>
        <v>25497.010698242251</v>
      </c>
      <c r="Q29" s="655" t="s">
        <v>2687</v>
      </c>
      <c r="R29" s="655">
        <f>IFERROR(IF(compras_mes123[[#This Row],[CUIT]]="","-",VLOOKUP(compras_mes123[[#This Row],[CUIT]],Lista_CUIT[#All],4,0)),"CUIT NO CARGADO")</f>
        <v>0</v>
      </c>
    </row>
    <row r="30" spans="2:18">
      <c r="B30" s="649" t="s">
        <v>2541</v>
      </c>
      <c r="C30" s="650">
        <v>1</v>
      </c>
      <c r="D30" s="651">
        <v>8</v>
      </c>
      <c r="E30" s="652">
        <v>4599</v>
      </c>
      <c r="F30" s="653">
        <v>20338956496</v>
      </c>
      <c r="G30" s="654" t="str">
        <f>IFERROR(IF(compras_mes123[[#This Row],[CUIT]]="","-",VLOOKUP(compras_mes123[[#This Row],[CUIT]],Lista_CUIT[#All],2,0)),"CUIT NO CARGADO")</f>
        <v>MOREIRA CORONEL NESTOR NAHUEL</v>
      </c>
      <c r="H30" s="615">
        <v>14047.939941406299</v>
      </c>
      <c r="I30" s="609">
        <f>IF(compras_mes123[[#This Row],[NETO GRAVADO]]="","",compras_mes123[[#This Row],[NETO GRAVADO]]*0.21)</f>
        <v>2950.0673876953229</v>
      </c>
      <c r="J30" s="609"/>
      <c r="K30" s="609"/>
      <c r="L30" s="609"/>
      <c r="M30" s="609"/>
      <c r="N30" s="609"/>
      <c r="O30" s="609"/>
      <c r="P30" s="610">
        <f>SUM(compras_mes123[[#This Row],[NETO GRAVADO]:[Otros / No Grav.]])</f>
        <v>16998.007329101623</v>
      </c>
      <c r="Q30" s="655" t="s">
        <v>2687</v>
      </c>
      <c r="R30" s="655">
        <f>IFERROR(IF(compras_mes123[[#This Row],[CUIT]]="","-",VLOOKUP(compras_mes123[[#This Row],[CUIT]],Lista_CUIT[#All],4,0)),"CUIT NO CARGADO")</f>
        <v>0</v>
      </c>
    </row>
    <row r="31" spans="2:18">
      <c r="B31" s="649" t="s">
        <v>2523</v>
      </c>
      <c r="C31" s="650">
        <v>1</v>
      </c>
      <c r="D31" s="651">
        <v>3</v>
      </c>
      <c r="E31" s="652">
        <v>9691</v>
      </c>
      <c r="F31" s="653">
        <v>30710144962</v>
      </c>
      <c r="G31" s="654" t="str">
        <f>IFERROR(IF(compras_mes123[[#This Row],[CUIT]]="","-",VLOOKUP(compras_mes123[[#This Row],[CUIT]],Lista_CUIT[#All],2,0)),"CUIT NO CARGADO")</f>
        <v>CARGAS DEL SUR SRL</v>
      </c>
      <c r="H31" s="615">
        <v>40909.052734375</v>
      </c>
      <c r="I31" s="609">
        <f>IF(compras_mes123[[#This Row],[NETO GRAVADO]]="","",compras_mes123[[#This Row],[NETO GRAVADO]]*0.21)</f>
        <v>8590.9010742187493</v>
      </c>
      <c r="J31" s="609"/>
      <c r="K31" s="609"/>
      <c r="L31" s="609"/>
      <c r="M31" s="609"/>
      <c r="N31" s="609"/>
      <c r="O31" s="609"/>
      <c r="P31" s="610">
        <f>SUM(compras_mes123[[#This Row],[NETO GRAVADO]:[Otros / No Grav.]])</f>
        <v>49499.953808593753</v>
      </c>
      <c r="Q31" s="655" t="str">
        <f>IFERROR(IF(compras_mes123[[#This Row],[CUIT]]="","-",VLOOKUP(compras_mes123[[#This Row],[CUIT]],Lista_CUIT[#All],3,0)),"CUIT NO CARGADO")</f>
        <v>Gastos Comercializacion</v>
      </c>
      <c r="R31" s="655">
        <f>IFERROR(IF(compras_mes123[[#This Row],[CUIT]]="","-",VLOOKUP(compras_mes123[[#This Row],[CUIT]],Lista_CUIT[#All],4,0)),"CUIT NO CARGADO")</f>
        <v>0</v>
      </c>
    </row>
    <row r="32" spans="2:18">
      <c r="B32" s="167" t="s">
        <v>2574</v>
      </c>
      <c r="C32" s="168">
        <v>1</v>
      </c>
      <c r="D32" s="169">
        <v>301</v>
      </c>
      <c r="E32" s="170">
        <v>98875</v>
      </c>
      <c r="F32" s="171">
        <v>30686978350</v>
      </c>
      <c r="G32" s="172" t="str">
        <f>IFERROR(IF(compras_mes123[[#This Row],[CUIT]]="","-",VLOOKUP(compras_mes123[[#This Row],[CUIT]],Lista_CUIT[#All],2,0)),"CUIT NO CARGADO")</f>
        <v>SPEED BUSINESS S. A.</v>
      </c>
      <c r="H32" s="173">
        <v>14289.26</v>
      </c>
      <c r="I32" s="174">
        <f>IF(compras_mes123[[#This Row],[NETO GRAVADO]]="","",compras_mes123[[#This Row],[NETO GRAVADO]]*0.21)</f>
        <v>3000.7446</v>
      </c>
      <c r="J32" s="174"/>
      <c r="K32" s="174"/>
      <c r="L32" s="174"/>
      <c r="M32" s="174"/>
      <c r="N32" s="174"/>
      <c r="O32" s="174"/>
      <c r="P32" s="175">
        <f>SUM(compras_mes123[[#This Row],[NETO GRAVADO]:[Otros / No Grav.]])</f>
        <v>17290.0046</v>
      </c>
      <c r="Q32" s="176" t="str">
        <f>IFERROR(IF(compras_mes123[[#This Row],[CUIT]]="","-",VLOOKUP(compras_mes123[[#This Row],[CUIT]],Lista_CUIT[#All],3,0)),"CUIT NO CARGADO")</f>
        <v>Gastos Comercializacion</v>
      </c>
      <c r="R32" s="176">
        <f>IFERROR(IF(compras_mes123[[#This Row],[CUIT]]="","-",VLOOKUP(compras_mes123[[#This Row],[CUIT]],Lista_CUIT[#All],4,0)),"CUIT NO CARGADO")</f>
        <v>0</v>
      </c>
    </row>
    <row r="33" spans="2:18">
      <c r="B33" s="649" t="s">
        <v>2542</v>
      </c>
      <c r="C33" s="650">
        <v>1</v>
      </c>
      <c r="D33" s="651">
        <v>3</v>
      </c>
      <c r="E33" s="652">
        <v>1232</v>
      </c>
      <c r="F33" s="653">
        <v>27292471993</v>
      </c>
      <c r="G33" s="654" t="str">
        <f>IFERROR(IF(compras_mes123[[#This Row],[CUIT]]="","-",VLOOKUP(compras_mes123[[#This Row],[CUIT]],Lista_CUIT[#All],2,0)),"CUIT NO CARGADO")</f>
        <v>CAEIRO ANA JULIA</v>
      </c>
      <c r="H33" s="615">
        <v>94214.880859375</v>
      </c>
      <c r="I33" s="609">
        <f>IF(compras_mes123[[#This Row],[NETO GRAVADO]]="","",compras_mes123[[#This Row],[NETO GRAVADO]]*0.21)</f>
        <v>19785.12498046875</v>
      </c>
      <c r="J33" s="609"/>
      <c r="K33" s="609"/>
      <c r="L33" s="609"/>
      <c r="M33" s="609"/>
      <c r="N33" s="609"/>
      <c r="O33" s="609"/>
      <c r="P33" s="610">
        <f>SUM(compras_mes123[[#This Row],[NETO GRAVADO]:[Otros / No Grav.]])</f>
        <v>114000.00583984375</v>
      </c>
      <c r="Q33" s="655" t="str">
        <f>IFERROR(IF(compras_mes123[[#This Row],[CUIT]]="","-",VLOOKUP(compras_mes123[[#This Row],[CUIT]],Lista_CUIT[#All],3,0)),"CUIT NO CARGADO")</f>
        <v>Gastos Comercializacion</v>
      </c>
      <c r="R33" s="655">
        <f>IFERROR(IF(compras_mes123[[#This Row],[CUIT]]="","-",VLOOKUP(compras_mes123[[#This Row],[CUIT]],Lista_CUIT[#All],4,0)),"CUIT NO CARGADO")</f>
        <v>0</v>
      </c>
    </row>
    <row r="34" spans="2:18">
      <c r="B34" s="167" t="s">
        <v>2581</v>
      </c>
      <c r="C34" s="168">
        <v>1</v>
      </c>
      <c r="D34" s="169">
        <v>11</v>
      </c>
      <c r="E34" s="170">
        <v>1072118</v>
      </c>
      <c r="F34" s="171">
        <v>33709585229</v>
      </c>
      <c r="G34" s="172" t="str">
        <f>IFERROR(IF(compras_mes123[[#This Row],[CUIT]]="","-",VLOOKUP(compras_mes123[[#This Row],[CUIT]],Lista_CUIT[#All],2,0)),"CUIT NO CARGADO")</f>
        <v>GOOGLE ARGENTINA S.R.L.</v>
      </c>
      <c r="H34" s="173">
        <v>60726.559999999998</v>
      </c>
      <c r="I34" s="174">
        <f>IF(compras_mes123[[#This Row],[NETO GRAVADO]]="","",compras_mes123[[#This Row],[NETO GRAVADO]]*0.21)</f>
        <v>12752.577599999999</v>
      </c>
      <c r="J34" s="174"/>
      <c r="K34" s="174"/>
      <c r="L34" s="174"/>
      <c r="M34" s="174">
        <v>12438.32</v>
      </c>
      <c r="N34" s="174"/>
      <c r="O34" s="174">
        <v>1821.8</v>
      </c>
      <c r="P34" s="175">
        <f>SUM(compras_mes123[[#This Row],[NETO GRAVADO]:[Otros / No Grav.]])</f>
        <v>87739.257599999997</v>
      </c>
      <c r="Q34" s="176" t="str">
        <f>IFERROR(IF(compras_mes123[[#This Row],[CUIT]]="","-",VLOOKUP(compras_mes123[[#This Row],[CUIT]],Lista_CUIT[#All],3,0)),"CUIT NO CARGADO")</f>
        <v>Gastos Comercializacion</v>
      </c>
      <c r="R34" s="176">
        <f>IFERROR(IF(compras_mes123[[#This Row],[CUIT]]="","-",VLOOKUP(compras_mes123[[#This Row],[CUIT]],Lista_CUIT[#All],4,0)),"CUIT NO CARGADO")</f>
        <v>0</v>
      </c>
    </row>
    <row r="35" spans="2:18">
      <c r="B35" s="167" t="s">
        <v>2580</v>
      </c>
      <c r="C35" s="168">
        <v>1</v>
      </c>
      <c r="D35" s="169">
        <v>3034</v>
      </c>
      <c r="E35" s="170">
        <v>7201176</v>
      </c>
      <c r="F35" s="171">
        <v>30708574836</v>
      </c>
      <c r="G35" s="172" t="str">
        <f>IFERROR(IF(compras_mes123[[#This Row],[CUIT]]="","-",VLOOKUP(compras_mes123[[#This Row],[CUIT]],Lista_CUIT[#All],2,0)),"CUIT NO CARGADO")</f>
        <v>CORREO OFICIAL DE LA REPUBLICA ARGENTINA SOCIEDAD ANONIMA</v>
      </c>
      <c r="H35" s="173">
        <v>7853.72</v>
      </c>
      <c r="I35" s="174">
        <f>IF(compras_mes123[[#This Row],[NETO GRAVADO]]="","",compras_mes123[[#This Row],[NETO GRAVADO]]*0.21)</f>
        <v>1649.2811999999999</v>
      </c>
      <c r="J35" s="174"/>
      <c r="K35" s="174"/>
      <c r="L35" s="174"/>
      <c r="M35" s="174"/>
      <c r="N35" s="174"/>
      <c r="O35" s="174"/>
      <c r="P35" s="175">
        <f>SUM(compras_mes123[[#This Row],[NETO GRAVADO]:[Otros / No Grav.]])</f>
        <v>9503.0012000000006</v>
      </c>
      <c r="Q35" s="176" t="s">
        <v>2687</v>
      </c>
      <c r="R35" s="176">
        <f>IFERROR(IF(compras_mes123[[#This Row],[CUIT]]="","-",VLOOKUP(compras_mes123[[#This Row],[CUIT]],Lista_CUIT[#All],4,0)),"CUIT NO CARGADO")</f>
        <v>0</v>
      </c>
    </row>
    <row r="36" spans="2:18">
      <c r="B36" s="167" t="s">
        <v>2572</v>
      </c>
      <c r="C36" s="168">
        <v>1</v>
      </c>
      <c r="D36" s="169">
        <v>3034</v>
      </c>
      <c r="E36" s="170">
        <v>7348350</v>
      </c>
      <c r="F36" s="171">
        <v>30708574836</v>
      </c>
      <c r="G36" s="172" t="str">
        <f>IFERROR(IF(compras_mes123[[#This Row],[CUIT]]="","-",VLOOKUP(compras_mes123[[#This Row],[CUIT]],Lista_CUIT[#All],2,0)),"CUIT NO CARGADO")</f>
        <v>CORREO OFICIAL DE LA REPUBLICA ARGENTINA SOCIEDAD ANONIMA</v>
      </c>
      <c r="H36" s="173">
        <v>7369.42</v>
      </c>
      <c r="I36" s="174">
        <f>IF(compras_mes123[[#This Row],[NETO GRAVADO]]="","",compras_mes123[[#This Row],[NETO GRAVADO]]*0.21)</f>
        <v>1547.5781999999999</v>
      </c>
      <c r="J36" s="174"/>
      <c r="K36" s="174"/>
      <c r="L36" s="174"/>
      <c r="M36" s="174"/>
      <c r="N36" s="174"/>
      <c r="O36" s="174"/>
      <c r="P36" s="175">
        <f>SUM(compras_mes123[[#This Row],[NETO GRAVADO]:[Otros / No Grav.]])</f>
        <v>8916.9982</v>
      </c>
      <c r="Q36" s="176" t="s">
        <v>2687</v>
      </c>
      <c r="R36" s="176">
        <f>IFERROR(IF(compras_mes123[[#This Row],[CUIT]]="","-",VLOOKUP(compras_mes123[[#This Row],[CUIT]],Lista_CUIT[#All],4,0)),"CUIT NO CARGADO")</f>
        <v>0</v>
      </c>
    </row>
    <row r="37" spans="2:18">
      <c r="B37" s="649" t="s">
        <v>2525</v>
      </c>
      <c r="C37" s="650">
        <v>1</v>
      </c>
      <c r="D37" s="651">
        <v>1</v>
      </c>
      <c r="E37" s="652">
        <v>815</v>
      </c>
      <c r="F37" s="653">
        <v>30715889486</v>
      </c>
      <c r="G37" s="654" t="str">
        <f>IFERROR(IF(compras_mes123[[#This Row],[CUIT]]="","-",VLOOKUP(compras_mes123[[#This Row],[CUIT]],Lista_CUIT[#All],2,0)),"CUIT NO CARGADO")</f>
        <v>EXPOESTETICA</v>
      </c>
      <c r="H37" s="615">
        <v>396000</v>
      </c>
      <c r="I37" s="609">
        <f>IF(compras_mes123[[#This Row],[NETO GRAVADO]]="","",compras_mes123[[#This Row],[NETO GRAVADO]]*0.21)</f>
        <v>83160</v>
      </c>
      <c r="J37" s="609"/>
      <c r="K37" s="609"/>
      <c r="L37" s="609"/>
      <c r="M37" s="609"/>
      <c r="N37" s="609"/>
      <c r="O37" s="609"/>
      <c r="P37" s="610">
        <f>SUM(compras_mes123[[#This Row],[NETO GRAVADO]:[Otros / No Grav.]])</f>
        <v>479160</v>
      </c>
      <c r="Q37" s="655" t="str">
        <f>IFERROR(IF(compras_mes123[[#This Row],[CUIT]]="","-",VLOOKUP(compras_mes123[[#This Row],[CUIT]],Lista_CUIT[#All],3,0)),"CUIT NO CARGADO")</f>
        <v>Gastos Comercializacion - Feria</v>
      </c>
      <c r="R37" s="655" t="str">
        <f>IFERROR(IF(compras_mes123[[#This Row],[CUIT]]="","-",VLOOKUP(compras_mes123[[#This Row],[CUIT]],Lista_CUIT[#All],4,0)),"CUIT NO CARGADO")</f>
        <v>BUENOS AIRES</v>
      </c>
    </row>
    <row r="38" spans="2:18">
      <c r="B38" s="167" t="s">
        <v>2587</v>
      </c>
      <c r="C38" s="168">
        <v>1</v>
      </c>
      <c r="D38" s="169">
        <v>14</v>
      </c>
      <c r="E38" s="170">
        <v>14738</v>
      </c>
      <c r="F38" s="171">
        <v>30715186256</v>
      </c>
      <c r="G38" s="172" t="str">
        <f>IFERROR(IF(compras_mes123[[#This Row],[CUIT]]="","-",VLOOKUP(compras_mes123[[#This Row],[CUIT]],Lista_CUIT[#All],2,0)),"CUIT NO CARGADO")</f>
        <v>FRIGORIFICO ALIMENTIC</v>
      </c>
      <c r="H38" s="173">
        <v>42806.29</v>
      </c>
      <c r="I38" s="174">
        <v>5636.73</v>
      </c>
      <c r="J38" s="174"/>
      <c r="K38" s="174">
        <v>1676.29</v>
      </c>
      <c r="L38" s="174"/>
      <c r="M38" s="174"/>
      <c r="N38" s="174"/>
      <c r="O38" s="174"/>
      <c r="P38" s="175">
        <f>SUM(compras_mes123[[#This Row],[NETO GRAVADO]:[Otros / No Grav.]])</f>
        <v>50119.310000000005</v>
      </c>
      <c r="Q38" s="176" t="str">
        <f>IFERROR(IF(compras_mes123[[#This Row],[CUIT]]="","-",VLOOKUP(compras_mes123[[#This Row],[CUIT]],Lista_CUIT[#All],3,0)),"CUIT NO CARGADO")</f>
        <v>Gastos Comercializacion - Feria</v>
      </c>
      <c r="R38" s="176">
        <f>IFERROR(IF(compras_mes123[[#This Row],[CUIT]]="","-",VLOOKUP(compras_mes123[[#This Row],[CUIT]],Lista_CUIT[#All],4,0)),"CUIT NO CARGADO")</f>
        <v>0</v>
      </c>
    </row>
    <row r="39" spans="2:18">
      <c r="B39" s="167" t="s">
        <v>2567</v>
      </c>
      <c r="C39" s="168">
        <v>1</v>
      </c>
      <c r="D39" s="169">
        <v>14</v>
      </c>
      <c r="E39" s="170">
        <v>14908</v>
      </c>
      <c r="F39" s="171">
        <v>30715186256</v>
      </c>
      <c r="G39" s="172" t="str">
        <f>IFERROR(IF(compras_mes123[[#This Row],[CUIT]]="","-",VLOOKUP(compras_mes123[[#This Row],[CUIT]],Lista_CUIT[#All],2,0)),"CUIT NO CARGADO")</f>
        <v>FRIGORIFICO ALIMENTIC</v>
      </c>
      <c r="H39" s="173">
        <v>61266.13</v>
      </c>
      <c r="I39" s="174">
        <v>1825.79</v>
      </c>
      <c r="J39" s="174"/>
      <c r="K39" s="174">
        <v>5520.05</v>
      </c>
      <c r="L39" s="174"/>
      <c r="M39" s="174"/>
      <c r="N39" s="174"/>
      <c r="O39" s="174"/>
      <c r="P39" s="175">
        <f>SUM(compras_mes123[[#This Row],[NETO GRAVADO]:[Otros / No Grav.]])</f>
        <v>68611.97</v>
      </c>
      <c r="Q39" s="176" t="str">
        <f>IFERROR(IF(compras_mes123[[#This Row],[CUIT]]="","-",VLOOKUP(compras_mes123[[#This Row],[CUIT]],Lista_CUIT[#All],3,0)),"CUIT NO CARGADO")</f>
        <v>Gastos Comercializacion - Feria</v>
      </c>
      <c r="R39" s="176">
        <f>IFERROR(IF(compras_mes123[[#This Row],[CUIT]]="","-",VLOOKUP(compras_mes123[[#This Row],[CUIT]],Lista_CUIT[#All],4,0)),"CUIT NO CARGADO")</f>
        <v>0</v>
      </c>
    </row>
    <row r="40" spans="2:18">
      <c r="B40" s="167" t="s">
        <v>2570</v>
      </c>
      <c r="C40" s="168">
        <v>1</v>
      </c>
      <c r="D40" s="169">
        <v>14</v>
      </c>
      <c r="E40" s="170">
        <v>15013</v>
      </c>
      <c r="F40" s="171">
        <v>30715186256</v>
      </c>
      <c r="G40" s="172" t="str">
        <f>IFERROR(IF(compras_mes123[[#This Row],[CUIT]]="","-",VLOOKUP(compras_mes123[[#This Row],[CUIT]],Lista_CUIT[#All],2,0)),"CUIT NO CARGADO")</f>
        <v>FRIGORIFICO ALIMENTIC</v>
      </c>
      <c r="H40" s="173">
        <v>59098.87</v>
      </c>
      <c r="I40" s="174">
        <v>3283.46</v>
      </c>
      <c r="J40" s="174"/>
      <c r="K40" s="174">
        <v>4563.6499999999996</v>
      </c>
      <c r="L40" s="174"/>
      <c r="M40" s="174"/>
      <c r="N40" s="174"/>
      <c r="O40" s="174"/>
      <c r="P40" s="175">
        <f>SUM(compras_mes123[[#This Row],[NETO GRAVADO]:[Otros / No Grav.]])</f>
        <v>66945.98</v>
      </c>
      <c r="Q40" s="176" t="str">
        <f>IFERROR(IF(compras_mes123[[#This Row],[CUIT]]="","-",VLOOKUP(compras_mes123[[#This Row],[CUIT]],Lista_CUIT[#All],3,0)),"CUIT NO CARGADO")</f>
        <v>Gastos Comercializacion - Feria</v>
      </c>
      <c r="R40" s="176">
        <f>IFERROR(IF(compras_mes123[[#This Row],[CUIT]]="","-",VLOOKUP(compras_mes123[[#This Row],[CUIT]],Lista_CUIT[#All],4,0)),"CUIT NO CARGADO")</f>
        <v>0</v>
      </c>
    </row>
    <row r="41" spans="2:18">
      <c r="B41" s="167" t="s">
        <v>2573</v>
      </c>
      <c r="C41" s="168">
        <v>1</v>
      </c>
      <c r="D41" s="169">
        <v>14</v>
      </c>
      <c r="E41" s="170">
        <v>15126</v>
      </c>
      <c r="F41" s="171">
        <v>30715186256</v>
      </c>
      <c r="G41" s="172" t="str">
        <f>IFERROR(IF(compras_mes123[[#This Row],[CUIT]]="","-",VLOOKUP(compras_mes123[[#This Row],[CUIT]],Lista_CUIT[#All],2,0)),"CUIT NO CARGADO")</f>
        <v>FRIGORIFICO ALIMENTIC</v>
      </c>
      <c r="H41" s="173">
        <v>52173.74</v>
      </c>
      <c r="I41" s="174"/>
      <c r="J41" s="174"/>
      <c r="K41" s="174">
        <f>compras_mes123[[#This Row],[NETO GRAVADO]]*0.105</f>
        <v>5478.2426999999998</v>
      </c>
      <c r="L41" s="174"/>
      <c r="M41" s="174"/>
      <c r="N41" s="174"/>
      <c r="O41" s="174"/>
      <c r="P41" s="175">
        <f>SUM(compras_mes123[[#This Row],[NETO GRAVADO]:[Otros / No Grav.]])</f>
        <v>57651.9827</v>
      </c>
      <c r="Q41" s="176" t="str">
        <f>IFERROR(IF(compras_mes123[[#This Row],[CUIT]]="","-",VLOOKUP(compras_mes123[[#This Row],[CUIT]],Lista_CUIT[#All],3,0)),"CUIT NO CARGADO")</f>
        <v>Gastos Comercializacion - Feria</v>
      </c>
      <c r="R41" s="176">
        <f>IFERROR(IF(compras_mes123[[#This Row],[CUIT]]="","-",VLOOKUP(compras_mes123[[#This Row],[CUIT]],Lista_CUIT[#All],4,0)),"CUIT NO CARGADO")</f>
        <v>0</v>
      </c>
    </row>
    <row r="42" spans="2:18">
      <c r="B42" s="649" t="s">
        <v>2534</v>
      </c>
      <c r="C42" s="650">
        <v>1</v>
      </c>
      <c r="D42" s="651">
        <v>8</v>
      </c>
      <c r="E42" s="652">
        <v>984</v>
      </c>
      <c r="F42" s="653">
        <v>27164541202</v>
      </c>
      <c r="G42" s="654" t="str">
        <f>IFERROR(IF(compras_mes123[[#This Row],[CUIT]]="","-",VLOOKUP(compras_mes123[[#This Row],[CUIT]],Lista_CUIT[#All],2,0)),"CUIT NO CARGADO")</f>
        <v>MONREAL GRACIELA LILIANA</v>
      </c>
      <c r="H42" s="615">
        <v>28347.131347656301</v>
      </c>
      <c r="I42" s="609">
        <f>IF(compras_mes123[[#This Row],[NETO GRAVADO]]="","",compras_mes123[[#This Row],[NETO GRAVADO]]*0.21)</f>
        <v>5952.8975830078234</v>
      </c>
      <c r="J42" s="609"/>
      <c r="K42" s="609"/>
      <c r="L42" s="609"/>
      <c r="M42" s="609"/>
      <c r="N42" s="609"/>
      <c r="O42" s="609"/>
      <c r="P42" s="610">
        <f>SUM(compras_mes123[[#This Row],[NETO GRAVADO]:[Otros / No Grav.]])</f>
        <v>34300.028930664121</v>
      </c>
      <c r="Q42" s="655" t="str">
        <f>IFERROR(IF(compras_mes123[[#This Row],[CUIT]]="","-",VLOOKUP(compras_mes123[[#This Row],[CUIT]],Lista_CUIT[#All],3,0)),"CUIT NO CARGADO")</f>
        <v>Gastos Limpieza</v>
      </c>
      <c r="R42" s="655">
        <f>IFERROR(IF(compras_mes123[[#This Row],[CUIT]]="","-",VLOOKUP(compras_mes123[[#This Row],[CUIT]],Lista_CUIT[#All],4,0)),"CUIT NO CARGADO")</f>
        <v>0</v>
      </c>
    </row>
    <row r="43" spans="2:18">
      <c r="B43" s="167" t="s">
        <v>2578</v>
      </c>
      <c r="C43" s="168">
        <v>1</v>
      </c>
      <c r="D43" s="169">
        <v>7</v>
      </c>
      <c r="E43" s="170">
        <v>28934</v>
      </c>
      <c r="F43" s="171">
        <v>30710819552</v>
      </c>
      <c r="G43" s="172" t="str">
        <f>IFERROR(IF(compras_mes123[[#This Row],[CUIT]]="","-",VLOOKUP(compras_mes123[[#This Row],[CUIT]],Lista_CUIT[#All],2,0)),"CUIT NO CARGADO")</f>
        <v>EL CACIQUE Gastos Limpieza SRL</v>
      </c>
      <c r="H43" s="173">
        <v>57033.01</v>
      </c>
      <c r="I43" s="174">
        <f>IF(compras_mes123[[#This Row],[NETO GRAVADO]]="","",compras_mes123[[#This Row],[NETO GRAVADO]]*0.21)</f>
        <v>11976.9321</v>
      </c>
      <c r="J43" s="174"/>
      <c r="K43" s="174"/>
      <c r="L43" s="174"/>
      <c r="M43" s="174"/>
      <c r="N43" s="174"/>
      <c r="O43" s="174"/>
      <c r="P43" s="175">
        <f>SUM(compras_mes123[[#This Row],[NETO GRAVADO]:[Otros / No Grav.]])</f>
        <v>69009.9421</v>
      </c>
      <c r="Q43" s="176" t="str">
        <f>IFERROR(IF(compras_mes123[[#This Row],[CUIT]]="","-",VLOOKUP(compras_mes123[[#This Row],[CUIT]],Lista_CUIT[#All],3,0)),"CUIT NO CARGADO")</f>
        <v>Gastos Limpieza</v>
      </c>
      <c r="R43" s="176">
        <f>IFERROR(IF(compras_mes123[[#This Row],[CUIT]]="","-",VLOOKUP(compras_mes123[[#This Row],[CUIT]],Lista_CUIT[#All],4,0)),"CUIT NO CARGADO")</f>
        <v>0</v>
      </c>
    </row>
    <row r="44" spans="2:18">
      <c r="B44" s="649" t="s">
        <v>2533</v>
      </c>
      <c r="C44" s="650">
        <v>1</v>
      </c>
      <c r="D44" s="651">
        <v>3</v>
      </c>
      <c r="E44" s="652">
        <v>59916</v>
      </c>
      <c r="F44" s="653">
        <v>30711756406</v>
      </c>
      <c r="G44" s="654" t="str">
        <f>IFERROR(IF(compras_mes123[[#This Row],[CUIT]]="","-",VLOOKUP(compras_mes123[[#This Row],[CUIT]],Lista_CUIT[#All],2,0)),"CUIT NO CARGADO")</f>
        <v>DISTRIBUIDORA ACCOR DE CESAR PABLO ROCCA Y NAHUEL PABLO ROCCA SOC HECHO</v>
      </c>
      <c r="H44" s="615">
        <v>40396.01953125</v>
      </c>
      <c r="I44" s="609">
        <f>IF(compras_mes123[[#This Row],[NETO GRAVADO]]="","",compras_mes123[[#This Row],[NETO GRAVADO]]*0.21)</f>
        <v>8483.1641015624991</v>
      </c>
      <c r="J44" s="609"/>
      <c r="K44" s="609"/>
      <c r="L44" s="609"/>
      <c r="M44" s="609"/>
      <c r="N44" s="609"/>
      <c r="O44" s="609"/>
      <c r="P44" s="610">
        <f>SUM(compras_mes123[[#This Row],[NETO GRAVADO]:[Otros / No Grav.]])</f>
        <v>48879.183632812499</v>
      </c>
      <c r="Q44" s="655" t="str">
        <f>IFERROR(IF(compras_mes123[[#This Row],[CUIT]]="","-",VLOOKUP(compras_mes123[[#This Row],[CUIT]],Lista_CUIT[#All],3,0)),"CUIT NO CARGADO")</f>
        <v>Gastos Limpieza</v>
      </c>
      <c r="R44" s="655">
        <f>IFERROR(IF(compras_mes123[[#This Row],[CUIT]]="","-",VLOOKUP(compras_mes123[[#This Row],[CUIT]],Lista_CUIT[#All],4,0)),"CUIT NO CARGADO")</f>
        <v>0</v>
      </c>
    </row>
    <row r="45" spans="2:18">
      <c r="B45" s="167" t="s">
        <v>2568</v>
      </c>
      <c r="C45" s="168">
        <v>1</v>
      </c>
      <c r="D45" s="169">
        <v>113</v>
      </c>
      <c r="E45" s="170">
        <v>3913270</v>
      </c>
      <c r="F45" s="171">
        <v>30577207190</v>
      </c>
      <c r="G45" s="172" t="str">
        <f>IFERROR(IF(compras_mes123[[#This Row],[CUIT]]="","-",VLOOKUP(compras_mes123[[#This Row],[CUIT]],Lista_CUIT[#All],2,0)),"CUIT NO CARGADO")</f>
        <v>COORDINACION ECOLOGICA AREA METROPOLITANA SOCIEDAD DEL ESTADO</v>
      </c>
      <c r="H45" s="173">
        <v>4968.59</v>
      </c>
      <c r="I45" s="174">
        <f>IF(compras_mes123[[#This Row],[NETO GRAVADO]]="","",compras_mes123[[#This Row],[NETO GRAVADO]]*0.21)</f>
        <v>1043.4039</v>
      </c>
      <c r="J45" s="174"/>
      <c r="K45" s="174"/>
      <c r="L45" s="174">
        <v>149.06</v>
      </c>
      <c r="M45" s="174"/>
      <c r="N45" s="174"/>
      <c r="O45" s="174"/>
      <c r="P45" s="175">
        <f>SUM(compras_mes123[[#This Row],[NETO GRAVADO]:[Otros / No Grav.]])</f>
        <v>6161.0539000000008</v>
      </c>
      <c r="Q45" s="176" t="str">
        <f>IFERROR(IF(compras_mes123[[#This Row],[CUIT]]="","-",VLOOKUP(compras_mes123[[#This Row],[CUIT]],Lista_CUIT[#All],3,0)),"CUIT NO CARGADO")</f>
        <v>Gastos Limpieza</v>
      </c>
      <c r="R45" s="176">
        <f>IFERROR(IF(compras_mes123[[#This Row],[CUIT]]="","-",VLOOKUP(compras_mes123[[#This Row],[CUIT]],Lista_CUIT[#All],4,0)),"CUIT NO CARGADO")</f>
        <v>0</v>
      </c>
    </row>
    <row r="46" spans="2:18">
      <c r="B46" s="649" t="s">
        <v>2538</v>
      </c>
      <c r="C46" s="650">
        <v>1</v>
      </c>
      <c r="D46" s="651">
        <v>8</v>
      </c>
      <c r="E46" s="652">
        <v>35685</v>
      </c>
      <c r="F46" s="653">
        <v>30709953482</v>
      </c>
      <c r="G46" s="654" t="str">
        <f>IFERROR(IF(compras_mes123[[#This Row],[CUIT]]="","-",VLOOKUP(compras_mes123[[#This Row],[CUIT]],Lista_CUIT[#All],2,0)),"CUIT NO CARGADO")</f>
        <v>HONRE S.A</v>
      </c>
      <c r="H46" s="615">
        <v>32211.6513671875</v>
      </c>
      <c r="I46" s="609">
        <f>IF(compras_mes123[[#This Row],[NETO GRAVADO]]="","",compras_mes123[[#This Row],[NETO GRAVADO]]*0.21)</f>
        <v>6764.4467871093748</v>
      </c>
      <c r="J46" s="609"/>
      <c r="K46" s="609"/>
      <c r="L46" s="609"/>
      <c r="M46" s="609"/>
      <c r="N46" s="609"/>
      <c r="O46" s="609"/>
      <c r="P46" s="610">
        <f>SUM(compras_mes123[[#This Row],[NETO GRAVADO]:[Otros / No Grav.]])</f>
        <v>38976.098154296873</v>
      </c>
      <c r="Q46" s="655" t="str">
        <f>IFERROR(IF(compras_mes123[[#This Row],[CUIT]]="","-",VLOOKUP(compras_mes123[[#This Row],[CUIT]],Lista_CUIT[#All],3,0)),"CUIT NO CARGADO")</f>
        <v>Gastos Limpieza</v>
      </c>
      <c r="R46" s="655">
        <f>IFERROR(IF(compras_mes123[[#This Row],[CUIT]]="","-",VLOOKUP(compras_mes123[[#This Row],[CUIT]],Lista_CUIT[#All],4,0)),"CUIT NO CARGADO")</f>
        <v>0</v>
      </c>
    </row>
    <row r="47" spans="2:18">
      <c r="B47" s="167" t="s">
        <v>2572</v>
      </c>
      <c r="C47" s="168">
        <v>1</v>
      </c>
      <c r="D47" s="169">
        <v>8</v>
      </c>
      <c r="E47" s="170">
        <v>35682</v>
      </c>
      <c r="F47" s="171">
        <v>30709953482</v>
      </c>
      <c r="G47" s="172" t="str">
        <f>IFERROR(IF(compras_mes123[[#This Row],[CUIT]]="","-",VLOOKUP(compras_mes123[[#This Row],[CUIT]],Lista_CUIT[#All],2,0)),"CUIT NO CARGADO")</f>
        <v>HONRE S.A</v>
      </c>
      <c r="H47" s="173">
        <v>32211.65</v>
      </c>
      <c r="I47" s="174">
        <f>IF(compras_mes123[[#This Row],[NETO GRAVADO]]="","",compras_mes123[[#This Row],[NETO GRAVADO]]*0.21)</f>
        <v>6764.4465</v>
      </c>
      <c r="J47" s="174"/>
      <c r="K47" s="174"/>
      <c r="L47" s="174"/>
      <c r="M47" s="174"/>
      <c r="N47" s="174"/>
      <c r="O47" s="174"/>
      <c r="P47" s="175">
        <f>SUM(compras_mes123[[#This Row],[NETO GRAVADO]:[Otros / No Grav.]])</f>
        <v>38976.0965</v>
      </c>
      <c r="Q47" s="176" t="str">
        <f>IFERROR(IF(compras_mes123[[#This Row],[CUIT]]="","-",VLOOKUP(compras_mes123[[#This Row],[CUIT]],Lista_CUIT[#All],3,0)),"CUIT NO CARGADO")</f>
        <v>Gastos Limpieza</v>
      </c>
      <c r="R47" s="176">
        <f>IFERROR(IF(compras_mes123[[#This Row],[CUIT]]="","-",VLOOKUP(compras_mes123[[#This Row],[CUIT]],Lista_CUIT[#All],4,0)),"CUIT NO CARGADO")</f>
        <v>0</v>
      </c>
    </row>
    <row r="48" spans="2:18">
      <c r="B48" s="167" t="s">
        <v>2579</v>
      </c>
      <c r="C48" s="168">
        <v>1</v>
      </c>
      <c r="D48" s="169">
        <v>9</v>
      </c>
      <c r="E48" s="170">
        <v>10289</v>
      </c>
      <c r="F48" s="171">
        <v>30709531960</v>
      </c>
      <c r="G48" s="172" t="str">
        <f>IFERROR(IF(compras_mes123[[#This Row],[CUIT]]="","-",VLOOKUP(compras_mes123[[#This Row],[CUIT]],Lista_CUIT[#All],2,0)),"CUIT NO CARGADO")</f>
        <v>CENTRO DE DISTRIBUCION SUR S R L</v>
      </c>
      <c r="H48" s="173">
        <v>67298.23</v>
      </c>
      <c r="I48" s="174">
        <f>IF(compras_mes123[[#This Row],[NETO GRAVADO]]="","",compras_mes123[[#This Row],[NETO GRAVADO]]*0.21)</f>
        <v>14132.628299999998</v>
      </c>
      <c r="J48" s="174"/>
      <c r="K48" s="174"/>
      <c r="L48" s="174"/>
      <c r="M48" s="174"/>
      <c r="N48" s="174">
        <v>4037.89</v>
      </c>
      <c r="O48" s="174"/>
      <c r="P48" s="175">
        <f>SUM(compras_mes123[[#This Row],[NETO GRAVADO]:[Otros / No Grav.]])</f>
        <v>85468.748299999992</v>
      </c>
      <c r="Q48" s="176" t="str">
        <f>IFERROR(IF(compras_mes123[[#This Row],[CUIT]]="","-",VLOOKUP(compras_mes123[[#This Row],[CUIT]],Lista_CUIT[#All],3,0)),"CUIT NO CARGADO")</f>
        <v>Gastos Limpieza</v>
      </c>
      <c r="R48" s="176">
        <f>IFERROR(IF(compras_mes123[[#This Row],[CUIT]]="","-",VLOOKUP(compras_mes123[[#This Row],[CUIT]],Lista_CUIT[#All],4,0)),"CUIT NO CARGADO")</f>
        <v>0</v>
      </c>
    </row>
    <row r="49" spans="2:18">
      <c r="B49" s="167" t="s">
        <v>2579</v>
      </c>
      <c r="C49" s="168">
        <v>1</v>
      </c>
      <c r="D49" s="169">
        <v>9</v>
      </c>
      <c r="E49" s="170">
        <v>10290</v>
      </c>
      <c r="F49" s="171">
        <v>30709531960</v>
      </c>
      <c r="G49" s="172" t="str">
        <f>IFERROR(IF(compras_mes123[[#This Row],[CUIT]]="","-",VLOOKUP(compras_mes123[[#This Row],[CUIT]],Lista_CUIT[#All],2,0)),"CUIT NO CARGADO")</f>
        <v>CENTRO DE DISTRIBUCION SUR S R L</v>
      </c>
      <c r="H49" s="173">
        <v>48495.87</v>
      </c>
      <c r="I49" s="174">
        <f>IF(compras_mes123[[#This Row],[NETO GRAVADO]]="","",compras_mes123[[#This Row],[NETO GRAVADO]]*0.21)</f>
        <v>10184.1327</v>
      </c>
      <c r="J49" s="174"/>
      <c r="K49" s="174"/>
      <c r="L49" s="174"/>
      <c r="M49" s="174"/>
      <c r="N49" s="174">
        <v>2909.75</v>
      </c>
      <c r="O49" s="174"/>
      <c r="P49" s="175">
        <f>SUM(compras_mes123[[#This Row],[NETO GRAVADO]:[Otros / No Grav.]])</f>
        <v>61589.752700000005</v>
      </c>
      <c r="Q49" s="176" t="str">
        <f>IFERROR(IF(compras_mes123[[#This Row],[CUIT]]="","-",VLOOKUP(compras_mes123[[#This Row],[CUIT]],Lista_CUIT[#All],3,0)),"CUIT NO CARGADO")</f>
        <v>Gastos Limpieza</v>
      </c>
      <c r="R49" s="176">
        <f>IFERROR(IF(compras_mes123[[#This Row],[CUIT]]="","-",VLOOKUP(compras_mes123[[#This Row],[CUIT]],Lista_CUIT[#All],4,0)),"CUIT NO CARGADO")</f>
        <v>0</v>
      </c>
    </row>
    <row r="50" spans="2:18">
      <c r="B50" s="167" t="s">
        <v>2581</v>
      </c>
      <c r="C50" s="168">
        <v>1</v>
      </c>
      <c r="D50" s="169">
        <v>113</v>
      </c>
      <c r="E50" s="170">
        <v>3941435</v>
      </c>
      <c r="F50" s="171">
        <v>30577207190</v>
      </c>
      <c r="G50" s="172" t="str">
        <f>IFERROR(IF(compras_mes123[[#This Row],[CUIT]]="","-",VLOOKUP(compras_mes123[[#This Row],[CUIT]],Lista_CUIT[#All],2,0)),"CUIT NO CARGADO")</f>
        <v>COORDINACION ECOLOGICA AREA METROPOLITANA SOCIEDAD DEL ESTADO</v>
      </c>
      <c r="H50" s="173">
        <v>2520.66</v>
      </c>
      <c r="I50" s="174">
        <f>IF(compras_mes123[[#This Row],[NETO GRAVADO]]="","",compras_mes123[[#This Row],[NETO GRAVADO]]*0.21)</f>
        <v>529.33859999999993</v>
      </c>
      <c r="J50" s="174"/>
      <c r="K50" s="174"/>
      <c r="L50" s="174">
        <v>75.62</v>
      </c>
      <c r="M50" s="174"/>
      <c r="N50" s="174"/>
      <c r="O50" s="174"/>
      <c r="P50" s="175">
        <f>SUM(compras_mes123[[#This Row],[NETO GRAVADO]:[Otros / No Grav.]])</f>
        <v>3125.6185999999998</v>
      </c>
      <c r="Q50" s="176" t="str">
        <f>IFERROR(IF(compras_mes123[[#This Row],[CUIT]]="","-",VLOOKUP(compras_mes123[[#This Row],[CUIT]],Lista_CUIT[#All],3,0)),"CUIT NO CARGADO")</f>
        <v>Gastos Limpieza</v>
      </c>
      <c r="R50" s="176">
        <f>IFERROR(IF(compras_mes123[[#This Row],[CUIT]]="","-",VLOOKUP(compras_mes123[[#This Row],[CUIT]],Lista_CUIT[#All],4,0)),"CUIT NO CARGADO")</f>
        <v>0</v>
      </c>
    </row>
    <row r="51" spans="2:18">
      <c r="B51" s="167" t="s">
        <v>2567</v>
      </c>
      <c r="C51" s="168">
        <v>1</v>
      </c>
      <c r="D51" s="169">
        <v>3</v>
      </c>
      <c r="E51" s="170">
        <v>41203</v>
      </c>
      <c r="F51" s="171">
        <v>30714874981</v>
      </c>
      <c r="G51" s="172" t="str">
        <f>IFERROR(IF(compras_mes123[[#This Row],[CUIT]]="","-",VLOOKUP(compras_mes123[[#This Row],[CUIT]],Lista_CUIT[#All],2,0)),"CUIT NO CARGADO")</f>
        <v>PRODUCTOS ELECTRONICOS SRL</v>
      </c>
      <c r="H51" s="173">
        <v>28053.39</v>
      </c>
      <c r="I51" s="174"/>
      <c r="J51" s="174"/>
      <c r="K51" s="174">
        <f>compras_mes123[[#This Row],[NETO GRAVADO]]*0.105</f>
        <v>2945.6059499999997</v>
      </c>
      <c r="L51" s="174"/>
      <c r="M51" s="174"/>
      <c r="N51" s="174"/>
      <c r="O51" s="174"/>
      <c r="P51" s="175">
        <f>SUM(compras_mes123[[#This Row],[NETO GRAVADO]:[Otros / No Grav.]])</f>
        <v>30998.99595</v>
      </c>
      <c r="Q51" s="176" t="str">
        <f>IFERROR(IF(compras_mes123[[#This Row],[CUIT]]="","-",VLOOKUP(compras_mes123[[#This Row],[CUIT]],Lista_CUIT[#All],3,0)),"CUIT NO CARGADO")</f>
        <v>Gastos Oficina</v>
      </c>
      <c r="R51" s="176">
        <f>IFERROR(IF(compras_mes123[[#This Row],[CUIT]]="","-",VLOOKUP(compras_mes123[[#This Row],[CUIT]],Lista_CUIT[#All],4,0)),"CUIT NO CARGADO")</f>
        <v>0</v>
      </c>
    </row>
    <row r="52" spans="2:18">
      <c r="B52" s="649" t="s">
        <v>2532</v>
      </c>
      <c r="C52" s="650">
        <v>1</v>
      </c>
      <c r="D52" s="651">
        <v>7</v>
      </c>
      <c r="E52" s="652">
        <v>156606</v>
      </c>
      <c r="F52" s="653">
        <v>20181426846</v>
      </c>
      <c r="G52" s="654" t="str">
        <f>IFERROR(IF(compras_mes123[[#This Row],[CUIT]]="","-",VLOOKUP(compras_mes123[[#This Row],[CUIT]],Lista_CUIT[#All],2,0)),"CUIT NO CARGADO")</f>
        <v>GRIDEL WALTER DIEGO</v>
      </c>
      <c r="H52" s="615">
        <v>61983.5</v>
      </c>
      <c r="I52" s="609">
        <f>IF(compras_mes123[[#This Row],[NETO GRAVADO]]="","",compras_mes123[[#This Row],[NETO GRAVADO]]*0.21)</f>
        <v>13016.535</v>
      </c>
      <c r="J52" s="609"/>
      <c r="K52" s="609"/>
      <c r="L52" s="609"/>
      <c r="M52" s="609"/>
      <c r="N52" s="609"/>
      <c r="O52" s="609"/>
      <c r="P52" s="610">
        <f>SUM(compras_mes123[[#This Row],[NETO GRAVADO]:[Otros / No Grav.]])</f>
        <v>75000.035000000003</v>
      </c>
      <c r="Q52" s="655" t="str">
        <f>IFERROR(IF(compras_mes123[[#This Row],[CUIT]]="","-",VLOOKUP(compras_mes123[[#This Row],[CUIT]],Lista_CUIT[#All],3,0)),"CUIT NO CARGADO")</f>
        <v>Gastos Oficina</v>
      </c>
      <c r="R52" s="655">
        <f>IFERROR(IF(compras_mes123[[#This Row],[CUIT]]="","-",VLOOKUP(compras_mes123[[#This Row],[CUIT]],Lista_CUIT[#All],4,0)),"CUIT NO CARGADO")</f>
        <v>0</v>
      </c>
    </row>
    <row r="53" spans="2:18">
      <c r="B53" s="649" t="s">
        <v>2534</v>
      </c>
      <c r="C53" s="650">
        <v>1</v>
      </c>
      <c r="D53" s="651">
        <v>2000</v>
      </c>
      <c r="E53" s="652">
        <v>55489</v>
      </c>
      <c r="F53" s="653">
        <v>30716932245</v>
      </c>
      <c r="G53" s="654" t="str">
        <f>IFERROR(IF(compras_mes123[[#This Row],[CUIT]]="","-",VLOOKUP(compras_mes123[[#This Row],[CUIT]],Lista_CUIT[#All],2,0)),"CUIT NO CARGADO")</f>
        <v>GRUPO MEXX S.R.L</v>
      </c>
      <c r="H53" s="615">
        <v>414478.69921875</v>
      </c>
      <c r="I53" s="609"/>
      <c r="J53" s="609"/>
      <c r="K53" s="609">
        <f>compras_mes123[[#This Row],[NETO GRAVADO]]*0.105</f>
        <v>43520.263417968745</v>
      </c>
      <c r="L53" s="609"/>
      <c r="M53" s="609"/>
      <c r="N53" s="609"/>
      <c r="O53" s="609"/>
      <c r="P53" s="610">
        <f>SUM(compras_mes123[[#This Row],[NETO GRAVADO]:[Otros / No Grav.]])</f>
        <v>457998.96263671876</v>
      </c>
      <c r="Q53" s="655" t="str">
        <f>IFERROR(IF(compras_mes123[[#This Row],[CUIT]]="","-",VLOOKUP(compras_mes123[[#This Row],[CUIT]],Lista_CUIT[#All],3,0)),"CUIT NO CARGADO")</f>
        <v>Gastos Oficina</v>
      </c>
      <c r="R53" s="655">
        <f>IFERROR(IF(compras_mes123[[#This Row],[CUIT]]="","-",VLOOKUP(compras_mes123[[#This Row],[CUIT]],Lista_CUIT[#All],4,0)),"CUIT NO CARGADO")</f>
        <v>0</v>
      </c>
    </row>
    <row r="54" spans="2:18">
      <c r="B54" s="649" t="s">
        <v>2534</v>
      </c>
      <c r="C54" s="650">
        <v>1</v>
      </c>
      <c r="D54" s="651">
        <v>5</v>
      </c>
      <c r="E54" s="652">
        <v>2912</v>
      </c>
      <c r="F54" s="653">
        <v>27380258884</v>
      </c>
      <c r="G54" s="654" t="str">
        <f>IFERROR(IF(compras_mes123[[#This Row],[CUIT]]="","-",VLOOKUP(compras_mes123[[#This Row],[CUIT]],Lista_CUIT[#All],2,0)),"CUIT NO CARGADO")</f>
        <v>THEISEN DINORA GISELLE</v>
      </c>
      <c r="H54" s="615">
        <v>24933.8798828125</v>
      </c>
      <c r="I54" s="609">
        <f>IF(compras_mes123[[#This Row],[NETO GRAVADO]]="","",compras_mes123[[#This Row],[NETO GRAVADO]]*0.21)</f>
        <v>5236.1147753906253</v>
      </c>
      <c r="J54" s="609"/>
      <c r="K54" s="609"/>
      <c r="L54" s="609"/>
      <c r="M54" s="609"/>
      <c r="N54" s="609"/>
      <c r="O54" s="609"/>
      <c r="P54" s="610">
        <f>SUM(compras_mes123[[#This Row],[NETO GRAVADO]:[Otros / No Grav.]])</f>
        <v>30169.994658203126</v>
      </c>
      <c r="Q54" s="655" t="str">
        <f>IFERROR(IF(compras_mes123[[#This Row],[CUIT]]="","-",VLOOKUP(compras_mes123[[#This Row],[CUIT]],Lista_CUIT[#All],3,0)),"CUIT NO CARGADO")</f>
        <v>Gastos Oficina</v>
      </c>
      <c r="R54" s="655">
        <f>IFERROR(IF(compras_mes123[[#This Row],[CUIT]]="","-",VLOOKUP(compras_mes123[[#This Row],[CUIT]],Lista_CUIT[#All],4,0)),"CUIT NO CARGADO")</f>
        <v>0</v>
      </c>
    </row>
    <row r="55" spans="2:18">
      <c r="B55" s="167" t="s">
        <v>2587</v>
      </c>
      <c r="C55" s="168">
        <v>1</v>
      </c>
      <c r="D55" s="169">
        <v>2188</v>
      </c>
      <c r="E55" s="170">
        <v>133469</v>
      </c>
      <c r="F55" s="171">
        <v>30548083156</v>
      </c>
      <c r="G55" s="172" t="str">
        <f>IFERROR(IF(compras_mes123[[#This Row],[CUIT]]="","-",VLOOKUP(compras_mes123[[#This Row],[CUIT]],Lista_CUIT[#All],2,0)),"CUIT NO CARGADO")</f>
        <v>COTO CENTRO INTEGRAL DE COMERCIALIZACION SOCIEDAD ANONIMA</v>
      </c>
      <c r="H55" s="173">
        <v>60376.19</v>
      </c>
      <c r="I55" s="174">
        <v>11727.86</v>
      </c>
      <c r="J55" s="174"/>
      <c r="K55" s="174">
        <v>475.57</v>
      </c>
      <c r="L55" s="174"/>
      <c r="M55" s="174"/>
      <c r="N55" s="174"/>
      <c r="O55" s="174">
        <v>4628.99</v>
      </c>
      <c r="P55" s="175">
        <f>SUM(compras_mes123[[#This Row],[NETO GRAVADO]:[Otros / No Grav.]])</f>
        <v>77208.610000000015</v>
      </c>
      <c r="Q55" s="176" t="str">
        <f>IFERROR(IF(compras_mes123[[#This Row],[CUIT]]="","-",VLOOKUP(compras_mes123[[#This Row],[CUIT]],Lista_CUIT[#All],3,0)),"CUIT NO CARGADO")</f>
        <v>Gastos Varios</v>
      </c>
      <c r="R55" s="176">
        <f>IFERROR(IF(compras_mes123[[#This Row],[CUIT]]="","-",VLOOKUP(compras_mes123[[#This Row],[CUIT]],Lista_CUIT[#All],4,0)),"CUIT NO CARGADO")</f>
        <v>0</v>
      </c>
    </row>
    <row r="56" spans="2:18">
      <c r="B56" s="167" t="s">
        <v>2588</v>
      </c>
      <c r="C56" s="168">
        <v>1</v>
      </c>
      <c r="D56" s="169">
        <v>2084</v>
      </c>
      <c r="E56" s="170">
        <v>25516</v>
      </c>
      <c r="F56" s="171">
        <v>30548083156</v>
      </c>
      <c r="G56" s="172" t="str">
        <f>IFERROR(IF(compras_mes123[[#This Row],[CUIT]]="","-",VLOOKUP(compras_mes123[[#This Row],[CUIT]],Lista_CUIT[#All],2,0)),"CUIT NO CARGADO")</f>
        <v>COTO CENTRO INTEGRAL DE COMERCIALIZACION SOCIEDAD ANONIMA</v>
      </c>
      <c r="H56" s="173">
        <v>24352.67</v>
      </c>
      <c r="I56" s="174">
        <f>IF(compras_mes123[[#This Row],[NETO GRAVADO]]="","",compras_mes123[[#This Row],[NETO GRAVADO]]*0.21)</f>
        <v>5114.0606999999991</v>
      </c>
      <c r="J56" s="174"/>
      <c r="K56" s="174"/>
      <c r="L56" s="174"/>
      <c r="M56" s="174"/>
      <c r="N56" s="174"/>
      <c r="O56" s="174">
        <v>2191.7399999999998</v>
      </c>
      <c r="P56" s="175">
        <f>SUM(compras_mes123[[#This Row],[NETO GRAVADO]:[Otros / No Grav.]])</f>
        <v>31658.470699999998</v>
      </c>
      <c r="Q56" s="176" t="str">
        <f>IFERROR(IF(compras_mes123[[#This Row],[CUIT]]="","-",VLOOKUP(compras_mes123[[#This Row],[CUIT]],Lista_CUIT[#All],3,0)),"CUIT NO CARGADO")</f>
        <v>Gastos Varios</v>
      </c>
      <c r="R56" s="176">
        <f>IFERROR(IF(compras_mes123[[#This Row],[CUIT]]="","-",VLOOKUP(compras_mes123[[#This Row],[CUIT]],Lista_CUIT[#All],4,0)),"CUIT NO CARGADO")</f>
        <v>0</v>
      </c>
    </row>
    <row r="57" spans="2:18">
      <c r="B57" s="167" t="s">
        <v>2589</v>
      </c>
      <c r="C57" s="168">
        <v>1</v>
      </c>
      <c r="D57" s="169">
        <v>2084</v>
      </c>
      <c r="E57" s="170">
        <v>25541</v>
      </c>
      <c r="F57" s="171">
        <v>30548083156</v>
      </c>
      <c r="G57" s="172" t="str">
        <f>IFERROR(IF(compras_mes123[[#This Row],[CUIT]]="","-",VLOOKUP(compras_mes123[[#This Row],[CUIT]],Lista_CUIT[#All],2,0)),"CUIT NO CARGADO")</f>
        <v>COTO CENTRO INTEGRAL DE COMERCIALIZACION SOCIEDAD ANONIMA</v>
      </c>
      <c r="H57" s="173">
        <v>52593.760000000002</v>
      </c>
      <c r="I57" s="174">
        <v>9606.74</v>
      </c>
      <c r="J57" s="174"/>
      <c r="K57" s="174">
        <v>718.98</v>
      </c>
      <c r="L57" s="174"/>
      <c r="M57" s="174"/>
      <c r="N57" s="174"/>
      <c r="O57" s="174">
        <v>4219.88</v>
      </c>
      <c r="P57" s="175">
        <f>SUM(compras_mes123[[#This Row],[NETO GRAVADO]:[Otros / No Grav.]])</f>
        <v>67139.360000000001</v>
      </c>
      <c r="Q57" s="176" t="str">
        <f>IFERROR(IF(compras_mes123[[#This Row],[CUIT]]="","-",VLOOKUP(compras_mes123[[#This Row],[CUIT]],Lista_CUIT[#All],3,0)),"CUIT NO CARGADO")</f>
        <v>Gastos Varios</v>
      </c>
      <c r="R57" s="176">
        <f>IFERROR(IF(compras_mes123[[#This Row],[CUIT]]="","-",VLOOKUP(compras_mes123[[#This Row],[CUIT]],Lista_CUIT[#All],4,0)),"CUIT NO CARGADO")</f>
        <v>0</v>
      </c>
    </row>
    <row r="58" spans="2:18">
      <c r="B58" s="649" t="s">
        <v>2523</v>
      </c>
      <c r="C58" s="650">
        <v>1</v>
      </c>
      <c r="D58" s="651">
        <v>9</v>
      </c>
      <c r="E58" s="652">
        <v>154183</v>
      </c>
      <c r="F58" s="653">
        <v>33715571639</v>
      </c>
      <c r="G58" s="654" t="str">
        <f>IFERROR(IF(compras_mes123[[#This Row],[CUIT]]="","-",VLOOKUP(compras_mes123[[#This Row],[CUIT]],Lista_CUIT[#All],2,0)),"CUIT NO CARGADO")</f>
        <v>DUAITEK SRL</v>
      </c>
      <c r="H58" s="615">
        <v>56289.860839843801</v>
      </c>
      <c r="I58" s="609"/>
      <c r="J58" s="609"/>
      <c r="K58" s="609">
        <f>compras_mes123[[#This Row],[NETO GRAVADO]]*0.105</f>
        <v>5910.4353881835987</v>
      </c>
      <c r="L58" s="609"/>
      <c r="M58" s="609"/>
      <c r="N58" s="609"/>
      <c r="O58" s="609"/>
      <c r="P58" s="610">
        <f>SUM(compras_mes123[[#This Row],[NETO GRAVADO]:[Otros / No Grav.]])</f>
        <v>62200.296228027401</v>
      </c>
      <c r="Q58" s="655" t="str">
        <f>IFERROR(IF(compras_mes123[[#This Row],[CUIT]]="","-",VLOOKUP(compras_mes123[[#This Row],[CUIT]],Lista_CUIT[#All],3,0)),"CUIT NO CARGADO")</f>
        <v>Gastos Varios</v>
      </c>
      <c r="R58" s="655">
        <f>IFERROR(IF(compras_mes123[[#This Row],[CUIT]]="","-",VLOOKUP(compras_mes123[[#This Row],[CUIT]],Lista_CUIT[#All],4,0)),"CUIT NO CARGADO")</f>
        <v>0</v>
      </c>
    </row>
    <row r="59" spans="2:18">
      <c r="B59" s="656" t="s">
        <v>2527</v>
      </c>
      <c r="C59" s="650">
        <v>1</v>
      </c>
      <c r="D59" s="657">
        <v>5</v>
      </c>
      <c r="E59" s="658">
        <v>180375</v>
      </c>
      <c r="F59" s="659">
        <v>20628358223</v>
      </c>
      <c r="G59" s="660" t="str">
        <f>IFERROR(IF(compras_mes123[[#This Row],[CUIT]]="","-",VLOOKUP(compras_mes123[[#This Row],[CUIT]],Lista_CUIT[#All],2,0)),"CUIT NO CARGADO")</f>
        <v>LEAL FUENTES FRANCISCO JAVIER</v>
      </c>
      <c r="H59" s="661">
        <v>149089.00390625</v>
      </c>
      <c r="I59" s="609">
        <f>IF(compras_mes123[[#This Row],[NETO GRAVADO]]="","",compras_mes123[[#This Row],[NETO GRAVADO]]*0.21)</f>
        <v>31308.690820312499</v>
      </c>
      <c r="J59" s="662"/>
      <c r="K59" s="662"/>
      <c r="L59" s="662"/>
      <c r="M59" s="662"/>
      <c r="N59" s="662"/>
      <c r="O59" s="662"/>
      <c r="P59" s="663">
        <f>SUM(compras_mes123[[#This Row],[NETO GRAVADO]:[Otros / No Grav.]])</f>
        <v>180397.69472656251</v>
      </c>
      <c r="Q59" s="664" t="str">
        <f>IFERROR(IF(compras_mes123[[#This Row],[CUIT]]="","-",VLOOKUP(compras_mes123[[#This Row],[CUIT]],Lista_CUIT[#All],3,0)),"CUIT NO CARGADO")</f>
        <v>Gastos Varios</v>
      </c>
      <c r="R59" s="664">
        <f>IFERROR(IF(compras_mes123[[#This Row],[CUIT]]="","-",VLOOKUP(compras_mes123[[#This Row],[CUIT]],Lista_CUIT[#All],4,0)),"CUIT NO CARGADO")</f>
        <v>0</v>
      </c>
    </row>
    <row r="60" spans="2:18">
      <c r="B60" s="167" t="s">
        <v>2564</v>
      </c>
      <c r="C60" s="168">
        <v>1</v>
      </c>
      <c r="D60" s="169">
        <v>3</v>
      </c>
      <c r="E60" s="170">
        <v>17828</v>
      </c>
      <c r="F60" s="171">
        <v>30540396295</v>
      </c>
      <c r="G60" s="172" t="str">
        <f>IFERROR(IF(compras_mes123[[#This Row],[CUIT]]="","-",VLOOKUP(compras_mes123[[#This Row],[CUIT]],Lista_CUIT[#All],2,0)),"CUIT NO CARGADO")</f>
        <v>ELECTRICIDAD JUJUY S A C E I</v>
      </c>
      <c r="H60" s="173">
        <v>6611.57</v>
      </c>
      <c r="I60" s="174">
        <f>IF(compras_mes123[[#This Row],[NETO GRAVADO]]="","",compras_mes123[[#This Row],[NETO GRAVADO]]*0.21)</f>
        <v>1388.4296999999999</v>
      </c>
      <c r="J60" s="174"/>
      <c r="K60" s="174"/>
      <c r="L60" s="174"/>
      <c r="M60" s="174"/>
      <c r="N60" s="174"/>
      <c r="O60" s="174"/>
      <c r="P60" s="175">
        <f>SUM(compras_mes123[[#This Row],[NETO GRAVADO]:[Otros / No Grav.]])</f>
        <v>7999.9996999999994</v>
      </c>
      <c r="Q60" s="176" t="str">
        <f>IFERROR(IF(compras_mes123[[#This Row],[CUIT]]="","-",VLOOKUP(compras_mes123[[#This Row],[CUIT]],Lista_CUIT[#All],3,0)),"CUIT NO CARGADO")</f>
        <v>Gastos Varios</v>
      </c>
      <c r="R60" s="176">
        <f>IFERROR(IF(compras_mes123[[#This Row],[CUIT]]="","-",VLOOKUP(compras_mes123[[#This Row],[CUIT]],Lista_CUIT[#All],4,0)),"CUIT NO CARGADO")</f>
        <v>0</v>
      </c>
    </row>
    <row r="61" spans="2:18">
      <c r="B61" s="167" t="s">
        <v>2564</v>
      </c>
      <c r="C61" s="168">
        <v>1</v>
      </c>
      <c r="D61" s="169">
        <v>1678</v>
      </c>
      <c r="E61" s="170">
        <v>49190</v>
      </c>
      <c r="F61" s="171">
        <v>30589621499</v>
      </c>
      <c r="G61" s="172" t="str">
        <f>IFERROR(IF(compras_mes123[[#This Row],[CUIT]]="","-",VLOOKUP(compras_mes123[[#This Row],[CUIT]],Lista_CUIT[#All],2,0)),"CUIT NO CARGADO")</f>
        <v>MAKRO SA</v>
      </c>
      <c r="H61" s="173">
        <v>45232.39</v>
      </c>
      <c r="I61" s="174">
        <f>IF(compras_mes123[[#This Row],[NETO GRAVADO]]="","",compras_mes123[[#This Row],[NETO GRAVADO]]*0.21)</f>
        <v>9498.8019000000004</v>
      </c>
      <c r="J61" s="174"/>
      <c r="K61" s="174"/>
      <c r="L61" s="174">
        <v>1356.97</v>
      </c>
      <c r="M61" s="174"/>
      <c r="N61" s="174">
        <v>2713.94</v>
      </c>
      <c r="O61" s="174"/>
      <c r="P61" s="175">
        <f>SUM(compras_mes123[[#This Row],[NETO GRAVADO]:[Otros / No Grav.]])</f>
        <v>58802.101900000001</v>
      </c>
      <c r="Q61" s="176" t="str">
        <f>IFERROR(IF(compras_mes123[[#This Row],[CUIT]]="","-",VLOOKUP(compras_mes123[[#This Row],[CUIT]],Lista_CUIT[#All],3,0)),"CUIT NO CARGADO")</f>
        <v>Gastos Varios</v>
      </c>
      <c r="R61" s="176">
        <f>IFERROR(IF(compras_mes123[[#This Row],[CUIT]]="","-",VLOOKUP(compras_mes123[[#This Row],[CUIT]],Lista_CUIT[#All],4,0)),"CUIT NO CARGADO")</f>
        <v>0</v>
      </c>
    </row>
    <row r="62" spans="2:18">
      <c r="B62" s="167" t="s">
        <v>2565</v>
      </c>
      <c r="C62" s="168">
        <v>1</v>
      </c>
      <c r="D62" s="169">
        <v>2</v>
      </c>
      <c r="E62" s="170">
        <v>67</v>
      </c>
      <c r="F62" s="171">
        <v>27317740196</v>
      </c>
      <c r="G62" s="172" t="str">
        <f>IFERROR(IF(compras_mes123[[#This Row],[CUIT]]="","-",VLOOKUP(compras_mes123[[#This Row],[CUIT]],Lista_CUIT[#All],2,0)),"CUIT NO CARGADO")</f>
        <v>HOKAMA ROMINA PAOLA</v>
      </c>
      <c r="H62" s="173">
        <v>62582.61</v>
      </c>
      <c r="I62" s="174">
        <f>IF(compras_mes123[[#This Row],[NETO GRAVADO]]="","",compras_mes123[[#This Row],[NETO GRAVADO]]*0.21)</f>
        <v>13142.348099999999</v>
      </c>
      <c r="J62" s="174"/>
      <c r="K62" s="174"/>
      <c r="L62" s="174"/>
      <c r="M62" s="174"/>
      <c r="N62" s="174"/>
      <c r="O62" s="174"/>
      <c r="P62" s="175">
        <f>SUM(compras_mes123[[#This Row],[NETO GRAVADO]:[Otros / No Grav.]])</f>
        <v>75724.958100000003</v>
      </c>
      <c r="Q62" s="176" t="str">
        <f>IFERROR(IF(compras_mes123[[#This Row],[CUIT]]="","-",VLOOKUP(compras_mes123[[#This Row],[CUIT]],Lista_CUIT[#All],3,0)),"CUIT NO CARGADO")</f>
        <v>Gastos Varios</v>
      </c>
      <c r="R62" s="176">
        <f>IFERROR(IF(compras_mes123[[#This Row],[CUIT]]="","-",VLOOKUP(compras_mes123[[#This Row],[CUIT]],Lista_CUIT[#All],4,0)),"CUIT NO CARGADO")</f>
        <v>0</v>
      </c>
    </row>
    <row r="63" spans="2:18">
      <c r="B63" s="167" t="s">
        <v>2565</v>
      </c>
      <c r="C63" s="168">
        <v>1</v>
      </c>
      <c r="D63" s="169">
        <v>4</v>
      </c>
      <c r="E63" s="170">
        <v>1124</v>
      </c>
      <c r="F63" s="171">
        <v>23329455319</v>
      </c>
      <c r="G63" s="172" t="str">
        <f>IFERROR(IF(compras_mes123[[#This Row],[CUIT]]="","-",VLOOKUP(compras_mes123[[#This Row],[CUIT]],Lista_CUIT[#All],2,0)),"CUIT NO CARGADO")</f>
        <v>REPETTO RAMIRO ANDRES</v>
      </c>
      <c r="H63" s="173">
        <v>71652.89</v>
      </c>
      <c r="I63" s="174">
        <f>IF(compras_mes123[[#This Row],[NETO GRAVADO]]="","",compras_mes123[[#This Row],[NETO GRAVADO]]*0.21)</f>
        <v>15047.106899999999</v>
      </c>
      <c r="J63" s="174"/>
      <c r="K63" s="174"/>
      <c r="L63" s="174"/>
      <c r="M63" s="174"/>
      <c r="N63" s="174"/>
      <c r="O63" s="174"/>
      <c r="P63" s="175">
        <f>SUM(compras_mes123[[#This Row],[NETO GRAVADO]:[Otros / No Grav.]])</f>
        <v>86699.996899999998</v>
      </c>
      <c r="Q63" s="176" t="str">
        <f>IFERROR(IF(compras_mes123[[#This Row],[CUIT]]="","-",VLOOKUP(compras_mes123[[#This Row],[CUIT]],Lista_CUIT[#All],3,0)),"CUIT NO CARGADO")</f>
        <v>Gastos Varios</v>
      </c>
      <c r="R63" s="176">
        <f>IFERROR(IF(compras_mes123[[#This Row],[CUIT]]="","-",VLOOKUP(compras_mes123[[#This Row],[CUIT]],Lista_CUIT[#All],4,0)),"CUIT NO CARGADO")</f>
        <v>0</v>
      </c>
    </row>
    <row r="64" spans="2:18">
      <c r="B64" s="167" t="s">
        <v>2565</v>
      </c>
      <c r="C64" s="168">
        <v>1</v>
      </c>
      <c r="D64" s="169">
        <v>2084</v>
      </c>
      <c r="E64" s="170">
        <v>25603</v>
      </c>
      <c r="F64" s="171">
        <v>30548083156</v>
      </c>
      <c r="G64" s="172" t="str">
        <f>IFERROR(IF(compras_mes123[[#This Row],[CUIT]]="","-",VLOOKUP(compras_mes123[[#This Row],[CUIT]],Lista_CUIT[#All],2,0)),"CUIT NO CARGADO")</f>
        <v>COTO CENTRO INTEGRAL DE COMERCIALIZACION SOCIEDAD ANONIMA</v>
      </c>
      <c r="H64" s="173">
        <v>47349.87</v>
      </c>
      <c r="I64" s="174">
        <f>IF(compras_mes123[[#This Row],[NETO GRAVADO]]="","",compras_mes123[[#This Row],[NETO GRAVADO]]*0.21)</f>
        <v>9943.4727000000003</v>
      </c>
      <c r="J64" s="174"/>
      <c r="K64" s="174"/>
      <c r="L64" s="174"/>
      <c r="M64" s="174"/>
      <c r="N64" s="174"/>
      <c r="O64" s="174">
        <v>4261.49</v>
      </c>
      <c r="P64" s="175">
        <f>SUM(compras_mes123[[#This Row],[NETO GRAVADO]:[Otros / No Grav.]])</f>
        <v>61554.832699999999</v>
      </c>
      <c r="Q64" s="176" t="str">
        <f>IFERROR(IF(compras_mes123[[#This Row],[CUIT]]="","-",VLOOKUP(compras_mes123[[#This Row],[CUIT]],Lista_CUIT[#All],3,0)),"CUIT NO CARGADO")</f>
        <v>Gastos Varios</v>
      </c>
      <c r="R64" s="176">
        <f>IFERROR(IF(compras_mes123[[#This Row],[CUIT]]="","-",VLOOKUP(compras_mes123[[#This Row],[CUIT]],Lista_CUIT[#All],4,0)),"CUIT NO CARGADO")</f>
        <v>0</v>
      </c>
    </row>
    <row r="65" spans="2:18">
      <c r="B65" s="167" t="s">
        <v>2585</v>
      </c>
      <c r="C65" s="168">
        <v>1</v>
      </c>
      <c r="D65" s="169">
        <v>2188</v>
      </c>
      <c r="E65" s="170">
        <v>134092</v>
      </c>
      <c r="F65" s="171">
        <v>30548083156</v>
      </c>
      <c r="G65" s="172" t="str">
        <f>IFERROR(IF(compras_mes123[[#This Row],[CUIT]]="","-",VLOOKUP(compras_mes123[[#This Row],[CUIT]],Lista_CUIT[#All],2,0)),"CUIT NO CARGADO")</f>
        <v>COTO CENTRO INTEGRAL DE COMERCIALIZACION SOCIEDAD ANONIMA</v>
      </c>
      <c r="H65" s="173">
        <v>44463.33</v>
      </c>
      <c r="I65" s="174">
        <v>6643.9</v>
      </c>
      <c r="J65" s="174"/>
      <c r="K65" s="174">
        <v>1346.7</v>
      </c>
      <c r="L65" s="174"/>
      <c r="M65" s="174"/>
      <c r="N65" s="174"/>
      <c r="O65" s="174">
        <v>3156.34</v>
      </c>
      <c r="P65" s="175">
        <f>SUM(compras_mes123[[#This Row],[NETO GRAVADO]:[Otros / No Grav.]])</f>
        <v>55610.270000000004</v>
      </c>
      <c r="Q65" s="176" t="str">
        <f>IFERROR(IF(compras_mes123[[#This Row],[CUIT]]="","-",VLOOKUP(compras_mes123[[#This Row],[CUIT]],Lista_CUIT[#All],3,0)),"CUIT NO CARGADO")</f>
        <v>Gastos Varios</v>
      </c>
      <c r="R65" s="176">
        <f>IFERROR(IF(compras_mes123[[#This Row],[CUIT]]="","-",VLOOKUP(compras_mes123[[#This Row],[CUIT]],Lista_CUIT[#All],4,0)),"CUIT NO CARGADO")</f>
        <v>0</v>
      </c>
    </row>
    <row r="66" spans="2:18">
      <c r="B66" s="167" t="s">
        <v>2592</v>
      </c>
      <c r="C66" s="168">
        <v>1</v>
      </c>
      <c r="D66" s="169">
        <v>2199</v>
      </c>
      <c r="E66" s="170">
        <v>33069</v>
      </c>
      <c r="F66" s="171">
        <v>30548083156</v>
      </c>
      <c r="G66" s="172" t="str">
        <f>IFERROR(IF(compras_mes123[[#This Row],[CUIT]]="","-",VLOOKUP(compras_mes123[[#This Row],[CUIT]],Lista_CUIT[#All],2,0)),"CUIT NO CARGADO")</f>
        <v>COTO CENTRO INTEGRAL DE COMERCIALIZACION SOCIEDAD ANONIMA</v>
      </c>
      <c r="H66" s="173">
        <v>46583.05</v>
      </c>
      <c r="I66" s="174">
        <v>7888.08</v>
      </c>
      <c r="J66" s="174"/>
      <c r="K66" s="174">
        <v>947.18</v>
      </c>
      <c r="L66" s="174"/>
      <c r="M66" s="174"/>
      <c r="N66" s="174"/>
      <c r="O66" s="174">
        <v>3756.62</v>
      </c>
      <c r="P66" s="175">
        <f>SUM(compras_mes123[[#This Row],[NETO GRAVADO]:[Otros / No Grav.]])</f>
        <v>59174.930000000008</v>
      </c>
      <c r="Q66" s="176" t="str">
        <f>IFERROR(IF(compras_mes123[[#This Row],[CUIT]]="","-",VLOOKUP(compras_mes123[[#This Row],[CUIT]],Lista_CUIT[#All],3,0)),"CUIT NO CARGADO")</f>
        <v>Gastos Varios</v>
      </c>
      <c r="R66" s="176">
        <f>IFERROR(IF(compras_mes123[[#This Row],[CUIT]]="","-",VLOOKUP(compras_mes123[[#This Row],[CUIT]],Lista_CUIT[#All],4,0)),"CUIT NO CARGADO")</f>
        <v>0</v>
      </c>
    </row>
    <row r="67" spans="2:18">
      <c r="B67" s="649" t="s">
        <v>2531</v>
      </c>
      <c r="C67" s="650">
        <v>1</v>
      </c>
      <c r="D67" s="651">
        <v>21</v>
      </c>
      <c r="E67" s="652">
        <v>8982</v>
      </c>
      <c r="F67" s="653">
        <v>30707272038</v>
      </c>
      <c r="G67" s="654" t="str">
        <f>IFERROR(IF(compras_mes123[[#This Row],[CUIT]]="","-",VLOOKUP(compras_mes123[[#This Row],[CUIT]],Lista_CUIT[#All],2,0)),"CUIT NO CARGADO")</f>
        <v>ONDA BLANCA SA</v>
      </c>
      <c r="H67" s="615">
        <v>14885.1298828125</v>
      </c>
      <c r="I67" s="609">
        <f>IF(compras_mes123[[#This Row],[NETO GRAVADO]]="","",compras_mes123[[#This Row],[NETO GRAVADO]]*0.21)</f>
        <v>3125.8772753906251</v>
      </c>
      <c r="J67" s="609"/>
      <c r="K67" s="609"/>
      <c r="L67" s="609"/>
      <c r="M67" s="609"/>
      <c r="N67" s="609"/>
      <c r="O67" s="609"/>
      <c r="P67" s="610">
        <f>SUM(compras_mes123[[#This Row],[NETO GRAVADO]:[Otros / No Grav.]])</f>
        <v>18011.007158203123</v>
      </c>
      <c r="Q67" s="655" t="str">
        <f>IFERROR(IF(compras_mes123[[#This Row],[CUIT]]="","-",VLOOKUP(compras_mes123[[#This Row],[CUIT]],Lista_CUIT[#All],3,0)),"CUIT NO CARGADO")</f>
        <v>Gastos Varios</v>
      </c>
      <c r="R67" s="655">
        <f>IFERROR(IF(compras_mes123[[#This Row],[CUIT]]="","-",VLOOKUP(compras_mes123[[#This Row],[CUIT]],Lista_CUIT[#All],4,0)),"CUIT NO CARGADO")</f>
        <v>0</v>
      </c>
    </row>
    <row r="68" spans="2:18">
      <c r="B68" s="649" t="s">
        <v>2532</v>
      </c>
      <c r="C68" s="650">
        <v>1</v>
      </c>
      <c r="D68" s="651">
        <v>21</v>
      </c>
      <c r="E68" s="652">
        <v>8985</v>
      </c>
      <c r="F68" s="653">
        <v>30707272038</v>
      </c>
      <c r="G68" s="654" t="str">
        <f>IFERROR(IF(compras_mes123[[#This Row],[CUIT]]="","-",VLOOKUP(compras_mes123[[#This Row],[CUIT]],Lista_CUIT[#All],2,0)),"CUIT NO CARGADO")</f>
        <v>ONDA BLANCA SA</v>
      </c>
      <c r="H68" s="615">
        <v>14885.1298828125</v>
      </c>
      <c r="I68" s="609">
        <f>IF(compras_mes123[[#This Row],[NETO GRAVADO]]="","",compras_mes123[[#This Row],[NETO GRAVADO]]*0.21)</f>
        <v>3125.8772753906251</v>
      </c>
      <c r="J68" s="609"/>
      <c r="K68" s="609"/>
      <c r="L68" s="609"/>
      <c r="M68" s="609"/>
      <c r="N68" s="609"/>
      <c r="O68" s="609"/>
      <c r="P68" s="610">
        <f>SUM(compras_mes123[[#This Row],[NETO GRAVADO]:[Otros / No Grav.]])</f>
        <v>18011.007158203123</v>
      </c>
      <c r="Q68" s="655" t="str">
        <f>IFERROR(IF(compras_mes123[[#This Row],[CUIT]]="","-",VLOOKUP(compras_mes123[[#This Row],[CUIT]],Lista_CUIT[#All],3,0)),"CUIT NO CARGADO")</f>
        <v>Gastos Varios</v>
      </c>
      <c r="R68" s="655">
        <f>IFERROR(IF(compras_mes123[[#This Row],[CUIT]]="","-",VLOOKUP(compras_mes123[[#This Row],[CUIT]],Lista_CUIT[#All],4,0)),"CUIT NO CARGADO")</f>
        <v>0</v>
      </c>
    </row>
    <row r="69" spans="2:18">
      <c r="B69" s="167" t="s">
        <v>2591</v>
      </c>
      <c r="C69" s="168">
        <v>1</v>
      </c>
      <c r="D69" s="169">
        <v>1677</v>
      </c>
      <c r="E69" s="170">
        <v>56146</v>
      </c>
      <c r="F69" s="171">
        <v>30589621499</v>
      </c>
      <c r="G69" s="172" t="str">
        <f>IFERROR(IF(compras_mes123[[#This Row],[CUIT]]="","-",VLOOKUP(compras_mes123[[#This Row],[CUIT]],Lista_CUIT[#All],2,0)),"CUIT NO CARGADO")</f>
        <v>MAKRO SA</v>
      </c>
      <c r="H69" s="173">
        <v>80232.94</v>
      </c>
      <c r="I69" s="174">
        <f>IF(compras_mes123[[#This Row],[NETO GRAVADO]]="","",compras_mes123[[#This Row],[NETO GRAVADO]]*0.21)</f>
        <v>16848.917399999998</v>
      </c>
      <c r="J69" s="174"/>
      <c r="K69" s="174"/>
      <c r="L69" s="174">
        <v>2406.9899999999998</v>
      </c>
      <c r="M69" s="174"/>
      <c r="N69" s="174">
        <v>4813.9799999999996</v>
      </c>
      <c r="O69" s="174">
        <v>835.98</v>
      </c>
      <c r="P69" s="175">
        <f>SUM(compras_mes123[[#This Row],[NETO GRAVADO]:[Otros / No Grav.]])</f>
        <v>105138.80740000001</v>
      </c>
      <c r="Q69" s="176" t="str">
        <f>IFERROR(IF(compras_mes123[[#This Row],[CUIT]]="","-",VLOOKUP(compras_mes123[[#This Row],[CUIT]],Lista_CUIT[#All],3,0)),"CUIT NO CARGADO")</f>
        <v>Gastos Varios</v>
      </c>
      <c r="R69" s="176">
        <f>IFERROR(IF(compras_mes123[[#This Row],[CUIT]]="","-",VLOOKUP(compras_mes123[[#This Row],[CUIT]],Lista_CUIT[#All],4,0)),"CUIT NO CARGADO")</f>
        <v>0</v>
      </c>
    </row>
    <row r="70" spans="2:18">
      <c r="B70" s="649" t="s">
        <v>2534</v>
      </c>
      <c r="C70" s="650">
        <v>1</v>
      </c>
      <c r="D70" s="651">
        <v>1927</v>
      </c>
      <c r="E70" s="652">
        <v>8925</v>
      </c>
      <c r="F70" s="653">
        <v>30532847547</v>
      </c>
      <c r="G70" s="654" t="str">
        <f>IFERROR(IF(compras_mes123[[#This Row],[CUIT]]="","-",VLOOKUP(compras_mes123[[#This Row],[CUIT]],Lista_CUIT[#All],2,0)),"CUIT NO CARGADO")</f>
        <v>BAZAR AVENIDA SA</v>
      </c>
      <c r="H70" s="615">
        <v>233057</v>
      </c>
      <c r="I70" s="609">
        <f>IF(compras_mes123[[#This Row],[NETO GRAVADO]]="","",compras_mes123[[#This Row],[NETO GRAVADO]]*0.21)</f>
        <v>48941.97</v>
      </c>
      <c r="J70" s="609"/>
      <c r="K70" s="609"/>
      <c r="L70" s="609"/>
      <c r="M70" s="609"/>
      <c r="N70" s="609"/>
      <c r="O70" s="609"/>
      <c r="P70" s="610">
        <f>SUM(compras_mes123[[#This Row],[NETO GRAVADO]:[Otros / No Grav.]])</f>
        <v>281998.96999999997</v>
      </c>
      <c r="Q70" s="655" t="str">
        <f>IFERROR(IF(compras_mes123[[#This Row],[CUIT]]="","-",VLOOKUP(compras_mes123[[#This Row],[CUIT]],Lista_CUIT[#All],3,0)),"CUIT NO CARGADO")</f>
        <v>Gastos Varios</v>
      </c>
      <c r="R70" s="655">
        <f>IFERROR(IF(compras_mes123[[#This Row],[CUIT]]="","-",VLOOKUP(compras_mes123[[#This Row],[CUIT]],Lista_CUIT[#All],4,0)),"CUIT NO CARGADO")</f>
        <v>0</v>
      </c>
    </row>
    <row r="71" spans="2:18">
      <c r="B71" s="167" t="s">
        <v>2578</v>
      </c>
      <c r="C71" s="168">
        <v>1</v>
      </c>
      <c r="D71" s="169">
        <v>4</v>
      </c>
      <c r="E71" s="170">
        <v>60</v>
      </c>
      <c r="F71" s="171">
        <v>27317740196</v>
      </c>
      <c r="G71" s="172" t="str">
        <f>IFERROR(IF(compras_mes123[[#This Row],[CUIT]]="","-",VLOOKUP(compras_mes123[[#This Row],[CUIT]],Lista_CUIT[#All],2,0)),"CUIT NO CARGADO")</f>
        <v>HOKAMA ROMINA PAOLA</v>
      </c>
      <c r="H71" s="173">
        <v>32440.5</v>
      </c>
      <c r="I71" s="174">
        <f>IF(compras_mes123[[#This Row],[NETO GRAVADO]]="","",compras_mes123[[#This Row],[NETO GRAVADO]]*0.21)</f>
        <v>6812.5050000000001</v>
      </c>
      <c r="J71" s="174"/>
      <c r="K71" s="174"/>
      <c r="L71" s="174"/>
      <c r="M71" s="174"/>
      <c r="N71" s="174"/>
      <c r="O71" s="174"/>
      <c r="P71" s="175">
        <f>SUM(compras_mes123[[#This Row],[NETO GRAVADO]:[Otros / No Grav.]])</f>
        <v>39253.004999999997</v>
      </c>
      <c r="Q71" s="176" t="str">
        <f>IFERROR(IF(compras_mes123[[#This Row],[CUIT]]="","-",VLOOKUP(compras_mes123[[#This Row],[CUIT]],Lista_CUIT[#All],3,0)),"CUIT NO CARGADO")</f>
        <v>Gastos Varios</v>
      </c>
      <c r="R71" s="176">
        <f>IFERROR(IF(compras_mes123[[#This Row],[CUIT]]="","-",VLOOKUP(compras_mes123[[#This Row],[CUIT]],Lista_CUIT[#All],4,0)),"CUIT NO CARGADO")</f>
        <v>0</v>
      </c>
    </row>
    <row r="72" spans="2:18">
      <c r="B72" s="167" t="s">
        <v>2578</v>
      </c>
      <c r="C72" s="168">
        <v>1</v>
      </c>
      <c r="D72" s="169">
        <v>6</v>
      </c>
      <c r="E72" s="170">
        <v>5973</v>
      </c>
      <c r="F72" s="171">
        <v>30708482680</v>
      </c>
      <c r="G72" s="172" t="str">
        <f>IFERROR(IF(compras_mes123[[#This Row],[CUIT]]="","-",VLOOKUP(compras_mes123[[#This Row],[CUIT]],Lista_CUIT[#All],2,0)),"CUIT NO CARGADO")</f>
        <v>MIL RUEDAS SRL</v>
      </c>
      <c r="H72" s="173">
        <v>3305.79</v>
      </c>
      <c r="I72" s="174">
        <f>IF(compras_mes123[[#This Row],[NETO GRAVADO]]="","",compras_mes123[[#This Row],[NETO GRAVADO]]*0.21)</f>
        <v>694.21589999999992</v>
      </c>
      <c r="J72" s="174"/>
      <c r="K72" s="174"/>
      <c r="L72" s="174"/>
      <c r="M72" s="174"/>
      <c r="N72" s="174"/>
      <c r="O72" s="174"/>
      <c r="P72" s="175">
        <f>SUM(compras_mes123[[#This Row],[NETO GRAVADO]:[Otros / No Grav.]])</f>
        <v>4000.0059000000001</v>
      </c>
      <c r="Q72" s="176" t="str">
        <f>IFERROR(IF(compras_mes123[[#This Row],[CUIT]]="","-",VLOOKUP(compras_mes123[[#This Row],[CUIT]],Lista_CUIT[#All],3,0)),"CUIT NO CARGADO")</f>
        <v>Gastos Varios</v>
      </c>
      <c r="R72" s="176">
        <f>IFERROR(IF(compras_mes123[[#This Row],[CUIT]]="","-",VLOOKUP(compras_mes123[[#This Row],[CUIT]],Lista_CUIT[#All],4,0)),"CUIT NO CARGADO")</f>
        <v>0</v>
      </c>
    </row>
    <row r="73" spans="2:18">
      <c r="B73" s="167" t="s">
        <v>2578</v>
      </c>
      <c r="C73" s="168">
        <v>1</v>
      </c>
      <c r="D73" s="169">
        <v>2084</v>
      </c>
      <c r="E73" s="170">
        <v>25734</v>
      </c>
      <c r="F73" s="171">
        <v>30548083156</v>
      </c>
      <c r="G73" s="172" t="str">
        <f>IFERROR(IF(compras_mes123[[#This Row],[CUIT]]="","-",VLOOKUP(compras_mes123[[#This Row],[CUIT]],Lista_CUIT[#All],2,0)),"CUIT NO CARGADO")</f>
        <v>COTO CENTRO INTEGRAL DE COMERCIALIZACION SOCIEDAD ANONIMA</v>
      </c>
      <c r="H73" s="173">
        <v>45671.21</v>
      </c>
      <c r="I73" s="174">
        <v>5481.94</v>
      </c>
      <c r="J73" s="174"/>
      <c r="K73" s="174">
        <v>2054.5100000000002</v>
      </c>
      <c r="L73" s="174"/>
      <c r="M73" s="174"/>
      <c r="N73" s="174"/>
      <c r="O73" s="174">
        <v>2642.9</v>
      </c>
      <c r="P73" s="175">
        <f>SUM(compras_mes123[[#This Row],[NETO GRAVADO]:[Otros / No Grav.]])</f>
        <v>55850.560000000005</v>
      </c>
      <c r="Q73" s="176" t="str">
        <f>IFERROR(IF(compras_mes123[[#This Row],[CUIT]]="","-",VLOOKUP(compras_mes123[[#This Row],[CUIT]],Lista_CUIT[#All],3,0)),"CUIT NO CARGADO")</f>
        <v>Gastos Varios</v>
      </c>
      <c r="R73" s="176">
        <f>IFERROR(IF(compras_mes123[[#This Row],[CUIT]]="","-",VLOOKUP(compras_mes123[[#This Row],[CUIT]],Lista_CUIT[#All],4,0)),"CUIT NO CARGADO")</f>
        <v>0</v>
      </c>
    </row>
    <row r="74" spans="2:18">
      <c r="B74" s="167" t="s">
        <v>2568</v>
      </c>
      <c r="C74" s="168">
        <v>1</v>
      </c>
      <c r="D74" s="169">
        <v>8</v>
      </c>
      <c r="E74" s="170">
        <v>6160</v>
      </c>
      <c r="F74" s="171">
        <v>23104796729</v>
      </c>
      <c r="G74" s="172" t="str">
        <f>IFERROR(IF(compras_mes123[[#This Row],[CUIT]]="","-",VLOOKUP(compras_mes123[[#This Row],[CUIT]],Lista_CUIT[#All],2,0)),"CUIT NO CARGADO")</f>
        <v>BOCCACCI CARLOS FRANCISCO</v>
      </c>
      <c r="H74" s="173">
        <v>7950.62</v>
      </c>
      <c r="I74" s="174">
        <f>IF(compras_mes123[[#This Row],[NETO GRAVADO]]="","",compras_mes123[[#This Row],[NETO GRAVADO]]*0.21)</f>
        <v>1669.6301999999998</v>
      </c>
      <c r="J74" s="174"/>
      <c r="K74" s="174"/>
      <c r="L74" s="174"/>
      <c r="M74" s="174"/>
      <c r="N74" s="174"/>
      <c r="O74" s="174"/>
      <c r="P74" s="175">
        <f>SUM(compras_mes123[[#This Row],[NETO GRAVADO]:[Otros / No Grav.]])</f>
        <v>9620.2502000000004</v>
      </c>
      <c r="Q74" s="176" t="str">
        <f>IFERROR(IF(compras_mes123[[#This Row],[CUIT]]="","-",VLOOKUP(compras_mes123[[#This Row],[CUIT]],Lista_CUIT[#All],3,0)),"CUIT NO CARGADO")</f>
        <v>Gastos Varios</v>
      </c>
      <c r="R74" s="176">
        <f>IFERROR(IF(compras_mes123[[#This Row],[CUIT]]="","-",VLOOKUP(compras_mes123[[#This Row],[CUIT]],Lista_CUIT[#All],4,0)),"CUIT NO CARGADO")</f>
        <v>0</v>
      </c>
    </row>
    <row r="75" spans="2:18">
      <c r="B75" s="167" t="s">
        <v>2568</v>
      </c>
      <c r="C75" s="168">
        <v>1</v>
      </c>
      <c r="D75" s="169">
        <v>2188</v>
      </c>
      <c r="E75" s="170">
        <v>134656</v>
      </c>
      <c r="F75" s="171">
        <v>30548083156</v>
      </c>
      <c r="G75" s="172" t="str">
        <f>IFERROR(IF(compras_mes123[[#This Row],[CUIT]]="","-",VLOOKUP(compras_mes123[[#This Row],[CUIT]],Lista_CUIT[#All],2,0)),"CUIT NO CARGADO")</f>
        <v>COTO CENTRO INTEGRAL DE COMERCIALIZACION SOCIEDAD ANONIMA</v>
      </c>
      <c r="H75" s="173">
        <v>52647.61</v>
      </c>
      <c r="I75" s="174">
        <v>7808.04</v>
      </c>
      <c r="J75" s="174"/>
      <c r="K75" s="174">
        <v>1623.98</v>
      </c>
      <c r="L75" s="174"/>
      <c r="M75" s="174"/>
      <c r="N75" s="174"/>
      <c r="O75" s="174">
        <v>3832.35</v>
      </c>
      <c r="P75" s="175">
        <f>SUM(compras_mes123[[#This Row],[NETO GRAVADO]:[Otros / No Grav.]])</f>
        <v>65911.98000000001</v>
      </c>
      <c r="Q75" s="176" t="str">
        <f>IFERROR(IF(compras_mes123[[#This Row],[CUIT]]="","-",VLOOKUP(compras_mes123[[#This Row],[CUIT]],Lista_CUIT[#All],3,0)),"CUIT NO CARGADO")</f>
        <v>Gastos Varios</v>
      </c>
      <c r="R75" s="176">
        <f>IFERROR(IF(compras_mes123[[#This Row],[CUIT]]="","-",VLOOKUP(compras_mes123[[#This Row],[CUIT]],Lista_CUIT[#All],4,0)),"CUIT NO CARGADO")</f>
        <v>0</v>
      </c>
    </row>
    <row r="76" spans="2:18">
      <c r="B76" s="167" t="s">
        <v>2569</v>
      </c>
      <c r="C76" s="168">
        <v>1</v>
      </c>
      <c r="D76" s="169">
        <v>2084</v>
      </c>
      <c r="E76" s="170">
        <v>25787</v>
      </c>
      <c r="F76" s="171">
        <v>30548083156</v>
      </c>
      <c r="G76" s="172" t="str">
        <f>IFERROR(IF(compras_mes123[[#This Row],[CUIT]]="","-",VLOOKUP(compras_mes123[[#This Row],[CUIT]],Lista_CUIT[#All],2,0)),"CUIT NO CARGADO")</f>
        <v>COTO CENTRO INTEGRAL DE COMERCIALIZACION SOCIEDAD ANONIMA</v>
      </c>
      <c r="H76" s="173">
        <v>14773.01</v>
      </c>
      <c r="I76" s="174">
        <f>IF(compras_mes123[[#This Row],[NETO GRAVADO]]="","",compras_mes123[[#This Row],[NETO GRAVADO]]*0.21)</f>
        <v>3102.3321000000001</v>
      </c>
      <c r="J76" s="174"/>
      <c r="K76" s="174"/>
      <c r="L76" s="174"/>
      <c r="M76" s="174"/>
      <c r="N76" s="174"/>
      <c r="O76" s="174">
        <v>1329.57</v>
      </c>
      <c r="P76" s="175">
        <f>SUM(compras_mes123[[#This Row],[NETO GRAVADO]:[Otros / No Grav.]])</f>
        <v>19204.912100000001</v>
      </c>
      <c r="Q76" s="176" t="str">
        <f>IFERROR(IF(compras_mes123[[#This Row],[CUIT]]="","-",VLOOKUP(compras_mes123[[#This Row],[CUIT]],Lista_CUIT[#All],3,0)),"CUIT NO CARGADO")</f>
        <v>Gastos Varios</v>
      </c>
      <c r="R76" s="176">
        <f>IFERROR(IF(compras_mes123[[#This Row],[CUIT]]="","-",VLOOKUP(compras_mes123[[#This Row],[CUIT]],Lista_CUIT[#All],4,0)),"CUIT NO CARGADO")</f>
        <v>0</v>
      </c>
    </row>
    <row r="77" spans="2:18">
      <c r="B77" s="167" t="s">
        <v>2584</v>
      </c>
      <c r="C77" s="168">
        <v>1</v>
      </c>
      <c r="D77" s="169">
        <v>11031</v>
      </c>
      <c r="E77" s="170">
        <v>1866</v>
      </c>
      <c r="F77" s="171">
        <v>30590360763</v>
      </c>
      <c r="G77" s="172" t="str">
        <f>IFERROR(IF(compras_mes123[[#This Row],[CUIT]]="","-",VLOOKUP(compras_mes123[[#This Row],[CUIT]],Lista_CUIT[#All],2,0)),"CUIT NO CARGADO")</f>
        <v>CENCOSUD S.A</v>
      </c>
      <c r="H77" s="173">
        <v>25332.639999999999</v>
      </c>
      <c r="I77" s="174">
        <v>4369.63</v>
      </c>
      <c r="J77" s="174"/>
      <c r="K77" s="174">
        <v>475.11</v>
      </c>
      <c r="L77" s="174">
        <v>692.1</v>
      </c>
      <c r="M77" s="174"/>
      <c r="N77" s="174">
        <v>1519.96</v>
      </c>
      <c r="O77" s="174"/>
      <c r="P77" s="175">
        <f>SUM(compras_mes123[[#This Row],[NETO GRAVADO]:[Otros / No Grav.]])</f>
        <v>32389.439999999999</v>
      </c>
      <c r="Q77" s="176" t="str">
        <f>IFERROR(IF(compras_mes123[[#This Row],[CUIT]]="","-",VLOOKUP(compras_mes123[[#This Row],[CUIT]],Lista_CUIT[#All],3,0)),"CUIT NO CARGADO")</f>
        <v>Gastos Varios</v>
      </c>
      <c r="R77" s="176">
        <f>IFERROR(IF(compras_mes123[[#This Row],[CUIT]]="","-",VLOOKUP(compras_mes123[[#This Row],[CUIT]],Lista_CUIT[#All],4,0)),"CUIT NO CARGADO")</f>
        <v>0</v>
      </c>
    </row>
    <row r="78" spans="2:18">
      <c r="B78" s="167" t="s">
        <v>2584</v>
      </c>
      <c r="C78" s="168">
        <v>1</v>
      </c>
      <c r="D78" s="169">
        <v>2199</v>
      </c>
      <c r="E78" s="170">
        <v>33210</v>
      </c>
      <c r="F78" s="171">
        <v>30548083156</v>
      </c>
      <c r="G78" s="172" t="str">
        <f>IFERROR(IF(compras_mes123[[#This Row],[CUIT]]="","-",VLOOKUP(compras_mes123[[#This Row],[CUIT]],Lista_CUIT[#All],2,0)),"CUIT NO CARGADO")</f>
        <v>COTO CENTRO INTEGRAL DE COMERCIALIZACION SOCIEDAD ANONIMA</v>
      </c>
      <c r="H78" s="173">
        <v>58933.04</v>
      </c>
      <c r="I78" s="174">
        <v>8353.4599999999991</v>
      </c>
      <c r="J78" s="174"/>
      <c r="K78" s="174">
        <v>2011.24</v>
      </c>
      <c r="L78" s="174"/>
      <c r="M78" s="174"/>
      <c r="N78" s="174"/>
      <c r="O78" s="174">
        <v>3608.87</v>
      </c>
      <c r="P78" s="175">
        <f>SUM(compras_mes123[[#This Row],[NETO GRAVADO]:[Otros / No Grav.]])</f>
        <v>72906.61</v>
      </c>
      <c r="Q78" s="176" t="str">
        <f>IFERROR(IF(compras_mes123[[#This Row],[CUIT]]="","-",VLOOKUP(compras_mes123[[#This Row],[CUIT]],Lista_CUIT[#All],3,0)),"CUIT NO CARGADO")</f>
        <v>Gastos Varios</v>
      </c>
      <c r="R78" s="176">
        <f>IFERROR(IF(compras_mes123[[#This Row],[CUIT]]="","-",VLOOKUP(compras_mes123[[#This Row],[CUIT]],Lista_CUIT[#All],4,0)),"CUIT NO CARGADO")</f>
        <v>0</v>
      </c>
    </row>
    <row r="79" spans="2:18">
      <c r="B79" s="649" t="s">
        <v>2537</v>
      </c>
      <c r="C79" s="650">
        <v>1</v>
      </c>
      <c r="D79" s="651">
        <v>2</v>
      </c>
      <c r="E79" s="652">
        <v>8673</v>
      </c>
      <c r="F79" s="653">
        <v>30714284963</v>
      </c>
      <c r="G79" s="654" t="str">
        <f>IFERROR(IF(compras_mes123[[#This Row],[CUIT]]="","-",VLOOKUP(compras_mes123[[#This Row],[CUIT]],Lista_CUIT[#All],2,0)),"CUIT NO CARGADO")</f>
        <v>ENGYMAN SRL</v>
      </c>
      <c r="H79" s="615">
        <v>305000</v>
      </c>
      <c r="I79" s="609">
        <f>IF(compras_mes123[[#This Row],[NETO GRAVADO]]="","",compras_mes123[[#This Row],[NETO GRAVADO]]*0.21)</f>
        <v>64050</v>
      </c>
      <c r="J79" s="609"/>
      <c r="K79" s="609"/>
      <c r="L79" s="609"/>
      <c r="M79" s="609"/>
      <c r="N79" s="609"/>
      <c r="O79" s="609"/>
      <c r="P79" s="610">
        <f>SUM(compras_mes123[[#This Row],[NETO GRAVADO]:[Otros / No Grav.]])</f>
        <v>369050</v>
      </c>
      <c r="Q79" s="655" t="str">
        <f>IFERROR(IF(compras_mes123[[#This Row],[CUIT]]="","-",VLOOKUP(compras_mes123[[#This Row],[CUIT]],Lista_CUIT[#All],3,0)),"CUIT NO CARGADO")</f>
        <v>Gastos Varios</v>
      </c>
      <c r="R79" s="655">
        <f>IFERROR(IF(compras_mes123[[#This Row],[CUIT]]="","-",VLOOKUP(compras_mes123[[#This Row],[CUIT]],Lista_CUIT[#All],4,0)),"CUIT NO CARGADO")</f>
        <v>0</v>
      </c>
    </row>
    <row r="80" spans="2:18">
      <c r="B80" s="665" t="s">
        <v>2536</v>
      </c>
      <c r="C80" s="650">
        <v>1</v>
      </c>
      <c r="D80" s="666">
        <v>7</v>
      </c>
      <c r="E80" s="667">
        <v>59440</v>
      </c>
      <c r="F80" s="653">
        <v>30714745294</v>
      </c>
      <c r="G80" s="668" t="str">
        <f>IFERROR(IF(compras_mes123[[#This Row],[CUIT]]="","-",VLOOKUP(compras_mes123[[#This Row],[CUIT]],Lista_CUIT[#All],2,0)),"CUIT NO CARGADO")</f>
        <v>POSVENT SOLUCIONES S.R.L</v>
      </c>
      <c r="H80" s="669">
        <v>246826.037109375</v>
      </c>
      <c r="I80" s="609">
        <v>4514.33</v>
      </c>
      <c r="J80" s="670"/>
      <c r="K80" s="670">
        <v>23659.57</v>
      </c>
      <c r="L80" s="670"/>
      <c r="M80" s="670"/>
      <c r="N80" s="670"/>
      <c r="O80" s="670"/>
      <c r="P80" s="671">
        <f>SUM(compras_mes123[[#This Row],[NETO GRAVADO]:[Otros / No Grav.]])</f>
        <v>274999.93710937497</v>
      </c>
      <c r="Q80" s="672" t="str">
        <f>IFERROR(IF(compras_mes123[[#This Row],[CUIT]]="","-",VLOOKUP(compras_mes123[[#This Row],[CUIT]],Lista_CUIT[#All],3,0)),"CUIT NO CARGADO")</f>
        <v>Gastos Varios</v>
      </c>
      <c r="R80" s="672">
        <f>IFERROR(IF(compras_mes123[[#This Row],[CUIT]]="","-",VLOOKUP(compras_mes123[[#This Row],[CUIT]],Lista_CUIT[#All],4,0)),"CUIT NO CARGADO")</f>
        <v>0</v>
      </c>
    </row>
    <row r="81" spans="2:18">
      <c r="B81" s="641" t="s">
        <v>2571</v>
      </c>
      <c r="C81" s="168">
        <v>1</v>
      </c>
      <c r="D81" s="642">
        <v>6</v>
      </c>
      <c r="E81" s="643">
        <v>10363</v>
      </c>
      <c r="F81" s="171">
        <v>33710167309</v>
      </c>
      <c r="G81" s="644" t="str">
        <f>IFERROR(IF(compras_mes123[[#This Row],[CUIT]]="","-",VLOOKUP(compras_mes123[[#This Row],[CUIT]],Lista_CUIT[#All],2,0)),"CUIT NO CARGADO")</f>
        <v>MAT. ESCO SA</v>
      </c>
      <c r="H81" s="645">
        <v>37851.14</v>
      </c>
      <c r="I81" s="174">
        <f>IF(compras_mes123[[#This Row],[NETO GRAVADO]]="","",compras_mes123[[#This Row],[NETO GRAVADO]]*0.21)</f>
        <v>7948.7393999999995</v>
      </c>
      <c r="J81" s="646"/>
      <c r="K81" s="646"/>
      <c r="L81" s="646"/>
      <c r="M81" s="646"/>
      <c r="N81" s="646"/>
      <c r="O81" s="646"/>
      <c r="P81" s="647">
        <f>SUM(compras_mes123[[#This Row],[NETO GRAVADO]:[Otros / No Grav.]])</f>
        <v>45799.879399999998</v>
      </c>
      <c r="Q81" s="648" t="str">
        <f>IFERROR(IF(compras_mes123[[#This Row],[CUIT]]="","-",VLOOKUP(compras_mes123[[#This Row],[CUIT]],Lista_CUIT[#All],3,0)),"CUIT NO CARGADO")</f>
        <v>Gastos Varios</v>
      </c>
      <c r="R81" s="648">
        <f>IFERROR(IF(compras_mes123[[#This Row],[CUIT]]="","-",VLOOKUP(compras_mes123[[#This Row],[CUIT]],Lista_CUIT[#All],4,0)),"CUIT NO CARGADO")</f>
        <v>0</v>
      </c>
    </row>
    <row r="82" spans="2:18">
      <c r="B82" s="167" t="s">
        <v>2571</v>
      </c>
      <c r="C82" s="168">
        <v>1</v>
      </c>
      <c r="D82" s="169">
        <v>1677</v>
      </c>
      <c r="E82" s="170">
        <v>56715</v>
      </c>
      <c r="F82" s="171">
        <v>30589621499</v>
      </c>
      <c r="G82" s="172" t="str">
        <f>IFERROR(IF(compras_mes123[[#This Row],[CUIT]]="","-",VLOOKUP(compras_mes123[[#This Row],[CUIT]],Lista_CUIT[#All],2,0)),"CUIT NO CARGADO")</f>
        <v>MAKRO SA</v>
      </c>
      <c r="H82" s="173">
        <v>56214.68</v>
      </c>
      <c r="I82" s="174">
        <f>IF(compras_mes123[[#This Row],[NETO GRAVADO]]="","",compras_mes123[[#This Row],[NETO GRAVADO]]*0.21)</f>
        <v>11805.0828</v>
      </c>
      <c r="J82" s="174"/>
      <c r="K82" s="174"/>
      <c r="L82" s="174">
        <v>1686.44</v>
      </c>
      <c r="M82" s="174"/>
      <c r="N82" s="174">
        <v>3372.88</v>
      </c>
      <c r="O82" s="174"/>
      <c r="P82" s="175">
        <f>SUM(compras_mes123[[#This Row],[NETO GRAVADO]:[Otros / No Grav.]])</f>
        <v>73079.082800000004</v>
      </c>
      <c r="Q82" s="176" t="str">
        <f>IFERROR(IF(compras_mes123[[#This Row],[CUIT]]="","-",VLOOKUP(compras_mes123[[#This Row],[CUIT]],Lista_CUIT[#All],3,0)),"CUIT NO CARGADO")</f>
        <v>Gastos Varios</v>
      </c>
      <c r="R82" s="176">
        <f>IFERROR(IF(compras_mes123[[#This Row],[CUIT]]="","-",VLOOKUP(compras_mes123[[#This Row],[CUIT]],Lista_CUIT[#All],4,0)),"CUIT NO CARGADO")</f>
        <v>0</v>
      </c>
    </row>
    <row r="83" spans="2:18">
      <c r="B83" s="167" t="s">
        <v>2582</v>
      </c>
      <c r="C83" s="168">
        <v>1</v>
      </c>
      <c r="D83" s="169">
        <v>3</v>
      </c>
      <c r="E83" s="170">
        <v>1360</v>
      </c>
      <c r="F83" s="171">
        <v>20347324559</v>
      </c>
      <c r="G83" s="172" t="str">
        <f>IFERROR(IF(compras_mes123[[#This Row],[CUIT]]="","-",VLOOKUP(compras_mes123[[#This Row],[CUIT]],Lista_CUIT[#All],2,0)),"CUIT NO CARGADO")</f>
        <v>ALMARZA MAXIMILIANO ROBERTO EDGARDO</v>
      </c>
      <c r="H83" s="173">
        <v>27372.71</v>
      </c>
      <c r="I83" s="174">
        <v>5346.96</v>
      </c>
      <c r="J83" s="174"/>
      <c r="K83" s="174">
        <v>200.65</v>
      </c>
      <c r="L83" s="174"/>
      <c r="M83" s="174"/>
      <c r="N83" s="174"/>
      <c r="O83" s="174"/>
      <c r="P83" s="175">
        <f>SUM(compras_mes123[[#This Row],[NETO GRAVADO]:[Otros / No Grav.]])</f>
        <v>32920.32</v>
      </c>
      <c r="Q83" s="176" t="str">
        <f>IFERROR(IF(compras_mes123[[#This Row],[CUIT]]="","-",VLOOKUP(compras_mes123[[#This Row],[CUIT]],Lista_CUIT[#All],3,0)),"CUIT NO CARGADO")</f>
        <v>Gastos Varios</v>
      </c>
      <c r="R83" s="176">
        <f>IFERROR(IF(compras_mes123[[#This Row],[CUIT]]="","-",VLOOKUP(compras_mes123[[#This Row],[CUIT]],Lista_CUIT[#All],4,0)),"CUIT NO CARGADO")</f>
        <v>0</v>
      </c>
    </row>
    <row r="84" spans="2:18">
      <c r="B84" s="167" t="s">
        <v>2582</v>
      </c>
      <c r="C84" s="168">
        <v>1</v>
      </c>
      <c r="D84" s="169">
        <v>5</v>
      </c>
      <c r="E84" s="170">
        <v>5669</v>
      </c>
      <c r="F84" s="171">
        <v>30708558792</v>
      </c>
      <c r="G84" s="172" t="str">
        <f>IFERROR(IF(compras_mes123[[#This Row],[CUIT]]="","-",VLOOKUP(compras_mes123[[#This Row],[CUIT]],Lista_CUIT[#All],2,0)),"CUIT NO CARGADO")</f>
        <v>MYL TRANSFORMADORES S.A</v>
      </c>
      <c r="H84" s="173">
        <v>14876.03</v>
      </c>
      <c r="I84" s="174">
        <f>IF(compras_mes123[[#This Row],[NETO GRAVADO]]="","",compras_mes123[[#This Row],[NETO GRAVADO]]*0.21)</f>
        <v>3123.9663</v>
      </c>
      <c r="J84" s="174"/>
      <c r="K84" s="174"/>
      <c r="L84" s="174"/>
      <c r="M84" s="174"/>
      <c r="N84" s="174"/>
      <c r="O84" s="174"/>
      <c r="P84" s="175">
        <f>SUM(compras_mes123[[#This Row],[NETO GRAVADO]:[Otros / No Grav.]])</f>
        <v>17999.996299999999</v>
      </c>
      <c r="Q84" s="176" t="str">
        <f>IFERROR(IF(compras_mes123[[#This Row],[CUIT]]="","-",VLOOKUP(compras_mes123[[#This Row],[CUIT]],Lista_CUIT[#All],3,0)),"CUIT NO CARGADO")</f>
        <v>Gastos Varios</v>
      </c>
      <c r="R84" s="176">
        <f>IFERROR(IF(compras_mes123[[#This Row],[CUIT]]="","-",VLOOKUP(compras_mes123[[#This Row],[CUIT]],Lista_CUIT[#All],4,0)),"CUIT NO CARGADO")</f>
        <v>0</v>
      </c>
    </row>
    <row r="85" spans="2:18">
      <c r="B85" s="167" t="s">
        <v>2582</v>
      </c>
      <c r="C85" s="168">
        <v>1</v>
      </c>
      <c r="D85" s="169">
        <v>2084</v>
      </c>
      <c r="E85" s="170">
        <v>25886</v>
      </c>
      <c r="F85" s="171">
        <v>30548083156</v>
      </c>
      <c r="G85" s="172" t="str">
        <f>IFERROR(IF(compras_mes123[[#This Row],[CUIT]]="","-",VLOOKUP(compras_mes123[[#This Row],[CUIT]],Lista_CUIT[#All],2,0)),"CUIT NO CARGADO")</f>
        <v>COTO CENTRO INTEGRAL DE COMERCIALIZACION SOCIEDAD ANONIMA</v>
      </c>
      <c r="H85" s="173">
        <v>28461.27</v>
      </c>
      <c r="I85" s="174">
        <v>4449.25</v>
      </c>
      <c r="J85" s="174"/>
      <c r="K85" s="174">
        <v>763.81</v>
      </c>
      <c r="L85" s="174"/>
      <c r="M85" s="174"/>
      <c r="N85" s="174"/>
      <c r="O85" s="174">
        <v>2452.41</v>
      </c>
      <c r="P85" s="175">
        <f>SUM(compras_mes123[[#This Row],[NETO GRAVADO]:[Otros / No Grav.]])</f>
        <v>36126.740000000005</v>
      </c>
      <c r="Q85" s="176" t="str">
        <f>IFERROR(IF(compras_mes123[[#This Row],[CUIT]]="","-",VLOOKUP(compras_mes123[[#This Row],[CUIT]],Lista_CUIT[#All],3,0)),"CUIT NO CARGADO")</f>
        <v>Gastos Varios</v>
      </c>
      <c r="R85" s="176">
        <f>IFERROR(IF(compras_mes123[[#This Row],[CUIT]]="","-",VLOOKUP(compras_mes123[[#This Row],[CUIT]],Lista_CUIT[#All],4,0)),"CUIT NO CARGADO")</f>
        <v>0</v>
      </c>
    </row>
    <row r="86" spans="2:18">
      <c r="B86" s="167" t="s">
        <v>2582</v>
      </c>
      <c r="C86" s="168">
        <v>1</v>
      </c>
      <c r="D86" s="169">
        <v>2188</v>
      </c>
      <c r="E86" s="170">
        <v>135186</v>
      </c>
      <c r="F86" s="171">
        <v>30548083156</v>
      </c>
      <c r="G86" s="172" t="str">
        <f>IFERROR(IF(compras_mes123[[#This Row],[CUIT]]="","-",VLOOKUP(compras_mes123[[#This Row],[CUIT]],Lista_CUIT[#All],2,0)),"CUIT NO CARGADO")</f>
        <v>COTO CENTRO INTEGRAL DE COMERCIALIZACION SOCIEDAD ANONIMA</v>
      </c>
      <c r="H86" s="173">
        <v>43642.48</v>
      </c>
      <c r="I86" s="174">
        <v>7163.21</v>
      </c>
      <c r="J86" s="174"/>
      <c r="K86" s="174">
        <v>1000.86</v>
      </c>
      <c r="L86" s="174"/>
      <c r="M86" s="174"/>
      <c r="N86" s="174"/>
      <c r="O86" s="174">
        <v>3596.65</v>
      </c>
      <c r="P86" s="175">
        <f>SUM(compras_mes123[[#This Row],[NETO GRAVADO]:[Otros / No Grav.]])</f>
        <v>55403.200000000004</v>
      </c>
      <c r="Q86" s="176" t="str">
        <f>IFERROR(IF(compras_mes123[[#This Row],[CUIT]]="","-",VLOOKUP(compras_mes123[[#This Row],[CUIT]],Lista_CUIT[#All],3,0)),"CUIT NO CARGADO")</f>
        <v>Gastos Varios</v>
      </c>
      <c r="R86" s="176">
        <f>IFERROR(IF(compras_mes123[[#This Row],[CUIT]]="","-",VLOOKUP(compras_mes123[[#This Row],[CUIT]],Lista_CUIT[#All],4,0)),"CUIT NO CARGADO")</f>
        <v>0</v>
      </c>
    </row>
    <row r="87" spans="2:18">
      <c r="B87" s="167" t="s">
        <v>2583</v>
      </c>
      <c r="C87" s="168">
        <v>1</v>
      </c>
      <c r="D87" s="169">
        <v>4</v>
      </c>
      <c r="E87" s="170">
        <v>1645</v>
      </c>
      <c r="F87" s="171">
        <v>20141890159</v>
      </c>
      <c r="G87" s="172" t="str">
        <f>IFERROR(IF(compras_mes123[[#This Row],[CUIT]]="","-",VLOOKUP(compras_mes123[[#This Row],[CUIT]],Lista_CUIT[#All],2,0)),"CUIT NO CARGADO")</f>
        <v>GARBARSKY JAIME GERARDO</v>
      </c>
      <c r="H87" s="173">
        <v>4462.8100000000004</v>
      </c>
      <c r="I87" s="174">
        <f>IF(compras_mes123[[#This Row],[NETO GRAVADO]]="","",compras_mes123[[#This Row],[NETO GRAVADO]]*0.21)</f>
        <v>937.19010000000003</v>
      </c>
      <c r="J87" s="174"/>
      <c r="K87" s="174"/>
      <c r="L87" s="174"/>
      <c r="M87" s="174"/>
      <c r="N87" s="174"/>
      <c r="O87" s="174"/>
      <c r="P87" s="175">
        <f>SUM(compras_mes123[[#This Row],[NETO GRAVADO]:[Otros / No Grav.]])</f>
        <v>5400.0001000000002</v>
      </c>
      <c r="Q87" s="176" t="str">
        <f>IFERROR(IF(compras_mes123[[#This Row],[CUIT]]="","-",VLOOKUP(compras_mes123[[#This Row],[CUIT]],Lista_CUIT[#All],3,0)),"CUIT NO CARGADO")</f>
        <v>Gastos Varios</v>
      </c>
      <c r="R87" s="176">
        <f>IFERROR(IF(compras_mes123[[#This Row],[CUIT]]="","-",VLOOKUP(compras_mes123[[#This Row],[CUIT]],Lista_CUIT[#All],4,0)),"CUIT NO CARGADO")</f>
        <v>0</v>
      </c>
    </row>
    <row r="88" spans="2:18">
      <c r="B88" s="167" t="s">
        <v>2583</v>
      </c>
      <c r="C88" s="168">
        <v>1</v>
      </c>
      <c r="D88" s="169">
        <v>2199</v>
      </c>
      <c r="E88" s="170">
        <v>33306</v>
      </c>
      <c r="F88" s="171">
        <v>30548083156</v>
      </c>
      <c r="G88" s="172" t="str">
        <f>IFERROR(IF(compras_mes123[[#This Row],[CUIT]]="","-",VLOOKUP(compras_mes123[[#This Row],[CUIT]],Lista_CUIT[#All],2,0)),"CUIT NO CARGADO")</f>
        <v>COTO CENTRO INTEGRAL DE COMERCIALIZACION SOCIEDAD ANONIMA</v>
      </c>
      <c r="H88" s="173">
        <v>25973.47</v>
      </c>
      <c r="I88" s="174">
        <v>1879.02</v>
      </c>
      <c r="J88" s="174"/>
      <c r="K88" s="174">
        <v>1787.7</v>
      </c>
      <c r="L88" s="174"/>
      <c r="M88" s="174"/>
      <c r="N88" s="174"/>
      <c r="O88" s="174">
        <v>1298.99</v>
      </c>
      <c r="P88" s="175">
        <f>SUM(compras_mes123[[#This Row],[NETO GRAVADO]:[Otros / No Grav.]])</f>
        <v>30939.180000000004</v>
      </c>
      <c r="Q88" s="176" t="str">
        <f>IFERROR(IF(compras_mes123[[#This Row],[CUIT]]="","-",VLOOKUP(compras_mes123[[#This Row],[CUIT]],Lista_CUIT[#All],3,0)),"CUIT NO CARGADO")</f>
        <v>Gastos Varios</v>
      </c>
      <c r="R88" s="176">
        <f>IFERROR(IF(compras_mes123[[#This Row],[CUIT]]="","-",VLOOKUP(compras_mes123[[#This Row],[CUIT]],Lista_CUIT[#All],4,0)),"CUIT NO CARGADO")</f>
        <v>0</v>
      </c>
    </row>
    <row r="89" spans="2:18">
      <c r="B89" s="167" t="s">
        <v>2583</v>
      </c>
      <c r="C89" s="168">
        <v>1</v>
      </c>
      <c r="D89" s="169">
        <v>6</v>
      </c>
      <c r="E89" s="170">
        <v>142147</v>
      </c>
      <c r="F89" s="171">
        <v>30695068286</v>
      </c>
      <c r="G89" s="172" t="str">
        <f>IFERROR(IF(compras_mes123[[#This Row],[CUIT]]="","-",VLOOKUP(compras_mes123[[#This Row],[CUIT]],Lista_CUIT[#All],2,0)),"CUIT NO CARGADO")</f>
        <v>FERRIMAQ SRL</v>
      </c>
      <c r="H89" s="173">
        <v>3285.83</v>
      </c>
      <c r="I89" s="174">
        <f>IF(compras_mes123[[#This Row],[NETO GRAVADO]]="","",compras_mes123[[#This Row],[NETO GRAVADO]]*0.21)</f>
        <v>690.02429999999993</v>
      </c>
      <c r="J89" s="174"/>
      <c r="K89" s="174"/>
      <c r="L89" s="174"/>
      <c r="M89" s="174"/>
      <c r="N89" s="174"/>
      <c r="O89" s="174"/>
      <c r="P89" s="175">
        <f>SUM(compras_mes123[[#This Row],[NETO GRAVADO]:[Otros / No Grav.]])</f>
        <v>3975.8543</v>
      </c>
      <c r="Q89" s="176" t="str">
        <f>IFERROR(IF(compras_mes123[[#This Row],[CUIT]]="","-",VLOOKUP(compras_mes123[[#This Row],[CUIT]],Lista_CUIT[#All],3,0)),"CUIT NO CARGADO")</f>
        <v>Gastos Varios</v>
      </c>
      <c r="R89" s="176">
        <f>IFERROR(IF(compras_mes123[[#This Row],[CUIT]]="","-",VLOOKUP(compras_mes123[[#This Row],[CUIT]],Lista_CUIT[#All],4,0)),"CUIT NO CARGADO")</f>
        <v>0</v>
      </c>
    </row>
    <row r="90" spans="2:18">
      <c r="B90" s="167" t="s">
        <v>2590</v>
      </c>
      <c r="C90" s="168">
        <v>1</v>
      </c>
      <c r="D90" s="169">
        <v>2084</v>
      </c>
      <c r="E90" s="170">
        <v>25931</v>
      </c>
      <c r="F90" s="171">
        <v>30548083156</v>
      </c>
      <c r="G90" s="172" t="str">
        <f>IFERROR(IF(compras_mes123[[#This Row],[CUIT]]="","-",VLOOKUP(compras_mes123[[#This Row],[CUIT]],Lista_CUIT[#All],2,0)),"CUIT NO CARGADO")</f>
        <v>COTO CENTRO INTEGRAL DE COMERCIALIZACION SOCIEDAD ANONIMA</v>
      </c>
      <c r="H90" s="173">
        <v>20000.64</v>
      </c>
      <c r="I90" s="174">
        <f>IF(compras_mes123[[#This Row],[NETO GRAVADO]]="","",compras_mes123[[#This Row],[NETO GRAVADO]]*0.21)</f>
        <v>4200.1343999999999</v>
      </c>
      <c r="J90" s="174"/>
      <c r="K90" s="174"/>
      <c r="L90" s="174"/>
      <c r="M90" s="174"/>
      <c r="N90" s="174"/>
      <c r="O90" s="174">
        <v>1800.06</v>
      </c>
      <c r="P90" s="175">
        <f>SUM(compras_mes123[[#This Row],[NETO GRAVADO]:[Otros / No Grav.]])</f>
        <v>26000.8344</v>
      </c>
      <c r="Q90" s="176" t="str">
        <f>IFERROR(IF(compras_mes123[[#This Row],[CUIT]]="","-",VLOOKUP(compras_mes123[[#This Row],[CUIT]],Lista_CUIT[#All],3,0)),"CUIT NO CARGADO")</f>
        <v>Gastos Varios</v>
      </c>
      <c r="R90" s="176">
        <f>IFERROR(IF(compras_mes123[[#This Row],[CUIT]]="","-",VLOOKUP(compras_mes123[[#This Row],[CUIT]],Lista_CUIT[#All],4,0)),"CUIT NO CARGADO")</f>
        <v>0</v>
      </c>
    </row>
    <row r="91" spans="2:18">
      <c r="B91" s="167" t="s">
        <v>2590</v>
      </c>
      <c r="C91" s="168">
        <v>1</v>
      </c>
      <c r="D91" s="169">
        <v>2188</v>
      </c>
      <c r="E91" s="170">
        <v>135304</v>
      </c>
      <c r="F91" s="171">
        <v>30548083156</v>
      </c>
      <c r="G91" s="172" t="str">
        <f>IFERROR(IF(compras_mes123[[#This Row],[CUIT]]="","-",VLOOKUP(compras_mes123[[#This Row],[CUIT]],Lista_CUIT[#All],2,0)),"CUIT NO CARGADO")</f>
        <v>COTO CENTRO INTEGRAL DE COMERCIALIZACION SOCIEDAD ANONIMA</v>
      </c>
      <c r="H91" s="173">
        <v>16195.05</v>
      </c>
      <c r="I91" s="174">
        <v>894.68</v>
      </c>
      <c r="J91" s="174"/>
      <c r="K91" s="174">
        <v>1253.1400000000001</v>
      </c>
      <c r="L91" s="174"/>
      <c r="M91" s="174"/>
      <c r="N91" s="174"/>
      <c r="O91" s="174">
        <v>437.34</v>
      </c>
      <c r="P91" s="175">
        <f>SUM(compras_mes123[[#This Row],[NETO GRAVADO]:[Otros / No Grav.]])</f>
        <v>18780.21</v>
      </c>
      <c r="Q91" s="176" t="str">
        <f>IFERROR(IF(compras_mes123[[#This Row],[CUIT]]="","-",VLOOKUP(compras_mes123[[#This Row],[CUIT]],Lista_CUIT[#All],3,0)),"CUIT NO CARGADO")</f>
        <v>Gastos Varios</v>
      </c>
      <c r="R91" s="176">
        <f>IFERROR(IF(compras_mes123[[#This Row],[CUIT]]="","-",VLOOKUP(compras_mes123[[#This Row],[CUIT]],Lista_CUIT[#All],4,0)),"CUIT NO CARGADO")</f>
        <v>0</v>
      </c>
    </row>
    <row r="92" spans="2:18">
      <c r="B92" s="167" t="s">
        <v>2572</v>
      </c>
      <c r="C92" s="168">
        <v>1</v>
      </c>
      <c r="D92" s="169">
        <v>8273</v>
      </c>
      <c r="E92" s="170">
        <v>10851</v>
      </c>
      <c r="F92" s="171">
        <v>30590360763</v>
      </c>
      <c r="G92" s="172" t="str">
        <f>IFERROR(IF(compras_mes123[[#This Row],[CUIT]]="","-",VLOOKUP(compras_mes123[[#This Row],[CUIT]],Lista_CUIT[#All],2,0)),"CUIT NO CARGADO")</f>
        <v>CENCOSUD S.A</v>
      </c>
      <c r="H92" s="173">
        <v>198376.86</v>
      </c>
      <c r="I92" s="174">
        <v>39952.15</v>
      </c>
      <c r="J92" s="174"/>
      <c r="K92" s="174">
        <v>853.49</v>
      </c>
      <c r="L92" s="174">
        <v>5829.38</v>
      </c>
      <c r="M92" s="174"/>
      <c r="N92" s="174">
        <v>11902.61</v>
      </c>
      <c r="O92" s="174"/>
      <c r="P92" s="175">
        <f>SUM(compras_mes123[[#This Row],[NETO GRAVADO]:[Otros / No Grav.]])</f>
        <v>256914.49</v>
      </c>
      <c r="Q92" s="176" t="str">
        <f>IFERROR(IF(compras_mes123[[#This Row],[CUIT]]="","-",VLOOKUP(compras_mes123[[#This Row],[CUIT]],Lista_CUIT[#All],3,0)),"CUIT NO CARGADO")</f>
        <v>Gastos Varios</v>
      </c>
      <c r="R92" s="176">
        <f>IFERROR(IF(compras_mes123[[#This Row],[CUIT]]="","-",VLOOKUP(compras_mes123[[#This Row],[CUIT]],Lista_CUIT[#All],4,0)),"CUIT NO CARGADO")</f>
        <v>0</v>
      </c>
    </row>
    <row r="93" spans="2:18">
      <c r="B93" s="167" t="s">
        <v>2572</v>
      </c>
      <c r="C93" s="168">
        <v>1</v>
      </c>
      <c r="D93" s="169">
        <v>1676</v>
      </c>
      <c r="E93" s="170">
        <v>23622</v>
      </c>
      <c r="F93" s="171">
        <v>30589621499</v>
      </c>
      <c r="G93" s="172" t="str">
        <f>IFERROR(IF(compras_mes123[[#This Row],[CUIT]]="","-",VLOOKUP(compras_mes123[[#This Row],[CUIT]],Lista_CUIT[#All],2,0)),"CUIT NO CARGADO")</f>
        <v>MAKRO SA</v>
      </c>
      <c r="H93" s="173">
        <v>53489.43</v>
      </c>
      <c r="I93" s="174">
        <v>11044.16</v>
      </c>
      <c r="J93" s="174"/>
      <c r="K93" s="174">
        <v>94.31</v>
      </c>
      <c r="L93" s="174">
        <v>1591.21</v>
      </c>
      <c r="M93" s="174"/>
      <c r="N93" s="174">
        <v>3209.37</v>
      </c>
      <c r="O93" s="174"/>
      <c r="P93" s="175">
        <f>SUM(compras_mes123[[#This Row],[NETO GRAVADO]:[Otros / No Grav.]])</f>
        <v>69428.479999999996</v>
      </c>
      <c r="Q93" s="176" t="str">
        <f>IFERROR(IF(compras_mes123[[#This Row],[CUIT]]="","-",VLOOKUP(compras_mes123[[#This Row],[CUIT]],Lista_CUIT[#All],3,0)),"CUIT NO CARGADO")</f>
        <v>Gastos Varios</v>
      </c>
      <c r="R93" s="176">
        <f>IFERROR(IF(compras_mes123[[#This Row],[CUIT]]="","-",VLOOKUP(compras_mes123[[#This Row],[CUIT]],Lista_CUIT[#All],4,0)),"CUIT NO CARGADO")</f>
        <v>0</v>
      </c>
    </row>
    <row r="94" spans="2:18">
      <c r="B94" s="649" t="s">
        <v>2539</v>
      </c>
      <c r="C94" s="650">
        <v>1</v>
      </c>
      <c r="D94" s="651">
        <v>4</v>
      </c>
      <c r="E94" s="652">
        <v>3856</v>
      </c>
      <c r="F94" s="653">
        <v>20262235212</v>
      </c>
      <c r="G94" s="654" t="str">
        <f>IFERROR(IF(compras_mes123[[#This Row],[CUIT]]="","-",VLOOKUP(compras_mes123[[#This Row],[CUIT]],Lista_CUIT[#All],2,0)),"CUIT NO CARGADO")</f>
        <v>ROMERO NELSON MARIA</v>
      </c>
      <c r="H94" s="615">
        <v>76905.0205078125</v>
      </c>
      <c r="I94" s="609">
        <f>IF(compras_mes123[[#This Row],[NETO GRAVADO]]="","",compras_mes123[[#This Row],[NETO GRAVADO]]*0.21)</f>
        <v>16150.054306640624</v>
      </c>
      <c r="J94" s="609"/>
      <c r="K94" s="609"/>
      <c r="L94" s="609"/>
      <c r="M94" s="609"/>
      <c r="N94" s="609"/>
      <c r="O94" s="609"/>
      <c r="P94" s="610">
        <f>SUM(compras_mes123[[#This Row],[NETO GRAVADO]:[Otros / No Grav.]])</f>
        <v>93055.074814453124</v>
      </c>
      <c r="Q94" s="655" t="str">
        <f>IFERROR(IF(compras_mes123[[#This Row],[CUIT]]="","-",VLOOKUP(compras_mes123[[#This Row],[CUIT]],Lista_CUIT[#All],3,0)),"CUIT NO CARGADO")</f>
        <v>Gastos Varios</v>
      </c>
      <c r="R94" s="655">
        <f>IFERROR(IF(compras_mes123[[#This Row],[CUIT]]="","-",VLOOKUP(compras_mes123[[#This Row],[CUIT]],Lista_CUIT[#All],4,0)),"CUIT NO CARGADO")</f>
        <v>0</v>
      </c>
    </row>
    <row r="95" spans="2:18">
      <c r="B95" s="649" t="s">
        <v>2539</v>
      </c>
      <c r="C95" s="650">
        <v>1</v>
      </c>
      <c r="D95" s="651">
        <v>5</v>
      </c>
      <c r="E95" s="652">
        <v>20393</v>
      </c>
      <c r="F95" s="653">
        <v>30718509552</v>
      </c>
      <c r="G95" s="654" t="str">
        <f>IFERROR(IF(compras_mes123[[#This Row],[CUIT]]="","-",VLOOKUP(compras_mes123[[#This Row],[CUIT]],Lista_CUIT[#All],2,0)),"CUIT NO CARGADO")</f>
        <v>SEDAFE</v>
      </c>
      <c r="H95" s="615">
        <v>35078.2998046875</v>
      </c>
      <c r="I95" s="609">
        <f>IF(compras_mes123[[#This Row],[NETO GRAVADO]]="","",compras_mes123[[#This Row],[NETO GRAVADO]]*0.21)</f>
        <v>7366.4429589843749</v>
      </c>
      <c r="J95" s="609"/>
      <c r="K95" s="609"/>
      <c r="L95" s="609"/>
      <c r="M95" s="609"/>
      <c r="N95" s="609"/>
      <c r="O95" s="609"/>
      <c r="P95" s="610">
        <f>SUM(compras_mes123[[#This Row],[NETO GRAVADO]:[Otros / No Grav.]])</f>
        <v>42444.742763671878</v>
      </c>
      <c r="Q95" s="655" t="str">
        <f>IFERROR(IF(compras_mes123[[#This Row],[CUIT]]="","-",VLOOKUP(compras_mes123[[#This Row],[CUIT]],Lista_CUIT[#All],3,0)),"CUIT NO CARGADO")</f>
        <v>Gastos Varios</v>
      </c>
      <c r="R95" s="655">
        <f>IFERROR(IF(compras_mes123[[#This Row],[CUIT]]="","-",VLOOKUP(compras_mes123[[#This Row],[CUIT]],Lista_CUIT[#All],4,0)),"CUIT NO CARGADO")</f>
        <v>0</v>
      </c>
    </row>
    <row r="96" spans="2:18">
      <c r="B96" s="167" t="s">
        <v>2574</v>
      </c>
      <c r="C96" s="168">
        <v>1</v>
      </c>
      <c r="D96" s="169">
        <v>4</v>
      </c>
      <c r="E96" s="170">
        <v>1175</v>
      </c>
      <c r="F96" s="171">
        <v>23329455319</v>
      </c>
      <c r="G96" s="172" t="str">
        <f>IFERROR(IF(compras_mes123[[#This Row],[CUIT]]="","-",VLOOKUP(compras_mes123[[#This Row],[CUIT]],Lista_CUIT[#All],2,0)),"CUIT NO CARGADO")</f>
        <v>REPETTO RAMIRO ANDRES</v>
      </c>
      <c r="H96" s="173">
        <v>19834.71</v>
      </c>
      <c r="I96" s="174">
        <f>IF(compras_mes123[[#This Row],[NETO GRAVADO]]="","",compras_mes123[[#This Row],[NETO GRAVADO]]*0.21)</f>
        <v>4165.2891</v>
      </c>
      <c r="J96" s="174"/>
      <c r="K96" s="174"/>
      <c r="L96" s="174"/>
      <c r="M96" s="174"/>
      <c r="N96" s="174"/>
      <c r="O96" s="174"/>
      <c r="P96" s="175">
        <f>SUM(compras_mes123[[#This Row],[NETO GRAVADO]:[Otros / No Grav.]])</f>
        <v>23999.999100000001</v>
      </c>
      <c r="Q96" s="176" t="str">
        <f>IFERROR(IF(compras_mes123[[#This Row],[CUIT]]="","-",VLOOKUP(compras_mes123[[#This Row],[CUIT]],Lista_CUIT[#All],3,0)),"CUIT NO CARGADO")</f>
        <v>Gastos Varios</v>
      </c>
      <c r="R96" s="176">
        <f>IFERROR(IF(compras_mes123[[#This Row],[CUIT]]="","-",VLOOKUP(compras_mes123[[#This Row],[CUIT]],Lista_CUIT[#All],4,0)),"CUIT NO CARGADO")</f>
        <v>0</v>
      </c>
    </row>
    <row r="97" spans="2:18">
      <c r="B97" s="167" t="s">
        <v>2574</v>
      </c>
      <c r="C97" s="168">
        <v>1</v>
      </c>
      <c r="D97" s="169">
        <v>2084</v>
      </c>
      <c r="E97" s="170">
        <v>25988</v>
      </c>
      <c r="F97" s="171">
        <v>30548083156</v>
      </c>
      <c r="G97" s="172" t="str">
        <f>IFERROR(IF(compras_mes123[[#This Row],[CUIT]]="","-",VLOOKUP(compras_mes123[[#This Row],[CUIT]],Lista_CUIT[#All],2,0)),"CUIT NO CARGADO")</f>
        <v>COTO CENTRO INTEGRAL DE COMERCIALIZACION SOCIEDAD ANONIMA</v>
      </c>
      <c r="H97" s="173">
        <v>33056.71</v>
      </c>
      <c r="I97" s="174">
        <f>IF(compras_mes123[[#This Row],[NETO GRAVADO]]="","",compras_mes123[[#This Row],[NETO GRAVADO]]*0.21)</f>
        <v>6941.9090999999999</v>
      </c>
      <c r="J97" s="174"/>
      <c r="K97" s="174"/>
      <c r="L97" s="174"/>
      <c r="M97" s="174"/>
      <c r="N97" s="174"/>
      <c r="O97" s="174">
        <v>2875.87</v>
      </c>
      <c r="P97" s="175">
        <f>SUM(compras_mes123[[#This Row],[NETO GRAVADO]:[Otros / No Grav.]])</f>
        <v>42874.489099999999</v>
      </c>
      <c r="Q97" s="176" t="str">
        <f>IFERROR(IF(compras_mes123[[#This Row],[CUIT]]="","-",VLOOKUP(compras_mes123[[#This Row],[CUIT]],Lista_CUIT[#All],3,0)),"CUIT NO CARGADO")</f>
        <v>Gastos Varios</v>
      </c>
      <c r="R97" s="176">
        <f>IFERROR(IF(compras_mes123[[#This Row],[CUIT]]="","-",VLOOKUP(compras_mes123[[#This Row],[CUIT]],Lista_CUIT[#All],4,0)),"CUIT NO CARGADO")</f>
        <v>0</v>
      </c>
    </row>
    <row r="98" spans="2:18">
      <c r="B98" s="167" t="s">
        <v>2574</v>
      </c>
      <c r="C98" s="168">
        <v>1</v>
      </c>
      <c r="D98" s="169">
        <v>2199</v>
      </c>
      <c r="E98" s="170">
        <v>33396</v>
      </c>
      <c r="F98" s="171">
        <v>30548083156</v>
      </c>
      <c r="G98" s="172" t="str">
        <f>IFERROR(IF(compras_mes123[[#This Row],[CUIT]]="","-",VLOOKUP(compras_mes123[[#This Row],[CUIT]],Lista_CUIT[#All],2,0)),"CUIT NO CARGADO")</f>
        <v>COTO CENTRO INTEGRAL DE COMERCIALIZACION SOCIEDAD ANONIMA</v>
      </c>
      <c r="H98" s="173">
        <v>34652.74</v>
      </c>
      <c r="I98" s="174">
        <v>6206.97</v>
      </c>
      <c r="J98" s="174"/>
      <c r="K98" s="174">
        <v>535.04999999999995</v>
      </c>
      <c r="L98" s="174"/>
      <c r="M98" s="174"/>
      <c r="N98" s="174"/>
      <c r="O98" s="174">
        <v>2736.57</v>
      </c>
      <c r="P98" s="175">
        <f>SUM(compras_mes123[[#This Row],[NETO GRAVADO]:[Otros / No Grav.]])</f>
        <v>44131.33</v>
      </c>
      <c r="Q98" s="176" t="str">
        <f>IFERROR(IF(compras_mes123[[#This Row],[CUIT]]="","-",VLOOKUP(compras_mes123[[#This Row],[CUIT]],Lista_CUIT[#All],3,0)),"CUIT NO CARGADO")</f>
        <v>Gastos Varios</v>
      </c>
      <c r="R98" s="176">
        <f>IFERROR(IF(compras_mes123[[#This Row],[CUIT]]="","-",VLOOKUP(compras_mes123[[#This Row],[CUIT]],Lista_CUIT[#All],4,0)),"CUIT NO CARGADO")</f>
        <v>0</v>
      </c>
    </row>
    <row r="99" spans="2:18">
      <c r="B99" s="167" t="s">
        <v>2574</v>
      </c>
      <c r="C99" s="168">
        <v>1</v>
      </c>
      <c r="D99" s="169">
        <v>2188</v>
      </c>
      <c r="E99" s="170">
        <v>135589</v>
      </c>
      <c r="F99" s="171">
        <v>30548083156</v>
      </c>
      <c r="G99" s="172" t="str">
        <f>IFERROR(IF(compras_mes123[[#This Row],[CUIT]]="","-",VLOOKUP(compras_mes123[[#This Row],[CUIT]],Lista_CUIT[#All],2,0)),"CUIT NO CARGADO")</f>
        <v>COTO CENTRO INTEGRAL DE COMERCIALIZACION SOCIEDAD ANONIMA</v>
      </c>
      <c r="H99" s="173">
        <v>16946.189999999999</v>
      </c>
      <c r="I99" s="174">
        <v>2447.85</v>
      </c>
      <c r="J99" s="174"/>
      <c r="K99" s="174">
        <v>555.42999999999995</v>
      </c>
      <c r="L99" s="174"/>
      <c r="M99" s="174"/>
      <c r="N99" s="174"/>
      <c r="O99" s="174">
        <v>1445.81</v>
      </c>
      <c r="P99" s="175">
        <f>SUM(compras_mes123[[#This Row],[NETO GRAVADO]:[Otros / No Grav.]])</f>
        <v>21395.279999999999</v>
      </c>
      <c r="Q99" s="176" t="str">
        <f>IFERROR(IF(compras_mes123[[#This Row],[CUIT]]="","-",VLOOKUP(compras_mes123[[#This Row],[CUIT]],Lista_CUIT[#All],3,0)),"CUIT NO CARGADO")</f>
        <v>Gastos Varios</v>
      </c>
      <c r="R99" s="176">
        <f>IFERROR(IF(compras_mes123[[#This Row],[CUIT]]="","-",VLOOKUP(compras_mes123[[#This Row],[CUIT]],Lista_CUIT[#All],4,0)),"CUIT NO CARGADO")</f>
        <v>0</v>
      </c>
    </row>
    <row r="100" spans="2:18">
      <c r="B100" s="167" t="s">
        <v>2575</v>
      </c>
      <c r="C100" s="168">
        <v>1</v>
      </c>
      <c r="D100" s="169">
        <v>2</v>
      </c>
      <c r="E100" s="170">
        <v>151</v>
      </c>
      <c r="F100" s="171">
        <v>27317740196</v>
      </c>
      <c r="G100" s="172" t="str">
        <f>IFERROR(IF(compras_mes123[[#This Row],[CUIT]]="","-",VLOOKUP(compras_mes123[[#This Row],[CUIT]],Lista_CUIT[#All],2,0)),"CUIT NO CARGADO")</f>
        <v>HOKAMA ROMINA PAOLA</v>
      </c>
      <c r="H100" s="173">
        <v>44935.53</v>
      </c>
      <c r="I100" s="174">
        <f>IF(compras_mes123[[#This Row],[NETO GRAVADO]]="","",compras_mes123[[#This Row],[NETO GRAVADO]]*0.21)</f>
        <v>9436.461299999999</v>
      </c>
      <c r="J100" s="174"/>
      <c r="K100" s="174"/>
      <c r="L100" s="174"/>
      <c r="M100" s="174"/>
      <c r="N100" s="174"/>
      <c r="O100" s="174"/>
      <c r="P100" s="175">
        <f>SUM(compras_mes123[[#This Row],[NETO GRAVADO]:[Otros / No Grav.]])</f>
        <v>54371.991299999994</v>
      </c>
      <c r="Q100" s="176" t="str">
        <f>IFERROR(IF(compras_mes123[[#This Row],[CUIT]]="","-",VLOOKUP(compras_mes123[[#This Row],[CUIT]],Lista_CUIT[#All],3,0)),"CUIT NO CARGADO")</f>
        <v>Gastos Varios</v>
      </c>
      <c r="R100" s="176">
        <f>IFERROR(IF(compras_mes123[[#This Row],[CUIT]]="","-",VLOOKUP(compras_mes123[[#This Row],[CUIT]],Lista_CUIT[#All],4,0)),"CUIT NO CARGADO")</f>
        <v>0</v>
      </c>
    </row>
    <row r="101" spans="2:18">
      <c r="B101" s="167" t="s">
        <v>2575</v>
      </c>
      <c r="C101" s="168">
        <v>1</v>
      </c>
      <c r="D101" s="169">
        <v>2188</v>
      </c>
      <c r="E101" s="170">
        <v>135809</v>
      </c>
      <c r="F101" s="171">
        <v>30548083156</v>
      </c>
      <c r="G101" s="172" t="str">
        <f>IFERROR(IF(compras_mes123[[#This Row],[CUIT]]="","-",VLOOKUP(compras_mes123[[#This Row],[CUIT]],Lista_CUIT[#All],2,0)),"CUIT NO CARGADO")</f>
        <v>COTO CENTRO INTEGRAL DE COMERCIALIZACION SOCIEDAD ANONIMA</v>
      </c>
      <c r="H101" s="173">
        <v>54496.45</v>
      </c>
      <c r="I101" s="174">
        <v>8110.87</v>
      </c>
      <c r="J101" s="174"/>
      <c r="K101" s="174">
        <v>1666.69</v>
      </c>
      <c r="L101" s="174"/>
      <c r="M101" s="174"/>
      <c r="N101" s="174"/>
      <c r="O101" s="174">
        <v>4382.3900000000003</v>
      </c>
      <c r="P101" s="175">
        <f>SUM(compras_mes123[[#This Row],[NETO GRAVADO]:[Otros / No Grav.]])</f>
        <v>68656.400000000009</v>
      </c>
      <c r="Q101" s="176" t="str">
        <f>IFERROR(IF(compras_mes123[[#This Row],[CUIT]]="","-",VLOOKUP(compras_mes123[[#This Row],[CUIT]],Lista_CUIT[#All],3,0)),"CUIT NO CARGADO")</f>
        <v>Gastos Varios</v>
      </c>
      <c r="R101" s="176">
        <f>IFERROR(IF(compras_mes123[[#This Row],[CUIT]]="","-",VLOOKUP(compras_mes123[[#This Row],[CUIT]],Lista_CUIT[#All],4,0)),"CUIT NO CARGADO")</f>
        <v>0</v>
      </c>
    </row>
    <row r="102" spans="2:18">
      <c r="B102" s="167" t="s">
        <v>2575</v>
      </c>
      <c r="C102" s="168">
        <v>1</v>
      </c>
      <c r="D102" s="169">
        <v>12</v>
      </c>
      <c r="E102" s="170">
        <v>3265434</v>
      </c>
      <c r="F102" s="171">
        <v>30703088534</v>
      </c>
      <c r="G102" s="172" t="str">
        <f>IFERROR(IF(compras_mes123[[#This Row],[CUIT]]="","-",VLOOKUP(compras_mes123[[#This Row],[CUIT]],Lista_CUIT[#All],2,0)),"CUIT NO CARGADO")</f>
        <v>MERCADO LIBRE SRL</v>
      </c>
      <c r="H102" s="173">
        <v>1533805.94</v>
      </c>
      <c r="I102" s="174">
        <f>IF(compras_mes123[[#This Row],[NETO GRAVADO]]="","",compras_mes123[[#This Row],[NETO GRAVADO]]*0.21)</f>
        <v>322099.24739999999</v>
      </c>
      <c r="J102" s="174"/>
      <c r="K102" s="174"/>
      <c r="L102" s="174"/>
      <c r="M102" s="174"/>
      <c r="N102" s="174"/>
      <c r="O102" s="174">
        <v>153380.54</v>
      </c>
      <c r="P102" s="175">
        <f>SUM(compras_mes123[[#This Row],[NETO GRAVADO]:[Otros / No Grav.]])</f>
        <v>2009285.7274</v>
      </c>
      <c r="Q102" s="176" t="str">
        <f>IFERROR(IF(compras_mes123[[#This Row],[CUIT]]="","-",VLOOKUP(compras_mes123[[#This Row],[CUIT]],Lista_CUIT[#All],3,0)),"CUIT NO CARGADO")</f>
        <v>Gastos Varios</v>
      </c>
      <c r="R102" s="176" t="str">
        <f>IFERROR(IF(compras_mes123[[#This Row],[CUIT]]="","-",VLOOKUP(compras_mes123[[#This Row],[CUIT]],Lista_CUIT[#All],4,0)),"CUIT NO CARGADO")</f>
        <v>CABA</v>
      </c>
    </row>
    <row r="103" spans="2:18">
      <c r="B103" s="167" t="s">
        <v>2581</v>
      </c>
      <c r="C103" s="168">
        <v>1</v>
      </c>
      <c r="D103" s="169">
        <v>4</v>
      </c>
      <c r="E103" s="170">
        <v>1179</v>
      </c>
      <c r="F103" s="171">
        <v>23329455319</v>
      </c>
      <c r="G103" s="172" t="str">
        <f>IFERROR(IF(compras_mes123[[#This Row],[CUIT]]="","-",VLOOKUP(compras_mes123[[#This Row],[CUIT]],Lista_CUIT[#All],2,0)),"CUIT NO CARGADO")</f>
        <v>REPETTO RAMIRO ANDRES</v>
      </c>
      <c r="H103" s="173">
        <v>37851.24</v>
      </c>
      <c r="I103" s="174">
        <f>IF(compras_mes123[[#This Row],[NETO GRAVADO]]="","",compras_mes123[[#This Row],[NETO GRAVADO]]*0.21)</f>
        <v>7948.7603999999992</v>
      </c>
      <c r="J103" s="174"/>
      <c r="K103" s="174"/>
      <c r="L103" s="174"/>
      <c r="M103" s="174"/>
      <c r="N103" s="174"/>
      <c r="O103" s="174"/>
      <c r="P103" s="175">
        <f>SUM(compras_mes123[[#This Row],[NETO GRAVADO]:[Otros / No Grav.]])</f>
        <v>45800.000399999997</v>
      </c>
      <c r="Q103" s="176" t="str">
        <f>IFERROR(IF(compras_mes123[[#This Row],[CUIT]]="","-",VLOOKUP(compras_mes123[[#This Row],[CUIT]],Lista_CUIT[#All],3,0)),"CUIT NO CARGADO")</f>
        <v>Gastos Varios</v>
      </c>
      <c r="R103" s="176">
        <f>IFERROR(IF(compras_mes123[[#This Row],[CUIT]]="","-",VLOOKUP(compras_mes123[[#This Row],[CUIT]],Lista_CUIT[#All],4,0)),"CUIT NO CARGADO")</f>
        <v>0</v>
      </c>
    </row>
    <row r="104" spans="2:18">
      <c r="B104" s="167" t="s">
        <v>2581</v>
      </c>
      <c r="C104" s="168">
        <v>1</v>
      </c>
      <c r="D104" s="169">
        <v>4793</v>
      </c>
      <c r="E104" s="170">
        <v>1223</v>
      </c>
      <c r="F104" s="171">
        <v>30685849751</v>
      </c>
      <c r="G104" s="172" t="str">
        <f>IFERROR(IF(compras_mes123[[#This Row],[CUIT]]="","-",VLOOKUP(compras_mes123[[#This Row],[CUIT]],Lista_CUIT[#All],2,0)),"CUIT NO CARGADO")</f>
        <v>DIA ARGENTINA S A</v>
      </c>
      <c r="H104" s="173">
        <v>11500.97</v>
      </c>
      <c r="I104" s="174">
        <v>2192.85</v>
      </c>
      <c r="J104" s="174"/>
      <c r="K104" s="174">
        <v>111.18</v>
      </c>
      <c r="L104" s="174"/>
      <c r="M104" s="174"/>
      <c r="N104" s="174"/>
      <c r="O104" s="174"/>
      <c r="P104" s="175">
        <f>SUM(compras_mes123[[#This Row],[NETO GRAVADO]:[Otros / No Grav.]])</f>
        <v>13805</v>
      </c>
      <c r="Q104" s="176" t="str">
        <f>IFERROR(IF(compras_mes123[[#This Row],[CUIT]]="","-",VLOOKUP(compras_mes123[[#This Row],[CUIT]],Lista_CUIT[#All],3,0)),"CUIT NO CARGADO")</f>
        <v>Gastos Varios</v>
      </c>
      <c r="R104" s="176">
        <f>IFERROR(IF(compras_mes123[[#This Row],[CUIT]]="","-",VLOOKUP(compras_mes123[[#This Row],[CUIT]],Lista_CUIT[#All],4,0)),"CUIT NO CARGADO")</f>
        <v>0</v>
      </c>
    </row>
    <row r="105" spans="2:18">
      <c r="B105" s="167" t="s">
        <v>2579</v>
      </c>
      <c r="C105" s="168">
        <v>1</v>
      </c>
      <c r="D105" s="169">
        <v>3</v>
      </c>
      <c r="E105" s="170">
        <v>9788</v>
      </c>
      <c r="F105" s="171">
        <v>27412102431</v>
      </c>
      <c r="G105" s="172" t="str">
        <f>IFERROR(IF(compras_mes123[[#This Row],[CUIT]]="","-",VLOOKUP(compras_mes123[[#This Row],[CUIT]],Lista_CUIT[#All],2,0)),"CUIT NO CARGADO")</f>
        <v>ALVEZ ARIANA SOL</v>
      </c>
      <c r="H105" s="173">
        <v>40909.050000000003</v>
      </c>
      <c r="I105" s="174">
        <f>IF(compras_mes123[[#This Row],[NETO GRAVADO]]="","",compras_mes123[[#This Row],[NETO GRAVADO]]*0.21)</f>
        <v>8590.9004999999997</v>
      </c>
      <c r="J105" s="174"/>
      <c r="K105" s="174"/>
      <c r="L105" s="174"/>
      <c r="M105" s="174"/>
      <c r="N105" s="174"/>
      <c r="O105" s="174"/>
      <c r="P105" s="175">
        <f>SUM(compras_mes123[[#This Row],[NETO GRAVADO]:[Otros / No Grav.]])</f>
        <v>49499.950500000006</v>
      </c>
      <c r="Q105" s="176" t="s">
        <v>79</v>
      </c>
      <c r="R105" s="176">
        <f>IFERROR(IF(compras_mes123[[#This Row],[CUIT]]="","-",VLOOKUP(compras_mes123[[#This Row],[CUIT]],Lista_CUIT[#All],4,0)),"CUIT NO CARGADO")</f>
        <v>0</v>
      </c>
    </row>
    <row r="106" spans="2:18">
      <c r="B106" s="649" t="s">
        <v>2523</v>
      </c>
      <c r="C106" s="650">
        <v>1</v>
      </c>
      <c r="D106" s="651">
        <v>2</v>
      </c>
      <c r="E106" s="652">
        <v>1370</v>
      </c>
      <c r="F106" s="653">
        <v>30718329805</v>
      </c>
      <c r="G106" s="654" t="str">
        <f>IFERROR(IF(compras_mes123[[#This Row],[CUIT]]="","-",VLOOKUP(compras_mes123[[#This Row],[CUIT]],Lista_CUIT[#All],2,0)),"CUIT NO CARGADO")</f>
        <v>CIEN POR CIENTO FOLLETOS SRL</v>
      </c>
      <c r="H106" s="615">
        <v>246942.0859375</v>
      </c>
      <c r="I106" s="609">
        <f>IF(compras_mes123[[#This Row],[NETO GRAVADO]]="","",compras_mes123[[#This Row],[NETO GRAVADO]]*0.21)</f>
        <v>51857.838046874997</v>
      </c>
      <c r="J106" s="609"/>
      <c r="K106" s="609"/>
      <c r="L106" s="609"/>
      <c r="M106" s="609"/>
      <c r="N106" s="609"/>
      <c r="O106" s="609"/>
      <c r="P106" s="610">
        <f>SUM(compras_mes123[[#This Row],[NETO GRAVADO]:[Otros / No Grav.]])</f>
        <v>298799.92398437497</v>
      </c>
      <c r="Q106" s="655" t="str">
        <f>IFERROR(IF(compras_mes123[[#This Row],[CUIT]]="","-",VLOOKUP(compras_mes123[[#This Row],[CUIT]],Lista_CUIT[#All],3,0)),"CUIT NO CARGADO")</f>
        <v>LIBRERÍA</v>
      </c>
      <c r="R106" s="655">
        <f>IFERROR(IF(compras_mes123[[#This Row],[CUIT]]="","-",VLOOKUP(compras_mes123[[#This Row],[CUIT]],Lista_CUIT[#All],4,0)),"CUIT NO CARGADO")</f>
        <v>0</v>
      </c>
    </row>
    <row r="107" spans="2:18">
      <c r="B107" s="649" t="s">
        <v>2524</v>
      </c>
      <c r="C107" s="650">
        <v>1</v>
      </c>
      <c r="D107" s="651">
        <v>150</v>
      </c>
      <c r="E107" s="652">
        <v>41676</v>
      </c>
      <c r="F107" s="653">
        <v>30592097482</v>
      </c>
      <c r="G107" s="654" t="str">
        <f>IFERROR(IF(compras_mes123[[#This Row],[CUIT]]="","-",VLOOKUP(compras_mes123[[#This Row],[CUIT]],Lista_CUIT[#All],2,0)),"CUIT NO CARGADO")</f>
        <v>ED GAR SOCIEDAD ANONIMA</v>
      </c>
      <c r="H107" s="615">
        <v>48599.169921875</v>
      </c>
      <c r="I107" s="609">
        <f>IF(compras_mes123[[#This Row],[NETO GRAVADO]]="","",compras_mes123[[#This Row],[NETO GRAVADO]]*0.21)</f>
        <v>10205.82568359375</v>
      </c>
      <c r="J107" s="609"/>
      <c r="K107" s="609"/>
      <c r="L107" s="609"/>
      <c r="M107" s="609"/>
      <c r="N107" s="609"/>
      <c r="O107" s="609"/>
      <c r="P107" s="610">
        <f>SUM(compras_mes123[[#This Row],[NETO GRAVADO]:[Otros / No Grav.]])</f>
        <v>58804.99560546875</v>
      </c>
      <c r="Q107" s="655" t="str">
        <f>IFERROR(IF(compras_mes123[[#This Row],[CUIT]]="","-",VLOOKUP(compras_mes123[[#This Row],[CUIT]],Lista_CUIT[#All],3,0)),"CUIT NO CARGADO")</f>
        <v>LIBRERÍA</v>
      </c>
      <c r="R107" s="655">
        <f>IFERROR(IF(compras_mes123[[#This Row],[CUIT]]="","-",VLOOKUP(compras_mes123[[#This Row],[CUIT]],Lista_CUIT[#All],4,0)),"CUIT NO CARGADO")</f>
        <v>0</v>
      </c>
    </row>
    <row r="108" spans="2:18">
      <c r="B108" s="649" t="s">
        <v>2528</v>
      </c>
      <c r="C108" s="650">
        <v>1</v>
      </c>
      <c r="D108" s="651">
        <v>150</v>
      </c>
      <c r="E108" s="652">
        <v>41674</v>
      </c>
      <c r="F108" s="653">
        <v>30592097482</v>
      </c>
      <c r="G108" s="654" t="str">
        <f>IFERROR(IF(compras_mes123[[#This Row],[CUIT]]="","-",VLOOKUP(compras_mes123[[#This Row],[CUIT]],Lista_CUIT[#All],2,0)),"CUIT NO CARGADO")</f>
        <v>ED GAR SOCIEDAD ANONIMA</v>
      </c>
      <c r="H108" s="615">
        <v>97198.39453125</v>
      </c>
      <c r="I108" s="609">
        <f>IF(compras_mes123[[#This Row],[NETO GRAVADO]]="","",compras_mes123[[#This Row],[NETO GRAVADO]]*0.21)</f>
        <v>20411.662851562498</v>
      </c>
      <c r="J108" s="609"/>
      <c r="K108" s="609"/>
      <c r="L108" s="609"/>
      <c r="M108" s="609"/>
      <c r="N108" s="609"/>
      <c r="O108" s="609"/>
      <c r="P108" s="610">
        <f>SUM(compras_mes123[[#This Row],[NETO GRAVADO]:[Otros / No Grav.]])</f>
        <v>117610.05738281249</v>
      </c>
      <c r="Q108" s="655" t="str">
        <f>IFERROR(IF(compras_mes123[[#This Row],[CUIT]]="","-",VLOOKUP(compras_mes123[[#This Row],[CUIT]],Lista_CUIT[#All],3,0)),"CUIT NO CARGADO")</f>
        <v>LIBRERÍA</v>
      </c>
      <c r="R108" s="655">
        <f>IFERROR(IF(compras_mes123[[#This Row],[CUIT]]="","-",VLOOKUP(compras_mes123[[#This Row],[CUIT]],Lista_CUIT[#All],4,0)),"CUIT NO CARGADO")</f>
        <v>0</v>
      </c>
    </row>
    <row r="109" spans="2:18">
      <c r="B109" s="649" t="s">
        <v>2534</v>
      </c>
      <c r="C109" s="650">
        <v>1</v>
      </c>
      <c r="D109" s="651">
        <v>11</v>
      </c>
      <c r="E109" s="652">
        <v>6431</v>
      </c>
      <c r="F109" s="653">
        <v>30710184816</v>
      </c>
      <c r="G109" s="654" t="str">
        <f>IFERROR(IF(compras_mes123[[#This Row],[CUIT]]="","-",VLOOKUP(compras_mes123[[#This Row],[CUIT]],Lista_CUIT[#All],2,0)),"CUIT NO CARGADO")</f>
        <v>INSUMOS SERVICOMP SA</v>
      </c>
      <c r="H109" s="615">
        <v>90638.80078125</v>
      </c>
      <c r="I109" s="609">
        <f>IF(compras_mes123[[#This Row],[NETO GRAVADO]]="","",compras_mes123[[#This Row],[NETO GRAVADO]]*0.21)</f>
        <v>19034.148164062499</v>
      </c>
      <c r="J109" s="609"/>
      <c r="K109" s="609"/>
      <c r="L109" s="609"/>
      <c r="M109" s="609"/>
      <c r="N109" s="609"/>
      <c r="O109" s="609"/>
      <c r="P109" s="610">
        <f>SUM(compras_mes123[[#This Row],[NETO GRAVADO]:[Otros / No Grav.]])</f>
        <v>109672.9489453125</v>
      </c>
      <c r="Q109" s="655" t="str">
        <f>IFERROR(IF(compras_mes123[[#This Row],[CUIT]]="","-",VLOOKUP(compras_mes123[[#This Row],[CUIT]],Lista_CUIT[#All],3,0)),"CUIT NO CARGADO")</f>
        <v>LIBRERÍA</v>
      </c>
      <c r="R109" s="655">
        <f>IFERROR(IF(compras_mes123[[#This Row],[CUIT]]="","-",VLOOKUP(compras_mes123[[#This Row],[CUIT]],Lista_CUIT[#All],4,0)),"CUIT NO CARGADO")</f>
        <v>0</v>
      </c>
    </row>
    <row r="110" spans="2:18">
      <c r="B110" s="649" t="s">
        <v>2534</v>
      </c>
      <c r="C110" s="650">
        <v>1</v>
      </c>
      <c r="D110" s="651">
        <v>4</v>
      </c>
      <c r="E110" s="652">
        <v>310</v>
      </c>
      <c r="F110" s="653">
        <v>33716304669</v>
      </c>
      <c r="G110" s="654" t="str">
        <f>IFERROR(IF(compras_mes123[[#This Row],[CUIT]]="","-",VLOOKUP(compras_mes123[[#This Row],[CUIT]],Lista_CUIT[#All],2,0)),"CUIT NO CARGADO")</f>
        <v>HEYCO LATAM S.A.</v>
      </c>
      <c r="H110" s="615">
        <v>119008.259765625</v>
      </c>
      <c r="I110" s="609">
        <f>IF(compras_mes123[[#This Row],[NETO GRAVADO]]="","",compras_mes123[[#This Row],[NETO GRAVADO]]*0.21)</f>
        <v>24991.73455078125</v>
      </c>
      <c r="J110" s="609"/>
      <c r="K110" s="609"/>
      <c r="L110" s="609"/>
      <c r="M110" s="609"/>
      <c r="N110" s="609"/>
      <c r="O110" s="609"/>
      <c r="P110" s="610">
        <f>SUM(compras_mes123[[#This Row],[NETO GRAVADO]:[Otros / No Grav.]])</f>
        <v>143999.99431640626</v>
      </c>
      <c r="Q110" s="655" t="str">
        <f>IFERROR(IF(compras_mes123[[#This Row],[CUIT]]="","-",VLOOKUP(compras_mes123[[#This Row],[CUIT]],Lista_CUIT[#All],3,0)),"CUIT NO CARGADO")</f>
        <v>LIBRERÍA</v>
      </c>
      <c r="R110" s="655">
        <f>IFERROR(IF(compras_mes123[[#This Row],[CUIT]]="","-",VLOOKUP(compras_mes123[[#This Row],[CUIT]],Lista_CUIT[#All],4,0)),"CUIT NO CARGADO")</f>
        <v>0</v>
      </c>
    </row>
    <row r="111" spans="2:18">
      <c r="B111" s="167" t="s">
        <v>2568</v>
      </c>
      <c r="C111" s="168">
        <v>1</v>
      </c>
      <c r="D111" s="169">
        <v>24</v>
      </c>
      <c r="E111" s="170">
        <v>96647</v>
      </c>
      <c r="F111" s="171">
        <v>30707838260</v>
      </c>
      <c r="G111" s="172" t="str">
        <f>IFERROR(IF(compras_mes123[[#This Row],[CUIT]]="","-",VLOOKUP(compras_mes123[[#This Row],[CUIT]],Lista_CUIT[#All],2,0)),"CUIT NO CARGADO")</f>
        <v>EL INSUMO S.R.L.</v>
      </c>
      <c r="H111" s="173">
        <v>66496.5</v>
      </c>
      <c r="I111" s="174">
        <f>IF(compras_mes123[[#This Row],[NETO GRAVADO]]="","",compras_mes123[[#This Row],[NETO GRAVADO]]*0.21)</f>
        <v>13964.264999999999</v>
      </c>
      <c r="J111" s="174"/>
      <c r="K111" s="174"/>
      <c r="L111" s="174"/>
      <c r="M111" s="174"/>
      <c r="N111" s="174"/>
      <c r="O111" s="174"/>
      <c r="P111" s="175">
        <f>SUM(compras_mes123[[#This Row],[NETO GRAVADO]:[Otros / No Grav.]])</f>
        <v>80460.764999999999</v>
      </c>
      <c r="Q111" s="176" t="str">
        <f>IFERROR(IF(compras_mes123[[#This Row],[CUIT]]="","-",VLOOKUP(compras_mes123[[#This Row],[CUIT]],Lista_CUIT[#All],3,0)),"CUIT NO CARGADO")</f>
        <v>LIBRERÍA</v>
      </c>
      <c r="R111" s="176">
        <f>IFERROR(IF(compras_mes123[[#This Row],[CUIT]]="","-",VLOOKUP(compras_mes123[[#This Row],[CUIT]],Lista_CUIT[#All],4,0)),"CUIT NO CARGADO")</f>
        <v>0</v>
      </c>
    </row>
    <row r="112" spans="2:18">
      <c r="B112" s="649" t="s">
        <v>2536</v>
      </c>
      <c r="C112" s="650">
        <v>1</v>
      </c>
      <c r="D112" s="651">
        <v>2</v>
      </c>
      <c r="E112" s="652">
        <v>1582</v>
      </c>
      <c r="F112" s="653">
        <v>30718329805</v>
      </c>
      <c r="G112" s="654" t="str">
        <f>IFERROR(IF(compras_mes123[[#This Row],[CUIT]]="","-",VLOOKUP(compras_mes123[[#This Row],[CUIT]],Lista_CUIT[#All],2,0)),"CUIT NO CARGADO")</f>
        <v>CIEN POR CIENTO FOLLETOS SRL</v>
      </c>
      <c r="H112" s="615">
        <v>217851.23828125</v>
      </c>
      <c r="I112" s="609">
        <f>IF(compras_mes123[[#This Row],[NETO GRAVADO]]="","",compras_mes123[[#This Row],[NETO GRAVADO]]*0.21)</f>
        <v>45748.760039062501</v>
      </c>
      <c r="J112" s="609"/>
      <c r="K112" s="609"/>
      <c r="L112" s="609"/>
      <c r="M112" s="609"/>
      <c r="N112" s="609"/>
      <c r="O112" s="609"/>
      <c r="P112" s="610">
        <f>SUM(compras_mes123[[#This Row],[NETO GRAVADO]:[Otros / No Grav.]])</f>
        <v>263599.99832031247</v>
      </c>
      <c r="Q112" s="655" t="str">
        <f>IFERROR(IF(compras_mes123[[#This Row],[CUIT]]="","-",VLOOKUP(compras_mes123[[#This Row],[CUIT]],Lista_CUIT[#All],3,0)),"CUIT NO CARGADO")</f>
        <v>LIBRERÍA</v>
      </c>
      <c r="R112" s="655">
        <f>IFERROR(IF(compras_mes123[[#This Row],[CUIT]]="","-",VLOOKUP(compras_mes123[[#This Row],[CUIT]],Lista_CUIT[#All],4,0)),"CUIT NO CARGADO")</f>
        <v>0</v>
      </c>
    </row>
    <row r="113" spans="1:18">
      <c r="B113" s="649" t="s">
        <v>2540</v>
      </c>
      <c r="C113" s="650">
        <v>1</v>
      </c>
      <c r="D113" s="651">
        <v>2</v>
      </c>
      <c r="E113" s="652">
        <v>1647</v>
      </c>
      <c r="F113" s="653">
        <v>30718329805</v>
      </c>
      <c r="G113" s="654" t="str">
        <f>IFERROR(IF(compras_mes123[[#This Row],[CUIT]]="","-",VLOOKUP(compras_mes123[[#This Row],[CUIT]],Lista_CUIT[#All],2,0)),"CUIT NO CARGADO")</f>
        <v>CIEN POR CIENTO FOLLETOS SRL</v>
      </c>
      <c r="H113" s="615">
        <v>8925.6199951171893</v>
      </c>
      <c r="I113" s="609">
        <f>IF(compras_mes123[[#This Row],[NETO GRAVADO]]="","",compras_mes123[[#This Row],[NETO GRAVADO]]*0.21)</f>
        <v>1874.3801989746096</v>
      </c>
      <c r="J113" s="609"/>
      <c r="K113" s="609"/>
      <c r="L113" s="609"/>
      <c r="M113" s="609"/>
      <c r="N113" s="609"/>
      <c r="O113" s="609"/>
      <c r="P113" s="610">
        <f>SUM(compras_mes123[[#This Row],[NETO GRAVADO]:[Otros / No Grav.]])</f>
        <v>10800.000194091799</v>
      </c>
      <c r="Q113" s="655" t="str">
        <f>IFERROR(IF(compras_mes123[[#This Row],[CUIT]]="","-",VLOOKUP(compras_mes123[[#This Row],[CUIT]],Lista_CUIT[#All],3,0)),"CUIT NO CARGADO")</f>
        <v>LIBRERÍA</v>
      </c>
      <c r="R113" s="655">
        <f>IFERROR(IF(compras_mes123[[#This Row],[CUIT]]="","-",VLOOKUP(compras_mes123[[#This Row],[CUIT]],Lista_CUIT[#All],4,0)),"CUIT NO CARGADO")</f>
        <v>0</v>
      </c>
    </row>
    <row r="114" spans="1:18">
      <c r="B114" s="167" t="s">
        <v>2574</v>
      </c>
      <c r="C114" s="168">
        <v>1</v>
      </c>
      <c r="D114" s="169">
        <v>2</v>
      </c>
      <c r="E114" s="170">
        <v>1678</v>
      </c>
      <c r="F114" s="171">
        <v>30718329805</v>
      </c>
      <c r="G114" s="172" t="str">
        <f>IFERROR(IF(compras_mes123[[#This Row],[CUIT]]="","-",VLOOKUP(compras_mes123[[#This Row],[CUIT]],Lista_CUIT[#All],2,0)),"CUIT NO CARGADO")</f>
        <v>CIEN POR CIENTO FOLLETOS SRL</v>
      </c>
      <c r="H114" s="173">
        <v>58760.33</v>
      </c>
      <c r="I114" s="174">
        <f>IF(compras_mes123[[#This Row],[NETO GRAVADO]]="","",compras_mes123[[#This Row],[NETO GRAVADO]]*0.21)</f>
        <v>12339.6693</v>
      </c>
      <c r="J114" s="174"/>
      <c r="K114" s="174"/>
      <c r="L114" s="174"/>
      <c r="M114" s="174"/>
      <c r="N114" s="174"/>
      <c r="O114" s="174"/>
      <c r="P114" s="175">
        <f>SUM(compras_mes123[[#This Row],[NETO GRAVADO]:[Otros / No Grav.]])</f>
        <v>71099.999299999996</v>
      </c>
      <c r="Q114" s="176" t="str">
        <f>IFERROR(IF(compras_mes123[[#This Row],[CUIT]]="","-",VLOOKUP(compras_mes123[[#This Row],[CUIT]],Lista_CUIT[#All],3,0)),"CUIT NO CARGADO")</f>
        <v>LIBRERÍA</v>
      </c>
      <c r="R114" s="176">
        <f>IFERROR(IF(compras_mes123[[#This Row],[CUIT]]="","-",VLOOKUP(compras_mes123[[#This Row],[CUIT]],Lista_CUIT[#All],4,0)),"CUIT NO CARGADO")</f>
        <v>0</v>
      </c>
    </row>
    <row r="115" spans="1:18">
      <c r="B115" s="167">
        <v>45603</v>
      </c>
      <c r="C115" s="168">
        <v>1</v>
      </c>
      <c r="D115" s="169">
        <v>5</v>
      </c>
      <c r="E115" s="170">
        <v>7872</v>
      </c>
      <c r="F115" s="171">
        <v>30710043562</v>
      </c>
      <c r="G115" s="172" t="str">
        <f>IFERROR(IF(compras_mes123[[#This Row],[CUIT]]="","-",VLOOKUP(compras_mes123[[#This Row],[CUIT]],Lista_CUIT[#All],2,0)),"CUIT NO CARGADO")</f>
        <v>SARMIENTO 820 FASE 3 S.A.</v>
      </c>
      <c r="H115" s="173">
        <v>52066.1</v>
      </c>
      <c r="I115" s="174">
        <f>IF(compras_mes123[[#This Row],[NETO GRAVADO]]="","",compras_mes123[[#This Row],[NETO GRAVADO]]*0.21)</f>
        <v>10933.880999999999</v>
      </c>
      <c r="J115" s="174"/>
      <c r="K115" s="174"/>
      <c r="L115" s="174"/>
      <c r="M115" s="174"/>
      <c r="N115" s="174"/>
      <c r="O115" s="174"/>
      <c r="P115" s="175">
        <f>SUM(compras_mes123[[#This Row],[NETO GRAVADO]:[Otros / No Grav.]])</f>
        <v>62999.981</v>
      </c>
      <c r="Q115" s="176" t="str">
        <f>IFERROR(IF(compras_mes123[[#This Row],[CUIT]]="","-",VLOOKUP(compras_mes123[[#This Row],[CUIT]],Lista_CUIT[#All],3,0)),"CUIT NO CARGADO")</f>
        <v>LIBRERÍA</v>
      </c>
      <c r="R115" s="176">
        <f>IFERROR(IF(compras_mes123[[#This Row],[CUIT]]="","-",VLOOKUP(compras_mes123[[#This Row],[CUIT]],Lista_CUIT[#All],4,0)),"CUIT NO CARGADO")</f>
        <v>0</v>
      </c>
    </row>
    <row r="116" spans="1:18">
      <c r="B116" s="167" t="s">
        <v>2577</v>
      </c>
      <c r="C116" s="168">
        <v>1</v>
      </c>
      <c r="D116" s="169">
        <v>1</v>
      </c>
      <c r="E116" s="170">
        <v>14</v>
      </c>
      <c r="F116" s="171">
        <v>30717504824</v>
      </c>
      <c r="G116" s="172" t="str">
        <f>IFERROR(IF(compras_mes123[[#This Row],[CUIT]]="","-",VLOOKUP(compras_mes123[[#This Row],[CUIT]],Lista_CUIT[#All],2,0)),"CUIT NO CARGADO")</f>
        <v>FIDEICOMISO MAMBA</v>
      </c>
      <c r="H116" s="173">
        <v>2569411.71</v>
      </c>
      <c r="I116" s="174"/>
      <c r="J116" s="174"/>
      <c r="K116" s="174">
        <f>compras_mes123[[#This Row],[NETO GRAVADO]]*0.105</f>
        <v>269788.22954999999</v>
      </c>
      <c r="L116" s="174"/>
      <c r="M116" s="174"/>
      <c r="N116" s="174"/>
      <c r="O116" s="174"/>
      <c r="P116" s="175">
        <f>SUM(compras_mes123[[#This Row],[NETO GRAVADO]:[Otros / No Grav.]])</f>
        <v>2839199.9395499998</v>
      </c>
      <c r="Q116" s="176" t="str">
        <f>IFERROR(IF(compras_mes123[[#This Row],[CUIT]]="","-",VLOOKUP(compras_mes123[[#This Row],[CUIT]],Lista_CUIT[#All],3,0)),"CUIT NO CARGADO")</f>
        <v>MANTENIMIENTO</v>
      </c>
      <c r="R116" s="176">
        <f>IFERROR(IF(compras_mes123[[#This Row],[CUIT]]="","-",VLOOKUP(compras_mes123[[#This Row],[CUIT]],Lista_CUIT[#All],4,0)),"CUIT NO CARGADO")</f>
        <v>0</v>
      </c>
    </row>
    <row r="117" spans="1:18">
      <c r="B117" s="167" t="s">
        <v>2573</v>
      </c>
      <c r="C117" s="168">
        <v>1</v>
      </c>
      <c r="D117" s="169">
        <v>4</v>
      </c>
      <c r="E117" s="170">
        <v>11577</v>
      </c>
      <c r="F117" s="171">
        <v>30717479641</v>
      </c>
      <c r="G117" s="172" t="str">
        <f>IFERROR(IF(compras_mes123[[#This Row],[CUIT]]="","-",VLOOKUP(compras_mes123[[#This Row],[CUIT]],Lista_CUIT[#All],2,0)),"CUIT NO CARGADO")</f>
        <v>SOUL DESIGN S. R. L.</v>
      </c>
      <c r="H117" s="173">
        <v>38152.07</v>
      </c>
      <c r="I117" s="174">
        <f>IF(compras_mes123[[#This Row],[NETO GRAVADO]]="","",compras_mes123[[#This Row],[NETO GRAVADO]]*0.21)</f>
        <v>8011.9346999999998</v>
      </c>
      <c r="J117" s="174"/>
      <c r="K117" s="174"/>
      <c r="L117" s="174"/>
      <c r="M117" s="174"/>
      <c r="N117" s="174"/>
      <c r="O117" s="174"/>
      <c r="P117" s="175">
        <f>SUM(compras_mes123[[#This Row],[NETO GRAVADO]:[Otros / No Grav.]])</f>
        <v>46164.004699999998</v>
      </c>
      <c r="Q117" s="176" t="str">
        <f>IFERROR(IF(compras_mes123[[#This Row],[CUIT]]="","-",VLOOKUP(compras_mes123[[#This Row],[CUIT]],Lista_CUIT[#All],3,0)),"CUIT NO CARGADO")</f>
        <v>MANTENIMIENTO</v>
      </c>
      <c r="R117" s="176">
        <f>IFERROR(IF(compras_mes123[[#This Row],[CUIT]]="","-",VLOOKUP(compras_mes123[[#This Row],[CUIT]],Lista_CUIT[#All],4,0)),"CUIT NO CARGADO")</f>
        <v>0</v>
      </c>
    </row>
    <row r="118" spans="1:18">
      <c r="B118" s="167" t="s">
        <v>2574</v>
      </c>
      <c r="C118" s="168">
        <v>1</v>
      </c>
      <c r="D118" s="169">
        <v>10</v>
      </c>
      <c r="E118" s="170">
        <v>102</v>
      </c>
      <c r="F118" s="171">
        <v>20932321816</v>
      </c>
      <c r="G118" s="172" t="str">
        <f>IFERROR(IF(compras_mes123[[#This Row],[CUIT]]="","-",VLOOKUP(compras_mes123[[#This Row],[CUIT]],Lista_CUIT[#All],2,0)),"CUIT NO CARGADO")</f>
        <v>SPINELLI DANTE NICOLAS PABLO</v>
      </c>
      <c r="H118" s="173">
        <v>23305.79</v>
      </c>
      <c r="I118" s="174">
        <f>IF(compras_mes123[[#This Row],[NETO GRAVADO]]="","",compras_mes123[[#This Row],[NETO GRAVADO]]*0.21)</f>
        <v>4894.2159000000001</v>
      </c>
      <c r="J118" s="174"/>
      <c r="K118" s="174"/>
      <c r="L118" s="174"/>
      <c r="M118" s="174"/>
      <c r="N118" s="174"/>
      <c r="O118" s="174"/>
      <c r="P118" s="175">
        <f>SUM(compras_mes123[[#This Row],[NETO GRAVADO]:[Otros / No Grav.]])</f>
        <v>28200.0059</v>
      </c>
      <c r="Q118" s="176" t="str">
        <f>IFERROR(IF(compras_mes123[[#This Row],[CUIT]]="","-",VLOOKUP(compras_mes123[[#This Row],[CUIT]],Lista_CUIT[#All],3,0)),"CUIT NO CARGADO")</f>
        <v>MANTENIMIENTO</v>
      </c>
      <c r="R118" s="176">
        <f>IFERROR(IF(compras_mes123[[#This Row],[CUIT]]="","-",VLOOKUP(compras_mes123[[#This Row],[CUIT]],Lista_CUIT[#All],4,0)),"CUIT NO CARGADO")</f>
        <v>0</v>
      </c>
    </row>
    <row r="119" spans="1:18">
      <c r="B119" s="40" t="s">
        <v>2541</v>
      </c>
      <c r="C119" s="41">
        <v>1</v>
      </c>
      <c r="D119" s="42">
        <v>6</v>
      </c>
      <c r="E119" s="43">
        <v>1505</v>
      </c>
      <c r="F119" s="44">
        <v>30711097518</v>
      </c>
      <c r="G119" s="45" t="str">
        <f>IFERROR(IF(compras_mes123[[#This Row],[CUIT]]="","-",VLOOKUP(compras_mes123[[#This Row],[CUIT]],Lista_CUIT[#All],2,0)),"CUIT NO CARGADO")</f>
        <v>ENCENDIDO LAS CASAS S.R.L.</v>
      </c>
      <c r="H119" s="46">
        <v>4958.6800537109402</v>
      </c>
      <c r="I119" s="85">
        <f>IF(compras_mes123[[#This Row],[NETO GRAVADO]]="","",compras_mes123[[#This Row],[NETO GRAVADO]]*0.21)</f>
        <v>1041.3228112792974</v>
      </c>
      <c r="J119" s="85"/>
      <c r="K119" s="85"/>
      <c r="L119" s="85"/>
      <c r="M119" s="85"/>
      <c r="N119" s="85"/>
      <c r="O119" s="85"/>
      <c r="P119" s="48">
        <f>SUM(compras_mes123[[#This Row],[NETO GRAVADO]:[Otros / No Grav.]])</f>
        <v>6000.0028649902379</v>
      </c>
      <c r="Q119" s="49" t="str">
        <f>IFERROR(IF(compras_mes123[[#This Row],[CUIT]]="","-",VLOOKUP(compras_mes123[[#This Row],[CUIT]],Lista_CUIT[#All],3,0)),"CUIT NO CARGADO")</f>
        <v>MANTENIMIENTO</v>
      </c>
      <c r="R119" s="49">
        <f>IFERROR(IF(compras_mes123[[#This Row],[CUIT]]="","-",VLOOKUP(compras_mes123[[#This Row],[CUIT]],Lista_CUIT[#All],4,0)),"CUIT NO CARGADO")</f>
        <v>0</v>
      </c>
    </row>
    <row r="120" spans="1:18">
      <c r="B120" s="649" t="s">
        <v>2541</v>
      </c>
      <c r="C120" s="650">
        <v>1</v>
      </c>
      <c r="D120" s="651">
        <v>3</v>
      </c>
      <c r="E120" s="652">
        <v>3118</v>
      </c>
      <c r="F120" s="653">
        <v>20247154753</v>
      </c>
      <c r="G120" s="654" t="str">
        <f>IFERROR(IF(compras_mes123[[#This Row],[CUIT]]="","-",VLOOKUP(compras_mes123[[#This Row],[CUIT]],Lista_CUIT[#All],2,0)),"CUIT NO CARGADO")</f>
        <v>MARANGONE ALBERTO</v>
      </c>
      <c r="H120" s="615">
        <v>75000</v>
      </c>
      <c r="I120" s="609">
        <f>IF(compras_mes123[[#This Row],[NETO GRAVADO]]="","",compras_mes123[[#This Row],[NETO GRAVADO]]*0.21)</f>
        <v>15750</v>
      </c>
      <c r="J120" s="609"/>
      <c r="K120" s="609"/>
      <c r="L120" s="609"/>
      <c r="M120" s="609"/>
      <c r="N120" s="609"/>
      <c r="O120" s="609"/>
      <c r="P120" s="610">
        <f>SUM(compras_mes123[[#This Row],[NETO GRAVADO]:[Otros / No Grav.]])</f>
        <v>90750</v>
      </c>
      <c r="Q120" s="655" t="str">
        <f>IFERROR(IF(compras_mes123[[#This Row],[CUIT]]="","-",VLOOKUP(compras_mes123[[#This Row],[CUIT]],Lista_CUIT[#All],3,0)),"CUIT NO CARGADO")</f>
        <v>MANTENIMIENTO</v>
      </c>
      <c r="R120" s="655">
        <f>IFERROR(IF(compras_mes123[[#This Row],[CUIT]]="","-",VLOOKUP(compras_mes123[[#This Row],[CUIT]],Lista_CUIT[#All],4,0)),"CUIT NO CARGADO")</f>
        <v>0</v>
      </c>
    </row>
    <row r="121" spans="1:18">
      <c r="A121">
        <v>3</v>
      </c>
      <c r="B121" s="167" t="s">
        <v>2579</v>
      </c>
      <c r="C121" s="168">
        <v>1</v>
      </c>
      <c r="D121" s="169">
        <v>6</v>
      </c>
      <c r="E121" s="170">
        <v>209</v>
      </c>
      <c r="F121" s="171">
        <v>30717479641</v>
      </c>
      <c r="G121" s="172" t="str">
        <f>IFERROR(IF(compras_mes123[[#This Row],[CUIT]]="","-",VLOOKUP(compras_mes123[[#This Row],[CUIT]],Lista_CUIT[#All],2,0)),"CUIT NO CARGADO")</f>
        <v>SOUL DESIGN S. R. L.</v>
      </c>
      <c r="H121" s="173">
        <v>9631.4</v>
      </c>
      <c r="I121" s="174">
        <f>IF(compras_mes123[[#This Row],[NETO GRAVADO]]="","",compras_mes123[[#This Row],[NETO GRAVADO]]*0.21)</f>
        <v>2022.5939999999998</v>
      </c>
      <c r="J121" s="174"/>
      <c r="K121" s="174"/>
      <c r="L121" s="174"/>
      <c r="M121" s="174"/>
      <c r="N121" s="174"/>
      <c r="O121" s="174"/>
      <c r="P121" s="175">
        <f>SUM(compras_mes123[[#This Row],[NETO GRAVADO]:[Otros / No Grav.]])</f>
        <v>11653.993999999999</v>
      </c>
      <c r="Q121" s="176" t="str">
        <f>IFERROR(IF(compras_mes123[[#This Row],[CUIT]]="","-",VLOOKUP(compras_mes123[[#This Row],[CUIT]],Lista_CUIT[#All],3,0)),"CUIT NO CARGADO")</f>
        <v>MANTENIMIENTO</v>
      </c>
      <c r="R121" s="176">
        <f>IFERROR(IF(compras_mes123[[#This Row],[CUIT]]="","-",VLOOKUP(compras_mes123[[#This Row],[CUIT]],Lista_CUIT[#All],4,0)),"CUIT NO CARGADO")</f>
        <v>0</v>
      </c>
    </row>
    <row r="122" spans="1:18">
      <c r="B122" s="167" t="s">
        <v>2585</v>
      </c>
      <c r="C122" s="168">
        <v>1</v>
      </c>
      <c r="D122" s="169">
        <v>16</v>
      </c>
      <c r="E122" s="170">
        <v>23649</v>
      </c>
      <c r="F122" s="171">
        <v>30553547942</v>
      </c>
      <c r="G122" s="172" t="str">
        <f>IFERROR(IF(compras_mes123[[#This Row],[CUIT]]="","-",VLOOKUP(compras_mes123[[#This Row],[CUIT]],Lista_CUIT[#All],2,0)),"CUIT NO CARGADO")</f>
        <v>PINTURERIAS MAFER SA</v>
      </c>
      <c r="H122" s="173">
        <v>40322.21</v>
      </c>
      <c r="I122" s="174">
        <f>IF(compras_mes123[[#This Row],[NETO GRAVADO]]="","",compras_mes123[[#This Row],[NETO GRAVADO]]*0.21)</f>
        <v>8467.6641</v>
      </c>
      <c r="J122" s="174"/>
      <c r="K122" s="174"/>
      <c r="L122" s="174"/>
      <c r="M122" s="174"/>
      <c r="N122" s="174"/>
      <c r="O122" s="174"/>
      <c r="P122" s="175">
        <f>SUM(compras_mes123[[#This Row],[NETO GRAVADO]:[Otros / No Grav.]])</f>
        <v>48789.874100000001</v>
      </c>
      <c r="Q122" s="176" t="str">
        <f>IFERROR(IF(compras_mes123[[#This Row],[CUIT]]="","-",VLOOKUP(compras_mes123[[#This Row],[CUIT]],Lista_CUIT[#All],3,0)),"CUIT NO CARGADO")</f>
        <v>Mantenimiento Locales</v>
      </c>
      <c r="R122" s="176">
        <f>IFERROR(IF(compras_mes123[[#This Row],[CUIT]]="","-",VLOOKUP(compras_mes123[[#This Row],[CUIT]],Lista_CUIT[#All],4,0)),"CUIT NO CARGADO")</f>
        <v>0</v>
      </c>
    </row>
    <row r="123" spans="1:18">
      <c r="B123" s="649" t="s">
        <v>2541</v>
      </c>
      <c r="C123" s="650">
        <v>1</v>
      </c>
      <c r="D123" s="651">
        <v>4</v>
      </c>
      <c r="E123" s="652">
        <v>3559</v>
      </c>
      <c r="F123" s="653">
        <v>30710449178</v>
      </c>
      <c r="G123" s="654" t="str">
        <f>IFERROR(IF(compras_mes123[[#This Row],[CUIT]]="","-",VLOOKUP(compras_mes123[[#This Row],[CUIT]],Lista_CUIT[#All],2,0)),"CUIT NO CARGADO")</f>
        <v>RODADOS ALVARO S.R.L.</v>
      </c>
      <c r="H123" s="615">
        <v>9917.3493652343805</v>
      </c>
      <c r="I123" s="609">
        <f>IF(compras_mes123[[#This Row],[NETO GRAVADO]]="","",compras_mes123[[#This Row],[NETO GRAVADO]]*0.21)</f>
        <v>2082.6433666992198</v>
      </c>
      <c r="J123" s="609"/>
      <c r="K123" s="609"/>
      <c r="L123" s="609"/>
      <c r="M123" s="609"/>
      <c r="N123" s="609"/>
      <c r="O123" s="609"/>
      <c r="P123" s="610">
        <f>SUM(compras_mes123[[#This Row],[NETO GRAVADO]:[Otros / No Grav.]])</f>
        <v>11999.9927319336</v>
      </c>
      <c r="Q123" s="655" t="str">
        <f>IFERROR(IF(compras_mes123[[#This Row],[CUIT]]="","-",VLOOKUP(compras_mes123[[#This Row],[CUIT]],Lista_CUIT[#All],3,0)),"CUIT NO CARGADO")</f>
        <v>Mantenimiento Rodado</v>
      </c>
      <c r="R123" s="655">
        <f>IFERROR(IF(compras_mes123[[#This Row],[CUIT]]="","-",VLOOKUP(compras_mes123[[#This Row],[CUIT]],Lista_CUIT[#All],4,0)),"CUIT NO CARGADO")</f>
        <v>0</v>
      </c>
    </row>
    <row r="124" spans="1:18">
      <c r="B124" s="656" t="s">
        <v>2525</v>
      </c>
      <c r="C124" s="650">
        <v>1</v>
      </c>
      <c r="D124" s="657">
        <v>4</v>
      </c>
      <c r="E124" s="658">
        <v>47908</v>
      </c>
      <c r="F124" s="659">
        <v>30709863076</v>
      </c>
      <c r="G124" s="660" t="str">
        <f>IFERROR(IF(compras_mes123[[#This Row],[CUIT]]="","-",VLOOKUP(compras_mes123[[#This Row],[CUIT]],Lista_CUIT[#All],2,0)),"CUIT NO CARGADO")</f>
        <v>INDUSTRIAS PLASTICOS SALTA S.R.L.</v>
      </c>
      <c r="H124" s="661">
        <v>209000</v>
      </c>
      <c r="I124" s="609">
        <f>IF(compras_mes123[[#This Row],[NETO GRAVADO]]="","",compras_mes123[[#This Row],[NETO GRAVADO]]*0.21)</f>
        <v>43890</v>
      </c>
      <c r="J124" s="662"/>
      <c r="K124" s="662"/>
      <c r="L124" s="662"/>
      <c r="M124" s="662"/>
      <c r="N124" s="662"/>
      <c r="O124" s="662"/>
      <c r="P124" s="663">
        <f>SUM(compras_mes123[[#This Row],[NETO GRAVADO]:[Otros / No Grav.]])</f>
        <v>252890</v>
      </c>
      <c r="Q124" s="664" t="str">
        <f>IFERROR(IF(compras_mes123[[#This Row],[CUIT]]="","-",VLOOKUP(compras_mes123[[#This Row],[CUIT]],Lista_CUIT[#All],3,0)),"CUIT NO CARGADO")</f>
        <v>Materia Prima</v>
      </c>
      <c r="R124" s="664">
        <f>IFERROR(IF(compras_mes123[[#This Row],[CUIT]]="","-",VLOOKUP(compras_mes123[[#This Row],[CUIT]],Lista_CUIT[#All],4,0)),"CUIT NO CARGADO")</f>
        <v>0</v>
      </c>
    </row>
    <row r="125" spans="1:18">
      <c r="B125" s="649" t="s">
        <v>2522</v>
      </c>
      <c r="C125" s="650">
        <v>1</v>
      </c>
      <c r="D125" s="651">
        <v>6</v>
      </c>
      <c r="E125" s="652">
        <v>25925</v>
      </c>
      <c r="F125" s="653">
        <v>33640878679</v>
      </c>
      <c r="G125" s="654" t="str">
        <f>IFERROR(IF(compras_mes123[[#This Row],[CUIT]]="","-",VLOOKUP(compras_mes123[[#This Row],[CUIT]],Lista_CUIT[#All],2,0)),"CUIT NO CARGADO")</f>
        <v>DHACAM S R L</v>
      </c>
      <c r="H125" s="615">
        <v>122779.99609375</v>
      </c>
      <c r="I125" s="609">
        <f>IF(compras_mes123[[#This Row],[NETO GRAVADO]]="","",compras_mes123[[#This Row],[NETO GRAVADO]]*0.21)</f>
        <v>25783.799179687499</v>
      </c>
      <c r="J125" s="609"/>
      <c r="K125" s="609"/>
      <c r="L125" s="609"/>
      <c r="M125" s="609"/>
      <c r="N125" s="609"/>
      <c r="O125" s="609"/>
      <c r="P125" s="610">
        <f>SUM(compras_mes123[[#This Row],[NETO GRAVADO]:[Otros / No Grav.]])</f>
        <v>148563.79527343751</v>
      </c>
      <c r="Q125" s="655" t="str">
        <f>IFERROR(IF(compras_mes123[[#This Row],[CUIT]]="","-",VLOOKUP(compras_mes123[[#This Row],[CUIT]],Lista_CUIT[#All],3,0)),"CUIT NO CARGADO")</f>
        <v>Materia Prima</v>
      </c>
      <c r="R125" s="655">
        <f>IFERROR(IF(compras_mes123[[#This Row],[CUIT]]="","-",VLOOKUP(compras_mes123[[#This Row],[CUIT]],Lista_CUIT[#All],4,0)),"CUIT NO CARGADO")</f>
        <v>0</v>
      </c>
    </row>
    <row r="126" spans="1:18">
      <c r="B126" s="167" t="s">
        <v>2577</v>
      </c>
      <c r="C126" s="168">
        <v>1</v>
      </c>
      <c r="D126" s="169">
        <v>11</v>
      </c>
      <c r="E126" s="170">
        <v>118</v>
      </c>
      <c r="F126" s="171">
        <v>30710444273</v>
      </c>
      <c r="G126" s="172" t="str">
        <f>IFERROR(IF(compras_mes123[[#This Row],[CUIT]]="","-",VLOOKUP(compras_mes123[[#This Row],[CUIT]],Lista_CUIT[#All],2,0)),"CUIT NO CARGADO")</f>
        <v>ONE VISION S.R.L.</v>
      </c>
      <c r="H126" s="173">
        <v>77685.95</v>
      </c>
      <c r="I126" s="174">
        <f>IF(compras_mes123[[#This Row],[NETO GRAVADO]]="","",compras_mes123[[#This Row],[NETO GRAVADO]]*0.21)</f>
        <v>16314.049499999999</v>
      </c>
      <c r="J126" s="174"/>
      <c r="K126" s="174"/>
      <c r="L126" s="174"/>
      <c r="M126" s="174"/>
      <c r="N126" s="174"/>
      <c r="O126" s="174"/>
      <c r="P126" s="175">
        <f>SUM(compras_mes123[[#This Row],[NETO GRAVADO]:[Otros / No Grav.]])</f>
        <v>93999.999499999991</v>
      </c>
      <c r="Q126" s="176" t="str">
        <f>IFERROR(IF(compras_mes123[[#This Row],[CUIT]]="","-",VLOOKUP(compras_mes123[[#This Row],[CUIT]],Lista_CUIT[#All],3,0)),"CUIT NO CARGADO")</f>
        <v>Materia Prima</v>
      </c>
      <c r="R126" s="176">
        <f>IFERROR(IF(compras_mes123[[#This Row],[CUIT]]="","-",VLOOKUP(compras_mes123[[#This Row],[CUIT]],Lista_CUIT[#All],4,0)),"CUIT NO CARGADO")</f>
        <v>0</v>
      </c>
    </row>
    <row r="127" spans="1:18">
      <c r="B127" s="167" t="s">
        <v>2564</v>
      </c>
      <c r="C127" s="168">
        <v>1</v>
      </c>
      <c r="D127" s="169">
        <v>11</v>
      </c>
      <c r="E127" s="170">
        <v>81216</v>
      </c>
      <c r="F127" s="171">
        <v>30534051049</v>
      </c>
      <c r="G127" s="172" t="str">
        <f>IFERROR(IF(compras_mes123[[#This Row],[CUIT]]="","-",VLOOKUP(compras_mes123[[#This Row],[CUIT]],Lista_CUIT[#All],2,0)),"CUIT NO CARGADO")</f>
        <v>PLIN METAL S A</v>
      </c>
      <c r="H127" s="173">
        <v>30844.720000000001</v>
      </c>
      <c r="I127" s="174">
        <f>IF(compras_mes123[[#This Row],[NETO GRAVADO]]="","",compras_mes123[[#This Row],[NETO GRAVADO]]*0.21)</f>
        <v>6477.3912</v>
      </c>
      <c r="J127" s="174"/>
      <c r="K127" s="174"/>
      <c r="L127" s="174"/>
      <c r="M127" s="174"/>
      <c r="N127" s="174"/>
      <c r="O127" s="174"/>
      <c r="P127" s="175">
        <f>SUM(compras_mes123[[#This Row],[NETO GRAVADO]:[Otros / No Grav.]])</f>
        <v>37322.111199999999</v>
      </c>
      <c r="Q127" s="176" t="str">
        <f>IFERROR(IF(compras_mes123[[#This Row],[CUIT]]="","-",VLOOKUP(compras_mes123[[#This Row],[CUIT]],Lista_CUIT[#All],3,0)),"CUIT NO CARGADO")</f>
        <v>Materia Prima</v>
      </c>
      <c r="R127" s="176">
        <f>IFERROR(IF(compras_mes123[[#This Row],[CUIT]]="","-",VLOOKUP(compras_mes123[[#This Row],[CUIT]],Lista_CUIT[#All],4,0)),"CUIT NO CARGADO")</f>
        <v>0</v>
      </c>
    </row>
    <row r="128" spans="1:18">
      <c r="B128" s="167" t="s">
        <v>2565</v>
      </c>
      <c r="C128" s="168">
        <v>1</v>
      </c>
      <c r="D128" s="169">
        <v>11</v>
      </c>
      <c r="E128" s="170">
        <v>71403</v>
      </c>
      <c r="F128" s="171">
        <v>30708779977</v>
      </c>
      <c r="G128" s="172" t="str">
        <f>IFERROR(IF(compras_mes123[[#This Row],[CUIT]]="","-",VLOOKUP(compras_mes123[[#This Row],[CUIT]],Lista_CUIT[#All],2,0)),"CUIT NO CARGADO")</f>
        <v>D.ME.D. S.R.L</v>
      </c>
      <c r="H128" s="173">
        <v>116934.01</v>
      </c>
      <c r="I128" s="174">
        <f>IF(compras_mes123[[#This Row],[NETO GRAVADO]]="","",compras_mes123[[#This Row],[NETO GRAVADO]]*0.21)</f>
        <v>24556.142099999997</v>
      </c>
      <c r="J128" s="174"/>
      <c r="K128" s="174"/>
      <c r="L128" s="174"/>
      <c r="M128" s="174"/>
      <c r="N128" s="174"/>
      <c r="O128" s="174"/>
      <c r="P128" s="175">
        <f>SUM(compras_mes123[[#This Row],[NETO GRAVADO]:[Otros / No Grav.]])</f>
        <v>141490.15210000001</v>
      </c>
      <c r="Q128" s="176" t="str">
        <f>IFERROR(IF(compras_mes123[[#This Row],[CUIT]]="","-",VLOOKUP(compras_mes123[[#This Row],[CUIT]],Lista_CUIT[#All],3,0)),"CUIT NO CARGADO")</f>
        <v>Materia Prima</v>
      </c>
      <c r="R128" s="176">
        <f>IFERROR(IF(compras_mes123[[#This Row],[CUIT]]="","-",VLOOKUP(compras_mes123[[#This Row],[CUIT]],Lista_CUIT[#All],4,0)),"CUIT NO CARGADO")</f>
        <v>0</v>
      </c>
    </row>
    <row r="129" spans="2:18">
      <c r="B129" s="649" t="s">
        <v>2528</v>
      </c>
      <c r="C129" s="650">
        <v>1</v>
      </c>
      <c r="D129" s="651">
        <v>11</v>
      </c>
      <c r="E129" s="652">
        <v>71391</v>
      </c>
      <c r="F129" s="653">
        <v>30708779977</v>
      </c>
      <c r="G129" s="654" t="str">
        <f>IFERROR(IF(compras_mes123[[#This Row],[CUIT]]="","-",VLOOKUP(compras_mes123[[#This Row],[CUIT]],Lista_CUIT[#All],2,0)),"CUIT NO CARGADO")</f>
        <v>D.ME.D. S.R.L</v>
      </c>
      <c r="H129" s="615">
        <v>116933.994140625</v>
      </c>
      <c r="I129" s="609">
        <f>IF(compras_mes123[[#This Row],[NETO GRAVADO]]="","",compras_mes123[[#This Row],[NETO GRAVADO]]*0.21)</f>
        <v>24556.138769531248</v>
      </c>
      <c r="J129" s="609"/>
      <c r="K129" s="609"/>
      <c r="L129" s="609"/>
      <c r="M129" s="609"/>
      <c r="N129" s="609"/>
      <c r="O129" s="609"/>
      <c r="P129" s="610">
        <f>SUM(compras_mes123[[#This Row],[NETO GRAVADO]:[Otros / No Grav.]])</f>
        <v>141490.13291015624</v>
      </c>
      <c r="Q129" s="655" t="str">
        <f>IFERROR(IF(compras_mes123[[#This Row],[CUIT]]="","-",VLOOKUP(compras_mes123[[#This Row],[CUIT]],Lista_CUIT[#All],3,0)),"CUIT NO CARGADO")</f>
        <v>Materia Prima</v>
      </c>
      <c r="R129" s="655">
        <f>IFERROR(IF(compras_mes123[[#This Row],[CUIT]]="","-",VLOOKUP(compras_mes123[[#This Row],[CUIT]],Lista_CUIT[#All],4,0)),"CUIT NO CARGADO")</f>
        <v>0</v>
      </c>
    </row>
    <row r="130" spans="2:18">
      <c r="B130" s="167" t="s">
        <v>2585</v>
      </c>
      <c r="C130" s="168">
        <v>1</v>
      </c>
      <c r="D130" s="169">
        <v>7</v>
      </c>
      <c r="E130" s="170">
        <v>2378</v>
      </c>
      <c r="F130" s="171">
        <v>20936626549</v>
      </c>
      <c r="G130" s="172" t="str">
        <f>IFERROR(IF(compras_mes123[[#This Row],[CUIT]]="","-",VLOOKUP(compras_mes123[[#This Row],[CUIT]],Lista_CUIT[#All],2,0)),"CUIT NO CARGADO")</f>
        <v>TROTTA SALVADOR</v>
      </c>
      <c r="H130" s="173">
        <v>26446.28</v>
      </c>
      <c r="I130" s="174">
        <f>IF(compras_mes123[[#This Row],[NETO GRAVADO]]="","",compras_mes123[[#This Row],[NETO GRAVADO]]*0.21)</f>
        <v>5553.7187999999996</v>
      </c>
      <c r="J130" s="174"/>
      <c r="K130" s="174"/>
      <c r="L130" s="174"/>
      <c r="M130" s="174"/>
      <c r="N130" s="174"/>
      <c r="O130" s="174"/>
      <c r="P130" s="175">
        <f>SUM(compras_mes123[[#This Row],[NETO GRAVADO]:[Otros / No Grav.]])</f>
        <v>31999.998799999998</v>
      </c>
      <c r="Q130" s="176" t="str">
        <f>IFERROR(IF(compras_mes123[[#This Row],[CUIT]]="","-",VLOOKUP(compras_mes123[[#This Row],[CUIT]],Lista_CUIT[#All],3,0)),"CUIT NO CARGADO")</f>
        <v>Materia Prima</v>
      </c>
      <c r="R130" s="176">
        <f>IFERROR(IF(compras_mes123[[#This Row],[CUIT]]="","-",VLOOKUP(compras_mes123[[#This Row],[CUIT]],Lista_CUIT[#All],4,0)),"CUIT NO CARGADO")</f>
        <v>0</v>
      </c>
    </row>
    <row r="131" spans="2:18">
      <c r="B131" s="649" t="s">
        <v>2529</v>
      </c>
      <c r="C131" s="650">
        <v>1</v>
      </c>
      <c r="D131" s="651">
        <v>4</v>
      </c>
      <c r="E131" s="652">
        <v>47999</v>
      </c>
      <c r="F131" s="653">
        <v>30709863076</v>
      </c>
      <c r="G131" s="654" t="str">
        <f>IFERROR(IF(compras_mes123[[#This Row],[CUIT]]="","-",VLOOKUP(compras_mes123[[#This Row],[CUIT]],Lista_CUIT[#All],2,0)),"CUIT NO CARGADO")</f>
        <v>INDUSTRIAS PLASTICOS SALTA S.R.L.</v>
      </c>
      <c r="H131" s="615">
        <v>830049.59</v>
      </c>
      <c r="I131" s="609">
        <f>IF(compras_mes123[[#This Row],[NETO GRAVADO]]="","",compras_mes123[[#This Row],[NETO GRAVADO]]*0.21)</f>
        <v>174310.41389999999</v>
      </c>
      <c r="J131" s="609"/>
      <c r="K131" s="609"/>
      <c r="L131" s="609"/>
      <c r="M131" s="609"/>
      <c r="N131" s="609"/>
      <c r="O131" s="609"/>
      <c r="P131" s="610">
        <f>SUM(compras_mes123[[#This Row],[NETO GRAVADO]:[Otros / No Grav.]])</f>
        <v>1004360.0038999999</v>
      </c>
      <c r="Q131" s="655" t="str">
        <f>IFERROR(IF(compras_mes123[[#This Row],[CUIT]]="","-",VLOOKUP(compras_mes123[[#This Row],[CUIT]],Lista_CUIT[#All],3,0)),"CUIT NO CARGADO")</f>
        <v>Materia Prima</v>
      </c>
      <c r="R131" s="655">
        <f>IFERROR(IF(compras_mes123[[#This Row],[CUIT]]="","-",VLOOKUP(compras_mes123[[#This Row],[CUIT]],Lista_CUIT[#All],4,0)),"CUIT NO CARGADO")</f>
        <v>0</v>
      </c>
    </row>
    <row r="132" spans="2:18">
      <c r="B132" s="649" t="s">
        <v>2529</v>
      </c>
      <c r="C132" s="650">
        <v>1</v>
      </c>
      <c r="D132" s="651">
        <v>4</v>
      </c>
      <c r="E132" s="652">
        <v>47990</v>
      </c>
      <c r="F132" s="653">
        <v>30709863076</v>
      </c>
      <c r="G132" s="654" t="str">
        <f>IFERROR(IF(compras_mes123[[#This Row],[CUIT]]="","-",VLOOKUP(compras_mes123[[#This Row],[CUIT]],Lista_CUIT[#All],2,0)),"CUIT NO CARGADO")</f>
        <v>INDUSTRIAS PLASTICOS SALTA S.R.L.</v>
      </c>
      <c r="H132" s="615">
        <v>1510872</v>
      </c>
      <c r="I132" s="609">
        <f>IF(compras_mes123[[#This Row],[NETO GRAVADO]]="","",compras_mes123[[#This Row],[NETO GRAVADO]]*0.21)</f>
        <v>317283.12</v>
      </c>
      <c r="J132" s="609"/>
      <c r="K132" s="609"/>
      <c r="L132" s="609"/>
      <c r="M132" s="609"/>
      <c r="N132" s="609"/>
      <c r="O132" s="609"/>
      <c r="P132" s="610">
        <f>SUM(compras_mes123[[#This Row],[NETO GRAVADO]:[Otros / No Grav.]])</f>
        <v>1828155.12</v>
      </c>
      <c r="Q132" s="655" t="str">
        <f>IFERROR(IF(compras_mes123[[#This Row],[CUIT]]="","-",VLOOKUP(compras_mes123[[#This Row],[CUIT]],Lista_CUIT[#All],3,0)),"CUIT NO CARGADO")</f>
        <v>Materia Prima</v>
      </c>
      <c r="R132" s="655">
        <f>IFERROR(IF(compras_mes123[[#This Row],[CUIT]]="","-",VLOOKUP(compras_mes123[[#This Row],[CUIT]],Lista_CUIT[#All],4,0)),"CUIT NO CARGADO")</f>
        <v>0</v>
      </c>
    </row>
    <row r="133" spans="2:18">
      <c r="B133" s="649" t="s">
        <v>2529</v>
      </c>
      <c r="C133" s="650">
        <v>3</v>
      </c>
      <c r="D133" s="651">
        <v>4</v>
      </c>
      <c r="E133" s="652">
        <v>1710</v>
      </c>
      <c r="F133" s="653">
        <v>30709863076</v>
      </c>
      <c r="G133" s="654" t="str">
        <f>IFERROR(IF(compras_mes123[[#This Row],[CUIT]]="","-",VLOOKUP(compras_mes123[[#This Row],[CUIT]],Lista_CUIT[#All],2,0)),"CUIT NO CARGADO")</f>
        <v>INDUSTRIAS PLASTICOS SALTA S.R.L.</v>
      </c>
      <c r="H133" s="615">
        <v>-288000</v>
      </c>
      <c r="I133" s="609">
        <f>IF(compras_mes123[[#This Row],[NETO GRAVADO]]="","",compras_mes123[[#This Row],[NETO GRAVADO]]*0.21)</f>
        <v>-60480</v>
      </c>
      <c r="J133" s="609"/>
      <c r="K133" s="609"/>
      <c r="L133" s="609"/>
      <c r="M133" s="609"/>
      <c r="N133" s="609"/>
      <c r="O133" s="609"/>
      <c r="P133" s="610">
        <f>SUM(compras_mes123[[#This Row],[NETO GRAVADO]:[Otros / No Grav.]])</f>
        <v>-348480</v>
      </c>
      <c r="Q133" s="655" t="str">
        <f>IFERROR(IF(compras_mes123[[#This Row],[CUIT]]="","-",VLOOKUP(compras_mes123[[#This Row],[CUIT]],Lista_CUIT[#All],3,0)),"CUIT NO CARGADO")</f>
        <v>Materia Prima</v>
      </c>
      <c r="R133" s="655">
        <f>IFERROR(IF(compras_mes123[[#This Row],[CUIT]]="","-",VLOOKUP(compras_mes123[[#This Row],[CUIT]],Lista_CUIT[#All],4,0)),"CUIT NO CARGADO")</f>
        <v>0</v>
      </c>
    </row>
    <row r="134" spans="2:18">
      <c r="B134" s="649" t="s">
        <v>2533</v>
      </c>
      <c r="C134" s="650">
        <v>1</v>
      </c>
      <c r="D134" s="651">
        <v>4</v>
      </c>
      <c r="E134" s="652">
        <v>48074</v>
      </c>
      <c r="F134" s="653">
        <v>30709863076</v>
      </c>
      <c r="G134" s="654" t="str">
        <f>IFERROR(IF(compras_mes123[[#This Row],[CUIT]]="","-",VLOOKUP(compras_mes123[[#This Row],[CUIT]],Lista_CUIT[#All],2,0)),"CUIT NO CARGADO")</f>
        <v>INDUSTRIAS PLASTICOS SALTA S.R.L.</v>
      </c>
      <c r="H134" s="615">
        <v>192000</v>
      </c>
      <c r="I134" s="609">
        <f>IF(compras_mes123[[#This Row],[NETO GRAVADO]]="","",compras_mes123[[#This Row],[NETO GRAVADO]]*0.21)</f>
        <v>40320</v>
      </c>
      <c r="J134" s="609"/>
      <c r="K134" s="609"/>
      <c r="L134" s="609"/>
      <c r="M134" s="609"/>
      <c r="N134" s="609"/>
      <c r="O134" s="609"/>
      <c r="P134" s="610">
        <f>SUM(compras_mes123[[#This Row],[NETO GRAVADO]:[Otros / No Grav.]])</f>
        <v>232320</v>
      </c>
      <c r="Q134" s="655" t="str">
        <f>IFERROR(IF(compras_mes123[[#This Row],[CUIT]]="","-",VLOOKUP(compras_mes123[[#This Row],[CUIT]],Lista_CUIT[#All],3,0)),"CUIT NO CARGADO")</f>
        <v>Materia Prima</v>
      </c>
      <c r="R134" s="655">
        <f>IFERROR(IF(compras_mes123[[#This Row],[CUIT]]="","-",VLOOKUP(compras_mes123[[#This Row],[CUIT]],Lista_CUIT[#All],4,0)),"CUIT NO CARGADO")</f>
        <v>0</v>
      </c>
    </row>
    <row r="135" spans="2:18">
      <c r="B135" s="649" t="s">
        <v>2535</v>
      </c>
      <c r="C135" s="650">
        <v>1</v>
      </c>
      <c r="D135" s="651">
        <v>5</v>
      </c>
      <c r="E135" s="652">
        <v>4727</v>
      </c>
      <c r="F135" s="653">
        <v>30708041722</v>
      </c>
      <c r="G135" s="654" t="str">
        <f>IFERROR(IF(compras_mes123[[#This Row],[CUIT]]="","-",VLOOKUP(compras_mes123[[#This Row],[CUIT]],Lista_CUIT[#All],2,0)),"CUIT NO CARGADO")</f>
        <v>QUETZAL QUIMICA S R L</v>
      </c>
      <c r="H135" s="615">
        <v>22679.409667968801</v>
      </c>
      <c r="I135" s="609">
        <f>IF(compras_mes123[[#This Row],[NETO GRAVADO]]="","",compras_mes123[[#This Row],[NETO GRAVADO]]*0.21)</f>
        <v>4762.6760302734483</v>
      </c>
      <c r="J135" s="609"/>
      <c r="K135" s="609"/>
      <c r="L135" s="609"/>
      <c r="M135" s="609"/>
      <c r="N135" s="609"/>
      <c r="O135" s="609"/>
      <c r="P135" s="610">
        <f>SUM(compras_mes123[[#This Row],[NETO GRAVADO]:[Otros / No Grav.]])</f>
        <v>27442.085698242248</v>
      </c>
      <c r="Q135" s="655" t="str">
        <f>IFERROR(IF(compras_mes123[[#This Row],[CUIT]]="","-",VLOOKUP(compras_mes123[[#This Row],[CUIT]],Lista_CUIT[#All],3,0)),"CUIT NO CARGADO")</f>
        <v>Materia Prima</v>
      </c>
      <c r="R135" s="655">
        <f>IFERROR(IF(compras_mes123[[#This Row],[CUIT]]="","-",VLOOKUP(compras_mes123[[#This Row],[CUIT]],Lista_CUIT[#All],4,0)),"CUIT NO CARGADO")</f>
        <v>0</v>
      </c>
    </row>
    <row r="136" spans="2:18">
      <c r="B136" s="649" t="s">
        <v>2530</v>
      </c>
      <c r="C136" s="650">
        <v>1</v>
      </c>
      <c r="D136" s="651">
        <v>60</v>
      </c>
      <c r="E136" s="652">
        <v>65035</v>
      </c>
      <c r="F136" s="653">
        <v>30517345039</v>
      </c>
      <c r="G136" s="654" t="str">
        <f>IFERROR(IF(compras_mes123[[#This Row],[CUIT]]="","-",VLOOKUP(compras_mes123[[#This Row],[CUIT]],Lista_CUIT[#All],2,0)),"CUIT NO CARGADO")</f>
        <v>QUIMICA OESTE S.A.</v>
      </c>
      <c r="H136" s="615">
        <v>202991.25390625</v>
      </c>
      <c r="I136" s="609">
        <f>IF(compras_mes123[[#This Row],[NETO GRAVADO]]="","",compras_mes123[[#This Row],[NETO GRAVADO]]*0.21)</f>
        <v>42628.163320312502</v>
      </c>
      <c r="J136" s="609"/>
      <c r="K136" s="609"/>
      <c r="L136" s="609"/>
      <c r="M136" s="609"/>
      <c r="N136" s="609">
        <v>12179</v>
      </c>
      <c r="O136" s="609"/>
      <c r="P136" s="610">
        <f>SUM(compras_mes123[[#This Row],[NETO GRAVADO]:[Otros / No Grav.]])</f>
        <v>257798.41722656251</v>
      </c>
      <c r="Q136" s="655" t="str">
        <f>IFERROR(IF(compras_mes123[[#This Row],[CUIT]]="","-",VLOOKUP(compras_mes123[[#This Row],[CUIT]],Lista_CUIT[#All],3,0)),"CUIT NO CARGADO")</f>
        <v>Materia Prima</v>
      </c>
      <c r="R136" s="655">
        <f>IFERROR(IF(compras_mes123[[#This Row],[CUIT]]="","-",VLOOKUP(compras_mes123[[#This Row],[CUIT]],Lista_CUIT[#All],4,0)),"CUIT NO CARGADO")</f>
        <v>0</v>
      </c>
    </row>
    <row r="137" spans="2:18">
      <c r="B137" s="649" t="s">
        <v>2538</v>
      </c>
      <c r="C137" s="650">
        <v>1</v>
      </c>
      <c r="D137" s="651">
        <v>4</v>
      </c>
      <c r="E137" s="652">
        <v>48155</v>
      </c>
      <c r="F137" s="653">
        <v>30709863076</v>
      </c>
      <c r="G137" s="654" t="str">
        <f>IFERROR(IF(compras_mes123[[#This Row],[CUIT]]="","-",VLOOKUP(compras_mes123[[#This Row],[CUIT]],Lista_CUIT[#All],2,0)),"CUIT NO CARGADO")</f>
        <v>INDUSTRIAS PLASTICOS SALTA S.R.L.</v>
      </c>
      <c r="H137" s="615">
        <v>512396.703125</v>
      </c>
      <c r="I137" s="609">
        <f>IF(compras_mes123[[#This Row],[NETO GRAVADO]]="","",compras_mes123[[#This Row],[NETO GRAVADO]]*0.21)</f>
        <v>107603.30765624999</v>
      </c>
      <c r="J137" s="609"/>
      <c r="K137" s="609"/>
      <c r="L137" s="609"/>
      <c r="M137" s="609"/>
      <c r="N137" s="609"/>
      <c r="O137" s="609"/>
      <c r="P137" s="610">
        <f>SUM(compras_mes123[[#This Row],[NETO GRAVADO]:[Otros / No Grav.]])</f>
        <v>620000.01078124996</v>
      </c>
      <c r="Q137" s="655" t="str">
        <f>IFERROR(IF(compras_mes123[[#This Row],[CUIT]]="","-",VLOOKUP(compras_mes123[[#This Row],[CUIT]],Lista_CUIT[#All],3,0)),"CUIT NO CARGADO")</f>
        <v>Materia Prima</v>
      </c>
      <c r="R137" s="655">
        <f>IFERROR(IF(compras_mes123[[#This Row],[CUIT]]="","-",VLOOKUP(compras_mes123[[#This Row],[CUIT]],Lista_CUIT[#All],4,0)),"CUIT NO CARGADO")</f>
        <v>0</v>
      </c>
    </row>
    <row r="138" spans="2:18">
      <c r="B138" s="649" t="s">
        <v>2539</v>
      </c>
      <c r="C138" s="650">
        <v>1</v>
      </c>
      <c r="D138" s="651">
        <v>4</v>
      </c>
      <c r="E138" s="652">
        <v>48179</v>
      </c>
      <c r="F138" s="653">
        <v>30709863076</v>
      </c>
      <c r="G138" s="654" t="str">
        <f>IFERROR(IF(compras_mes123[[#This Row],[CUIT]]="","-",VLOOKUP(compras_mes123[[#This Row],[CUIT]],Lista_CUIT[#All],2,0)),"CUIT NO CARGADO")</f>
        <v>INDUSTRIAS PLASTICOS SALTA S.R.L.</v>
      </c>
      <c r="H138" s="615">
        <v>221500.0078125</v>
      </c>
      <c r="I138" s="609">
        <f>IF(compras_mes123[[#This Row],[NETO GRAVADO]]="","",compras_mes123[[#This Row],[NETO GRAVADO]]*0.21)</f>
        <v>46515.001640625</v>
      </c>
      <c r="J138" s="609"/>
      <c r="K138" s="609"/>
      <c r="L138" s="609"/>
      <c r="M138" s="609"/>
      <c r="N138" s="609"/>
      <c r="O138" s="609"/>
      <c r="P138" s="610">
        <f>SUM(compras_mes123[[#This Row],[NETO GRAVADO]:[Otros / No Grav.]])</f>
        <v>268015.00945312501</v>
      </c>
      <c r="Q138" s="655" t="str">
        <f>IFERROR(IF(compras_mes123[[#This Row],[CUIT]]="","-",VLOOKUP(compras_mes123[[#This Row],[CUIT]],Lista_CUIT[#All],3,0)),"CUIT NO CARGADO")</f>
        <v>Materia Prima</v>
      </c>
      <c r="R138" s="655">
        <f>IFERROR(IF(compras_mes123[[#This Row],[CUIT]]="","-",VLOOKUP(compras_mes123[[#This Row],[CUIT]],Lista_CUIT[#All],4,0)),"CUIT NO CARGADO")</f>
        <v>0</v>
      </c>
    </row>
    <row r="139" spans="2:18">
      <c r="B139" s="649" t="s">
        <v>2542</v>
      </c>
      <c r="C139" s="650">
        <v>1</v>
      </c>
      <c r="D139" s="651">
        <v>4</v>
      </c>
      <c r="E139" s="652">
        <v>48216</v>
      </c>
      <c r="F139" s="653">
        <v>30709863076</v>
      </c>
      <c r="G139" s="654" t="str">
        <f>IFERROR(IF(compras_mes123[[#This Row],[CUIT]]="","-",VLOOKUP(compras_mes123[[#This Row],[CUIT]],Lista_CUIT[#All],2,0)),"CUIT NO CARGADO")</f>
        <v>INDUSTRIAS PLASTICOS SALTA S.R.L.</v>
      </c>
      <c r="H139" s="615">
        <v>42975.2099609375</v>
      </c>
      <c r="I139" s="609">
        <f>IF(compras_mes123[[#This Row],[NETO GRAVADO]]="","",compras_mes123[[#This Row],[NETO GRAVADO]]*0.21)</f>
        <v>9024.7940917968754</v>
      </c>
      <c r="J139" s="609"/>
      <c r="K139" s="609"/>
      <c r="L139" s="609"/>
      <c r="M139" s="609"/>
      <c r="N139" s="609"/>
      <c r="O139" s="609"/>
      <c r="P139" s="610">
        <f>SUM(compras_mes123[[#This Row],[NETO GRAVADO]:[Otros / No Grav.]])</f>
        <v>52000.004052734374</v>
      </c>
      <c r="Q139" s="655" t="str">
        <f>IFERROR(IF(compras_mes123[[#This Row],[CUIT]]="","-",VLOOKUP(compras_mes123[[#This Row],[CUIT]],Lista_CUIT[#All],3,0)),"CUIT NO CARGADO")</f>
        <v>Materia Prima</v>
      </c>
      <c r="R139" s="655">
        <f>IFERROR(IF(compras_mes123[[#This Row],[CUIT]]="","-",VLOOKUP(compras_mes123[[#This Row],[CUIT]],Lista_CUIT[#All],4,0)),"CUIT NO CARGADO")</f>
        <v>0</v>
      </c>
    </row>
    <row r="140" spans="2:18">
      <c r="B140" s="649" t="s">
        <v>2525</v>
      </c>
      <c r="C140" s="650">
        <v>1</v>
      </c>
      <c r="D140" s="651">
        <v>9</v>
      </c>
      <c r="E140" s="652">
        <v>860</v>
      </c>
      <c r="F140" s="653">
        <v>30710446047</v>
      </c>
      <c r="G140" s="654" t="str">
        <f>IFERROR(IF(compras_mes123[[#This Row],[CUIT]]="","-",VLOOKUP(compras_mes123[[#This Row],[CUIT]],Lista_CUIT[#All],2,0)),"CUIT NO CARGADO")</f>
        <v>ENSAMBLE GRAFICO S.H.</v>
      </c>
      <c r="H140" s="615">
        <v>1256000</v>
      </c>
      <c r="I140" s="609">
        <f>IF(compras_mes123[[#This Row],[NETO GRAVADO]]="","",compras_mes123[[#This Row],[NETO GRAVADO]]*0.21)</f>
        <v>263760</v>
      </c>
      <c r="J140" s="609"/>
      <c r="K140" s="609"/>
      <c r="L140" s="609"/>
      <c r="M140" s="609"/>
      <c r="N140" s="609"/>
      <c r="O140" s="609"/>
      <c r="P140" s="610">
        <f>SUM(compras_mes123[[#This Row],[NETO GRAVADO]:[Otros / No Grav.]])</f>
        <v>1519760</v>
      </c>
      <c r="Q140" s="655" t="str">
        <f>IFERROR(IF(compras_mes123[[#This Row],[CUIT]]="","-",VLOOKUP(compras_mes123[[#This Row],[CUIT]],Lista_CUIT[#All],3,0)),"CUIT NO CARGADO")</f>
        <v>Material de Empaque</v>
      </c>
      <c r="R140" s="655">
        <f>IFERROR(IF(compras_mes123[[#This Row],[CUIT]]="","-",VLOOKUP(compras_mes123[[#This Row],[CUIT]],Lista_CUIT[#All],4,0)),"CUIT NO CARGADO")</f>
        <v>0</v>
      </c>
    </row>
    <row r="141" spans="2:18">
      <c r="B141" s="167" t="s">
        <v>2587</v>
      </c>
      <c r="C141" s="168">
        <v>1</v>
      </c>
      <c r="D141" s="169">
        <v>6</v>
      </c>
      <c r="E141" s="170">
        <v>10063</v>
      </c>
      <c r="F141" s="171">
        <v>30707603123</v>
      </c>
      <c r="G141" s="172" t="str">
        <f>IFERROR(IF(compras_mes123[[#This Row],[CUIT]]="","-",VLOOKUP(compras_mes123[[#This Row],[CUIT]],Lista_CUIT[#All],2,0)),"CUIT NO CARGADO")</f>
        <v>BI-ORIENT S.A.</v>
      </c>
      <c r="H141" s="173">
        <v>1451000</v>
      </c>
      <c r="I141" s="174">
        <f>IF(compras_mes123[[#This Row],[NETO GRAVADO]]="","",compras_mes123[[#This Row],[NETO GRAVADO]]*0.21)</f>
        <v>304710</v>
      </c>
      <c r="J141" s="174"/>
      <c r="K141" s="174"/>
      <c r="L141" s="174"/>
      <c r="M141" s="174"/>
      <c r="N141" s="174"/>
      <c r="O141" s="174"/>
      <c r="P141" s="175">
        <f>SUM(compras_mes123[[#This Row],[NETO GRAVADO]:[Otros / No Grav.]])</f>
        <v>1755710</v>
      </c>
      <c r="Q141" s="176" t="str">
        <f>IFERROR(IF(compras_mes123[[#This Row],[CUIT]]="","-",VLOOKUP(compras_mes123[[#This Row],[CUIT]],Lista_CUIT[#All],3,0)),"CUIT NO CARGADO")</f>
        <v>Material de Empaque</v>
      </c>
      <c r="R141" s="176">
        <f>IFERROR(IF(compras_mes123[[#This Row],[CUIT]]="","-",VLOOKUP(compras_mes123[[#This Row],[CUIT]],Lista_CUIT[#All],4,0)),"CUIT NO CARGADO")</f>
        <v>0</v>
      </c>
    </row>
    <row r="142" spans="2:18">
      <c r="B142" s="649" t="s">
        <v>2522</v>
      </c>
      <c r="C142" s="650">
        <v>1</v>
      </c>
      <c r="D142" s="651">
        <v>4</v>
      </c>
      <c r="E142" s="652">
        <v>26722</v>
      </c>
      <c r="F142" s="653">
        <v>30552433595</v>
      </c>
      <c r="G142" s="654" t="str">
        <f>IFERROR(IF(compras_mes123[[#This Row],[CUIT]]="","-",VLOOKUP(compras_mes123[[#This Row],[CUIT]],Lista_CUIT[#All],2,0)),"CUIT NO CARGADO")</f>
        <v>PIROPLAST SRL</v>
      </c>
      <c r="H142" s="615">
        <v>1040857.5</v>
      </c>
      <c r="I142" s="609">
        <f>IF(compras_mes123[[#This Row],[NETO GRAVADO]]="","",compras_mes123[[#This Row],[NETO GRAVADO]]*0.21)</f>
        <v>218580.07499999998</v>
      </c>
      <c r="J142" s="609"/>
      <c r="K142" s="609"/>
      <c r="L142" s="609"/>
      <c r="M142" s="609"/>
      <c r="N142" s="609"/>
      <c r="O142" s="609"/>
      <c r="P142" s="610">
        <f>SUM(compras_mes123[[#This Row],[NETO GRAVADO]:[Otros / No Grav.]])</f>
        <v>1259437.575</v>
      </c>
      <c r="Q142" s="655" t="str">
        <f>IFERROR(IF(compras_mes123[[#This Row],[CUIT]]="","-",VLOOKUP(compras_mes123[[#This Row],[CUIT]],Lista_CUIT[#All],3,0)),"CUIT NO CARGADO")</f>
        <v>Material de Empaque</v>
      </c>
      <c r="R142" s="655">
        <f>IFERROR(IF(compras_mes123[[#This Row],[CUIT]]="","-",VLOOKUP(compras_mes123[[#This Row],[CUIT]],Lista_CUIT[#All],4,0)),"CUIT NO CARGADO")</f>
        <v>0</v>
      </c>
    </row>
    <row r="143" spans="2:18">
      <c r="B143" s="649" t="s">
        <v>2528</v>
      </c>
      <c r="C143" s="650">
        <v>1</v>
      </c>
      <c r="D143" s="651">
        <v>1</v>
      </c>
      <c r="E143" s="652">
        <v>286</v>
      </c>
      <c r="F143" s="653">
        <v>20077604627</v>
      </c>
      <c r="G143" s="654" t="str">
        <f>IFERROR(IF(compras_mes123[[#This Row],[CUIT]]="","-",VLOOKUP(compras_mes123[[#This Row],[CUIT]],Lista_CUIT[#All],2,0)),"CUIT NO CARGADO")</f>
        <v>OCAÑO ENRIQUE</v>
      </c>
      <c r="H143" s="615">
        <v>4130265.3125</v>
      </c>
      <c r="I143" s="609">
        <f>IF(compras_mes123[[#This Row],[NETO GRAVADO]]="","",compras_mes123[[#This Row],[NETO GRAVADO]]*0.21)</f>
        <v>867355.71562499995</v>
      </c>
      <c r="J143" s="609"/>
      <c r="K143" s="609"/>
      <c r="L143" s="609"/>
      <c r="M143" s="609"/>
      <c r="N143" s="609"/>
      <c r="O143" s="609"/>
      <c r="P143" s="610">
        <f>SUM(compras_mes123[[#This Row],[NETO GRAVADO]:[Otros / No Grav.]])</f>
        <v>4997621.0281250002</v>
      </c>
      <c r="Q143" s="655" t="str">
        <f>IFERROR(IF(compras_mes123[[#This Row],[CUIT]]="","-",VLOOKUP(compras_mes123[[#This Row],[CUIT]],Lista_CUIT[#All],3,0)),"CUIT NO CARGADO")</f>
        <v>Material de Empaque</v>
      </c>
      <c r="R143" s="655">
        <f>IFERROR(IF(compras_mes123[[#This Row],[CUIT]]="","-",VLOOKUP(compras_mes123[[#This Row],[CUIT]],Lista_CUIT[#All],4,0)),"CUIT NO CARGADO")</f>
        <v>0</v>
      </c>
    </row>
    <row r="144" spans="2:18">
      <c r="B144" s="649" t="s">
        <v>2529</v>
      </c>
      <c r="C144" s="650">
        <v>1</v>
      </c>
      <c r="D144" s="651">
        <v>4</v>
      </c>
      <c r="E144" s="652">
        <v>6619</v>
      </c>
      <c r="F144" s="653">
        <v>20255726103</v>
      </c>
      <c r="G144" s="654" t="str">
        <f>IFERROR(IF(compras_mes123[[#This Row],[CUIT]]="","-",VLOOKUP(compras_mes123[[#This Row],[CUIT]],Lista_CUIT[#All],2,0)),"CUIT NO CARGADO")</f>
        <v>BUSTAMANTE PABLO RODRIGO</v>
      </c>
      <c r="H144" s="615">
        <v>65432.998046875</v>
      </c>
      <c r="I144" s="609">
        <f>IF(compras_mes123[[#This Row],[NETO GRAVADO]]="","",compras_mes123[[#This Row],[NETO GRAVADO]]*0.21)</f>
        <v>13740.92958984375</v>
      </c>
      <c r="J144" s="609"/>
      <c r="K144" s="609"/>
      <c r="L144" s="609"/>
      <c r="M144" s="609"/>
      <c r="N144" s="609"/>
      <c r="O144" s="609"/>
      <c r="P144" s="610">
        <f>SUM(compras_mes123[[#This Row],[NETO GRAVADO]:[Otros / No Grav.]])</f>
        <v>79173.927636718756</v>
      </c>
      <c r="Q144" s="655" t="str">
        <f>IFERROR(IF(compras_mes123[[#This Row],[CUIT]]="","-",VLOOKUP(compras_mes123[[#This Row],[CUIT]],Lista_CUIT[#All],3,0)),"CUIT NO CARGADO")</f>
        <v>Material de Empaque</v>
      </c>
      <c r="R144" s="655">
        <f>IFERROR(IF(compras_mes123[[#This Row],[CUIT]]="","-",VLOOKUP(compras_mes123[[#This Row],[CUIT]],Lista_CUIT[#All],4,0)),"CUIT NO CARGADO")</f>
        <v>0</v>
      </c>
    </row>
    <row r="145" spans="2:18">
      <c r="B145" s="40" t="s">
        <v>2532</v>
      </c>
      <c r="C145" s="41">
        <v>1</v>
      </c>
      <c r="D145" s="42">
        <v>1</v>
      </c>
      <c r="E145" s="43">
        <v>1111</v>
      </c>
      <c r="F145" s="44">
        <v>27218204053</v>
      </c>
      <c r="G145" s="45" t="str">
        <f>IFERROR(IF(compras_mes123[[#This Row],[CUIT]]="","-",VLOOKUP(compras_mes123[[#This Row],[CUIT]],Lista_CUIT[#All],2,0)),"CUIT NO CARGADO")</f>
        <v>VEGA SANDRA ELIZABETH</v>
      </c>
      <c r="H145" s="46">
        <v>3107600</v>
      </c>
      <c r="I145" s="85">
        <f>IF(compras_mes123[[#This Row],[NETO GRAVADO]]="","",compras_mes123[[#This Row],[NETO GRAVADO]]*0.21)</f>
        <v>652596</v>
      </c>
      <c r="J145" s="85"/>
      <c r="K145" s="85"/>
      <c r="L145" s="85"/>
      <c r="M145" s="85"/>
      <c r="N145" s="85"/>
      <c r="O145" s="85"/>
      <c r="P145" s="48">
        <f>SUM(compras_mes123[[#This Row],[NETO GRAVADO]:[Otros / No Grav.]])</f>
        <v>3760196</v>
      </c>
      <c r="Q145" s="49" t="str">
        <f>IFERROR(IF(compras_mes123[[#This Row],[CUIT]]="","-",VLOOKUP(compras_mes123[[#This Row],[CUIT]],Lista_CUIT[#All],3,0)),"CUIT NO CARGADO")</f>
        <v>Material de Empaque</v>
      </c>
      <c r="R145" s="49">
        <f>IFERROR(IF(compras_mes123[[#This Row],[CUIT]]="","-",VLOOKUP(compras_mes123[[#This Row],[CUIT]],Lista_CUIT[#All],4,0)),"CUIT NO CARGADO")</f>
        <v>0</v>
      </c>
    </row>
    <row r="146" spans="2:18">
      <c r="B146" s="649" t="s">
        <v>2534</v>
      </c>
      <c r="C146" s="650">
        <v>1</v>
      </c>
      <c r="D146" s="651">
        <v>10</v>
      </c>
      <c r="E146" s="652">
        <v>13979</v>
      </c>
      <c r="F146" s="653">
        <v>30708157755</v>
      </c>
      <c r="G146" s="654" t="str">
        <f>IFERROR(IF(compras_mes123[[#This Row],[CUIT]]="","-",VLOOKUP(compras_mes123[[#This Row],[CUIT]],Lista_CUIT[#All],2,0)),"CUIT NO CARGADO")</f>
        <v>EXPOENVASE SRL</v>
      </c>
      <c r="H146" s="615">
        <v>496649</v>
      </c>
      <c r="I146" s="609">
        <f>IF(compras_mes123[[#This Row],[NETO GRAVADO]]="","",compras_mes123[[#This Row],[NETO GRAVADO]]*0.21)</f>
        <v>104296.29</v>
      </c>
      <c r="J146" s="609"/>
      <c r="K146" s="609"/>
      <c r="L146" s="609"/>
      <c r="M146" s="609"/>
      <c r="N146" s="609"/>
      <c r="O146" s="609"/>
      <c r="P146" s="610">
        <f>SUM(compras_mes123[[#This Row],[NETO GRAVADO]:[Otros / No Grav.]])</f>
        <v>600945.29</v>
      </c>
      <c r="Q146" s="655" t="str">
        <f>IFERROR(IF(compras_mes123[[#This Row],[CUIT]]="","-",VLOOKUP(compras_mes123[[#This Row],[CUIT]],Lista_CUIT[#All],3,0)),"CUIT NO CARGADO")</f>
        <v>Material de Empaque</v>
      </c>
      <c r="R146" s="655">
        <f>IFERROR(IF(compras_mes123[[#This Row],[CUIT]]="","-",VLOOKUP(compras_mes123[[#This Row],[CUIT]],Lista_CUIT[#All],4,0)),"CUIT NO CARGADO")</f>
        <v>0</v>
      </c>
    </row>
    <row r="147" spans="2:18">
      <c r="B147" s="649" t="s">
        <v>2533</v>
      </c>
      <c r="C147" s="650">
        <v>1</v>
      </c>
      <c r="D147" s="651">
        <v>1</v>
      </c>
      <c r="E147" s="652">
        <v>288</v>
      </c>
      <c r="F147" s="653">
        <v>20077604627</v>
      </c>
      <c r="G147" s="654" t="str">
        <f>IFERROR(IF(compras_mes123[[#This Row],[CUIT]]="","-",VLOOKUP(compras_mes123[[#This Row],[CUIT]],Lista_CUIT[#All],2,0)),"CUIT NO CARGADO")</f>
        <v>OCAÑO ENRIQUE</v>
      </c>
      <c r="H147" s="615">
        <v>3407546.9375</v>
      </c>
      <c r="I147" s="609">
        <f>IF(compras_mes123[[#This Row],[NETO GRAVADO]]="","",compras_mes123[[#This Row],[NETO GRAVADO]]*0.21)</f>
        <v>715584.85687499994</v>
      </c>
      <c r="J147" s="609"/>
      <c r="K147" s="609"/>
      <c r="L147" s="609"/>
      <c r="M147" s="609"/>
      <c r="N147" s="609"/>
      <c r="O147" s="609"/>
      <c r="P147" s="610">
        <f>SUM(compras_mes123[[#This Row],[NETO GRAVADO]:[Otros / No Grav.]])</f>
        <v>4123131.7943750001</v>
      </c>
      <c r="Q147" s="655" t="str">
        <f>IFERROR(IF(compras_mes123[[#This Row],[CUIT]]="","-",VLOOKUP(compras_mes123[[#This Row],[CUIT]],Lista_CUIT[#All],3,0)),"CUIT NO CARGADO")</f>
        <v>Material de Empaque</v>
      </c>
      <c r="R147" s="655">
        <f>IFERROR(IF(compras_mes123[[#This Row],[CUIT]]="","-",VLOOKUP(compras_mes123[[#This Row],[CUIT]],Lista_CUIT[#All],4,0)),"CUIT NO CARGADO")</f>
        <v>0</v>
      </c>
    </row>
    <row r="148" spans="2:18">
      <c r="B148" s="167" t="s">
        <v>2568</v>
      </c>
      <c r="C148" s="168">
        <v>1</v>
      </c>
      <c r="D148" s="169">
        <v>6</v>
      </c>
      <c r="E148" s="170">
        <v>92235</v>
      </c>
      <c r="F148" s="171">
        <v>30709382019</v>
      </c>
      <c r="G148" s="172" t="str">
        <f>IFERROR(IF(compras_mes123[[#This Row],[CUIT]]="","-",VLOOKUP(compras_mes123[[#This Row],[CUIT]],Lista_CUIT[#All],2,0)),"CUIT NO CARGADO")</f>
        <v>G - COMMERCE S.A.</v>
      </c>
      <c r="H148" s="173">
        <v>141074.38</v>
      </c>
      <c r="I148" s="174">
        <f>IF(compras_mes123[[#This Row],[NETO GRAVADO]]="","",compras_mes123[[#This Row],[NETO GRAVADO]]*0.21)</f>
        <v>29625.6198</v>
      </c>
      <c r="J148" s="174"/>
      <c r="K148" s="174"/>
      <c r="L148" s="174"/>
      <c r="M148" s="174"/>
      <c r="N148" s="174"/>
      <c r="O148" s="174"/>
      <c r="P148" s="175">
        <f>SUM(compras_mes123[[#This Row],[NETO GRAVADO]:[Otros / No Grav.]])</f>
        <v>170699.99979999999</v>
      </c>
      <c r="Q148" s="176" t="str">
        <f>IFERROR(IF(compras_mes123[[#This Row],[CUIT]]="","-",VLOOKUP(compras_mes123[[#This Row],[CUIT]],Lista_CUIT[#All],3,0)),"CUIT NO CARGADO")</f>
        <v>Material de Empaque</v>
      </c>
      <c r="R148" s="176">
        <f>IFERROR(IF(compras_mes123[[#This Row],[CUIT]]="","-",VLOOKUP(compras_mes123[[#This Row],[CUIT]],Lista_CUIT[#All],4,0)),"CUIT NO CARGADO")</f>
        <v>0</v>
      </c>
    </row>
    <row r="149" spans="2:18">
      <c r="B149" s="167" t="s">
        <v>2586</v>
      </c>
      <c r="C149" s="168">
        <v>1</v>
      </c>
      <c r="D149" s="169">
        <v>2</v>
      </c>
      <c r="E149" s="170">
        <v>3195</v>
      </c>
      <c r="F149" s="171">
        <v>27218204053</v>
      </c>
      <c r="G149" s="172" t="str">
        <f>IFERROR(IF(compras_mes123[[#This Row],[CUIT]]="","-",VLOOKUP(compras_mes123[[#This Row],[CUIT]],Lista_CUIT[#All],2,0)),"CUIT NO CARGADO")</f>
        <v>VEGA SANDRA ELIZABETH</v>
      </c>
      <c r="H149" s="173">
        <v>3107600</v>
      </c>
      <c r="I149" s="174">
        <f>IF(compras_mes123[[#This Row],[NETO GRAVADO]]="","",compras_mes123[[#This Row],[NETO GRAVADO]]*0.21)</f>
        <v>652596</v>
      </c>
      <c r="J149" s="174"/>
      <c r="K149" s="174"/>
      <c r="L149" s="174"/>
      <c r="M149" s="174"/>
      <c r="N149" s="174"/>
      <c r="O149" s="174"/>
      <c r="P149" s="175">
        <f>SUM(compras_mes123[[#This Row],[NETO GRAVADO]:[Otros / No Grav.]])</f>
        <v>3760196</v>
      </c>
      <c r="Q149" s="176" t="str">
        <f>IFERROR(IF(compras_mes123[[#This Row],[CUIT]]="","-",VLOOKUP(compras_mes123[[#This Row],[CUIT]],Lista_CUIT[#All],3,0)),"CUIT NO CARGADO")</f>
        <v>Material de Empaque</v>
      </c>
      <c r="R149" s="176">
        <f>IFERROR(IF(compras_mes123[[#This Row],[CUIT]]="","-",VLOOKUP(compras_mes123[[#This Row],[CUIT]],Lista_CUIT[#All],4,0)),"CUIT NO CARGADO")</f>
        <v>0</v>
      </c>
    </row>
    <row r="150" spans="2:18">
      <c r="B150" s="656" t="s">
        <v>2536</v>
      </c>
      <c r="C150" s="650">
        <v>1</v>
      </c>
      <c r="D150" s="657">
        <v>9</v>
      </c>
      <c r="E150" s="658">
        <v>865</v>
      </c>
      <c r="F150" s="659">
        <v>30710446047</v>
      </c>
      <c r="G150" s="660" t="str">
        <f>IFERROR(IF(compras_mes123[[#This Row],[CUIT]]="","-",VLOOKUP(compras_mes123[[#This Row],[CUIT]],Lista_CUIT[#All],2,0)),"CUIT NO CARGADO")</f>
        <v>ENSAMBLE GRAFICO S.H.</v>
      </c>
      <c r="H150" s="661">
        <v>599950</v>
      </c>
      <c r="I150" s="609">
        <f>IF(compras_mes123[[#This Row],[NETO GRAVADO]]="","",compras_mes123[[#This Row],[NETO GRAVADO]]*0.21)</f>
        <v>125989.5</v>
      </c>
      <c r="J150" s="662"/>
      <c r="K150" s="662"/>
      <c r="L150" s="662"/>
      <c r="M150" s="662"/>
      <c r="N150" s="662"/>
      <c r="O150" s="662"/>
      <c r="P150" s="663">
        <f>SUM(compras_mes123[[#This Row],[NETO GRAVADO]:[Otros / No Grav.]])</f>
        <v>725939.5</v>
      </c>
      <c r="Q150" s="664" t="str">
        <f>IFERROR(IF(compras_mes123[[#This Row],[CUIT]]="","-",VLOOKUP(compras_mes123[[#This Row],[CUIT]],Lista_CUIT[#All],3,0)),"CUIT NO CARGADO")</f>
        <v>Material de Empaque</v>
      </c>
      <c r="R150" s="664">
        <f>IFERROR(IF(compras_mes123[[#This Row],[CUIT]]="","-",VLOOKUP(compras_mes123[[#This Row],[CUIT]],Lista_CUIT[#All],4,0)),"CUIT NO CARGADO")</f>
        <v>0</v>
      </c>
    </row>
    <row r="151" spans="2:18">
      <c r="B151" s="649" t="s">
        <v>2536</v>
      </c>
      <c r="C151" s="650">
        <v>1</v>
      </c>
      <c r="D151" s="651">
        <v>9</v>
      </c>
      <c r="E151" s="652">
        <v>864</v>
      </c>
      <c r="F151" s="653">
        <v>30710446047</v>
      </c>
      <c r="G151" s="654" t="str">
        <f>IFERROR(IF(compras_mes123[[#This Row],[CUIT]]="","-",VLOOKUP(compras_mes123[[#This Row],[CUIT]],Lista_CUIT[#All],2,0)),"CUIT NO CARGADO")</f>
        <v>ENSAMBLE GRAFICO S.H.</v>
      </c>
      <c r="H151" s="615">
        <v>556800</v>
      </c>
      <c r="I151" s="609">
        <f>IF(compras_mes123[[#This Row],[NETO GRAVADO]]="","",compras_mes123[[#This Row],[NETO GRAVADO]]*0.21)</f>
        <v>116928</v>
      </c>
      <c r="J151" s="609"/>
      <c r="K151" s="609"/>
      <c r="L151" s="609"/>
      <c r="M151" s="609"/>
      <c r="N151" s="609"/>
      <c r="O151" s="609"/>
      <c r="P151" s="610">
        <f>SUM(compras_mes123[[#This Row],[NETO GRAVADO]:[Otros / No Grav.]])</f>
        <v>673728</v>
      </c>
      <c r="Q151" s="655" t="str">
        <f>IFERROR(IF(compras_mes123[[#This Row],[CUIT]]="","-",VLOOKUP(compras_mes123[[#This Row],[CUIT]],Lista_CUIT[#All],3,0)),"CUIT NO CARGADO")</f>
        <v>Material de Empaque</v>
      </c>
      <c r="R151" s="655">
        <f>IFERROR(IF(compras_mes123[[#This Row],[CUIT]]="","-",VLOOKUP(compras_mes123[[#This Row],[CUIT]],Lista_CUIT[#All],4,0)),"CUIT NO CARGADO")</f>
        <v>0</v>
      </c>
    </row>
    <row r="152" spans="2:18">
      <c r="B152" s="167" t="s">
        <v>2587</v>
      </c>
      <c r="C152" s="168">
        <v>1</v>
      </c>
      <c r="D152" s="169">
        <v>629</v>
      </c>
      <c r="E152" s="170">
        <v>5573770</v>
      </c>
      <c r="F152" s="171">
        <v>30663498513</v>
      </c>
      <c r="G152" s="172" t="str">
        <f>IFERROR(IF(compras_mes123[[#This Row],[CUIT]]="","-",VLOOKUP(compras_mes123[[#This Row],[CUIT]],Lista_CUIT[#All],2,0)),"CUIT NO CARGADO")</f>
        <v>GRUPO CONCES. DEL OESTE SA</v>
      </c>
      <c r="H152" s="173">
        <v>36970.51</v>
      </c>
      <c r="I152" s="174">
        <f>IF(compras_mes123[[#This Row],[NETO GRAVADO]]="","",compras_mes123[[#This Row],[NETO GRAVADO]]*0.21)</f>
        <v>7763.8071</v>
      </c>
      <c r="J152" s="174"/>
      <c r="K152" s="174"/>
      <c r="L152" s="174"/>
      <c r="M152" s="174"/>
      <c r="N152" s="174"/>
      <c r="O152" s="174"/>
      <c r="P152" s="175">
        <f>SUM(compras_mes123[[#This Row],[NETO GRAVADO]:[Otros / No Grav.]])</f>
        <v>44734.3171</v>
      </c>
      <c r="Q152" s="176" t="str">
        <f>IFERROR(IF(compras_mes123[[#This Row],[CUIT]]="","-",VLOOKUP(compras_mes123[[#This Row],[CUIT]],Lista_CUIT[#All],3,0)),"CUIT NO CARGADO")</f>
        <v>Peajes</v>
      </c>
      <c r="R152" s="176">
        <f>IFERROR(IF(compras_mes123[[#This Row],[CUIT]]="","-",VLOOKUP(compras_mes123[[#This Row],[CUIT]],Lista_CUIT[#All],4,0)),"CUIT NO CARGADO")</f>
        <v>0</v>
      </c>
    </row>
    <row r="153" spans="2:18">
      <c r="B153" s="167" t="s">
        <v>2587</v>
      </c>
      <c r="C153" s="168">
        <v>1</v>
      </c>
      <c r="D153" s="169">
        <v>711</v>
      </c>
      <c r="E153" s="170">
        <v>6339534</v>
      </c>
      <c r="F153" s="171">
        <v>30677237119</v>
      </c>
      <c r="G153" s="172" t="str">
        <f>IFERROR(IF(compras_mes123[[#This Row],[CUIT]]="","-",VLOOKUP(compras_mes123[[#This Row],[CUIT]],Lista_CUIT[#All],2,0)),"CUIT NO CARGADO")</f>
        <v>AUTOPISTAS DEL SOL S A</v>
      </c>
      <c r="H153" s="173">
        <v>16775.55</v>
      </c>
      <c r="I153" s="174">
        <f>IF(compras_mes123[[#This Row],[NETO GRAVADO]]="","",compras_mes123[[#This Row],[NETO GRAVADO]]*0.21)</f>
        <v>3522.8654999999999</v>
      </c>
      <c r="J153" s="174"/>
      <c r="K153" s="174"/>
      <c r="L153" s="174">
        <v>503.27</v>
      </c>
      <c r="M153" s="174"/>
      <c r="N153" s="174"/>
      <c r="O153" s="174">
        <v>503.27</v>
      </c>
      <c r="P153" s="175">
        <f>SUM(compras_mes123[[#This Row],[NETO GRAVADO]:[Otros / No Grav.]])</f>
        <v>21304.9555</v>
      </c>
      <c r="Q153" s="176" t="str">
        <f>IFERROR(IF(compras_mes123[[#This Row],[CUIT]]="","-",VLOOKUP(compras_mes123[[#This Row],[CUIT]],Lista_CUIT[#All],3,0)),"CUIT NO CARGADO")</f>
        <v>Peajes</v>
      </c>
      <c r="R153" s="176">
        <f>IFERROR(IF(compras_mes123[[#This Row],[CUIT]]="","-",VLOOKUP(compras_mes123[[#This Row],[CUIT]],Lista_CUIT[#All],4,0)),"CUIT NO CARGADO")</f>
        <v>0</v>
      </c>
    </row>
    <row r="154" spans="2:18">
      <c r="B154" s="167" t="s">
        <v>2564</v>
      </c>
      <c r="C154" s="168">
        <v>1</v>
      </c>
      <c r="D154" s="169">
        <v>700</v>
      </c>
      <c r="E154" s="170">
        <v>2042820</v>
      </c>
      <c r="F154" s="171">
        <v>30715804812</v>
      </c>
      <c r="G154" s="172" t="str">
        <f>IFERROR(IF(compras_mes123[[#This Row],[CUIT]]="","-",VLOOKUP(compras_mes123[[#This Row],[CUIT]],Lista_CUIT[#All],2,0)),"CUIT NO CARGADO")</f>
        <v>CORREDORES VIALES SOCIEDAD ANONIMA</v>
      </c>
      <c r="H154" s="173">
        <v>7308.64</v>
      </c>
      <c r="I154" s="174">
        <f>IF(compras_mes123[[#This Row],[NETO GRAVADO]]="","",compras_mes123[[#This Row],[NETO GRAVADO]]*0.21)</f>
        <v>1534.8144</v>
      </c>
      <c r="J154" s="174"/>
      <c r="K154" s="174"/>
      <c r="L154" s="174"/>
      <c r="M154" s="174"/>
      <c r="N154" s="174"/>
      <c r="O154" s="174"/>
      <c r="P154" s="175">
        <f>SUM(compras_mes123[[#This Row],[NETO GRAVADO]:[Otros / No Grav.]])</f>
        <v>8843.4544000000005</v>
      </c>
      <c r="Q154" s="176" t="str">
        <f>IFERROR(IF(compras_mes123[[#This Row],[CUIT]]="","-",VLOOKUP(compras_mes123[[#This Row],[CUIT]],Lista_CUIT[#All],3,0)),"CUIT NO CARGADO")</f>
        <v>Peajes</v>
      </c>
      <c r="R154" s="176">
        <f>IFERROR(IF(compras_mes123[[#This Row],[CUIT]]="","-",VLOOKUP(compras_mes123[[#This Row],[CUIT]],Lista_CUIT[#All],4,0)),"CUIT NO CARGADO")</f>
        <v>0</v>
      </c>
    </row>
    <row r="155" spans="2:18">
      <c r="B155" s="167" t="s">
        <v>2565</v>
      </c>
      <c r="C155" s="168">
        <v>1</v>
      </c>
      <c r="D155" s="169">
        <v>5015</v>
      </c>
      <c r="E155" s="170">
        <v>663287</v>
      </c>
      <c r="F155" s="171">
        <v>30574876474</v>
      </c>
      <c r="G155" s="172" t="str">
        <f>IFERROR(IF(compras_mes123[[#This Row],[CUIT]]="","-",VLOOKUP(compras_mes123[[#This Row],[CUIT]],Lista_CUIT[#All],2,0)),"CUIT NO CARGADO")</f>
        <v>AUTOPISTAS URBANAS S A</v>
      </c>
      <c r="H155" s="173">
        <v>80636</v>
      </c>
      <c r="I155" s="174">
        <f>IF(compras_mes123[[#This Row],[NETO GRAVADO]]="","",compras_mes123[[#This Row],[NETO GRAVADO]]*0.21)</f>
        <v>16933.559999999998</v>
      </c>
      <c r="J155" s="174"/>
      <c r="K155" s="174"/>
      <c r="L155" s="174"/>
      <c r="M155" s="174"/>
      <c r="N155" s="174"/>
      <c r="O155" s="174">
        <v>10482.67</v>
      </c>
      <c r="P155" s="175">
        <f>SUM(compras_mes123[[#This Row],[NETO GRAVADO]:[Otros / No Grav.]])</f>
        <v>108052.23</v>
      </c>
      <c r="Q155" s="176" t="str">
        <f>IFERROR(IF(compras_mes123[[#This Row],[CUIT]]="","-",VLOOKUP(compras_mes123[[#This Row],[CUIT]],Lista_CUIT[#All],3,0)),"CUIT NO CARGADO")</f>
        <v>Peajes</v>
      </c>
      <c r="R155" s="176">
        <f>IFERROR(IF(compras_mes123[[#This Row],[CUIT]]="","-",VLOOKUP(compras_mes123[[#This Row],[CUIT]],Lista_CUIT[#All],4,0)),"CUIT NO CARGADO")</f>
        <v>0</v>
      </c>
    </row>
    <row r="156" spans="2:18">
      <c r="B156" s="167" t="s">
        <v>2591</v>
      </c>
      <c r="C156" s="168">
        <v>1</v>
      </c>
      <c r="D156" s="169">
        <v>503</v>
      </c>
      <c r="E156" s="170">
        <v>1552492</v>
      </c>
      <c r="F156" s="171">
        <v>30639935872</v>
      </c>
      <c r="G156" s="172" t="str">
        <f>IFERROR(IF(compras_mes123[[#This Row],[CUIT]]="","-",VLOOKUP(compras_mes123[[#This Row],[CUIT]],Lista_CUIT[#All],2,0)),"CUIT NO CARGADO")</f>
        <v>CAMINOS DEL RIO URUGUAY S A DE CONSTRUCCIONES Y CONCESIONES VIALES</v>
      </c>
      <c r="H156" s="173">
        <v>3098.69</v>
      </c>
      <c r="I156" s="174">
        <f>IF(compras_mes123[[#This Row],[NETO GRAVADO]]="","",compras_mes123[[#This Row],[NETO GRAVADO]]*0.21)</f>
        <v>650.72489999999993</v>
      </c>
      <c r="J156" s="174"/>
      <c r="K156" s="174"/>
      <c r="L156" s="174"/>
      <c r="M156" s="174"/>
      <c r="N156" s="174">
        <v>185.92</v>
      </c>
      <c r="O156" s="174"/>
      <c r="P156" s="175">
        <f>SUM(compras_mes123[[#This Row],[NETO GRAVADO]:[Otros / No Grav.]])</f>
        <v>3935.3348999999998</v>
      </c>
      <c r="Q156" s="176" t="str">
        <f>IFERROR(IF(compras_mes123[[#This Row],[CUIT]]="","-",VLOOKUP(compras_mes123[[#This Row],[CUIT]],Lista_CUIT[#All],3,0)),"CUIT NO CARGADO")</f>
        <v>Peajes</v>
      </c>
      <c r="R156" s="176">
        <f>IFERROR(IF(compras_mes123[[#This Row],[CUIT]]="","-",VLOOKUP(compras_mes123[[#This Row],[CUIT]],Lista_CUIT[#All],4,0)),"CUIT NO CARGADO")</f>
        <v>0</v>
      </c>
    </row>
    <row r="157" spans="2:18">
      <c r="B157" s="167" t="s">
        <v>2578</v>
      </c>
      <c r="C157" s="168">
        <v>1</v>
      </c>
      <c r="D157" s="169">
        <v>104</v>
      </c>
      <c r="E157" s="170">
        <v>7188063</v>
      </c>
      <c r="F157" s="171">
        <v>30715804812</v>
      </c>
      <c r="G157" s="172" t="str">
        <f>IFERROR(IF(compras_mes123[[#This Row],[CUIT]]="","-",VLOOKUP(compras_mes123[[#This Row],[CUIT]],Lista_CUIT[#All],2,0)),"CUIT NO CARGADO")</f>
        <v>CORREDORES VIALES SOCIEDAD ANONIMA</v>
      </c>
      <c r="H157" s="173">
        <v>1923.32</v>
      </c>
      <c r="I157" s="174">
        <f>IF(compras_mes123[[#This Row],[NETO GRAVADO]]="","",compras_mes123[[#This Row],[NETO GRAVADO]]*0.21)</f>
        <v>403.8972</v>
      </c>
      <c r="J157" s="174"/>
      <c r="K157" s="174"/>
      <c r="L157" s="174"/>
      <c r="M157" s="174"/>
      <c r="N157" s="174">
        <v>115.4</v>
      </c>
      <c r="O157" s="174"/>
      <c r="P157" s="175">
        <f>SUM(compras_mes123[[#This Row],[NETO GRAVADO]:[Otros / No Grav.]])</f>
        <v>2442.6172000000001</v>
      </c>
      <c r="Q157" s="176" t="str">
        <f>IFERROR(IF(compras_mes123[[#This Row],[CUIT]]="","-",VLOOKUP(compras_mes123[[#This Row],[CUIT]],Lista_CUIT[#All],3,0)),"CUIT NO CARGADO")</f>
        <v>Peajes</v>
      </c>
      <c r="R157" s="176">
        <f>IFERROR(IF(compras_mes123[[#This Row],[CUIT]]="","-",VLOOKUP(compras_mes123[[#This Row],[CUIT]],Lista_CUIT[#All],4,0)),"CUIT NO CARGADO")</f>
        <v>0</v>
      </c>
    </row>
    <row r="158" spans="2:18">
      <c r="B158" s="167" t="s">
        <v>2593</v>
      </c>
      <c r="C158" s="168">
        <v>1</v>
      </c>
      <c r="D158" s="169">
        <v>5015</v>
      </c>
      <c r="E158" s="170">
        <v>664789</v>
      </c>
      <c r="F158" s="171">
        <v>30574876474</v>
      </c>
      <c r="G158" s="172" t="str">
        <f>IFERROR(IF(compras_mes123[[#This Row],[CUIT]]="","-",VLOOKUP(compras_mes123[[#This Row],[CUIT]],Lista_CUIT[#All],2,0)),"CUIT NO CARGADO")</f>
        <v>AUTOPISTAS URBANAS S A</v>
      </c>
      <c r="H158" s="173">
        <v>116120.31</v>
      </c>
      <c r="I158" s="174">
        <f>IF(compras_mes123[[#This Row],[NETO GRAVADO]]="","",compras_mes123[[#This Row],[NETO GRAVADO]]*0.21)</f>
        <v>24385.265099999997</v>
      </c>
      <c r="J158" s="174"/>
      <c r="K158" s="174"/>
      <c r="L158" s="174"/>
      <c r="M158" s="174"/>
      <c r="N158" s="174"/>
      <c r="O158" s="174">
        <v>15095.61</v>
      </c>
      <c r="P158" s="175">
        <f>SUM(compras_mes123[[#This Row],[NETO GRAVADO]:[Otros / No Grav.]])</f>
        <v>155601.1851</v>
      </c>
      <c r="Q158" s="176" t="str">
        <f>IFERROR(IF(compras_mes123[[#This Row],[CUIT]]="","-",VLOOKUP(compras_mes123[[#This Row],[CUIT]],Lista_CUIT[#All],3,0)),"CUIT NO CARGADO")</f>
        <v>Peajes</v>
      </c>
      <c r="R158" s="176">
        <f>IFERROR(IF(compras_mes123[[#This Row],[CUIT]]="","-",VLOOKUP(compras_mes123[[#This Row],[CUIT]],Lista_CUIT[#All],4,0)),"CUIT NO CARGADO")</f>
        <v>0</v>
      </c>
    </row>
    <row r="159" spans="2:18">
      <c r="B159" s="167" t="s">
        <v>2593</v>
      </c>
      <c r="C159" s="168">
        <v>1</v>
      </c>
      <c r="D159" s="169">
        <v>50</v>
      </c>
      <c r="E159" s="170">
        <v>3904104</v>
      </c>
      <c r="F159" s="171">
        <v>30714112836</v>
      </c>
      <c r="G159" s="172" t="str">
        <f>IFERROR(IF(compras_mes123[[#This Row],[CUIT]]="","-",VLOOKUP(compras_mes123[[#This Row],[CUIT]],Lista_CUIT[#All],2,0)),"CUIT NO CARGADO")</f>
        <v>AUTOPISTAS DE BS AS</v>
      </c>
      <c r="H159" s="173">
        <v>43235.54</v>
      </c>
      <c r="I159" s="174">
        <f>IF(compras_mes123[[#This Row],[NETO GRAVADO]]="","",compras_mes123[[#This Row],[NETO GRAVADO]]*0.21)</f>
        <v>9079.4634000000005</v>
      </c>
      <c r="J159" s="174"/>
      <c r="K159" s="174"/>
      <c r="L159" s="174">
        <v>1297.06</v>
      </c>
      <c r="M159" s="174"/>
      <c r="N159" s="174"/>
      <c r="O159" s="174"/>
      <c r="P159" s="175">
        <f>SUM(compras_mes123[[#This Row],[NETO GRAVADO]:[Otros / No Grav.]])</f>
        <v>53612.063399999999</v>
      </c>
      <c r="Q159" s="176" t="str">
        <f>IFERROR(IF(compras_mes123[[#This Row],[CUIT]]="","-",VLOOKUP(compras_mes123[[#This Row],[CUIT]],Lista_CUIT[#All],3,0)),"CUIT NO CARGADO")</f>
        <v>Peajes</v>
      </c>
      <c r="R159" s="176">
        <f>IFERROR(IF(compras_mes123[[#This Row],[CUIT]]="","-",VLOOKUP(compras_mes123[[#This Row],[CUIT]],Lista_CUIT[#All],4,0)),"CUIT NO CARGADO")</f>
        <v>0</v>
      </c>
    </row>
    <row r="160" spans="2:18">
      <c r="B160" s="167" t="s">
        <v>2569</v>
      </c>
      <c r="C160" s="168">
        <v>1</v>
      </c>
      <c r="D160" s="169">
        <v>629</v>
      </c>
      <c r="E160" s="170">
        <v>5615413</v>
      </c>
      <c r="F160" s="171">
        <v>30663498513</v>
      </c>
      <c r="G160" s="172" t="str">
        <f>IFERROR(IF(compras_mes123[[#This Row],[CUIT]]="","-",VLOOKUP(compras_mes123[[#This Row],[CUIT]],Lista_CUIT[#All],2,0)),"CUIT NO CARGADO")</f>
        <v>GRUPO CONCES. DEL OESTE SA</v>
      </c>
      <c r="H160" s="173">
        <v>24575.75</v>
      </c>
      <c r="I160" s="174">
        <f>IF(compras_mes123[[#This Row],[NETO GRAVADO]]="","",compras_mes123[[#This Row],[NETO GRAVADO]]*0.21)</f>
        <v>5160.9075000000003</v>
      </c>
      <c r="J160" s="174"/>
      <c r="K160" s="174"/>
      <c r="L160" s="174"/>
      <c r="M160" s="174"/>
      <c r="N160" s="174"/>
      <c r="O160" s="174"/>
      <c r="P160" s="175">
        <f>SUM(compras_mes123[[#This Row],[NETO GRAVADO]:[Otros / No Grav.]])</f>
        <v>29736.657500000001</v>
      </c>
      <c r="Q160" s="176" t="str">
        <f>IFERROR(IF(compras_mes123[[#This Row],[CUIT]]="","-",VLOOKUP(compras_mes123[[#This Row],[CUIT]],Lista_CUIT[#All],3,0)),"CUIT NO CARGADO")</f>
        <v>Peajes</v>
      </c>
      <c r="R160" s="176">
        <f>IFERROR(IF(compras_mes123[[#This Row],[CUIT]]="","-",VLOOKUP(compras_mes123[[#This Row],[CUIT]],Lista_CUIT[#All],4,0)),"CUIT NO CARGADO")</f>
        <v>0</v>
      </c>
    </row>
    <row r="161" spans="2:18">
      <c r="B161" s="167" t="s">
        <v>2569</v>
      </c>
      <c r="C161" s="168">
        <v>1</v>
      </c>
      <c r="D161" s="169">
        <v>711</v>
      </c>
      <c r="E161" s="170">
        <v>6399336</v>
      </c>
      <c r="F161" s="171">
        <v>30677237119</v>
      </c>
      <c r="G161" s="172" t="str">
        <f>IFERROR(IF(compras_mes123[[#This Row],[CUIT]]="","-",VLOOKUP(compras_mes123[[#This Row],[CUIT]],Lista_CUIT[#All],2,0)),"CUIT NO CARGADO")</f>
        <v>AUTOPISTAS DEL SOL S A</v>
      </c>
      <c r="H161" s="173">
        <v>23507.1</v>
      </c>
      <c r="I161" s="174">
        <f>IF(compras_mes123[[#This Row],[NETO GRAVADO]]="","",compras_mes123[[#This Row],[NETO GRAVADO]]*0.21)</f>
        <v>4936.4909999999991</v>
      </c>
      <c r="J161" s="174"/>
      <c r="K161" s="174"/>
      <c r="L161" s="174">
        <v>705.21</v>
      </c>
      <c r="M161" s="174"/>
      <c r="N161" s="174"/>
      <c r="O161" s="174">
        <v>705.21</v>
      </c>
      <c r="P161" s="175">
        <f>SUM(compras_mes123[[#This Row],[NETO GRAVADO]:[Otros / No Grav.]])</f>
        <v>29854.010999999995</v>
      </c>
      <c r="Q161" s="176" t="str">
        <f>IFERROR(IF(compras_mes123[[#This Row],[CUIT]]="","-",VLOOKUP(compras_mes123[[#This Row],[CUIT]],Lista_CUIT[#All],3,0)),"CUIT NO CARGADO")</f>
        <v>Peajes</v>
      </c>
      <c r="R161" s="176">
        <f>IFERROR(IF(compras_mes123[[#This Row],[CUIT]]="","-",VLOOKUP(compras_mes123[[#This Row],[CUIT]],Lista_CUIT[#All],4,0)),"CUIT NO CARGADO")</f>
        <v>0</v>
      </c>
    </row>
    <row r="162" spans="2:18">
      <c r="B162" s="167" t="s">
        <v>2582</v>
      </c>
      <c r="C162" s="168">
        <v>1</v>
      </c>
      <c r="D162" s="169">
        <v>700</v>
      </c>
      <c r="E162" s="170">
        <v>2074861</v>
      </c>
      <c r="F162" s="171">
        <v>30715804812</v>
      </c>
      <c r="G162" s="172" t="str">
        <f>IFERROR(IF(compras_mes123[[#This Row],[CUIT]]="","-",VLOOKUP(compras_mes123[[#This Row],[CUIT]],Lista_CUIT[#All],2,0)),"CUIT NO CARGADO")</f>
        <v>CORREDORES VIALES SOCIEDAD ANONIMA</v>
      </c>
      <c r="H162" s="173">
        <v>4808.3100000000004</v>
      </c>
      <c r="I162" s="174">
        <f>IF(compras_mes123[[#This Row],[NETO GRAVADO]]="","",compras_mes123[[#This Row],[NETO GRAVADO]]*0.21)</f>
        <v>1009.7451000000001</v>
      </c>
      <c r="J162" s="174"/>
      <c r="K162" s="174"/>
      <c r="L162" s="174"/>
      <c r="M162" s="174"/>
      <c r="N162" s="174"/>
      <c r="O162" s="174"/>
      <c r="P162" s="175">
        <f>SUM(compras_mes123[[#This Row],[NETO GRAVADO]:[Otros / No Grav.]])</f>
        <v>5818.0551000000005</v>
      </c>
      <c r="Q162" s="176" t="str">
        <f>IFERROR(IF(compras_mes123[[#This Row],[CUIT]]="","-",VLOOKUP(compras_mes123[[#This Row],[CUIT]],Lista_CUIT[#All],3,0)),"CUIT NO CARGADO")</f>
        <v>Peajes</v>
      </c>
      <c r="R162" s="176">
        <f>IFERROR(IF(compras_mes123[[#This Row],[CUIT]]="","-",VLOOKUP(compras_mes123[[#This Row],[CUIT]],Lista_CUIT[#All],4,0)),"CUIT NO CARGADO")</f>
        <v>0</v>
      </c>
    </row>
    <row r="163" spans="2:18">
      <c r="B163" s="167" t="s">
        <v>2583</v>
      </c>
      <c r="C163" s="168">
        <v>1</v>
      </c>
      <c r="D163" s="169">
        <v>5015</v>
      </c>
      <c r="E163" s="170">
        <v>668203</v>
      </c>
      <c r="F163" s="171">
        <v>30574876474</v>
      </c>
      <c r="G163" s="172" t="str">
        <f>IFERROR(IF(compras_mes123[[#This Row],[CUIT]]="","-",VLOOKUP(compras_mes123[[#This Row],[CUIT]],Lista_CUIT[#All],2,0)),"CUIT NO CARGADO")</f>
        <v>AUTOPISTAS URBANAS S A</v>
      </c>
      <c r="H163" s="173">
        <v>85850.47</v>
      </c>
      <c r="I163" s="174">
        <f>IF(compras_mes123[[#This Row],[NETO GRAVADO]]="","",compras_mes123[[#This Row],[NETO GRAVADO]]*0.21)</f>
        <v>18028.598699999999</v>
      </c>
      <c r="J163" s="174"/>
      <c r="K163" s="174"/>
      <c r="L163" s="174"/>
      <c r="M163" s="174"/>
      <c r="N163" s="174"/>
      <c r="O163" s="174">
        <v>11160.54</v>
      </c>
      <c r="P163" s="175">
        <f>SUM(compras_mes123[[#This Row],[NETO GRAVADO]:[Otros / No Grav.]])</f>
        <v>115039.60870000001</v>
      </c>
      <c r="Q163" s="176" t="str">
        <f>IFERROR(IF(compras_mes123[[#This Row],[CUIT]]="","-",VLOOKUP(compras_mes123[[#This Row],[CUIT]],Lista_CUIT[#All],3,0)),"CUIT NO CARGADO")</f>
        <v>Peajes</v>
      </c>
      <c r="R163" s="176">
        <f>IFERROR(IF(compras_mes123[[#This Row],[CUIT]]="","-",VLOOKUP(compras_mes123[[#This Row],[CUIT]],Lista_CUIT[#All],4,0)),"CUIT NO CARGADO")</f>
        <v>0</v>
      </c>
    </row>
    <row r="164" spans="2:18">
      <c r="B164" s="167" t="s">
        <v>2579</v>
      </c>
      <c r="C164" s="168">
        <v>1</v>
      </c>
      <c r="D164" s="169">
        <v>503</v>
      </c>
      <c r="E164" s="170">
        <v>1572256</v>
      </c>
      <c r="F164" s="171">
        <v>30639935872</v>
      </c>
      <c r="G164" s="172" t="str">
        <f>IFERROR(IF(compras_mes123[[#This Row],[CUIT]]="","-",VLOOKUP(compras_mes123[[#This Row],[CUIT]],Lista_CUIT[#All],2,0)),"CUIT NO CARGADO")</f>
        <v>CAMINOS DEL RIO URUGUAY S A DE CONSTRUCCIONES Y CONCESIONES VIALES</v>
      </c>
      <c r="H164" s="173">
        <v>3098.69</v>
      </c>
      <c r="I164" s="174">
        <f>IF(compras_mes123[[#This Row],[NETO GRAVADO]]="","",compras_mes123[[#This Row],[NETO GRAVADO]]*0.21)</f>
        <v>650.72489999999993</v>
      </c>
      <c r="J164" s="174"/>
      <c r="K164" s="174"/>
      <c r="L164" s="174"/>
      <c r="M164" s="174"/>
      <c r="N164" s="174">
        <v>185.92</v>
      </c>
      <c r="O164" s="174"/>
      <c r="P164" s="175">
        <f>SUM(compras_mes123[[#This Row],[NETO GRAVADO]:[Otros / No Grav.]])</f>
        <v>3935.3348999999998</v>
      </c>
      <c r="Q164" s="176" t="str">
        <f>IFERROR(IF(compras_mes123[[#This Row],[CUIT]]="","-",VLOOKUP(compras_mes123[[#This Row],[CUIT]],Lista_CUIT[#All],3,0)),"CUIT NO CARGADO")</f>
        <v>Peajes</v>
      </c>
      <c r="R164" s="176">
        <f>IFERROR(IF(compras_mes123[[#This Row],[CUIT]]="","-",VLOOKUP(compras_mes123[[#This Row],[CUIT]],Lista_CUIT[#All],4,0)),"CUIT NO CARGADO")</f>
        <v>0</v>
      </c>
    </row>
    <row r="165" spans="2:18">
      <c r="B165" s="167" t="s">
        <v>2581</v>
      </c>
      <c r="C165" s="168">
        <v>1</v>
      </c>
      <c r="D165" s="169">
        <v>5015</v>
      </c>
      <c r="E165" s="170">
        <v>670804</v>
      </c>
      <c r="F165" s="171">
        <v>30574876474</v>
      </c>
      <c r="G165" s="172" t="str">
        <f>IFERROR(IF(compras_mes123[[#This Row],[CUIT]]="","-",VLOOKUP(compras_mes123[[#This Row],[CUIT]],Lista_CUIT[#All],2,0)),"CUIT NO CARGADO")</f>
        <v>AUTOPISTAS URBANAS S A</v>
      </c>
      <c r="H165" s="173">
        <v>79910.710000000006</v>
      </c>
      <c r="I165" s="174">
        <f>IF(compras_mes123[[#This Row],[NETO GRAVADO]]="","",compras_mes123[[#This Row],[NETO GRAVADO]]*0.21)</f>
        <v>16781.249100000001</v>
      </c>
      <c r="J165" s="174"/>
      <c r="K165" s="174"/>
      <c r="L165" s="174"/>
      <c r="M165" s="174"/>
      <c r="N165" s="174"/>
      <c r="O165" s="174">
        <v>10388.370000000001</v>
      </c>
      <c r="P165" s="175">
        <f>SUM(compras_mes123[[#This Row],[NETO GRAVADO]:[Otros / No Grav.]])</f>
        <v>107080.3291</v>
      </c>
      <c r="Q165" s="176" t="str">
        <f>IFERROR(IF(compras_mes123[[#This Row],[CUIT]]="","-",VLOOKUP(compras_mes123[[#This Row],[CUIT]],Lista_CUIT[#All],3,0)),"CUIT NO CARGADO")</f>
        <v>Peajes</v>
      </c>
      <c r="R165" s="176">
        <f>IFERROR(IF(compras_mes123[[#This Row],[CUIT]]="","-",VLOOKUP(compras_mes123[[#This Row],[CUIT]],Lista_CUIT[#All],4,0)),"CUIT NO CARGADO")</f>
        <v>0</v>
      </c>
    </row>
    <row r="166" spans="2:18">
      <c r="B166" s="167" t="s">
        <v>2581</v>
      </c>
      <c r="C166" s="168">
        <v>1</v>
      </c>
      <c r="D166" s="169">
        <v>50</v>
      </c>
      <c r="E166" s="170">
        <v>3941291</v>
      </c>
      <c r="F166" s="171">
        <v>30714112836</v>
      </c>
      <c r="G166" s="172" t="str">
        <f>IFERROR(IF(compras_mes123[[#This Row],[CUIT]]="","-",VLOOKUP(compras_mes123[[#This Row],[CUIT]],Lista_CUIT[#All],2,0)),"CUIT NO CARGADO")</f>
        <v>AUTOPISTAS DE BS AS</v>
      </c>
      <c r="H166" s="173">
        <v>32243.8</v>
      </c>
      <c r="I166" s="174">
        <f>IF(compras_mes123[[#This Row],[NETO GRAVADO]]="","",compras_mes123[[#This Row],[NETO GRAVADO]]*0.21)</f>
        <v>6771.1979999999994</v>
      </c>
      <c r="J166" s="174"/>
      <c r="K166" s="174"/>
      <c r="L166" s="174">
        <v>967.31</v>
      </c>
      <c r="M166" s="174"/>
      <c r="N166" s="174"/>
      <c r="O166" s="174"/>
      <c r="P166" s="175">
        <f>SUM(compras_mes123[[#This Row],[NETO GRAVADO]:[Otros / No Grav.]])</f>
        <v>39982.307999999997</v>
      </c>
      <c r="Q166" s="176" t="str">
        <f>IFERROR(IF(compras_mes123[[#This Row],[CUIT]]="","-",VLOOKUP(compras_mes123[[#This Row],[CUIT]],Lista_CUIT[#All],3,0)),"CUIT NO CARGADO")</f>
        <v>Peajes</v>
      </c>
      <c r="R166" s="176">
        <f>IFERROR(IF(compras_mes123[[#This Row],[CUIT]]="","-",VLOOKUP(compras_mes123[[#This Row],[CUIT]],Lista_CUIT[#All],4,0)),"CUIT NO CARGADO")</f>
        <v>0</v>
      </c>
    </row>
    <row r="167" spans="2:18">
      <c r="B167" s="649" t="s">
        <v>2525</v>
      </c>
      <c r="C167" s="650">
        <v>1</v>
      </c>
      <c r="D167" s="651">
        <v>6</v>
      </c>
      <c r="E167" s="652">
        <v>3349</v>
      </c>
      <c r="F167" s="653">
        <v>30574603788</v>
      </c>
      <c r="G167" s="654" t="str">
        <f>IFERROR(IF(compras_mes123[[#This Row],[CUIT]]="","-",VLOOKUP(compras_mes123[[#This Row],[CUIT]],Lista_CUIT[#All],2,0)),"CUIT NO CARGADO")</f>
        <v>CODAC SRL</v>
      </c>
      <c r="H167" s="615">
        <v>1720320.0625</v>
      </c>
      <c r="I167" s="609">
        <f>IF(compras_mes123[[#This Row],[NETO GRAVADO]]="","",compras_mes123[[#This Row],[NETO GRAVADO]]*0.21)</f>
        <v>361267.21312500001</v>
      </c>
      <c r="J167" s="609"/>
      <c r="K167" s="609"/>
      <c r="L167" s="609"/>
      <c r="M167" s="609"/>
      <c r="N167" s="609"/>
      <c r="O167" s="609"/>
      <c r="P167" s="610">
        <f>SUM(compras_mes123[[#This Row],[NETO GRAVADO]:[Otros / No Grav.]])</f>
        <v>2081587.275625</v>
      </c>
      <c r="Q167" s="655" t="str">
        <f>IFERROR(IF(compras_mes123[[#This Row],[CUIT]]="","-",VLOOKUP(compras_mes123[[#This Row],[CUIT]],Lista_CUIT[#All],3,0)),"CUIT NO CARGADO")</f>
        <v>Productos Venta</v>
      </c>
      <c r="R167" s="655" t="str">
        <f>IFERROR(IF(compras_mes123[[#This Row],[CUIT]]="","-",VLOOKUP(compras_mes123[[#This Row],[CUIT]],Lista_CUIT[#All],4,0)),"CUIT NO CARGADO")</f>
        <v>BUENOS AIRES</v>
      </c>
    </row>
    <row r="168" spans="2:18">
      <c r="B168" s="649" t="s">
        <v>2522</v>
      </c>
      <c r="C168" s="650">
        <v>1</v>
      </c>
      <c r="D168" s="651">
        <v>2</v>
      </c>
      <c r="E168" s="652">
        <v>3862</v>
      </c>
      <c r="F168" s="653">
        <v>30629863571</v>
      </c>
      <c r="G168" s="654" t="str">
        <f>IFERROR(IF(compras_mes123[[#This Row],[CUIT]]="","-",VLOOKUP(compras_mes123[[#This Row],[CUIT]],Lista_CUIT[#All],2,0)),"CUIT NO CARGADO")</f>
        <v>TECNIMAR S R L</v>
      </c>
      <c r="H168" s="615">
        <v>184757.3984375</v>
      </c>
      <c r="I168" s="609">
        <f>IF(compras_mes123[[#This Row],[NETO GRAVADO]]="","",compras_mes123[[#This Row],[NETO GRAVADO]]*0.21)</f>
        <v>38799.053671875001</v>
      </c>
      <c r="J168" s="609"/>
      <c r="K168" s="609"/>
      <c r="L168" s="609"/>
      <c r="M168" s="609"/>
      <c r="N168" s="609"/>
      <c r="O168" s="609"/>
      <c r="P168" s="610">
        <f>SUM(compras_mes123[[#This Row],[NETO GRAVADO]:[Otros / No Grav.]])</f>
        <v>223556.45210937501</v>
      </c>
      <c r="Q168" s="655" t="str">
        <f>IFERROR(IF(compras_mes123[[#This Row],[CUIT]]="","-",VLOOKUP(compras_mes123[[#This Row],[CUIT]],Lista_CUIT[#All],3,0)),"CUIT NO CARGADO")</f>
        <v>Productos Venta</v>
      </c>
      <c r="R168" s="655">
        <f>IFERROR(IF(compras_mes123[[#This Row],[CUIT]]="","-",VLOOKUP(compras_mes123[[#This Row],[CUIT]],Lista_CUIT[#All],4,0)),"CUIT NO CARGADO")</f>
        <v>0</v>
      </c>
    </row>
    <row r="169" spans="2:18">
      <c r="B169" s="649" t="s">
        <v>2523</v>
      </c>
      <c r="C169" s="650">
        <v>1</v>
      </c>
      <c r="D169" s="651">
        <v>2</v>
      </c>
      <c r="E169" s="652">
        <v>3864</v>
      </c>
      <c r="F169" s="653">
        <v>30629863571</v>
      </c>
      <c r="G169" s="654" t="str">
        <f>IFERROR(IF(compras_mes123[[#This Row],[CUIT]]="","-",VLOOKUP(compras_mes123[[#This Row],[CUIT]],Lista_CUIT[#All],2,0)),"CUIT NO CARGADO")</f>
        <v>TECNIMAR S R L</v>
      </c>
      <c r="H169" s="615">
        <v>5588390</v>
      </c>
      <c r="I169" s="609">
        <f>IF(compras_mes123[[#This Row],[NETO GRAVADO]]="","",compras_mes123[[#This Row],[NETO GRAVADO]]*0.21)</f>
        <v>1173561.8999999999</v>
      </c>
      <c r="J169" s="609"/>
      <c r="K169" s="609"/>
      <c r="L169" s="609"/>
      <c r="M169" s="609"/>
      <c r="N169" s="609"/>
      <c r="O169" s="609"/>
      <c r="P169" s="610">
        <f>SUM(compras_mes123[[#This Row],[NETO GRAVADO]:[Otros / No Grav.]])</f>
        <v>6761951.9000000004</v>
      </c>
      <c r="Q169" s="655" t="str">
        <f>IFERROR(IF(compras_mes123[[#This Row],[CUIT]]="","-",VLOOKUP(compras_mes123[[#This Row],[CUIT]],Lista_CUIT[#All],3,0)),"CUIT NO CARGADO")</f>
        <v>Productos Venta</v>
      </c>
      <c r="R169" s="655">
        <f>IFERROR(IF(compras_mes123[[#This Row],[CUIT]]="","-",VLOOKUP(compras_mes123[[#This Row],[CUIT]],Lista_CUIT[#All],4,0)),"CUIT NO CARGADO")</f>
        <v>0</v>
      </c>
    </row>
    <row r="170" spans="2:18">
      <c r="B170" s="649" t="s">
        <v>2527</v>
      </c>
      <c r="C170" s="650">
        <v>1</v>
      </c>
      <c r="D170" s="651">
        <v>2</v>
      </c>
      <c r="E170" s="652">
        <v>3865</v>
      </c>
      <c r="F170" s="653">
        <v>30629863571</v>
      </c>
      <c r="G170" s="654" t="str">
        <f>IFERROR(IF(compras_mes123[[#This Row],[CUIT]]="","-",VLOOKUP(compras_mes123[[#This Row],[CUIT]],Lista_CUIT[#All],2,0)),"CUIT NO CARGADO")</f>
        <v>TECNIMAR S R L</v>
      </c>
      <c r="H170" s="615">
        <v>2096219.5</v>
      </c>
      <c r="I170" s="609">
        <f>IF(compras_mes123[[#This Row],[NETO GRAVADO]]="","",compras_mes123[[#This Row],[NETO GRAVADO]]*0.21)</f>
        <v>440206.09499999997</v>
      </c>
      <c r="J170" s="609"/>
      <c r="K170" s="609"/>
      <c r="L170" s="609"/>
      <c r="M170" s="609"/>
      <c r="N170" s="609"/>
      <c r="O170" s="609"/>
      <c r="P170" s="610">
        <f>SUM(compras_mes123[[#This Row],[NETO GRAVADO]:[Otros / No Grav.]])</f>
        <v>2536425.5949999997</v>
      </c>
      <c r="Q170" s="655" t="str">
        <f>IFERROR(IF(compras_mes123[[#This Row],[CUIT]]="","-",VLOOKUP(compras_mes123[[#This Row],[CUIT]],Lista_CUIT[#All],3,0)),"CUIT NO CARGADO")</f>
        <v>Productos Venta</v>
      </c>
      <c r="R170" s="655">
        <f>IFERROR(IF(compras_mes123[[#This Row],[CUIT]]="","-",VLOOKUP(compras_mes123[[#This Row],[CUIT]],Lista_CUIT[#All],4,0)),"CUIT NO CARGADO")</f>
        <v>0</v>
      </c>
    </row>
    <row r="171" spans="2:18">
      <c r="B171" s="649" t="s">
        <v>2529</v>
      </c>
      <c r="C171" s="650">
        <v>1</v>
      </c>
      <c r="D171" s="651">
        <v>1</v>
      </c>
      <c r="E171" s="652">
        <v>121</v>
      </c>
      <c r="F171" s="653">
        <v>30718148207</v>
      </c>
      <c r="G171" s="654" t="str">
        <f>IFERROR(IF(compras_mes123[[#This Row],[CUIT]]="","-",VLOOKUP(compras_mes123[[#This Row],[CUIT]],Lista_CUIT[#All],2,0)),"CUIT NO CARGADO")</f>
        <v>VIPA INTERNATIONAL S.R.L.</v>
      </c>
      <c r="H171" s="615">
        <v>4100000</v>
      </c>
      <c r="I171" s="609">
        <f>IF(compras_mes123[[#This Row],[NETO GRAVADO]]="","",compras_mes123[[#This Row],[NETO GRAVADO]]*0.21)</f>
        <v>861000</v>
      </c>
      <c r="J171" s="609"/>
      <c r="K171" s="609"/>
      <c r="L171" s="609"/>
      <c r="M171" s="609"/>
      <c r="N171" s="609"/>
      <c r="O171" s="609"/>
      <c r="P171" s="610">
        <f>SUM(compras_mes123[[#This Row],[NETO GRAVADO]:[Otros / No Grav.]])</f>
        <v>4961000</v>
      </c>
      <c r="Q171" s="655" t="str">
        <f>IFERROR(IF(compras_mes123[[#This Row],[CUIT]]="","-",VLOOKUP(compras_mes123[[#This Row],[CUIT]],Lista_CUIT[#All],3,0)),"CUIT NO CARGADO")</f>
        <v>Productos Venta</v>
      </c>
      <c r="R171" s="655">
        <f>IFERROR(IF(compras_mes123[[#This Row],[CUIT]]="","-",VLOOKUP(compras_mes123[[#This Row],[CUIT]],Lista_CUIT[#All],4,0)),"CUIT NO CARGADO")</f>
        <v>0</v>
      </c>
    </row>
    <row r="172" spans="2:18">
      <c r="B172" s="649" t="s">
        <v>2529</v>
      </c>
      <c r="C172" s="650">
        <v>1</v>
      </c>
      <c r="D172" s="651">
        <v>2</v>
      </c>
      <c r="E172" s="652">
        <v>3870</v>
      </c>
      <c r="F172" s="653">
        <v>30629863571</v>
      </c>
      <c r="G172" s="654" t="str">
        <f>IFERROR(IF(compras_mes123[[#This Row],[CUIT]]="","-",VLOOKUP(compras_mes123[[#This Row],[CUIT]],Lista_CUIT[#All],2,0)),"CUIT NO CARGADO")</f>
        <v>TECNIMAR S R L</v>
      </c>
      <c r="H172" s="615">
        <v>2718920.75</v>
      </c>
      <c r="I172" s="609">
        <f>IF(compras_mes123[[#This Row],[NETO GRAVADO]]="","",compras_mes123[[#This Row],[NETO GRAVADO]]*0.21)</f>
        <v>570973.35749999993</v>
      </c>
      <c r="J172" s="609"/>
      <c r="K172" s="609"/>
      <c r="L172" s="609"/>
      <c r="M172" s="609"/>
      <c r="N172" s="609"/>
      <c r="O172" s="609"/>
      <c r="P172" s="610">
        <f>SUM(compras_mes123[[#This Row],[NETO GRAVADO]:[Otros / No Grav.]])</f>
        <v>3289894.1074999999</v>
      </c>
      <c r="Q172" s="655" t="str">
        <f>IFERROR(IF(compras_mes123[[#This Row],[CUIT]]="","-",VLOOKUP(compras_mes123[[#This Row],[CUIT]],Lista_CUIT[#All],3,0)),"CUIT NO CARGADO")</f>
        <v>Productos Venta</v>
      </c>
      <c r="R172" s="655">
        <f>IFERROR(IF(compras_mes123[[#This Row],[CUIT]]="","-",VLOOKUP(compras_mes123[[#This Row],[CUIT]],Lista_CUIT[#All],4,0)),"CUIT NO CARGADO")</f>
        <v>0</v>
      </c>
    </row>
    <row r="173" spans="2:18">
      <c r="B173" s="649" t="s">
        <v>2531</v>
      </c>
      <c r="C173" s="650">
        <v>1</v>
      </c>
      <c r="D173" s="651">
        <v>2</v>
      </c>
      <c r="E173" s="652">
        <v>3871</v>
      </c>
      <c r="F173" s="653">
        <v>30629863571</v>
      </c>
      <c r="G173" s="654" t="str">
        <f>IFERROR(IF(compras_mes123[[#This Row],[CUIT]]="","-",VLOOKUP(compras_mes123[[#This Row],[CUIT]],Lista_CUIT[#All],2,0)),"CUIT NO CARGADO")</f>
        <v>TECNIMAR S R L</v>
      </c>
      <c r="H173" s="615">
        <v>2759228.25</v>
      </c>
      <c r="I173" s="609">
        <f>IF(compras_mes123[[#This Row],[NETO GRAVADO]]="","",compras_mes123[[#This Row],[NETO GRAVADO]]*0.21)</f>
        <v>579437.9325</v>
      </c>
      <c r="J173" s="609"/>
      <c r="K173" s="609"/>
      <c r="L173" s="609"/>
      <c r="M173" s="609"/>
      <c r="N173" s="609"/>
      <c r="O173" s="609"/>
      <c r="P173" s="610">
        <f>SUM(compras_mes123[[#This Row],[NETO GRAVADO]:[Otros / No Grav.]])</f>
        <v>3338666.1825000001</v>
      </c>
      <c r="Q173" s="655" t="str">
        <f>IFERROR(IF(compras_mes123[[#This Row],[CUIT]]="","-",VLOOKUP(compras_mes123[[#This Row],[CUIT]],Lista_CUIT[#All],3,0)),"CUIT NO CARGADO")</f>
        <v>Productos Venta</v>
      </c>
      <c r="R173" s="655">
        <f>IFERROR(IF(compras_mes123[[#This Row],[CUIT]]="","-",VLOOKUP(compras_mes123[[#This Row],[CUIT]],Lista_CUIT[#All],4,0)),"CUIT NO CARGADO")</f>
        <v>0</v>
      </c>
    </row>
    <row r="174" spans="2:18">
      <c r="B174" s="649" t="s">
        <v>2534</v>
      </c>
      <c r="C174" s="650">
        <v>1</v>
      </c>
      <c r="D174" s="651">
        <v>2</v>
      </c>
      <c r="E174" s="652">
        <v>3873</v>
      </c>
      <c r="F174" s="653">
        <v>30629863571</v>
      </c>
      <c r="G174" s="654" t="str">
        <f>IFERROR(IF(compras_mes123[[#This Row],[CUIT]]="","-",VLOOKUP(compras_mes123[[#This Row],[CUIT]],Lista_CUIT[#All],2,0)),"CUIT NO CARGADO")</f>
        <v>TECNIMAR S R L</v>
      </c>
      <c r="H174" s="615">
        <v>955292.5</v>
      </c>
      <c r="I174" s="609">
        <f>IF(compras_mes123[[#This Row],[NETO GRAVADO]]="","",compras_mes123[[#This Row],[NETO GRAVADO]]*0.21)</f>
        <v>200611.42499999999</v>
      </c>
      <c r="J174" s="609"/>
      <c r="K174" s="609"/>
      <c r="L174" s="609"/>
      <c r="M174" s="609"/>
      <c r="N174" s="609"/>
      <c r="O174" s="609"/>
      <c r="P174" s="610">
        <f>SUM(compras_mes123[[#This Row],[NETO GRAVADO]:[Otros / No Grav.]])</f>
        <v>1155903.925</v>
      </c>
      <c r="Q174" s="655" t="str">
        <f>IFERROR(IF(compras_mes123[[#This Row],[CUIT]]="","-",VLOOKUP(compras_mes123[[#This Row],[CUIT]],Lista_CUIT[#All],3,0)),"CUIT NO CARGADO")</f>
        <v>Productos Venta</v>
      </c>
      <c r="R174" s="655">
        <f>IFERROR(IF(compras_mes123[[#This Row],[CUIT]]="","-",VLOOKUP(compras_mes123[[#This Row],[CUIT]],Lista_CUIT[#All],4,0)),"CUIT NO CARGADO")</f>
        <v>0</v>
      </c>
    </row>
    <row r="175" spans="2:18">
      <c r="B175" s="649" t="s">
        <v>2533</v>
      </c>
      <c r="C175" s="650">
        <v>1</v>
      </c>
      <c r="D175" s="651">
        <v>2</v>
      </c>
      <c r="E175" s="652">
        <v>3874</v>
      </c>
      <c r="F175" s="653">
        <v>30629863571</v>
      </c>
      <c r="G175" s="654" t="str">
        <f>IFERROR(IF(compras_mes123[[#This Row],[CUIT]]="","-",VLOOKUP(compras_mes123[[#This Row],[CUIT]],Lista_CUIT[#All],2,0)),"CUIT NO CARGADO")</f>
        <v>TECNIMAR S R L</v>
      </c>
      <c r="H175" s="615">
        <v>3680045</v>
      </c>
      <c r="I175" s="609">
        <f>IF(compras_mes123[[#This Row],[NETO GRAVADO]]="","",compras_mes123[[#This Row],[NETO GRAVADO]]*0.21)</f>
        <v>772809.45</v>
      </c>
      <c r="J175" s="609"/>
      <c r="K175" s="609"/>
      <c r="L175" s="609"/>
      <c r="M175" s="609"/>
      <c r="N175" s="609"/>
      <c r="O175" s="609"/>
      <c r="P175" s="610">
        <f>SUM(compras_mes123[[#This Row],[NETO GRAVADO]:[Otros / No Grav.]])</f>
        <v>4452854.45</v>
      </c>
      <c r="Q175" s="655" t="str">
        <f>IFERROR(IF(compras_mes123[[#This Row],[CUIT]]="","-",VLOOKUP(compras_mes123[[#This Row],[CUIT]],Lista_CUIT[#All],3,0)),"CUIT NO CARGADO")</f>
        <v>Productos Venta</v>
      </c>
      <c r="R175" s="655">
        <f>IFERROR(IF(compras_mes123[[#This Row],[CUIT]]="","-",VLOOKUP(compras_mes123[[#This Row],[CUIT]],Lista_CUIT[#All],4,0)),"CUIT NO CARGADO")</f>
        <v>0</v>
      </c>
    </row>
    <row r="176" spans="2:18">
      <c r="B176" s="665" t="s">
        <v>2533</v>
      </c>
      <c r="C176" s="650">
        <v>1</v>
      </c>
      <c r="D176" s="666">
        <v>6</v>
      </c>
      <c r="E176" s="667">
        <v>3366</v>
      </c>
      <c r="F176" s="653">
        <v>30574603788</v>
      </c>
      <c r="G176" s="668" t="str">
        <f>IFERROR(IF(compras_mes123[[#This Row],[CUIT]]="","-",VLOOKUP(compras_mes123[[#This Row],[CUIT]],Lista_CUIT[#All],2,0)),"CUIT NO CARGADO")</f>
        <v>CODAC SRL</v>
      </c>
      <c r="H176" s="669">
        <v>1616551</v>
      </c>
      <c r="I176" s="609">
        <f>IF(compras_mes123[[#This Row],[NETO GRAVADO]]="","",compras_mes123[[#This Row],[NETO GRAVADO]]*0.21)</f>
        <v>339475.70999999996</v>
      </c>
      <c r="J176" s="670"/>
      <c r="K176" s="670"/>
      <c r="L176" s="670"/>
      <c r="M176" s="670"/>
      <c r="N176" s="670"/>
      <c r="O176" s="670"/>
      <c r="P176" s="671">
        <f>SUM(compras_mes123[[#This Row],[NETO GRAVADO]:[Otros / No Grav.]])</f>
        <v>1956026.71</v>
      </c>
      <c r="Q176" s="672" t="str">
        <f>IFERROR(IF(compras_mes123[[#This Row],[CUIT]]="","-",VLOOKUP(compras_mes123[[#This Row],[CUIT]],Lista_CUIT[#All],3,0)),"CUIT NO CARGADO")</f>
        <v>Productos Venta</v>
      </c>
      <c r="R176" s="672" t="str">
        <f>IFERROR(IF(compras_mes123[[#This Row],[CUIT]]="","-",VLOOKUP(compras_mes123[[#This Row],[CUIT]],Lista_CUIT[#All],4,0)),"CUIT NO CARGADO")</f>
        <v>BUENOS AIRES</v>
      </c>
    </row>
    <row r="177" spans="2:18">
      <c r="B177" s="649" t="s">
        <v>2535</v>
      </c>
      <c r="C177" s="650">
        <v>1</v>
      </c>
      <c r="D177" s="651">
        <v>2</v>
      </c>
      <c r="E177" s="652">
        <v>8921</v>
      </c>
      <c r="F177" s="653">
        <v>33714677239</v>
      </c>
      <c r="G177" s="654" t="str">
        <f>IFERROR(IF(compras_mes123[[#This Row],[CUIT]]="","-",VLOOKUP(compras_mes123[[#This Row],[CUIT]],Lista_CUIT[#All],2,0)),"CUIT NO CARGADO")</f>
        <v xml:space="preserve">BOMBAS VAPORIZADORAS </v>
      </c>
      <c r="H177" s="615">
        <v>4192250</v>
      </c>
      <c r="I177" s="609">
        <f>IF(compras_mes123[[#This Row],[NETO GRAVADO]]="","",compras_mes123[[#This Row],[NETO GRAVADO]]*0.21)</f>
        <v>880372.5</v>
      </c>
      <c r="J177" s="609"/>
      <c r="K177" s="609"/>
      <c r="L177" s="609"/>
      <c r="M177" s="609"/>
      <c r="N177" s="609"/>
      <c r="O177" s="609"/>
      <c r="P177" s="610">
        <f>SUM(compras_mes123[[#This Row],[NETO GRAVADO]:[Otros / No Grav.]])</f>
        <v>5072622.5</v>
      </c>
      <c r="Q177" s="655" t="str">
        <f>IFERROR(IF(compras_mes123[[#This Row],[CUIT]]="","-",VLOOKUP(compras_mes123[[#This Row],[CUIT]],Lista_CUIT[#All],3,0)),"CUIT NO CARGADO")</f>
        <v>Productos Venta</v>
      </c>
      <c r="R177" s="655">
        <f>IFERROR(IF(compras_mes123[[#This Row],[CUIT]]="","-",VLOOKUP(compras_mes123[[#This Row],[CUIT]],Lista_CUIT[#All],4,0)),"CUIT NO CARGADO")</f>
        <v>0</v>
      </c>
    </row>
    <row r="178" spans="2:18">
      <c r="B178" s="649" t="s">
        <v>2535</v>
      </c>
      <c r="C178" s="650">
        <v>1</v>
      </c>
      <c r="D178" s="651">
        <v>2</v>
      </c>
      <c r="E178" s="652">
        <v>3875</v>
      </c>
      <c r="F178" s="653">
        <v>30629863571</v>
      </c>
      <c r="G178" s="654" t="str">
        <f>IFERROR(IF(compras_mes123[[#This Row],[CUIT]]="","-",VLOOKUP(compras_mes123[[#This Row],[CUIT]],Lista_CUIT[#All],2,0)),"CUIT NO CARGADO")</f>
        <v>TECNIMAR S R L</v>
      </c>
      <c r="H178" s="615">
        <v>2126136.75</v>
      </c>
      <c r="I178" s="609">
        <f>IF(compras_mes123[[#This Row],[NETO GRAVADO]]="","",compras_mes123[[#This Row],[NETO GRAVADO]]*0.21)</f>
        <v>446488.71749999997</v>
      </c>
      <c r="J178" s="609"/>
      <c r="K178" s="609"/>
      <c r="L178" s="609"/>
      <c r="M178" s="609"/>
      <c r="N178" s="609"/>
      <c r="O178" s="609"/>
      <c r="P178" s="610">
        <f>SUM(compras_mes123[[#This Row],[NETO GRAVADO]:[Otros / No Grav.]])</f>
        <v>2572625.4674999998</v>
      </c>
      <c r="Q178" s="655" t="str">
        <f>IFERROR(IF(compras_mes123[[#This Row],[CUIT]]="","-",VLOOKUP(compras_mes123[[#This Row],[CUIT]],Lista_CUIT[#All],3,0)),"CUIT NO CARGADO")</f>
        <v>Productos Venta</v>
      </c>
      <c r="R178" s="655">
        <f>IFERROR(IF(compras_mes123[[#This Row],[CUIT]]="","-",VLOOKUP(compras_mes123[[#This Row],[CUIT]],Lista_CUIT[#All],4,0)),"CUIT NO CARGADO")</f>
        <v>0</v>
      </c>
    </row>
    <row r="179" spans="2:18">
      <c r="B179" s="649" t="s">
        <v>2535</v>
      </c>
      <c r="C179" s="650">
        <v>1</v>
      </c>
      <c r="D179" s="651">
        <v>5</v>
      </c>
      <c r="E179" s="652">
        <v>21915</v>
      </c>
      <c r="F179" s="653">
        <v>30616146447</v>
      </c>
      <c r="G179" s="654" t="str">
        <f>IFERROR(IF(compras_mes123[[#This Row],[CUIT]]="","-",VLOOKUP(compras_mes123[[#This Row],[CUIT]],Lista_CUIT[#All],2,0)),"CUIT NO CARGADO")</f>
        <v>EGEO SOCIEDAD DE RESPONSABILIDAD LIMITADA</v>
      </c>
      <c r="H179" s="615">
        <v>617499.625</v>
      </c>
      <c r="I179" s="609">
        <f>IF(compras_mes123[[#This Row],[NETO GRAVADO]]="","",compras_mes123[[#This Row],[NETO GRAVADO]]*0.21)</f>
        <v>129674.92125</v>
      </c>
      <c r="J179" s="609"/>
      <c r="K179" s="609"/>
      <c r="L179" s="609"/>
      <c r="M179" s="609"/>
      <c r="N179" s="609"/>
      <c r="O179" s="609"/>
      <c r="P179" s="610">
        <f>SUM(compras_mes123[[#This Row],[NETO GRAVADO]:[Otros / No Grav.]])</f>
        <v>747174.54625000001</v>
      </c>
      <c r="Q179" s="655" t="str">
        <f>IFERROR(IF(compras_mes123[[#This Row],[CUIT]]="","-",VLOOKUP(compras_mes123[[#This Row],[CUIT]],Lista_CUIT[#All],3,0)),"CUIT NO CARGADO")</f>
        <v>Productos Venta</v>
      </c>
      <c r="R179" s="655">
        <f>IFERROR(IF(compras_mes123[[#This Row],[CUIT]]="","-",VLOOKUP(compras_mes123[[#This Row],[CUIT]],Lista_CUIT[#All],4,0)),"CUIT NO CARGADO")</f>
        <v>0</v>
      </c>
    </row>
    <row r="180" spans="2:18">
      <c r="B180" s="649" t="s">
        <v>2537</v>
      </c>
      <c r="C180" s="650">
        <v>1</v>
      </c>
      <c r="D180" s="651">
        <v>6</v>
      </c>
      <c r="E180" s="652">
        <v>3370</v>
      </c>
      <c r="F180" s="653">
        <v>30574603788</v>
      </c>
      <c r="G180" s="654" t="str">
        <f>IFERROR(IF(compras_mes123[[#This Row],[CUIT]]="","-",VLOOKUP(compras_mes123[[#This Row],[CUIT]],Lista_CUIT[#All],2,0)),"CUIT NO CARGADO")</f>
        <v>CODAC SRL</v>
      </c>
      <c r="H180" s="615">
        <v>5395180</v>
      </c>
      <c r="I180" s="609">
        <f>IF(compras_mes123[[#This Row],[NETO GRAVADO]]="","",compras_mes123[[#This Row],[NETO GRAVADO]]*0.21)</f>
        <v>1132987.8</v>
      </c>
      <c r="J180" s="609"/>
      <c r="K180" s="609"/>
      <c r="L180" s="609"/>
      <c r="M180" s="609"/>
      <c r="N180" s="609"/>
      <c r="O180" s="609"/>
      <c r="P180" s="610">
        <f>SUM(compras_mes123[[#This Row],[NETO GRAVADO]:[Otros / No Grav.]])</f>
        <v>6528167.7999999998</v>
      </c>
      <c r="Q180" s="655" t="str">
        <f>IFERROR(IF(compras_mes123[[#This Row],[CUIT]]="","-",VLOOKUP(compras_mes123[[#This Row],[CUIT]],Lista_CUIT[#All],3,0)),"CUIT NO CARGADO")</f>
        <v>Productos Venta</v>
      </c>
      <c r="R180" s="655" t="str">
        <f>IFERROR(IF(compras_mes123[[#This Row],[CUIT]]="","-",VLOOKUP(compras_mes123[[#This Row],[CUIT]],Lista_CUIT[#All],4,0)),"CUIT NO CARGADO")</f>
        <v>BUENOS AIRES</v>
      </c>
    </row>
    <row r="181" spans="2:18">
      <c r="B181" s="656" t="s">
        <v>2537</v>
      </c>
      <c r="C181" s="650">
        <v>1</v>
      </c>
      <c r="D181" s="657">
        <v>2</v>
      </c>
      <c r="E181" s="658">
        <v>3876</v>
      </c>
      <c r="F181" s="659">
        <v>30629863571</v>
      </c>
      <c r="G181" s="660" t="str">
        <f>IFERROR(IF(compras_mes123[[#This Row],[CUIT]]="","-",VLOOKUP(compras_mes123[[#This Row],[CUIT]],Lista_CUIT[#All],2,0)),"CUIT NO CARGADO")</f>
        <v>TECNIMAR S R L</v>
      </c>
      <c r="H181" s="661">
        <v>1511599.5</v>
      </c>
      <c r="I181" s="609">
        <f>IF(compras_mes123[[#This Row],[NETO GRAVADO]]="","",compras_mes123[[#This Row],[NETO GRAVADO]]*0.21)</f>
        <v>317435.89499999996</v>
      </c>
      <c r="J181" s="662"/>
      <c r="K181" s="662"/>
      <c r="L181" s="662"/>
      <c r="M181" s="662"/>
      <c r="N181" s="662"/>
      <c r="O181" s="662"/>
      <c r="P181" s="663">
        <f>SUM(compras_mes123[[#This Row],[NETO GRAVADO]:[Otros / No Grav.]])</f>
        <v>1829035.395</v>
      </c>
      <c r="Q181" s="664" t="str">
        <f>IFERROR(IF(compras_mes123[[#This Row],[CUIT]]="","-",VLOOKUP(compras_mes123[[#This Row],[CUIT]],Lista_CUIT[#All],3,0)),"CUIT NO CARGADO")</f>
        <v>Productos Venta</v>
      </c>
      <c r="R181" s="664">
        <f>IFERROR(IF(compras_mes123[[#This Row],[CUIT]]="","-",VLOOKUP(compras_mes123[[#This Row],[CUIT]],Lista_CUIT[#All],4,0)),"CUIT NO CARGADO")</f>
        <v>0</v>
      </c>
    </row>
    <row r="182" spans="2:18">
      <c r="B182" s="649" t="s">
        <v>2536</v>
      </c>
      <c r="C182" s="650">
        <v>1</v>
      </c>
      <c r="D182" s="651">
        <v>1</v>
      </c>
      <c r="E182" s="652">
        <v>122</v>
      </c>
      <c r="F182" s="653">
        <v>30718148207</v>
      </c>
      <c r="G182" s="654" t="str">
        <f>IFERROR(IF(compras_mes123[[#This Row],[CUIT]]="","-",VLOOKUP(compras_mes123[[#This Row],[CUIT]],Lista_CUIT[#All],2,0)),"CUIT NO CARGADO")</f>
        <v>VIPA INTERNATIONAL S.R.L.</v>
      </c>
      <c r="H182" s="615">
        <v>2250000</v>
      </c>
      <c r="I182" s="609">
        <f>IF(compras_mes123[[#This Row],[NETO GRAVADO]]="","",compras_mes123[[#This Row],[NETO GRAVADO]]*0.21)</f>
        <v>472500</v>
      </c>
      <c r="J182" s="609"/>
      <c r="K182" s="609"/>
      <c r="L182" s="609"/>
      <c r="M182" s="609"/>
      <c r="N182" s="609"/>
      <c r="O182" s="609"/>
      <c r="P182" s="610">
        <f>SUM(compras_mes123[[#This Row],[NETO GRAVADO]:[Otros / No Grav.]])</f>
        <v>2722500</v>
      </c>
      <c r="Q182" s="655" t="str">
        <f>IFERROR(IF(compras_mes123[[#This Row],[CUIT]]="","-",VLOOKUP(compras_mes123[[#This Row],[CUIT]],Lista_CUIT[#All],3,0)),"CUIT NO CARGADO")</f>
        <v>Productos Venta</v>
      </c>
      <c r="R182" s="655">
        <f>IFERROR(IF(compras_mes123[[#This Row],[CUIT]]="","-",VLOOKUP(compras_mes123[[#This Row],[CUIT]],Lista_CUIT[#All],4,0)),"CUIT NO CARGADO")</f>
        <v>0</v>
      </c>
    </row>
    <row r="183" spans="2:18">
      <c r="B183" s="656" t="s">
        <v>2536</v>
      </c>
      <c r="C183" s="650">
        <v>1</v>
      </c>
      <c r="D183" s="657">
        <v>2</v>
      </c>
      <c r="E183" s="658">
        <v>3880</v>
      </c>
      <c r="F183" s="659">
        <v>30629863571</v>
      </c>
      <c r="G183" s="660" t="str">
        <f>IFERROR(IF(compras_mes123[[#This Row],[CUIT]]="","-",VLOOKUP(compras_mes123[[#This Row],[CUIT]],Lista_CUIT[#All],2,0)),"CUIT NO CARGADO")</f>
        <v>TECNIMAR S R L</v>
      </c>
      <c r="H183" s="661">
        <v>1345831.25</v>
      </c>
      <c r="I183" s="609">
        <f>IF(compras_mes123[[#This Row],[NETO GRAVADO]]="","",compras_mes123[[#This Row],[NETO GRAVADO]]*0.21)</f>
        <v>282624.5625</v>
      </c>
      <c r="J183" s="662"/>
      <c r="K183" s="662"/>
      <c r="L183" s="662"/>
      <c r="M183" s="662"/>
      <c r="N183" s="662"/>
      <c r="O183" s="662"/>
      <c r="P183" s="663">
        <f>SUM(compras_mes123[[#This Row],[NETO GRAVADO]:[Otros / No Grav.]])</f>
        <v>1628455.8125</v>
      </c>
      <c r="Q183" s="664" t="str">
        <f>IFERROR(IF(compras_mes123[[#This Row],[CUIT]]="","-",VLOOKUP(compras_mes123[[#This Row],[CUIT]],Lista_CUIT[#All],3,0)),"CUIT NO CARGADO")</f>
        <v>Productos Venta</v>
      </c>
      <c r="R183" s="664">
        <f>IFERROR(IF(compras_mes123[[#This Row],[CUIT]]="","-",VLOOKUP(compras_mes123[[#This Row],[CUIT]],Lista_CUIT[#All],4,0)),"CUIT NO CARGADO")</f>
        <v>0</v>
      </c>
    </row>
    <row r="184" spans="2:18">
      <c r="B184" s="649" t="s">
        <v>2530</v>
      </c>
      <c r="C184" s="650">
        <v>1</v>
      </c>
      <c r="D184" s="651">
        <v>2</v>
      </c>
      <c r="E184" s="652">
        <v>3883</v>
      </c>
      <c r="F184" s="653">
        <v>30629863571</v>
      </c>
      <c r="G184" s="654" t="str">
        <f>IFERROR(IF(compras_mes123[[#This Row],[CUIT]]="","-",VLOOKUP(compras_mes123[[#This Row],[CUIT]],Lista_CUIT[#All],2,0)),"CUIT NO CARGADO")</f>
        <v>TECNIMAR S R L</v>
      </c>
      <c r="H184" s="615">
        <v>1763072</v>
      </c>
      <c r="I184" s="609">
        <f>IF(compras_mes123[[#This Row],[NETO GRAVADO]]="","",compras_mes123[[#This Row],[NETO GRAVADO]]*0.21)</f>
        <v>370245.12</v>
      </c>
      <c r="J184" s="609"/>
      <c r="K184" s="609"/>
      <c r="L184" s="609"/>
      <c r="M184" s="609"/>
      <c r="N184" s="609"/>
      <c r="O184" s="609"/>
      <c r="P184" s="610">
        <f>SUM(compras_mes123[[#This Row],[NETO GRAVADO]:[Otros / No Grav.]])</f>
        <v>2133317.12</v>
      </c>
      <c r="Q184" s="655" t="str">
        <f>IFERROR(IF(compras_mes123[[#This Row],[CUIT]]="","-",VLOOKUP(compras_mes123[[#This Row],[CUIT]],Lista_CUIT[#All],3,0)),"CUIT NO CARGADO")</f>
        <v>Productos Venta</v>
      </c>
      <c r="R184" s="655">
        <f>IFERROR(IF(compras_mes123[[#This Row],[CUIT]]="","-",VLOOKUP(compras_mes123[[#This Row],[CUIT]],Lista_CUIT[#All],4,0)),"CUIT NO CARGADO")</f>
        <v>0</v>
      </c>
    </row>
    <row r="185" spans="2:18">
      <c r="B185" s="649" t="s">
        <v>2538</v>
      </c>
      <c r="C185" s="650">
        <v>1</v>
      </c>
      <c r="D185" s="651">
        <v>2</v>
      </c>
      <c r="E185" s="652">
        <v>3884</v>
      </c>
      <c r="F185" s="653">
        <v>30629863571</v>
      </c>
      <c r="G185" s="654" t="str">
        <f>IFERROR(IF(compras_mes123[[#This Row],[CUIT]]="","-",VLOOKUP(compras_mes123[[#This Row],[CUIT]],Lista_CUIT[#All],2,0)),"CUIT NO CARGADO")</f>
        <v>TECNIMAR S R L</v>
      </c>
      <c r="H185" s="615">
        <v>2973060.125</v>
      </c>
      <c r="I185" s="609">
        <f>IF(compras_mes123[[#This Row],[NETO GRAVADO]]="","",compras_mes123[[#This Row],[NETO GRAVADO]]*0.21)</f>
        <v>624342.62624999997</v>
      </c>
      <c r="J185" s="609"/>
      <c r="K185" s="609"/>
      <c r="L185" s="609"/>
      <c r="M185" s="609"/>
      <c r="N185" s="609"/>
      <c r="O185" s="609"/>
      <c r="P185" s="610">
        <f>SUM(compras_mes123[[#This Row],[NETO GRAVADO]:[Otros / No Grav.]])</f>
        <v>3597402.7512499997</v>
      </c>
      <c r="Q185" s="655" t="str">
        <f>IFERROR(IF(compras_mes123[[#This Row],[CUIT]]="","-",VLOOKUP(compras_mes123[[#This Row],[CUIT]],Lista_CUIT[#All],3,0)),"CUIT NO CARGADO")</f>
        <v>Productos Venta</v>
      </c>
      <c r="R185" s="655">
        <f>IFERROR(IF(compras_mes123[[#This Row],[CUIT]]="","-",VLOOKUP(compras_mes123[[#This Row],[CUIT]],Lista_CUIT[#All],4,0)),"CUIT NO CARGADO")</f>
        <v>0</v>
      </c>
    </row>
    <row r="186" spans="2:18">
      <c r="B186" s="656" t="s">
        <v>2540</v>
      </c>
      <c r="C186" s="650">
        <v>1</v>
      </c>
      <c r="D186" s="657">
        <v>1</v>
      </c>
      <c r="E186" s="658">
        <v>124</v>
      </c>
      <c r="F186" s="659">
        <v>30718148207</v>
      </c>
      <c r="G186" s="660" t="str">
        <f>IFERROR(IF(compras_mes123[[#This Row],[CUIT]]="","-",VLOOKUP(compras_mes123[[#This Row],[CUIT]],Lista_CUIT[#All],2,0)),"CUIT NO CARGADO")</f>
        <v>VIPA INTERNATIONAL S.R.L.</v>
      </c>
      <c r="H186" s="661">
        <v>3330000</v>
      </c>
      <c r="I186" s="609">
        <f>IF(compras_mes123[[#This Row],[NETO GRAVADO]]="","",compras_mes123[[#This Row],[NETO GRAVADO]]*0.21)</f>
        <v>699300</v>
      </c>
      <c r="J186" s="662"/>
      <c r="K186" s="662"/>
      <c r="L186" s="662"/>
      <c r="M186" s="662"/>
      <c r="N186" s="662"/>
      <c r="O186" s="662"/>
      <c r="P186" s="663">
        <f>SUM(compras_mes123[[#This Row],[NETO GRAVADO]:[Otros / No Grav.]])</f>
        <v>4029300</v>
      </c>
      <c r="Q186" s="664" t="str">
        <f>IFERROR(IF(compras_mes123[[#This Row],[CUIT]]="","-",VLOOKUP(compras_mes123[[#This Row],[CUIT]],Lista_CUIT[#All],3,0)),"CUIT NO CARGADO")</f>
        <v>Productos Venta</v>
      </c>
      <c r="R186" s="664">
        <f>IFERROR(IF(compras_mes123[[#This Row],[CUIT]]="","-",VLOOKUP(compras_mes123[[#This Row],[CUIT]],Lista_CUIT[#All],4,0)),"CUIT NO CARGADO")</f>
        <v>0</v>
      </c>
    </row>
    <row r="187" spans="2:18">
      <c r="B187" s="656" t="s">
        <v>2540</v>
      </c>
      <c r="C187" s="650">
        <v>1</v>
      </c>
      <c r="D187" s="657">
        <v>1</v>
      </c>
      <c r="E187" s="658">
        <v>123</v>
      </c>
      <c r="F187" s="659">
        <v>30718148207</v>
      </c>
      <c r="G187" s="660" t="str">
        <f>IFERROR(IF(compras_mes123[[#This Row],[CUIT]]="","-",VLOOKUP(compras_mes123[[#This Row],[CUIT]],Lista_CUIT[#All],2,0)),"CUIT NO CARGADO")</f>
        <v>VIPA INTERNATIONAL S.R.L.</v>
      </c>
      <c r="H187" s="661">
        <v>2250000</v>
      </c>
      <c r="I187" s="609">
        <f>IF(compras_mes123[[#This Row],[NETO GRAVADO]]="","",compras_mes123[[#This Row],[NETO GRAVADO]]*0.21)</f>
        <v>472500</v>
      </c>
      <c r="J187" s="662"/>
      <c r="K187" s="662"/>
      <c r="L187" s="662"/>
      <c r="M187" s="662"/>
      <c r="N187" s="662"/>
      <c r="O187" s="662"/>
      <c r="P187" s="663">
        <f>SUM(compras_mes123[[#This Row],[NETO GRAVADO]:[Otros / No Grav.]])</f>
        <v>2722500</v>
      </c>
      <c r="Q187" s="664" t="str">
        <f>IFERROR(IF(compras_mes123[[#This Row],[CUIT]]="","-",VLOOKUP(compras_mes123[[#This Row],[CUIT]],Lista_CUIT[#All],3,0)),"CUIT NO CARGADO")</f>
        <v>Productos Venta</v>
      </c>
      <c r="R187" s="664">
        <f>IFERROR(IF(compras_mes123[[#This Row],[CUIT]]="","-",VLOOKUP(compras_mes123[[#This Row],[CUIT]],Lista_CUIT[#All],4,0)),"CUIT NO CARGADO")</f>
        <v>0</v>
      </c>
    </row>
    <row r="188" spans="2:18">
      <c r="B188" s="649" t="s">
        <v>2540</v>
      </c>
      <c r="C188" s="650">
        <v>1</v>
      </c>
      <c r="D188" s="651">
        <v>6</v>
      </c>
      <c r="E188" s="652">
        <v>3376</v>
      </c>
      <c r="F188" s="653">
        <v>30574603788</v>
      </c>
      <c r="G188" s="654" t="str">
        <f>IFERROR(IF(compras_mes123[[#This Row],[CUIT]]="","-",VLOOKUP(compras_mes123[[#This Row],[CUIT]],Lista_CUIT[#All],2,0)),"CUIT NO CARGADO")</f>
        <v>CODAC SRL</v>
      </c>
      <c r="H188" s="615">
        <v>1149927.03125</v>
      </c>
      <c r="I188" s="609">
        <f>IF(compras_mes123[[#This Row],[NETO GRAVADO]]="","",compras_mes123[[#This Row],[NETO GRAVADO]]*0.21)</f>
        <v>241484.67656249998</v>
      </c>
      <c r="J188" s="609"/>
      <c r="K188" s="609"/>
      <c r="L188" s="609"/>
      <c r="M188" s="609"/>
      <c r="N188" s="609"/>
      <c r="O188" s="609"/>
      <c r="P188" s="610">
        <f>SUM(compras_mes123[[#This Row],[NETO GRAVADO]:[Otros / No Grav.]])</f>
        <v>1391411.7078125</v>
      </c>
      <c r="Q188" s="655" t="str">
        <f>IFERROR(IF(compras_mes123[[#This Row],[CUIT]]="","-",VLOOKUP(compras_mes123[[#This Row],[CUIT]],Lista_CUIT[#All],3,0)),"CUIT NO CARGADO")</f>
        <v>Productos Venta</v>
      </c>
      <c r="R188" s="655" t="str">
        <f>IFERROR(IF(compras_mes123[[#This Row],[CUIT]]="","-",VLOOKUP(compras_mes123[[#This Row],[CUIT]],Lista_CUIT[#All],4,0)),"CUIT NO CARGADO")</f>
        <v>BUENOS AIRES</v>
      </c>
    </row>
    <row r="189" spans="2:18">
      <c r="B189" s="649" t="s">
        <v>2540</v>
      </c>
      <c r="C189" s="650">
        <v>1</v>
      </c>
      <c r="D189" s="651">
        <v>2</v>
      </c>
      <c r="E189" s="652">
        <v>3885</v>
      </c>
      <c r="F189" s="653">
        <v>30629863571</v>
      </c>
      <c r="G189" s="654" t="str">
        <f>IFERROR(IF(compras_mes123[[#This Row],[CUIT]]="","-",VLOOKUP(compras_mes123[[#This Row],[CUIT]],Lista_CUIT[#All],2,0)),"CUIT NO CARGADO")</f>
        <v>TECNIMAR S R L</v>
      </c>
      <c r="H189" s="615">
        <v>289927.2265625</v>
      </c>
      <c r="I189" s="609">
        <f>IF(compras_mes123[[#This Row],[NETO GRAVADO]]="","",compras_mes123[[#This Row],[NETO GRAVADO]]*0.21)</f>
        <v>60884.717578124997</v>
      </c>
      <c r="J189" s="609"/>
      <c r="K189" s="609"/>
      <c r="L189" s="609"/>
      <c r="M189" s="609"/>
      <c r="N189" s="609"/>
      <c r="O189" s="609"/>
      <c r="P189" s="610">
        <f>SUM(compras_mes123[[#This Row],[NETO GRAVADO]:[Otros / No Grav.]])</f>
        <v>350811.94414062501</v>
      </c>
      <c r="Q189" s="655" t="str">
        <f>IFERROR(IF(compras_mes123[[#This Row],[CUIT]]="","-",VLOOKUP(compras_mes123[[#This Row],[CUIT]],Lista_CUIT[#All],3,0)),"CUIT NO CARGADO")</f>
        <v>Productos Venta</v>
      </c>
      <c r="R189" s="655">
        <f>IFERROR(IF(compras_mes123[[#This Row],[CUIT]]="","-",VLOOKUP(compras_mes123[[#This Row],[CUIT]],Lista_CUIT[#All],4,0)),"CUIT NO CARGADO")</f>
        <v>0</v>
      </c>
    </row>
    <row r="190" spans="2:18">
      <c r="B190" s="649" t="s">
        <v>2541</v>
      </c>
      <c r="C190" s="650">
        <v>1</v>
      </c>
      <c r="D190" s="651">
        <v>2</v>
      </c>
      <c r="E190" s="652">
        <v>3892</v>
      </c>
      <c r="F190" s="653">
        <v>30629863571</v>
      </c>
      <c r="G190" s="654" t="str">
        <f>IFERROR(IF(compras_mes123[[#This Row],[CUIT]]="","-",VLOOKUP(compras_mes123[[#This Row],[CUIT]],Lista_CUIT[#All],2,0)),"CUIT NO CARGADO")</f>
        <v>TECNIMAR S R L</v>
      </c>
      <c r="H190" s="615">
        <v>3113544.6875</v>
      </c>
      <c r="I190" s="609">
        <f>IF(compras_mes123[[#This Row],[NETO GRAVADO]]="","",compras_mes123[[#This Row],[NETO GRAVADO]]*0.21)</f>
        <v>653844.38437500002</v>
      </c>
      <c r="J190" s="609"/>
      <c r="K190" s="609"/>
      <c r="L190" s="609"/>
      <c r="M190" s="609"/>
      <c r="N190" s="609"/>
      <c r="O190" s="609"/>
      <c r="P190" s="610">
        <f>SUM(compras_mes123[[#This Row],[NETO GRAVADO]:[Otros / No Grav.]])</f>
        <v>3767389.0718749999</v>
      </c>
      <c r="Q190" s="655" t="str">
        <f>IFERROR(IF(compras_mes123[[#This Row],[CUIT]]="","-",VLOOKUP(compras_mes123[[#This Row],[CUIT]],Lista_CUIT[#All],3,0)),"CUIT NO CARGADO")</f>
        <v>Productos Venta</v>
      </c>
      <c r="R190" s="655">
        <f>IFERROR(IF(compras_mes123[[#This Row],[CUIT]]="","-",VLOOKUP(compras_mes123[[#This Row],[CUIT]],Lista_CUIT[#All],4,0)),"CUIT NO CARGADO")</f>
        <v>0</v>
      </c>
    </row>
    <row r="191" spans="2:18">
      <c r="B191" s="40" t="s">
        <v>2522</v>
      </c>
      <c r="C191" s="41">
        <v>1</v>
      </c>
      <c r="D191" s="42">
        <v>501</v>
      </c>
      <c r="E191" s="43">
        <v>35372134</v>
      </c>
      <c r="F191" s="44">
        <v>30655116512</v>
      </c>
      <c r="G191" s="45" t="str">
        <f>IFERROR(IF(compras_mes123[[#This Row],[CUIT]]="","-",VLOOKUP(compras_mes123[[#This Row],[CUIT]],Lista_CUIT[#All],2,0)),"CUIT NO CARGADO")</f>
        <v>Empresa Distribuidora Sur S.A.</v>
      </c>
      <c r="H191" s="46">
        <v>66479.1884765625</v>
      </c>
      <c r="I191" s="85">
        <f>IF(compras_mes123[[#This Row],[NETO GRAVADO]]="","",compras_mes123[[#This Row],[NETO GRAVADO]]*0.21)</f>
        <v>13960.629580078124</v>
      </c>
      <c r="J191" s="85"/>
      <c r="K191" s="85"/>
      <c r="L191" s="85"/>
      <c r="M191" s="85"/>
      <c r="N191" s="85"/>
      <c r="O191" s="85">
        <v>9742.759765625</v>
      </c>
      <c r="P191" s="48">
        <f>SUM(compras_mes123[[#This Row],[NETO GRAVADO]:[Otros / No Grav.]])</f>
        <v>90182.577822265623</v>
      </c>
      <c r="Q191" s="49" t="str">
        <f>IFERROR(IF(compras_mes123[[#This Row],[CUIT]]="","-",VLOOKUP(compras_mes123[[#This Row],[CUIT]],Lista_CUIT[#All],3,0)),"CUIT NO CARGADO")</f>
        <v>Servicios Gas, Luz, etc.</v>
      </c>
      <c r="R191" s="49">
        <f>IFERROR(IF(compras_mes123[[#This Row],[CUIT]]="","-",VLOOKUP(compras_mes123[[#This Row],[CUIT]],Lista_CUIT[#All],4,0)),"CUIT NO CARGADO")</f>
        <v>0</v>
      </c>
    </row>
    <row r="192" spans="2:18">
      <c r="B192" s="40" t="s">
        <v>2522</v>
      </c>
      <c r="C192" s="41">
        <v>1</v>
      </c>
      <c r="D192" s="42">
        <v>26</v>
      </c>
      <c r="E192" s="43">
        <v>33014555</v>
      </c>
      <c r="F192" s="44">
        <v>30655116202</v>
      </c>
      <c r="G192" s="45" t="str">
        <f>IFERROR(IF(compras_mes123[[#This Row],[CUIT]]="","-",VLOOKUP(compras_mes123[[#This Row],[CUIT]],Lista_CUIT[#All],2,0)),"CUIT NO CARGADO")</f>
        <v xml:space="preserve">EDENOR </v>
      </c>
      <c r="H192" s="46">
        <v>81639.70703125</v>
      </c>
      <c r="I192" s="85"/>
      <c r="J192" s="85">
        <v>22042.720703125</v>
      </c>
      <c r="K192" s="85"/>
      <c r="L192" s="85"/>
      <c r="M192" s="85"/>
      <c r="N192" s="85"/>
      <c r="O192" s="85">
        <v>6061.7001953125</v>
      </c>
      <c r="P192" s="48">
        <f>SUM(compras_mes123[[#This Row],[NETO GRAVADO]:[Otros / No Grav.]])</f>
        <v>109744.1279296875</v>
      </c>
      <c r="Q192" s="49" t="str">
        <f>IFERROR(IF(compras_mes123[[#This Row],[CUIT]]="","-",VLOOKUP(compras_mes123[[#This Row],[CUIT]],Lista_CUIT[#All],3,0)),"CUIT NO CARGADO")</f>
        <v>Servicios Gas, Luz, etc.</v>
      </c>
      <c r="R192" s="49">
        <f>IFERROR(IF(compras_mes123[[#This Row],[CUIT]]="","-",VLOOKUP(compras_mes123[[#This Row],[CUIT]],Lista_CUIT[#All],4,0)),"CUIT NO CARGADO")</f>
        <v>0</v>
      </c>
    </row>
    <row r="193" spans="2:18">
      <c r="B193" s="40" t="s">
        <v>2522</v>
      </c>
      <c r="C193" s="41">
        <v>1</v>
      </c>
      <c r="D193" s="42">
        <v>664</v>
      </c>
      <c r="E193" s="43">
        <v>20003282</v>
      </c>
      <c r="F193" s="44">
        <v>30657863676</v>
      </c>
      <c r="G193" s="45" t="str">
        <f>IFERROR(IF(compras_mes123[[#This Row],[CUIT]]="","-",VLOOKUP(compras_mes123[[#This Row],[CUIT]],Lista_CUIT[#All],2,0)),"CUIT NO CARGADO")</f>
        <v>METROGAS S A</v>
      </c>
      <c r="H193" s="46">
        <v>25628.2302246094</v>
      </c>
      <c r="I193" s="85">
        <f>IF(compras_mes123[[#This Row],[NETO GRAVADO]]="","",compras_mes123[[#This Row],[NETO GRAVADO]]*0.21)</f>
        <v>5381.9283471679737</v>
      </c>
      <c r="J193" s="85"/>
      <c r="K193" s="85"/>
      <c r="L193" s="85"/>
      <c r="M193" s="85">
        <v>1211.06005859375</v>
      </c>
      <c r="N193" s="85"/>
      <c r="O193" s="85">
        <v>2098.94995117188</v>
      </c>
      <c r="P193" s="48">
        <f>SUM(compras_mes123[[#This Row],[NETO GRAVADO]:[Otros / No Grav.]])</f>
        <v>34320.168581543003</v>
      </c>
      <c r="Q193" s="49" t="str">
        <f>IFERROR(IF(compras_mes123[[#This Row],[CUIT]]="","-",VLOOKUP(compras_mes123[[#This Row],[CUIT]],Lista_CUIT[#All],3,0)),"CUIT NO CARGADO")</f>
        <v>Servicios Gas, Luz, etc.</v>
      </c>
      <c r="R193" s="49">
        <f>IFERROR(IF(compras_mes123[[#This Row],[CUIT]]="","-",VLOOKUP(compras_mes123[[#This Row],[CUIT]],Lista_CUIT[#All],4,0)),"CUIT NO CARGADO")</f>
        <v>0</v>
      </c>
    </row>
    <row r="194" spans="2:18">
      <c r="B194" s="167" t="s">
        <v>2564</v>
      </c>
      <c r="C194" s="168">
        <v>1</v>
      </c>
      <c r="D194" s="169">
        <v>3</v>
      </c>
      <c r="E194" s="170">
        <v>27089</v>
      </c>
      <c r="F194" s="171">
        <v>33707953549</v>
      </c>
      <c r="G194" s="172" t="str">
        <f>IFERROR(IF(compras_mes123[[#This Row],[CUIT]]="","-",VLOOKUP(compras_mes123[[#This Row],[CUIT]],Lista_CUIT[#All],2,0)),"CUIT NO CARGADO")</f>
        <v>TELESMART</v>
      </c>
      <c r="H194" s="173">
        <v>19500</v>
      </c>
      <c r="I194" s="174">
        <f>IF(compras_mes123[[#This Row],[NETO GRAVADO]]="","",compras_mes123[[#This Row],[NETO GRAVADO]]*0.21)</f>
        <v>4095</v>
      </c>
      <c r="J194" s="174"/>
      <c r="K194" s="174"/>
      <c r="L194" s="174"/>
      <c r="M194" s="174"/>
      <c r="N194" s="174"/>
      <c r="O194" s="174"/>
      <c r="P194" s="175">
        <f>SUM(compras_mes123[[#This Row],[NETO GRAVADO]:[Otros / No Grav.]])</f>
        <v>23595</v>
      </c>
      <c r="Q194" s="176" t="str">
        <f>IFERROR(IF(compras_mes123[[#This Row],[CUIT]]="","-",VLOOKUP(compras_mes123[[#This Row],[CUIT]],Lista_CUIT[#All],3,0)),"CUIT NO CARGADO")</f>
        <v>Servicios Gas, Luz, etc.</v>
      </c>
      <c r="R194" s="176">
        <f>IFERROR(IF(compras_mes123[[#This Row],[CUIT]]="","-",VLOOKUP(compras_mes123[[#This Row],[CUIT]],Lista_CUIT[#All],4,0)),"CUIT NO CARGADO")</f>
        <v>0</v>
      </c>
    </row>
    <row r="195" spans="2:18">
      <c r="B195" s="649" t="s">
        <v>2524</v>
      </c>
      <c r="C195" s="650">
        <v>1</v>
      </c>
      <c r="D195" s="651">
        <v>3099</v>
      </c>
      <c r="E195" s="652">
        <v>302017</v>
      </c>
      <c r="F195" s="653">
        <v>30678814357</v>
      </c>
      <c r="G195" s="654" t="str">
        <f>IFERROR(IF(compras_mes123[[#This Row],[CUIT]]="","-",VLOOKUP(compras_mes123[[#This Row],[CUIT]],Lista_CUIT[#All],2,0)),"CUIT NO CARGADO")</f>
        <v>TELEFONICA MOVILES ARG</v>
      </c>
      <c r="H195" s="615">
        <v>107881.392578125</v>
      </c>
      <c r="I195" s="609"/>
      <c r="J195" s="609">
        <v>29127.98046875</v>
      </c>
      <c r="K195" s="609"/>
      <c r="L195" s="609"/>
      <c r="M195" s="609"/>
      <c r="N195" s="609">
        <v>6472.89013671875</v>
      </c>
      <c r="O195" s="609"/>
      <c r="P195" s="610">
        <f>SUM(compras_mes123[[#This Row],[NETO GRAVADO]:[Otros / No Grav.]])</f>
        <v>143482.26318359375</v>
      </c>
      <c r="Q195" s="655" t="str">
        <f>IFERROR(IF(compras_mes123[[#This Row],[CUIT]]="","-",VLOOKUP(compras_mes123[[#This Row],[CUIT]],Lista_CUIT[#All],3,0)),"CUIT NO CARGADO")</f>
        <v>Servicios Gas, Luz, etc.</v>
      </c>
      <c r="R195" s="655">
        <f>IFERROR(IF(compras_mes123[[#This Row],[CUIT]]="","-",VLOOKUP(compras_mes123[[#This Row],[CUIT]],Lista_CUIT[#All],4,0)),"CUIT NO CARGADO")</f>
        <v>0</v>
      </c>
    </row>
    <row r="196" spans="2:18">
      <c r="B196" s="40" t="s">
        <v>2534</v>
      </c>
      <c r="C196" s="41">
        <v>1</v>
      </c>
      <c r="D196" s="42">
        <v>106</v>
      </c>
      <c r="E196" s="43">
        <v>98851197</v>
      </c>
      <c r="F196" s="44">
        <v>30709565075</v>
      </c>
      <c r="G196" s="45" t="str">
        <f>IFERROR(IF(compras_mes123[[#This Row],[CUIT]]="","-",VLOOKUP(compras_mes123[[#This Row],[CUIT]],Lista_CUIT[#All],2,0)),"CUIT NO CARGADO")</f>
        <v>AYSA S.A</v>
      </c>
      <c r="H196" s="46">
        <v>81880.289428710894</v>
      </c>
      <c r="I196" s="85"/>
      <c r="J196" s="85">
        <v>22107.6796875</v>
      </c>
      <c r="K196" s="85"/>
      <c r="L196" s="85"/>
      <c r="M196" s="85"/>
      <c r="N196" s="85"/>
      <c r="O196" s="85">
        <v>1465.66003417969</v>
      </c>
      <c r="P196" s="48">
        <f>SUM(compras_mes123[[#This Row],[NETO GRAVADO]:[Otros / No Grav.]])</f>
        <v>105453.62915039058</v>
      </c>
      <c r="Q196" s="49" t="str">
        <f>IFERROR(IF(compras_mes123[[#This Row],[CUIT]]="","-",VLOOKUP(compras_mes123[[#This Row],[CUIT]],Lista_CUIT[#All],3,0)),"CUIT NO CARGADO")</f>
        <v>Servicios Gas, Luz, etc.</v>
      </c>
      <c r="R196" s="49">
        <f>IFERROR(IF(compras_mes123[[#This Row],[CUIT]]="","-",VLOOKUP(compras_mes123[[#This Row],[CUIT]],Lista_CUIT[#All],4,0)),"CUIT NO CARGADO")</f>
        <v>0</v>
      </c>
    </row>
    <row r="197" spans="2:18">
      <c r="B197" s="649" t="s">
        <v>2534</v>
      </c>
      <c r="C197" s="650">
        <v>1</v>
      </c>
      <c r="D197" s="651">
        <v>63</v>
      </c>
      <c r="E197" s="652">
        <v>3052833</v>
      </c>
      <c r="F197" s="653">
        <v>30640897267</v>
      </c>
      <c r="G197" s="654" t="str">
        <f>IFERROR(IF(compras_mes123[[#This Row],[CUIT]]="","-",VLOOKUP(compras_mes123[[#This Row],[CUIT]],Lista_CUIT[#All],2,0)),"CUIT NO CARGADO")</f>
        <v>TELECENTRO S.A.</v>
      </c>
      <c r="H197" s="615">
        <v>52270.168457031301</v>
      </c>
      <c r="I197" s="609">
        <f>IF(compras_mes123[[#This Row],[NETO GRAVADO]]="","",compras_mes123[[#This Row],[NETO GRAVADO]]*0.21)</f>
        <v>10976.735375976572</v>
      </c>
      <c r="J197" s="609"/>
      <c r="K197" s="609"/>
      <c r="L197" s="609"/>
      <c r="M197" s="609"/>
      <c r="N197" s="609">
        <v>3136.2099609375</v>
      </c>
      <c r="O197" s="609"/>
      <c r="P197" s="610">
        <f>SUM(compras_mes123[[#This Row],[NETO GRAVADO]:[Otros / No Grav.]])</f>
        <v>66383.113793945377</v>
      </c>
      <c r="Q197" s="655" t="str">
        <f>IFERROR(IF(compras_mes123[[#This Row],[CUIT]]="","-",VLOOKUP(compras_mes123[[#This Row],[CUIT]],Lista_CUIT[#All],3,0)),"CUIT NO CARGADO")</f>
        <v>Servicios Gas, Luz, etc.</v>
      </c>
      <c r="R197" s="655">
        <f>IFERROR(IF(compras_mes123[[#This Row],[CUIT]]="","-",VLOOKUP(compras_mes123[[#This Row],[CUIT]],Lista_CUIT[#All],4,0)),"CUIT NO CARGADO")</f>
        <v>0</v>
      </c>
    </row>
    <row r="198" spans="2:18">
      <c r="B198" s="649" t="s">
        <v>2534</v>
      </c>
      <c r="C198" s="650">
        <v>1</v>
      </c>
      <c r="D198" s="651">
        <v>63</v>
      </c>
      <c r="E198" s="652">
        <v>3051863</v>
      </c>
      <c r="F198" s="653">
        <v>30640897267</v>
      </c>
      <c r="G198" s="654" t="str">
        <f>IFERROR(IF(compras_mes123[[#This Row],[CUIT]]="","-",VLOOKUP(compras_mes123[[#This Row],[CUIT]],Lista_CUIT[#All],2,0)),"CUIT NO CARGADO")</f>
        <v>TELECENTRO S.A.</v>
      </c>
      <c r="H198" s="615">
        <v>52270.168457031301</v>
      </c>
      <c r="I198" s="609">
        <f>IF(compras_mes123[[#This Row],[NETO GRAVADO]]="","",compras_mes123[[#This Row],[NETO GRAVADO]]*0.21)</f>
        <v>10976.735375976572</v>
      </c>
      <c r="J198" s="609"/>
      <c r="K198" s="609"/>
      <c r="L198" s="609"/>
      <c r="M198" s="609"/>
      <c r="N198" s="609">
        <v>3136.2099609375</v>
      </c>
      <c r="O198" s="609"/>
      <c r="P198" s="610">
        <f>SUM(compras_mes123[[#This Row],[NETO GRAVADO]:[Otros / No Grav.]])</f>
        <v>66383.113793945377</v>
      </c>
      <c r="Q198" s="655" t="str">
        <f>IFERROR(IF(compras_mes123[[#This Row],[CUIT]]="","-",VLOOKUP(compras_mes123[[#This Row],[CUIT]],Lista_CUIT[#All],3,0)),"CUIT NO CARGADO")</f>
        <v>Servicios Gas, Luz, etc.</v>
      </c>
      <c r="R198" s="655">
        <f>IFERROR(IF(compras_mes123[[#This Row],[CUIT]]="","-",VLOOKUP(compras_mes123[[#This Row],[CUIT]],Lista_CUIT[#All],4,0)),"CUIT NO CARGADO")</f>
        <v>0</v>
      </c>
    </row>
    <row r="199" spans="2:18">
      <c r="B199" s="40" t="s">
        <v>2533</v>
      </c>
      <c r="C199" s="41">
        <v>1</v>
      </c>
      <c r="D199" s="42">
        <v>501</v>
      </c>
      <c r="E199" s="43">
        <v>36489843</v>
      </c>
      <c r="F199" s="44">
        <v>30655116512</v>
      </c>
      <c r="G199" s="45" t="str">
        <f>IFERROR(IF(compras_mes123[[#This Row],[CUIT]]="","-",VLOOKUP(compras_mes123[[#This Row],[CUIT]],Lista_CUIT[#All],2,0)),"CUIT NO CARGADO")</f>
        <v>Empresa Distribuidora Sur S.A.</v>
      </c>
      <c r="H199" s="46">
        <v>51769.895263671897</v>
      </c>
      <c r="I199" s="85"/>
      <c r="J199" s="85">
        <f>compras_mes123[[#This Row],[NETO GRAVADO]]*0.27</f>
        <v>13977.871721191414</v>
      </c>
      <c r="K199" s="85"/>
      <c r="L199" s="85"/>
      <c r="M199" s="85"/>
      <c r="N199" s="85"/>
      <c r="O199" s="85">
        <v>3358.38989257813</v>
      </c>
      <c r="P199" s="48">
        <f>SUM(compras_mes123[[#This Row],[NETO GRAVADO]:[Otros / No Grav.]])</f>
        <v>69106.156877441434</v>
      </c>
      <c r="Q199" s="49" t="str">
        <f>IFERROR(IF(compras_mes123[[#This Row],[CUIT]]="","-",VLOOKUP(compras_mes123[[#This Row],[CUIT]],Lista_CUIT[#All],3,0)),"CUIT NO CARGADO")</f>
        <v>Servicios Gas, Luz, etc.</v>
      </c>
      <c r="R199" s="49">
        <f>IFERROR(IF(compras_mes123[[#This Row],[CUIT]]="","-",VLOOKUP(compras_mes123[[#This Row],[CUIT]],Lista_CUIT[#All],4,0)),"CUIT NO CARGADO")</f>
        <v>0</v>
      </c>
    </row>
    <row r="200" spans="2:18">
      <c r="B200" s="40" t="s">
        <v>2535</v>
      </c>
      <c r="C200" s="41">
        <v>1</v>
      </c>
      <c r="D200" s="42">
        <v>110</v>
      </c>
      <c r="E200" s="43">
        <v>39929820</v>
      </c>
      <c r="F200" s="44">
        <v>30709565075</v>
      </c>
      <c r="G200" s="45" t="str">
        <f>IFERROR(IF(compras_mes123[[#This Row],[CUIT]]="","-",VLOOKUP(compras_mes123[[#This Row],[CUIT]],Lista_CUIT[#All],2,0)),"CUIT NO CARGADO")</f>
        <v>AYSA S.A</v>
      </c>
      <c r="H200" s="46">
        <v>52843.302246093801</v>
      </c>
      <c r="I200" s="85">
        <f>IF(compras_mes123[[#This Row],[NETO GRAVADO]]="","",compras_mes123[[#This Row],[NETO GRAVADO]]*0.21)</f>
        <v>11097.093471679698</v>
      </c>
      <c r="J200" s="85"/>
      <c r="K200" s="85"/>
      <c r="L200" s="85"/>
      <c r="M200" s="85"/>
      <c r="N200" s="85"/>
      <c r="O200" s="85">
        <v>5173.35009765625</v>
      </c>
      <c r="P200" s="48">
        <f>SUM(compras_mes123[[#This Row],[NETO GRAVADO]:[Otros / No Grav.]])</f>
        <v>69113.745815429749</v>
      </c>
      <c r="Q200" s="49" t="str">
        <f>IFERROR(IF(compras_mes123[[#This Row],[CUIT]]="","-",VLOOKUP(compras_mes123[[#This Row],[CUIT]],Lista_CUIT[#All],3,0)),"CUIT NO CARGADO")</f>
        <v>Servicios Gas, Luz, etc.</v>
      </c>
      <c r="R200" s="49">
        <f>IFERROR(IF(compras_mes123[[#This Row],[CUIT]]="","-",VLOOKUP(compras_mes123[[#This Row],[CUIT]],Lista_CUIT[#All],4,0)),"CUIT NO CARGADO")</f>
        <v>0</v>
      </c>
    </row>
    <row r="201" spans="2:18">
      <c r="B201" s="167" t="s">
        <v>2570</v>
      </c>
      <c r="C201" s="168">
        <v>1</v>
      </c>
      <c r="D201" s="169">
        <v>4264</v>
      </c>
      <c r="E201" s="170">
        <v>4541960</v>
      </c>
      <c r="F201" s="171">
        <v>30639453738</v>
      </c>
      <c r="G201" s="172" t="str">
        <f>IFERROR(IF(compras_mes123[[#This Row],[CUIT]]="","-",VLOOKUP(compras_mes123[[#This Row],[CUIT]],Lista_CUIT[#All],2,0)),"CUIT NO CARGADO")</f>
        <v>TELECOM ARG SA</v>
      </c>
      <c r="H201" s="173">
        <v>81550</v>
      </c>
      <c r="I201" s="174">
        <f>IF(compras_mes123[[#This Row],[NETO GRAVADO]]="","",compras_mes123[[#This Row],[NETO GRAVADO]]*0.21)</f>
        <v>17125.5</v>
      </c>
      <c r="J201" s="174"/>
      <c r="K201" s="174"/>
      <c r="L201" s="174"/>
      <c r="M201" s="174"/>
      <c r="N201" s="174">
        <v>7339.5</v>
      </c>
      <c r="O201" s="174"/>
      <c r="P201" s="175">
        <f>SUM(compras_mes123[[#This Row],[NETO GRAVADO]:[Otros / No Grav.]])</f>
        <v>106015</v>
      </c>
      <c r="Q201" s="176" t="str">
        <f>IFERROR(IF(compras_mes123[[#This Row],[CUIT]]="","-",VLOOKUP(compras_mes123[[#This Row],[CUIT]],Lista_CUIT[#All],3,0)),"CUIT NO CARGADO")</f>
        <v>Servicios Gas, Luz, etc.</v>
      </c>
      <c r="R201" s="176">
        <f>IFERROR(IF(compras_mes123[[#This Row],[CUIT]]="","-",VLOOKUP(compras_mes123[[#This Row],[CUIT]],Lista_CUIT[#All],4,0)),"CUIT NO CARGADO")</f>
        <v>0</v>
      </c>
    </row>
    <row r="202" spans="2:18">
      <c r="B202" s="167" t="s">
        <v>2570</v>
      </c>
      <c r="C202" s="168">
        <v>1</v>
      </c>
      <c r="D202" s="169">
        <v>4264</v>
      </c>
      <c r="E202" s="170">
        <v>4548562</v>
      </c>
      <c r="F202" s="171">
        <v>30639453738</v>
      </c>
      <c r="G202" s="172" t="str">
        <f>IFERROR(IF(compras_mes123[[#This Row],[CUIT]]="","-",VLOOKUP(compras_mes123[[#This Row],[CUIT]],Lista_CUIT[#All],2,0)),"CUIT NO CARGADO")</f>
        <v>TELECOM ARG SA</v>
      </c>
      <c r="H202" s="173">
        <v>30275</v>
      </c>
      <c r="I202" s="174">
        <f>IF(compras_mes123[[#This Row],[NETO GRAVADO]]="","",compras_mes123[[#This Row],[NETO GRAVADO]]*0.21)</f>
        <v>6357.75</v>
      </c>
      <c r="J202" s="174"/>
      <c r="K202" s="174"/>
      <c r="L202" s="174"/>
      <c r="M202" s="174"/>
      <c r="N202" s="174">
        <v>908.25</v>
      </c>
      <c r="O202" s="174"/>
      <c r="P202" s="175">
        <f>SUM(compras_mes123[[#This Row],[NETO GRAVADO]:[Otros / No Grav.]])</f>
        <v>37541</v>
      </c>
      <c r="Q202" s="176" t="str">
        <f>IFERROR(IF(compras_mes123[[#This Row],[CUIT]]="","-",VLOOKUP(compras_mes123[[#This Row],[CUIT]],Lista_CUIT[#All],3,0)),"CUIT NO CARGADO")</f>
        <v>Servicios Gas, Luz, etc.</v>
      </c>
      <c r="R202" s="176">
        <f>IFERROR(IF(compras_mes123[[#This Row],[CUIT]]="","-",VLOOKUP(compras_mes123[[#This Row],[CUIT]],Lista_CUIT[#All],4,0)),"CUIT NO CARGADO")</f>
        <v>0</v>
      </c>
    </row>
    <row r="203" spans="2:18">
      <c r="B203" s="167" t="s">
        <v>2570</v>
      </c>
      <c r="C203" s="168">
        <v>1</v>
      </c>
      <c r="D203" s="169">
        <v>4264</v>
      </c>
      <c r="E203" s="170">
        <v>4584827</v>
      </c>
      <c r="F203" s="171">
        <v>30639453738</v>
      </c>
      <c r="G203" s="172" t="str">
        <f>IFERROR(IF(compras_mes123[[#This Row],[CUIT]]="","-",VLOOKUP(compras_mes123[[#This Row],[CUIT]],Lista_CUIT[#All],2,0)),"CUIT NO CARGADO")</f>
        <v>TELECOM ARG SA</v>
      </c>
      <c r="H203" s="173">
        <v>163100</v>
      </c>
      <c r="I203" s="174">
        <f>IF(compras_mes123[[#This Row],[NETO GRAVADO]]="","",compras_mes123[[#This Row],[NETO GRAVADO]]*0.21)</f>
        <v>34251</v>
      </c>
      <c r="J203" s="174"/>
      <c r="K203" s="174"/>
      <c r="L203" s="174"/>
      <c r="M203" s="174"/>
      <c r="N203" s="174">
        <v>14679</v>
      </c>
      <c r="O203" s="174"/>
      <c r="P203" s="175">
        <f>SUM(compras_mes123[[#This Row],[NETO GRAVADO]:[Otros / No Grav.]])</f>
        <v>212030</v>
      </c>
      <c r="Q203" s="176" t="str">
        <f>IFERROR(IF(compras_mes123[[#This Row],[CUIT]]="","-",VLOOKUP(compras_mes123[[#This Row],[CUIT]],Lista_CUIT[#All],3,0)),"CUIT NO CARGADO")</f>
        <v>Servicios Gas, Luz, etc.</v>
      </c>
      <c r="R203" s="176">
        <f>IFERROR(IF(compras_mes123[[#This Row],[CUIT]]="","-",VLOOKUP(compras_mes123[[#This Row],[CUIT]],Lista_CUIT[#All],4,0)),"CUIT NO CARGADO")</f>
        <v>0</v>
      </c>
    </row>
    <row r="204" spans="2:18">
      <c r="B204" s="649" t="s">
        <v>2536</v>
      </c>
      <c r="C204" s="650">
        <v>1</v>
      </c>
      <c r="D204" s="651">
        <v>3101</v>
      </c>
      <c r="E204" s="652">
        <v>204215</v>
      </c>
      <c r="F204" s="653">
        <v>30678814357</v>
      </c>
      <c r="G204" s="654" t="str">
        <f>IFERROR(IF(compras_mes123[[#This Row],[CUIT]]="","-",VLOOKUP(compras_mes123[[#This Row],[CUIT]],Lista_CUIT[#All],2,0)),"CUIT NO CARGADO")</f>
        <v>TELEFONICA MOVILES ARG</v>
      </c>
      <c r="H204" s="615">
        <v>29953.91015625</v>
      </c>
      <c r="I204" s="609"/>
      <c r="J204" s="609">
        <v>8087.56005859375</v>
      </c>
      <c r="K204" s="609"/>
      <c r="L204" s="609"/>
      <c r="M204" s="609"/>
      <c r="N204" s="609"/>
      <c r="O204" s="609"/>
      <c r="P204" s="610">
        <f>SUM(compras_mes123[[#This Row],[NETO GRAVADO]:[Otros / No Grav.]])</f>
        <v>38041.47021484375</v>
      </c>
      <c r="Q204" s="655" t="str">
        <f>IFERROR(IF(compras_mes123[[#This Row],[CUIT]]="","-",VLOOKUP(compras_mes123[[#This Row],[CUIT]],Lista_CUIT[#All],3,0)),"CUIT NO CARGADO")</f>
        <v>Servicios Gas, Luz, etc.</v>
      </c>
      <c r="R204" s="655">
        <f>IFERROR(IF(compras_mes123[[#This Row],[CUIT]]="","-",VLOOKUP(compras_mes123[[#This Row],[CUIT]],Lista_CUIT[#All],4,0)),"CUIT NO CARGADO")</f>
        <v>0</v>
      </c>
    </row>
    <row r="205" spans="2:18">
      <c r="B205" s="167" t="s">
        <v>2571</v>
      </c>
      <c r="C205" s="168">
        <v>1</v>
      </c>
      <c r="D205" s="169">
        <v>5</v>
      </c>
      <c r="E205" s="170">
        <v>3168543</v>
      </c>
      <c r="F205" s="171">
        <v>30702652975</v>
      </c>
      <c r="G205" s="172" t="str">
        <f>IFERROR(IF(compras_mes123[[#This Row],[CUIT]]="","-",VLOOKUP(compras_mes123[[#This Row],[CUIT]],Lista_CUIT[#All],2,0)),"CUIT NO CARGADO")</f>
        <v>NSS SA</v>
      </c>
      <c r="H205" s="173">
        <v>29946.48</v>
      </c>
      <c r="I205" s="174">
        <f>IF(compras_mes123[[#This Row],[NETO GRAVADO]]="","",compras_mes123[[#This Row],[NETO GRAVADO]]*0.21)</f>
        <v>6288.7608</v>
      </c>
      <c r="J205" s="174"/>
      <c r="K205" s="174"/>
      <c r="L205" s="174"/>
      <c r="M205" s="174">
        <v>1796.79</v>
      </c>
      <c r="N205" s="174"/>
      <c r="O205" s="174"/>
      <c r="P205" s="175">
        <f>SUM(compras_mes123[[#This Row],[NETO GRAVADO]:[Otros / No Grav.]])</f>
        <v>38032.0308</v>
      </c>
      <c r="Q205" s="176" t="str">
        <f>IFERROR(IF(compras_mes123[[#This Row],[CUIT]]="","-",VLOOKUP(compras_mes123[[#This Row],[CUIT]],Lista_CUIT[#All],3,0)),"CUIT NO CARGADO")</f>
        <v>Servicios Gas, Luz, etc.</v>
      </c>
      <c r="R205" s="176">
        <f>IFERROR(IF(compras_mes123[[#This Row],[CUIT]]="","-",VLOOKUP(compras_mes123[[#This Row],[CUIT]],Lista_CUIT[#All],4,0)),"CUIT NO CARGADO")</f>
        <v>0</v>
      </c>
    </row>
    <row r="206" spans="2:18">
      <c r="B206" s="40" t="s">
        <v>2530</v>
      </c>
      <c r="C206" s="41">
        <v>1</v>
      </c>
      <c r="D206" s="42">
        <v>1411</v>
      </c>
      <c r="E206" s="43">
        <v>18890583</v>
      </c>
      <c r="F206" s="44">
        <v>30655116202</v>
      </c>
      <c r="G206" s="45" t="str">
        <f>IFERROR(IF(compras_mes123[[#This Row],[CUIT]]="","-",VLOOKUP(compras_mes123[[#This Row],[CUIT]],Lista_CUIT[#All],2,0)),"CUIT NO CARGADO")</f>
        <v xml:space="preserve">EDENOR </v>
      </c>
      <c r="H206" s="46">
        <v>102784.60644531299</v>
      </c>
      <c r="I206" s="85"/>
      <c r="J206" s="85">
        <v>27751.80078125</v>
      </c>
      <c r="K206" s="85"/>
      <c r="L206" s="85"/>
      <c r="M206" s="85"/>
      <c r="N206" s="85"/>
      <c r="O206" s="85">
        <v>6560.740234375</v>
      </c>
      <c r="P206" s="48">
        <f>SUM(compras_mes123[[#This Row],[NETO GRAVADO]:[Otros / No Grav.]])</f>
        <v>137097.14746093799</v>
      </c>
      <c r="Q206" s="49" t="str">
        <f>IFERROR(IF(compras_mes123[[#This Row],[CUIT]]="","-",VLOOKUP(compras_mes123[[#This Row],[CUIT]],Lista_CUIT[#All],3,0)),"CUIT NO CARGADO")</f>
        <v>Servicios Gas, Luz, etc.</v>
      </c>
      <c r="R206" s="49">
        <f>IFERROR(IF(compras_mes123[[#This Row],[CUIT]]="","-",VLOOKUP(compras_mes123[[#This Row],[CUIT]],Lista_CUIT[#All],4,0)),"CUIT NO CARGADO")</f>
        <v>0</v>
      </c>
    </row>
    <row r="207" spans="2:18">
      <c r="B207" s="40" t="s">
        <v>2540</v>
      </c>
      <c r="C207" s="41">
        <v>1</v>
      </c>
      <c r="D207" s="42">
        <v>11</v>
      </c>
      <c r="E207" s="43">
        <v>250057013</v>
      </c>
      <c r="F207" s="44">
        <v>30678814357</v>
      </c>
      <c r="G207" s="45" t="str">
        <f>IFERROR(IF(compras_mes123[[#This Row],[CUIT]]="","-",VLOOKUP(compras_mes123[[#This Row],[CUIT]],Lista_CUIT[#All],2,0)),"CUIT NO CARGADO")</f>
        <v>TELEFONICA MOVILES ARG</v>
      </c>
      <c r="H207" s="46"/>
      <c r="I207" s="85"/>
      <c r="J207" s="85"/>
      <c r="K207" s="85"/>
      <c r="L207" s="85"/>
      <c r="M207" s="85"/>
      <c r="N207" s="85"/>
      <c r="O207" s="85">
        <v>32420</v>
      </c>
      <c r="P207" s="48">
        <f>SUM(compras_mes123[[#This Row],[NETO GRAVADO]:[Otros / No Grav.]])</f>
        <v>32420</v>
      </c>
      <c r="Q207" s="49" t="str">
        <f>IFERROR(IF(compras_mes123[[#This Row],[CUIT]]="","-",VLOOKUP(compras_mes123[[#This Row],[CUIT]],Lista_CUIT[#All],3,0)),"CUIT NO CARGADO")</f>
        <v>Servicios Gas, Luz, etc.</v>
      </c>
      <c r="R207" s="49">
        <f>IFERROR(IF(compras_mes123[[#This Row],[CUIT]]="","-",VLOOKUP(compras_mes123[[#This Row],[CUIT]],Lista_CUIT[#All],4,0)),"CUIT NO CARGADO")</f>
        <v>0</v>
      </c>
    </row>
    <row r="208" spans="2:18">
      <c r="B208" s="40" t="s">
        <v>2539</v>
      </c>
      <c r="C208" s="41">
        <v>1</v>
      </c>
      <c r="D208" s="42">
        <v>501</v>
      </c>
      <c r="E208" s="43">
        <v>180398017</v>
      </c>
      <c r="F208" s="44">
        <v>30655116512</v>
      </c>
      <c r="G208" s="45" t="str">
        <f>IFERROR(IF(compras_mes123[[#This Row],[CUIT]]="","-",VLOOKUP(compras_mes123[[#This Row],[CUIT]],Lista_CUIT[#All],2,0)),"CUIT NO CARGADO")</f>
        <v>Empresa Distribuidora Sur S.A.</v>
      </c>
      <c r="H208" s="46">
        <v>76259.957763671904</v>
      </c>
      <c r="I208" s="85"/>
      <c r="J208" s="85">
        <v>20590.189453125</v>
      </c>
      <c r="K208" s="85"/>
      <c r="L208" s="85"/>
      <c r="M208" s="85"/>
      <c r="N208" s="85"/>
      <c r="O208" s="85">
        <v>4867.669921875</v>
      </c>
      <c r="P208" s="48">
        <f>SUM(compras_mes123[[#This Row],[NETO GRAVADO]:[Otros / No Grav.]])</f>
        <v>101717.8171386719</v>
      </c>
      <c r="Q208" s="49" t="str">
        <f>IFERROR(IF(compras_mes123[[#This Row],[CUIT]]="","-",VLOOKUP(compras_mes123[[#This Row],[CUIT]],Lista_CUIT[#All],3,0)),"CUIT NO CARGADO")</f>
        <v>Servicios Gas, Luz, etc.</v>
      </c>
      <c r="R208" s="49">
        <f>IFERROR(IF(compras_mes123[[#This Row],[CUIT]]="","-",VLOOKUP(compras_mes123[[#This Row],[CUIT]],Lista_CUIT[#All],4,0)),"CUIT NO CARGADO")</f>
        <v>0</v>
      </c>
    </row>
    <row r="209" spans="2:18">
      <c r="B209" s="40" t="s">
        <v>2539</v>
      </c>
      <c r="C209" s="41">
        <v>1</v>
      </c>
      <c r="D209" s="42">
        <v>501</v>
      </c>
      <c r="E209" s="43">
        <v>37276317</v>
      </c>
      <c r="F209" s="44">
        <v>30655116512</v>
      </c>
      <c r="G209" s="45" t="str">
        <f>IFERROR(IF(compras_mes123[[#This Row],[CUIT]]="","-",VLOOKUP(compras_mes123[[#This Row],[CUIT]],Lista_CUIT[#All],2,0)),"CUIT NO CARGADO")</f>
        <v>Empresa Distribuidora Sur S.A.</v>
      </c>
      <c r="H209" s="46">
        <v>187171.10644531299</v>
      </c>
      <c r="I209" s="85"/>
      <c r="J209" s="85">
        <f>compras_mes123[[#This Row],[NETO GRAVADO]]*0.27</f>
        <v>50536.198740234511</v>
      </c>
      <c r="K209" s="85"/>
      <c r="L209" s="85"/>
      <c r="M209" s="85"/>
      <c r="N209" s="85"/>
      <c r="O209" s="85">
        <v>11947.1298828125</v>
      </c>
      <c r="P209" s="48">
        <f>SUM(compras_mes123[[#This Row],[NETO GRAVADO]:[Otros / No Grav.]])</f>
        <v>249654.43506836001</v>
      </c>
      <c r="Q209" s="49" t="str">
        <f>IFERROR(IF(compras_mes123[[#This Row],[CUIT]]="","-",VLOOKUP(compras_mes123[[#This Row],[CUIT]],Lista_CUIT[#All],3,0)),"CUIT NO CARGADO")</f>
        <v>Servicios Gas, Luz, etc.</v>
      </c>
      <c r="R209" s="49">
        <f>IFERROR(IF(compras_mes123[[#This Row],[CUIT]]="","-",VLOOKUP(compras_mes123[[#This Row],[CUIT]],Lista_CUIT[#All],4,0)),"CUIT NO CARGADO")</f>
        <v>0</v>
      </c>
    </row>
    <row r="210" spans="2:18">
      <c r="B210" s="649" t="s">
        <v>2541</v>
      </c>
      <c r="C210" s="650">
        <v>1</v>
      </c>
      <c r="D210" s="651">
        <v>6364</v>
      </c>
      <c r="E210" s="652">
        <v>8704576</v>
      </c>
      <c r="F210" s="653">
        <v>30678186445</v>
      </c>
      <c r="G210" s="654" t="str">
        <f>IFERROR(IF(compras_mes123[[#This Row],[CUIT]]="","-",VLOOKUP(compras_mes123[[#This Row],[CUIT]],Lista_CUIT[#All],2,0)),"CUIT NO CARGADO")</f>
        <v>Telecom Personal S.A.</v>
      </c>
      <c r="H210" s="615">
        <v>260476.168060303</v>
      </c>
      <c r="I210" s="609">
        <v>54498.58</v>
      </c>
      <c r="J210" s="609">
        <v>239.08</v>
      </c>
      <c r="K210" s="609"/>
      <c r="L210" s="609"/>
      <c r="M210" s="609"/>
      <c r="N210" s="609">
        <v>14510.75</v>
      </c>
      <c r="O210" s="609">
        <v>7858.7</v>
      </c>
      <c r="P210" s="610">
        <f>SUM(compras_mes123[[#This Row],[NETO GRAVADO]:[Otros / No Grav.]])</f>
        <v>337583.27806030301</v>
      </c>
      <c r="Q210" s="655" t="str">
        <f>IFERROR(IF(compras_mes123[[#This Row],[CUIT]]="","-",VLOOKUP(compras_mes123[[#This Row],[CUIT]],Lista_CUIT[#All],3,0)),"CUIT NO CARGADO")</f>
        <v>Servicios Gas, Luz, etc.</v>
      </c>
      <c r="R210" s="655">
        <f>IFERROR(IF(compras_mes123[[#This Row],[CUIT]]="","-",VLOOKUP(compras_mes123[[#This Row],[CUIT]],Lista_CUIT[#All],4,0)),"CUIT NO CARGADO")</f>
        <v>0</v>
      </c>
    </row>
    <row r="211" spans="2:18">
      <c r="B211" s="96" t="s">
        <v>103</v>
      </c>
      <c r="C211" s="96"/>
      <c r="D211" s="96"/>
      <c r="E211" s="96"/>
      <c r="F211" s="96"/>
      <c r="G211" s="97"/>
      <c r="H211" s="98">
        <f>SUBTOTAL(109,compras_mes123[NETO GRAVADO])</f>
        <v>95679912.984188229</v>
      </c>
      <c r="I211" s="98">
        <f>SUBTOTAL(109,compras_mes123[IVA 21 %])</f>
        <v>19178442.892508</v>
      </c>
      <c r="J211" s="98">
        <f>SUBTOTAL(109,compras_mes123[IVA 27%])</f>
        <v>194461.08161376967</v>
      </c>
      <c r="K211" s="98">
        <f>SUBTOTAL(109,compras_mes123[IVA 10,5%])</f>
        <v>381537.91700615233</v>
      </c>
      <c r="L211" s="98">
        <f>SUBTOTAL(109,compras_mes123[PERC. IVA])</f>
        <v>17260.620000000003</v>
      </c>
      <c r="M211" s="98">
        <f>SUBTOTAL(109,compras_mes123[PERC IIBB 
BS AS])</f>
        <v>15446.170058593751</v>
      </c>
      <c r="N211" s="98">
        <f>SUBTOTAL(109,compras_mes123[PERC. IIBB CABA])</f>
        <v>97329.430058593745</v>
      </c>
      <c r="O211" s="98">
        <f>SUBTOTAL(109,compras_mes123[Otros / No Grav.])</f>
        <v>497806.48739746097</v>
      </c>
      <c r="P211" s="98">
        <f>SUBTOTAL(109,compras_mes123[TOTAL])</f>
        <v>116062197.5828308</v>
      </c>
      <c r="Q211" s="96"/>
      <c r="R211" s="96"/>
    </row>
    <row r="212" spans="2:18">
      <c r="B212" s="40"/>
      <c r="C212" s="41"/>
      <c r="D212" s="42"/>
      <c r="E212" s="43"/>
      <c r="F212" s="44"/>
      <c r="G212" s="45"/>
      <c r="H212" s="46"/>
      <c r="I212" s="47"/>
      <c r="J212" s="47"/>
      <c r="K212" s="47"/>
      <c r="L212" s="47"/>
      <c r="M212" s="47"/>
      <c r="N212" s="47"/>
      <c r="O212" s="47"/>
      <c r="P212" s="48"/>
      <c r="Q212" s="49"/>
      <c r="R212" s="49"/>
    </row>
    <row r="213" spans="2:18">
      <c r="B213" s="40"/>
      <c r="C213" s="41"/>
      <c r="D213" s="42"/>
      <c r="E213" s="43"/>
      <c r="F213" s="44"/>
      <c r="G213" s="45"/>
      <c r="H213" s="46"/>
      <c r="I213" s="47"/>
      <c r="J213" s="47"/>
      <c r="K213" s="47"/>
      <c r="L213" s="47"/>
      <c r="M213" s="47"/>
      <c r="N213" s="47"/>
      <c r="O213" s="47"/>
      <c r="P213" s="48"/>
      <c r="Q213" s="49"/>
      <c r="R213" s="49"/>
    </row>
    <row r="214" spans="2:18">
      <c r="B214" s="40"/>
      <c r="C214" s="41"/>
      <c r="D214" s="42"/>
      <c r="E214" s="43"/>
      <c r="F214" s="44"/>
      <c r="G214" s="45">
        <f>H218*100/21</f>
        <v>1121713.9300000002</v>
      </c>
      <c r="H214" s="46">
        <f>I218*100/10.5</f>
        <v>553564.10000000009</v>
      </c>
      <c r="I214" s="47"/>
      <c r="J214" s="47"/>
      <c r="K214" s="47"/>
      <c r="L214" s="47"/>
      <c r="M214" s="47"/>
      <c r="N214" s="47"/>
      <c r="O214" s="47"/>
      <c r="P214" s="48"/>
      <c r="Q214" s="49"/>
      <c r="R214" s="49"/>
    </row>
    <row r="215" spans="2:18">
      <c r="B215" s="40"/>
      <c r="C215" s="41"/>
      <c r="D215" s="42"/>
      <c r="E215" s="43"/>
      <c r="F215" s="44"/>
      <c r="G215" s="45"/>
      <c r="H215" s="46"/>
      <c r="I215" s="47"/>
      <c r="J215" s="47"/>
      <c r="K215" s="47"/>
      <c r="L215" s="47"/>
    </row>
    <row r="216" spans="2:18" ht="21">
      <c r="D216" s="712" t="s">
        <v>15</v>
      </c>
      <c r="E216" s="712"/>
      <c r="F216" s="712"/>
      <c r="G216" s="712"/>
      <c r="H216" s="712"/>
      <c r="I216" s="712"/>
      <c r="J216" s="712"/>
      <c r="K216" s="712"/>
      <c r="L216" s="712"/>
    </row>
    <row r="217" spans="2:18" ht="15.75">
      <c r="D217" s="73" t="s">
        <v>0</v>
      </c>
      <c r="E217" s="74" t="s">
        <v>26</v>
      </c>
      <c r="F217" s="74" t="s">
        <v>16</v>
      </c>
      <c r="G217" s="74" t="s">
        <v>5</v>
      </c>
      <c r="H217" s="74" t="s">
        <v>17</v>
      </c>
      <c r="I217" s="74" t="s">
        <v>7</v>
      </c>
      <c r="J217" s="75" t="s">
        <v>18</v>
      </c>
      <c r="K217" s="75" t="s">
        <v>19</v>
      </c>
      <c r="L217" s="76" t="s">
        <v>20</v>
      </c>
    </row>
    <row r="218" spans="2:18">
      <c r="D218" s="50"/>
      <c r="E218" s="156"/>
      <c r="F218" s="80" t="s">
        <v>2390</v>
      </c>
      <c r="G218" s="81">
        <v>1675278.0300000005</v>
      </c>
      <c r="H218" s="81">
        <v>235559.9253</v>
      </c>
      <c r="I218" s="81">
        <v>58124.230500000005</v>
      </c>
      <c r="J218" s="81"/>
      <c r="K218" s="81"/>
      <c r="L218" s="81"/>
    </row>
    <row r="219" spans="2:18">
      <c r="D219" s="50"/>
      <c r="E219" s="156"/>
      <c r="F219" s="80" t="s">
        <v>2604</v>
      </c>
      <c r="G219" s="81">
        <v>110650</v>
      </c>
      <c r="H219" s="81">
        <v>23236.5</v>
      </c>
      <c r="I219" s="81"/>
      <c r="J219" s="81">
        <v>6037.17</v>
      </c>
      <c r="K219" s="81">
        <v>3430.49</v>
      </c>
      <c r="L219" s="81"/>
    </row>
    <row r="220" spans="2:18">
      <c r="D220" s="50"/>
      <c r="E220" s="156"/>
      <c r="F220" s="80" t="s">
        <v>2605</v>
      </c>
      <c r="G220" s="81">
        <v>5619.83</v>
      </c>
      <c r="H220" s="81">
        <v>1180.1642999999999</v>
      </c>
      <c r="I220" s="81"/>
      <c r="J220" s="81">
        <v>1029.47</v>
      </c>
      <c r="K220" s="81">
        <v>168.59</v>
      </c>
      <c r="L220" s="81"/>
    </row>
    <row r="221" spans="2:18">
      <c r="D221" s="50"/>
      <c r="E221" s="156"/>
      <c r="F221" s="272"/>
      <c r="G221" s="81"/>
      <c r="H221" s="81"/>
      <c r="I221" s="81"/>
      <c r="J221" s="81"/>
      <c r="K221" s="81"/>
      <c r="L221" s="81"/>
    </row>
    <row r="222" spans="2:18">
      <c r="D222" s="50"/>
      <c r="E222" s="156"/>
      <c r="F222" s="272"/>
      <c r="G222" s="81"/>
      <c r="H222" s="81"/>
      <c r="I222" s="81"/>
      <c r="J222" s="81"/>
      <c r="K222" s="81"/>
      <c r="L222" s="81"/>
    </row>
    <row r="223" spans="2:18">
      <c r="D223" s="50"/>
      <c r="E223" s="156"/>
      <c r="F223" s="272"/>
      <c r="G223" s="81"/>
      <c r="H223" s="81"/>
      <c r="I223" s="81"/>
      <c r="J223" s="81"/>
      <c r="K223" s="81"/>
      <c r="L223" s="81"/>
    </row>
    <row r="224" spans="2:18">
      <c r="D224" s="50"/>
      <c r="E224" s="156"/>
      <c r="F224" s="272"/>
      <c r="G224" s="81"/>
      <c r="H224" s="81"/>
      <c r="I224" s="81"/>
      <c r="J224" s="81"/>
      <c r="K224" s="81"/>
      <c r="L224" s="81"/>
    </row>
    <row r="225" spans="4:12">
      <c r="D225" s="50"/>
      <c r="E225" s="156"/>
      <c r="F225" s="272"/>
      <c r="G225" s="81"/>
      <c r="H225" s="81"/>
      <c r="I225" s="81"/>
      <c r="J225" s="81"/>
      <c r="K225" s="81"/>
      <c r="L225" s="81"/>
    </row>
    <row r="226" spans="4:12">
      <c r="D226" s="50"/>
      <c r="E226" s="156"/>
      <c r="F226" s="272"/>
      <c r="G226" s="81"/>
      <c r="H226" s="81"/>
      <c r="I226" s="81"/>
      <c r="J226" s="81"/>
      <c r="K226" s="81"/>
      <c r="L226" s="81"/>
    </row>
    <row r="227" spans="4:12">
      <c r="D227" s="50"/>
      <c r="E227" s="156"/>
      <c r="F227" s="80"/>
      <c r="G227" s="81"/>
      <c r="H227" s="81"/>
      <c r="I227" s="81"/>
      <c r="J227" s="81"/>
      <c r="K227" s="81"/>
      <c r="L227" s="81"/>
    </row>
    <row r="228" spans="4:12">
      <c r="D228" s="82" t="s">
        <v>103</v>
      </c>
      <c r="E228" s="80"/>
      <c r="F228" s="80"/>
      <c r="G228" s="83">
        <f>SUBTOTAL(109,extracto_banco_mes1256[NETO])</f>
        <v>1791547.8600000006</v>
      </c>
      <c r="H228" s="83">
        <f>SUBTOTAL(109,extracto_banco_mes1256[IVA 21%])</f>
        <v>259976.58960000001</v>
      </c>
      <c r="I228" s="83">
        <f>SUBTOTAL(109,extracto_banco_mes1256[IVA 10,5%])</f>
        <v>58124.230500000005</v>
      </c>
      <c r="J228" s="83">
        <f>SUBTOTAL(109,extracto_banco_mes1256[RET IIBB CABA])</f>
        <v>7066.64</v>
      </c>
      <c r="K228" s="83">
        <f>SUBTOTAL(109,extracto_banco_mes1256[PERC IVA])</f>
        <v>3599.08</v>
      </c>
      <c r="L228" s="83">
        <f>SUBTOTAL(109,extracto_banco_mes1256[PERC IIBB])</f>
        <v>0</v>
      </c>
    </row>
    <row r="229" spans="4:12">
      <c r="I229" s="318">
        <f>H222/100*21</f>
        <v>0</v>
      </c>
    </row>
    <row r="232" spans="4:12" ht="21">
      <c r="D232" s="712" t="s">
        <v>1133</v>
      </c>
      <c r="E232" s="712"/>
      <c r="F232" s="712"/>
      <c r="G232" s="712"/>
      <c r="H232" s="712"/>
      <c r="I232" s="712"/>
      <c r="J232" s="712"/>
      <c r="K232" s="712"/>
    </row>
    <row r="233" spans="4:12">
      <c r="D233" s="51" t="s">
        <v>0</v>
      </c>
      <c r="E233" s="51" t="s">
        <v>2</v>
      </c>
      <c r="F233" s="51" t="s">
        <v>74</v>
      </c>
      <c r="G233" s="51" t="s">
        <v>3</v>
      </c>
      <c r="H233" s="51" t="s">
        <v>4</v>
      </c>
      <c r="I233" s="52" t="s">
        <v>10</v>
      </c>
      <c r="J233" s="51" t="s">
        <v>13</v>
      </c>
      <c r="K233" s="51" t="s">
        <v>38</v>
      </c>
    </row>
    <row r="234" spans="4:12">
      <c r="D234" s="315"/>
      <c r="E234" s="311"/>
      <c r="F234" s="312"/>
      <c r="G234" s="313"/>
      <c r="H234" s="315" t="str">
        <f>IFERROR(IF(factura_c_mes1242[[#This Row],[CUIT]]="","-",VLOOKUP(factura_c_mes1242[[#This Row],[CUIT]],Lista_CUIT[#All],2,0)),"CUIT NO CARGADO")</f>
        <v>-</v>
      </c>
      <c r="I234" s="317"/>
      <c r="J234" s="314" t="str">
        <f>IFERROR(IF(factura_c_mes1242[[#This Row],[CUIT]]="","-",VLOOKUP(factura_c_mes1242[[#This Row],[CUIT]],Lista_CUIT[#All],3,0)),"CUIT NO CARGADO")</f>
        <v>-</v>
      </c>
      <c r="K234" s="314" t="str">
        <f>IFERROR(IF(factura_c_mes1242[[#This Row],[CUIT]]="","-",VLOOKUP(factura_c_mes1242[[#This Row],[CUIT]],Lista_CUIT[#All],4,0)),"CUIT NO CARGADO")</f>
        <v>-</v>
      </c>
    </row>
    <row r="235" spans="4:12">
      <c r="D235" s="50"/>
      <c r="E235" s="50"/>
      <c r="F235" s="50"/>
      <c r="G235" s="50"/>
      <c r="H235" s="50" t="str">
        <f>IFERROR(IF(factura_c_mes1242[[#This Row],[CUIT]]="","-",VLOOKUP(factura_c_mes1242[[#This Row],[CUIT]],Lista_CUIT[#All],2,0)),"CUIT NO CARGADO")</f>
        <v>-</v>
      </c>
      <c r="I235" s="316"/>
      <c r="J235" s="50" t="str">
        <f>IFERROR(IF(factura_c_mes1242[[#This Row],[CUIT]]="","-",VLOOKUP(factura_c_mes1242[[#This Row],[CUIT]],Lista_CUIT[#All],3,0)),"CUIT NO CARGADO")</f>
        <v>-</v>
      </c>
      <c r="K235" s="50" t="str">
        <f>IFERROR(IF(factura_c_mes1242[[#This Row],[CUIT]]="","-",VLOOKUP(factura_c_mes1242[[#This Row],[CUIT]],Lista_CUIT[#All],4,0)),"CUIT NO CARGADO")</f>
        <v>-</v>
      </c>
    </row>
    <row r="236" spans="4:12">
      <c r="D236" s="50" t="s">
        <v>2533</v>
      </c>
      <c r="E236" s="311">
        <v>1</v>
      </c>
      <c r="F236" s="312">
        <v>103</v>
      </c>
      <c r="G236" s="313">
        <v>20383353263</v>
      </c>
      <c r="H236" s="50" t="str">
        <f>IFERROR(IF(factura_c_mes1242[[#This Row],[CUIT]]="","-",VLOOKUP(factura_c_mes1242[[#This Row],[CUIT]],Lista_CUIT[#All],2,0)),"CUIT NO CARGADO")</f>
        <v>LOZA MIGUEL MATEO</v>
      </c>
      <c r="I236" s="316">
        <v>102000</v>
      </c>
      <c r="J236" s="314" t="str">
        <f>IFERROR(IF(factura_c_mes1242[[#This Row],[CUIT]]="","-",VLOOKUP(factura_c_mes1242[[#This Row],[CUIT]],Lista_CUIT[#All],3,0)),"CUIT NO CARGADO")</f>
        <v>Gastos Comercializacion</v>
      </c>
      <c r="K236" s="314">
        <f>IFERROR(IF(factura_c_mes1242[[#This Row],[CUIT]]="","-",VLOOKUP(factura_c_mes1242[[#This Row],[CUIT]],Lista_CUIT[#All],4,0)),"CUIT NO CARGADO")</f>
        <v>0</v>
      </c>
    </row>
    <row r="237" spans="4:12">
      <c r="D237" s="315" t="s">
        <v>2562</v>
      </c>
      <c r="E237" s="311">
        <v>2</v>
      </c>
      <c r="F237" s="312">
        <v>716</v>
      </c>
      <c r="G237" s="313">
        <v>27333350403</v>
      </c>
      <c r="H237" s="315" t="str">
        <f>IFERROR(IF(factura_c_mes1242[[#This Row],[CUIT]]="","-",VLOOKUP(factura_c_mes1242[[#This Row],[CUIT]],Lista_CUIT[#All],2,0)),"CUIT NO CARGADO")</f>
        <v>LOPEZ MARIA PIA</v>
      </c>
      <c r="I237" s="317">
        <v>32300</v>
      </c>
      <c r="J237" s="314" t="str">
        <f>IFERROR(IF(factura_c_mes1242[[#This Row],[CUIT]]="","-",VLOOKUP(factura_c_mes1242[[#This Row],[CUIT]],Lista_CUIT[#All],3,0)),"CUIT NO CARGADO")</f>
        <v>Gastos Limpieza</v>
      </c>
      <c r="K237" s="314">
        <f>IFERROR(IF(factura_c_mes1242[[#This Row],[CUIT]]="","-",VLOOKUP(factura_c_mes1242[[#This Row],[CUIT]],Lista_CUIT[#All],4,0)),"CUIT NO CARGADO")</f>
        <v>0</v>
      </c>
    </row>
    <row r="238" spans="4:12">
      <c r="D238" s="315" t="s">
        <v>2538</v>
      </c>
      <c r="E238" s="311">
        <v>10</v>
      </c>
      <c r="F238" s="312">
        <v>230</v>
      </c>
      <c r="G238" s="313">
        <v>20302234389</v>
      </c>
      <c r="H238" s="315" t="str">
        <f>IFERROR(IF(factura_c_mes1242[[#This Row],[CUIT]]="","-",VLOOKUP(factura_c_mes1242[[#This Row],[CUIT]],Lista_CUIT[#All],2,0)),"CUIT NO CARGADO")</f>
        <v>VIGORELLI GUILLERMO DANIEL</v>
      </c>
      <c r="I238" s="317">
        <v>160000</v>
      </c>
      <c r="J238" s="314" t="str">
        <f>IFERROR(IF(factura_c_mes1242[[#This Row],[CUIT]]="","-",VLOOKUP(factura_c_mes1242[[#This Row],[CUIT]],Lista_CUIT[#All],3,0)),"CUIT NO CARGADO")</f>
        <v>Gastos Varios</v>
      </c>
      <c r="K238" s="314">
        <f>IFERROR(IF(factura_c_mes1242[[#This Row],[CUIT]]="","-",VLOOKUP(factura_c_mes1242[[#This Row],[CUIT]],Lista_CUIT[#All],4,0)),"CUIT NO CARGADO")</f>
        <v>0</v>
      </c>
    </row>
    <row r="239" spans="4:12">
      <c r="D239" s="315" t="s">
        <v>2564</v>
      </c>
      <c r="E239" s="311">
        <v>2</v>
      </c>
      <c r="F239" s="312">
        <v>4759</v>
      </c>
      <c r="G239" s="313">
        <v>20136536320</v>
      </c>
      <c r="H239" s="315" t="str">
        <f>IFERROR(IF(factura_c_mes1242[[#This Row],[CUIT]]="","-",VLOOKUP(factura_c_mes1242[[#This Row],[CUIT]],Lista_CUIT[#All],2,0)),"CUIT NO CARGADO")</f>
        <v>FONTENLA ERNESTO MARIO</v>
      </c>
      <c r="I239" s="317">
        <v>11250</v>
      </c>
      <c r="J239" s="314" t="str">
        <f>IFERROR(IF(factura_c_mes1242[[#This Row],[CUIT]]="","-",VLOOKUP(factura_c_mes1242[[#This Row],[CUIT]],Lista_CUIT[#All],3,0)),"CUIT NO CARGADO")</f>
        <v>Gastos Varios</v>
      </c>
      <c r="K239" s="314" t="str">
        <f>IFERROR(IF(factura_c_mes1242[[#This Row],[CUIT]]="","-",VLOOKUP(factura_c_mes1242[[#This Row],[CUIT]],Lista_CUIT[#All],4,0)),"CUIT NO CARGADO")</f>
        <v>CABA</v>
      </c>
    </row>
    <row r="240" spans="4:12">
      <c r="D240" s="50" t="s">
        <v>2564</v>
      </c>
      <c r="E240" s="311">
        <v>2</v>
      </c>
      <c r="F240" s="312">
        <v>2173</v>
      </c>
      <c r="G240" s="313">
        <v>27284231878</v>
      </c>
      <c r="H240" s="50" t="str">
        <f>IFERROR(IF(factura_c_mes1242[[#This Row],[CUIT]]="","-",VLOOKUP(factura_c_mes1242[[#This Row],[CUIT]],Lista_CUIT[#All],2,0)),"CUIT NO CARGADO")</f>
        <v>MALDONADO CARMINATTI PAULA MARCELA</v>
      </c>
      <c r="I240" s="316">
        <v>5000</v>
      </c>
      <c r="J240" s="314" t="str">
        <f>IFERROR(IF(factura_c_mes1242[[#This Row],[CUIT]]="","-",VLOOKUP(factura_c_mes1242[[#This Row],[CUIT]],Lista_CUIT[#All],3,0)),"CUIT NO CARGADO")</f>
        <v>Gastos Varios</v>
      </c>
      <c r="K240" s="314">
        <f>IFERROR(IF(factura_c_mes1242[[#This Row],[CUIT]]="","-",VLOOKUP(factura_c_mes1242[[#This Row],[CUIT]],Lista_CUIT[#All],4,0)),"CUIT NO CARGADO")</f>
        <v>0</v>
      </c>
    </row>
    <row r="241" spans="4:11">
      <c r="D241" s="315" t="s">
        <v>2568</v>
      </c>
      <c r="E241" s="311">
        <v>2</v>
      </c>
      <c r="F241" s="312">
        <v>4799</v>
      </c>
      <c r="G241" s="313">
        <v>20136536320</v>
      </c>
      <c r="H241" s="315" t="str">
        <f>IFERROR(IF(factura_c_mes1242[[#This Row],[CUIT]]="","-",VLOOKUP(factura_c_mes1242[[#This Row],[CUIT]],Lista_CUIT[#All],2,0)),"CUIT NO CARGADO")</f>
        <v>FONTENLA ERNESTO MARIO</v>
      </c>
      <c r="I241" s="317">
        <v>9000</v>
      </c>
      <c r="J241" s="314" t="str">
        <f>IFERROR(IF(factura_c_mes1242[[#This Row],[CUIT]]="","-",VLOOKUP(factura_c_mes1242[[#This Row],[CUIT]],Lista_CUIT[#All],3,0)),"CUIT NO CARGADO")</f>
        <v>Gastos Varios</v>
      </c>
      <c r="K241" s="314" t="str">
        <f>IFERROR(IF(factura_c_mes1242[[#This Row],[CUIT]]="","-",VLOOKUP(factura_c_mes1242[[#This Row],[CUIT]],Lista_CUIT[#All],4,0)),"CUIT NO CARGADO")</f>
        <v>CABA</v>
      </c>
    </row>
    <row r="242" spans="4:11">
      <c r="D242" s="315" t="s">
        <v>2568</v>
      </c>
      <c r="E242" s="311">
        <v>2</v>
      </c>
      <c r="F242" s="312">
        <v>4798</v>
      </c>
      <c r="G242" s="313">
        <v>20136536320</v>
      </c>
      <c r="H242" s="315" t="str">
        <f>IFERROR(IF(factura_c_mes1242[[#This Row],[CUIT]]="","-",VLOOKUP(factura_c_mes1242[[#This Row],[CUIT]],Lista_CUIT[#All],2,0)),"CUIT NO CARGADO")</f>
        <v>FONTENLA ERNESTO MARIO</v>
      </c>
      <c r="I242" s="317">
        <v>12300</v>
      </c>
      <c r="J242" s="314" t="str">
        <f>IFERROR(IF(factura_c_mes1242[[#This Row],[CUIT]]="","-",VLOOKUP(factura_c_mes1242[[#This Row],[CUIT]],Lista_CUIT[#All],3,0)),"CUIT NO CARGADO")</f>
        <v>Gastos Varios</v>
      </c>
      <c r="K242" s="314" t="str">
        <f>IFERROR(IF(factura_c_mes1242[[#This Row],[CUIT]]="","-",VLOOKUP(factura_c_mes1242[[#This Row],[CUIT]],Lista_CUIT[#All],4,0)),"CUIT NO CARGADO")</f>
        <v>CABA</v>
      </c>
    </row>
    <row r="243" spans="4:11">
      <c r="D243" s="315" t="s">
        <v>2569</v>
      </c>
      <c r="E243" s="311">
        <v>3</v>
      </c>
      <c r="F243" s="312">
        <v>1445</v>
      </c>
      <c r="G243" s="313">
        <v>20173025557</v>
      </c>
      <c r="H243" s="315" t="str">
        <f>IFERROR(IF(factura_c_mes1242[[#This Row],[CUIT]]="","-",VLOOKUP(factura_c_mes1242[[#This Row],[CUIT]],Lista_CUIT[#All],2,0)),"CUIT NO CARGADO")</f>
        <v>MARAUDA HECTOR</v>
      </c>
      <c r="I243" s="317">
        <v>6000</v>
      </c>
      <c r="J243" s="314" t="str">
        <f>IFERROR(IF(factura_c_mes1242[[#This Row],[CUIT]]="","-",VLOOKUP(factura_c_mes1242[[#This Row],[CUIT]],Lista_CUIT[#All],3,0)),"CUIT NO CARGADO")</f>
        <v>Gastos Varios</v>
      </c>
      <c r="K243" s="314">
        <f>IFERROR(IF(factura_c_mes1242[[#This Row],[CUIT]]="","-",VLOOKUP(factura_c_mes1242[[#This Row],[CUIT]],Lista_CUIT[#All],4,0)),"CUIT NO CARGADO")</f>
        <v>0</v>
      </c>
    </row>
    <row r="244" spans="4:11">
      <c r="D244" s="315" t="s">
        <v>2571</v>
      </c>
      <c r="E244" s="311">
        <v>2</v>
      </c>
      <c r="F244" s="312">
        <v>4806</v>
      </c>
      <c r="G244" s="313">
        <v>20136536320</v>
      </c>
      <c r="H244" s="315" t="str">
        <f>IFERROR(IF(factura_c_mes1242[[#This Row],[CUIT]]="","-",VLOOKUP(factura_c_mes1242[[#This Row],[CUIT]],Lista_CUIT[#All],2,0)),"CUIT NO CARGADO")</f>
        <v>FONTENLA ERNESTO MARIO</v>
      </c>
      <c r="I244" s="317">
        <v>1170</v>
      </c>
      <c r="J244" s="314" t="str">
        <f>IFERROR(IF(factura_c_mes1242[[#This Row],[CUIT]]="","-",VLOOKUP(factura_c_mes1242[[#This Row],[CUIT]],Lista_CUIT[#All],3,0)),"CUIT NO CARGADO")</f>
        <v>Gastos Varios</v>
      </c>
      <c r="K244" s="314" t="str">
        <f>IFERROR(IF(factura_c_mes1242[[#This Row],[CUIT]]="","-",VLOOKUP(factura_c_mes1242[[#This Row],[CUIT]],Lista_CUIT[#All],4,0)),"CUIT NO CARGADO")</f>
        <v>CABA</v>
      </c>
    </row>
    <row r="245" spans="4:11">
      <c r="D245" s="315" t="s">
        <v>2574</v>
      </c>
      <c r="E245" s="311">
        <v>1</v>
      </c>
      <c r="F245" s="312">
        <v>125</v>
      </c>
      <c r="G245" s="313">
        <v>20226444956</v>
      </c>
      <c r="H245" s="315" t="str">
        <f>IFERROR(IF(factura_c_mes1242[[#This Row],[CUIT]]="","-",VLOOKUP(factura_c_mes1242[[#This Row],[CUIT]],Lista_CUIT[#All],2,0)),"CUIT NO CARGADO")</f>
        <v>JULIO FERNANDO FABIAN</v>
      </c>
      <c r="I245" s="317">
        <v>370000</v>
      </c>
      <c r="J245" s="314" t="str">
        <f>IFERROR(IF(factura_c_mes1242[[#This Row],[CUIT]]="","-",VLOOKUP(factura_c_mes1242[[#This Row],[CUIT]],Lista_CUIT[#All],3,0)),"CUIT NO CARGADO")</f>
        <v>Gastos Varios</v>
      </c>
      <c r="K245" s="314">
        <f>IFERROR(IF(factura_c_mes1242[[#This Row],[CUIT]]="","-",VLOOKUP(factura_c_mes1242[[#This Row],[CUIT]],Lista_CUIT[#All],4,0)),"CUIT NO CARGADO")</f>
        <v>0</v>
      </c>
    </row>
    <row r="246" spans="4:11">
      <c r="D246" s="315" t="s">
        <v>2572</v>
      </c>
      <c r="E246" s="311">
        <v>3</v>
      </c>
      <c r="F246" s="312">
        <v>3111</v>
      </c>
      <c r="G246" s="313">
        <v>20134116251</v>
      </c>
      <c r="H246" s="315" t="str">
        <f>IFERROR(IF(factura_c_mes1242[[#This Row],[CUIT]]="","-",VLOOKUP(factura_c_mes1242[[#This Row],[CUIT]],Lista_CUIT[#All],2,0)),"CUIT NO CARGADO")</f>
        <v>GUMA DANIEL</v>
      </c>
      <c r="I246" s="317">
        <v>18000</v>
      </c>
      <c r="J246" s="49" t="s">
        <v>79</v>
      </c>
      <c r="K246" s="314">
        <f>IFERROR(IF(factura_c_mes1242[[#This Row],[CUIT]]="","-",VLOOKUP(factura_c_mes1242[[#This Row],[CUIT]],Lista_CUIT[#All],4,0)),"CUIT NO CARGADO")</f>
        <v>0</v>
      </c>
    </row>
    <row r="247" spans="4:11">
      <c r="D247" s="315" t="s">
        <v>2567</v>
      </c>
      <c r="E247" s="311">
        <v>1</v>
      </c>
      <c r="F247" s="312">
        <v>12</v>
      </c>
      <c r="G247" s="313">
        <v>27309116343</v>
      </c>
      <c r="H247" s="315" t="str">
        <f>IFERROR(IF(factura_c_mes1242[[#This Row],[CUIT]]="","-",VLOOKUP(factura_c_mes1242[[#This Row],[CUIT]],Lista_CUIT[#All],2,0)),"CUIT NO CARGADO")</f>
        <v>FERNANDEZ DANIELA NATALIA</v>
      </c>
      <c r="I247" s="317">
        <v>72000</v>
      </c>
      <c r="J247" s="314" t="str">
        <f>IFERROR(IF(factura_c_mes1242[[#This Row],[CUIT]]="","-",VLOOKUP(factura_c_mes1242[[#This Row],[CUIT]],Lista_CUIT[#All],3,0)),"CUIT NO CARGADO")</f>
        <v>Honorarios Administrativos</v>
      </c>
      <c r="K247" s="314">
        <f>IFERROR(IF(factura_c_mes1242[[#This Row],[CUIT]]="","-",VLOOKUP(factura_c_mes1242[[#This Row],[CUIT]],Lista_CUIT[#All],4,0)),"CUIT NO CARGADO")</f>
        <v>0</v>
      </c>
    </row>
    <row r="248" spans="4:11">
      <c r="D248" s="315" t="s">
        <v>2523</v>
      </c>
      <c r="E248" s="311">
        <v>3</v>
      </c>
      <c r="F248" s="312">
        <v>895</v>
      </c>
      <c r="G248" s="313">
        <v>20086277523</v>
      </c>
      <c r="H248" s="315" t="str">
        <f>IFERROR(IF(factura_c_mes1242[[#This Row],[CUIT]]="","-",VLOOKUP(factura_c_mes1242[[#This Row],[CUIT]],Lista_CUIT[#All],2,0)),"CUIT NO CARGADO")</f>
        <v>BOTINDARI JUAN CARLOS</v>
      </c>
      <c r="I248" s="317">
        <v>245000</v>
      </c>
      <c r="J248" s="314" t="str">
        <f>IFERROR(IF(factura_c_mes1242[[#This Row],[CUIT]]="","-",VLOOKUP(factura_c_mes1242[[#This Row],[CUIT]],Lista_CUIT[#All],3,0)),"CUIT NO CARGADO")</f>
        <v>Honorarios Contables</v>
      </c>
      <c r="K248" s="314">
        <f>IFERROR(IF(factura_c_mes1242[[#This Row],[CUIT]]="","-",VLOOKUP(factura_c_mes1242[[#This Row],[CUIT]],Lista_CUIT[#All],4,0)),"CUIT NO CARGADO")</f>
        <v>0</v>
      </c>
    </row>
    <row r="249" spans="4:11">
      <c r="D249" s="315" t="s">
        <v>2534</v>
      </c>
      <c r="E249" s="311">
        <v>3</v>
      </c>
      <c r="F249" s="312">
        <v>903</v>
      </c>
      <c r="G249" s="313">
        <v>20086277523</v>
      </c>
      <c r="H249" s="315" t="str">
        <f>IFERROR(IF(factura_c_mes1242[[#This Row],[CUIT]]="","-",VLOOKUP(factura_c_mes1242[[#This Row],[CUIT]],Lista_CUIT[#All],2,0)),"CUIT NO CARGADO")</f>
        <v>BOTINDARI JUAN CARLOS</v>
      </c>
      <c r="I249" s="317">
        <v>1640000</v>
      </c>
      <c r="J249" s="314" t="str">
        <f>IFERROR(IF(factura_c_mes1242[[#This Row],[CUIT]]="","-",VLOOKUP(factura_c_mes1242[[#This Row],[CUIT]],Lista_CUIT[#All],3,0)),"CUIT NO CARGADO")</f>
        <v>Honorarios Contables</v>
      </c>
      <c r="K249" s="314">
        <f>IFERROR(IF(factura_c_mes1242[[#This Row],[CUIT]]="","-",VLOOKUP(factura_c_mes1242[[#This Row],[CUIT]],Lista_CUIT[#All],4,0)),"CUIT NO CARGADO")</f>
        <v>0</v>
      </c>
    </row>
    <row r="250" spans="4:11">
      <c r="D250" s="315" t="s">
        <v>2565</v>
      </c>
      <c r="E250" s="311">
        <v>2</v>
      </c>
      <c r="F250" s="312">
        <v>315</v>
      </c>
      <c r="G250" s="313">
        <v>23319210954</v>
      </c>
      <c r="H250" s="315" t="str">
        <f>IFERROR(IF(factura_c_mes1242[[#This Row],[CUIT]]="","-",VLOOKUP(factura_c_mes1242[[#This Row],[CUIT]],Lista_CUIT[#All],2,0)),"CUIT NO CARGADO")</f>
        <v>CAFFARATTI ROMINA PAOLA</v>
      </c>
      <c r="I250" s="317">
        <v>224300</v>
      </c>
      <c r="J250" s="314" t="str">
        <f>IFERROR(IF(factura_c_mes1242[[#This Row],[CUIT]]="","-",VLOOKUP(factura_c_mes1242[[#This Row],[CUIT]],Lista_CUIT[#All],3,0)),"CUIT NO CARGADO")</f>
        <v>Honorarios Contables</v>
      </c>
      <c r="K250" s="314">
        <f>IFERROR(IF(factura_c_mes1242[[#This Row],[CUIT]]="","-",VLOOKUP(factura_c_mes1242[[#This Row],[CUIT]],Lista_CUIT[#All],4,0)),"CUIT NO CARGADO")</f>
        <v>0</v>
      </c>
    </row>
    <row r="251" spans="4:11">
      <c r="D251" s="315" t="s">
        <v>2523</v>
      </c>
      <c r="E251" s="311">
        <v>3</v>
      </c>
      <c r="F251" s="312">
        <v>509</v>
      </c>
      <c r="G251" s="313">
        <v>20210551574</v>
      </c>
      <c r="H251" s="315" t="str">
        <f>IFERROR(IF(factura_c_mes1242[[#This Row],[CUIT]]="","-",VLOOKUP(factura_c_mes1242[[#This Row],[CUIT]],Lista_CUIT[#All],2,0)),"CUIT NO CARGADO")</f>
        <v>REUS JORGE DIEGO</v>
      </c>
      <c r="I251" s="317">
        <v>265000</v>
      </c>
      <c r="J251" s="314" t="str">
        <f>IFERROR(IF(factura_c_mes1242[[#This Row],[CUIT]]="","-",VLOOKUP(factura_c_mes1242[[#This Row],[CUIT]],Lista_CUIT[#All],3,0)),"CUIT NO CARGADO")</f>
        <v>Honorarios Legales</v>
      </c>
      <c r="K251" s="314">
        <f>IFERROR(IF(factura_c_mes1242[[#This Row],[CUIT]]="","-",VLOOKUP(factura_c_mes1242[[#This Row],[CUIT]],Lista_CUIT[#All],4,0)),"CUIT NO CARGADO")</f>
        <v>0</v>
      </c>
    </row>
    <row r="252" spans="4:11">
      <c r="D252" s="315" t="s">
        <v>2570</v>
      </c>
      <c r="E252" s="311">
        <v>2</v>
      </c>
      <c r="F252" s="312">
        <v>694</v>
      </c>
      <c r="G252" s="313">
        <v>27218690160</v>
      </c>
      <c r="H252" s="315" t="str">
        <f>IFERROR(IF(factura_c_mes1242[[#This Row],[CUIT]]="","-",VLOOKUP(factura_c_mes1242[[#This Row],[CUIT]],Lista_CUIT[#All],2,0)),"CUIT NO CARGADO")</f>
        <v>RAMIREZ LAURA VERONICA</v>
      </c>
      <c r="I252" s="317">
        <v>21000</v>
      </c>
      <c r="J252" s="314" t="str">
        <f>IFERROR(IF(factura_c_mes1242[[#This Row],[CUIT]]="","-",VLOOKUP(factura_c_mes1242[[#This Row],[CUIT]],Lista_CUIT[#All],3,0)),"CUIT NO CARGADO")</f>
        <v>Honorarios Profesionales</v>
      </c>
      <c r="K252" s="314">
        <f>IFERROR(IF(factura_c_mes1242[[#This Row],[CUIT]]="","-",VLOOKUP(factura_c_mes1242[[#This Row],[CUIT]],Lista_CUIT[#All],4,0)),"CUIT NO CARGADO")</f>
        <v>0</v>
      </c>
    </row>
    <row r="253" spans="4:11">
      <c r="D253" s="315" t="s">
        <v>2572</v>
      </c>
      <c r="E253" s="311">
        <v>2</v>
      </c>
      <c r="F253" s="312">
        <v>697</v>
      </c>
      <c r="G253" s="313">
        <v>27218690160</v>
      </c>
      <c r="H253" s="315" t="str">
        <f>IFERROR(IF(factura_c_mes1242[[#This Row],[CUIT]]="","-",VLOOKUP(factura_c_mes1242[[#This Row],[CUIT]],Lista_CUIT[#All],2,0)),"CUIT NO CARGADO")</f>
        <v>RAMIREZ LAURA VERONICA</v>
      </c>
      <c r="I253" s="317">
        <v>21000</v>
      </c>
      <c r="J253" s="314" t="str">
        <f>IFERROR(IF(factura_c_mes1242[[#This Row],[CUIT]]="","-",VLOOKUP(factura_c_mes1242[[#This Row],[CUIT]],Lista_CUIT[#All],3,0)),"CUIT NO CARGADO")</f>
        <v>Honorarios Profesionales</v>
      </c>
      <c r="K253" s="314">
        <f>IFERROR(IF(factura_c_mes1242[[#This Row],[CUIT]]="","-",VLOOKUP(factura_c_mes1242[[#This Row],[CUIT]],Lista_CUIT[#All],4,0)),"CUIT NO CARGADO")</f>
        <v>0</v>
      </c>
    </row>
    <row r="254" spans="4:11">
      <c r="D254" s="315" t="s">
        <v>2575</v>
      </c>
      <c r="E254" s="311">
        <v>1</v>
      </c>
      <c r="F254" s="312">
        <v>93</v>
      </c>
      <c r="G254" s="313">
        <v>20176922363</v>
      </c>
      <c r="H254" s="315" t="str">
        <f>IFERROR(IF(factura_c_mes1242[[#This Row],[CUIT]]="","-",VLOOKUP(factura_c_mes1242[[#This Row],[CUIT]],Lista_CUIT[#All],2,0)),"CUIT NO CARGADO")</f>
        <v>CASTILLO JUAN RAMON</v>
      </c>
      <c r="I254" s="317">
        <v>1500000</v>
      </c>
      <c r="J254" s="314" t="str">
        <f>IFERROR(IF(factura_c_mes1242[[#This Row],[CUIT]]="","-",VLOOKUP(factura_c_mes1242[[#This Row],[CUIT]],Lista_CUIT[#All],3,0)),"CUIT NO CARGADO")</f>
        <v>Honorarios Profesionales</v>
      </c>
      <c r="K254" s="314">
        <f>IFERROR(IF(factura_c_mes1242[[#This Row],[CUIT]]="","-",VLOOKUP(factura_c_mes1242[[#This Row],[CUIT]],Lista_CUIT[#All],4,0)),"CUIT NO CARGADO")</f>
        <v>0</v>
      </c>
    </row>
    <row r="255" spans="4:11">
      <c r="D255" s="315" t="s">
        <v>2575</v>
      </c>
      <c r="E255" s="311">
        <v>1</v>
      </c>
      <c r="F255" s="312">
        <v>94</v>
      </c>
      <c r="G255" s="313">
        <v>20176922363</v>
      </c>
      <c r="H255" s="315" t="str">
        <f>IFERROR(IF(factura_c_mes1242[[#This Row],[CUIT]]="","-",VLOOKUP(factura_c_mes1242[[#This Row],[CUIT]],Lista_CUIT[#All],2,0)),"CUIT NO CARGADO")</f>
        <v>CASTILLO JUAN RAMON</v>
      </c>
      <c r="I255" s="317">
        <v>1000000</v>
      </c>
      <c r="J255" s="314" t="str">
        <f>IFERROR(IF(factura_c_mes1242[[#This Row],[CUIT]]="","-",VLOOKUP(factura_c_mes1242[[#This Row],[CUIT]],Lista_CUIT[#All],3,0)),"CUIT NO CARGADO")</f>
        <v>Honorarios Profesionales</v>
      </c>
      <c r="K255" s="314">
        <f>IFERROR(IF(factura_c_mes1242[[#This Row],[CUIT]]="","-",VLOOKUP(factura_c_mes1242[[#This Row],[CUIT]],Lista_CUIT[#All],4,0)),"CUIT NO CARGADO")</f>
        <v>0</v>
      </c>
    </row>
    <row r="256" spans="4:11">
      <c r="D256" s="315" t="s">
        <v>2525</v>
      </c>
      <c r="E256" s="311">
        <v>2</v>
      </c>
      <c r="F256" s="312">
        <v>388</v>
      </c>
      <c r="G256" s="313">
        <v>20300814094</v>
      </c>
      <c r="H256" s="315" t="str">
        <f>IFERROR(IF(factura_c_mes1242[[#This Row],[CUIT]]="","-",VLOOKUP(factura_c_mes1242[[#This Row],[CUIT]],Lista_CUIT[#All],2,0)),"CUIT NO CARGADO")</f>
        <v>FARRAPEIRA OSCAR MAXIMO</v>
      </c>
      <c r="I256" s="317">
        <v>430320</v>
      </c>
      <c r="J256" s="314" t="str">
        <f>IFERROR(IF(factura_c_mes1242[[#This Row],[CUIT]]="","-",VLOOKUP(factura_c_mes1242[[#This Row],[CUIT]],Lista_CUIT[#All],3,0)),"CUIT NO CARGADO")</f>
        <v>Material de Empaque</v>
      </c>
      <c r="K256" s="314">
        <f>IFERROR(IF(factura_c_mes1242[[#This Row],[CUIT]]="","-",VLOOKUP(factura_c_mes1242[[#This Row],[CUIT]],Lista_CUIT[#All],4,0)),"CUIT NO CARGADO")</f>
        <v>0</v>
      </c>
    </row>
    <row r="257" spans="2:18">
      <c r="D257" s="315" t="s">
        <v>2532</v>
      </c>
      <c r="E257" s="311">
        <v>1</v>
      </c>
      <c r="F257" s="312">
        <v>92</v>
      </c>
      <c r="G257" s="313">
        <v>20299505430</v>
      </c>
      <c r="H257" s="315" t="str">
        <f>IFERROR(IF(factura_c_mes1242[[#This Row],[CUIT]]="","-",VLOOKUP(factura_c_mes1242[[#This Row],[CUIT]],Lista_CUIT[#All],2,0)),"CUIT NO CARGADO")</f>
        <v>PRADO EMILIANO HERNAN</v>
      </c>
      <c r="I257" s="317">
        <v>1356740</v>
      </c>
      <c r="J257" s="314" t="str">
        <f>IFERROR(IF(factura_c_mes1242[[#This Row],[CUIT]]="","-",VLOOKUP(factura_c_mes1242[[#This Row],[CUIT]],Lista_CUIT[#All],3,0)),"CUIT NO CARGADO")</f>
        <v>Material de Empaque</v>
      </c>
      <c r="K257" s="314">
        <f>IFERROR(IF(factura_c_mes1242[[#This Row],[CUIT]]="","-",VLOOKUP(factura_c_mes1242[[#This Row],[CUIT]],Lista_CUIT[#All],4,0)),"CUIT NO CARGADO")</f>
        <v>0</v>
      </c>
    </row>
    <row r="258" spans="2:18">
      <c r="D258" s="315" t="s">
        <v>2566</v>
      </c>
      <c r="E258" s="311">
        <v>1</v>
      </c>
      <c r="F258" s="312">
        <v>90</v>
      </c>
      <c r="G258" s="313">
        <v>20299505430</v>
      </c>
      <c r="H258" s="315" t="str">
        <f>IFERROR(IF(factura_c_mes1242[[#This Row],[CUIT]]="","-",VLOOKUP(factura_c_mes1242[[#This Row],[CUIT]],Lista_CUIT[#All],2,0)),"CUIT NO CARGADO")</f>
        <v>PRADO EMILIANO HERNAN</v>
      </c>
      <c r="I258" s="317">
        <v>1192376</v>
      </c>
      <c r="J258" s="314" t="str">
        <f>IFERROR(IF(factura_c_mes1242[[#This Row],[CUIT]]="","-",VLOOKUP(factura_c_mes1242[[#This Row],[CUIT]],Lista_CUIT[#All],3,0)),"CUIT NO CARGADO")</f>
        <v>Material de Empaque</v>
      </c>
      <c r="K258" s="314">
        <f>IFERROR(IF(factura_c_mes1242[[#This Row],[CUIT]]="","-",VLOOKUP(factura_c_mes1242[[#This Row],[CUIT]],Lista_CUIT[#All],4,0)),"CUIT NO CARGADO")</f>
        <v>0</v>
      </c>
    </row>
    <row r="259" spans="2:18">
      <c r="D259" s="315" t="s">
        <v>2573</v>
      </c>
      <c r="E259" s="311">
        <v>8</v>
      </c>
      <c r="F259" s="312">
        <v>801</v>
      </c>
      <c r="G259" s="313">
        <v>27409592487</v>
      </c>
      <c r="H259" s="315" t="str">
        <f>IFERROR(IF(factura_c_mes1242[[#This Row],[CUIT]]="","-",VLOOKUP(factura_c_mes1242[[#This Row],[CUIT]],Lista_CUIT[#All],2,0)),"CUIT NO CARGADO")</f>
        <v>BAUDONE ANTONELLA AGOSTINA</v>
      </c>
      <c r="I259" s="317">
        <v>112500</v>
      </c>
      <c r="J259" s="314" t="str">
        <f>IFERROR(IF(factura_c_mes1242[[#This Row],[CUIT]]="","-",VLOOKUP(factura_c_mes1242[[#This Row],[CUIT]],Lista_CUIT[#All],3,0)),"CUIT NO CARGADO")</f>
        <v>Material de Empaque</v>
      </c>
      <c r="K259" s="314">
        <f>IFERROR(IF(factura_c_mes1242[[#This Row],[CUIT]]="","-",VLOOKUP(factura_c_mes1242[[#This Row],[CUIT]],Lista_CUIT[#All],4,0)),"CUIT NO CARGADO")</f>
        <v>0</v>
      </c>
    </row>
    <row r="260" spans="2:18">
      <c r="B260" s="56"/>
      <c r="C260" s="56"/>
      <c r="D260" s="55" t="s">
        <v>103</v>
      </c>
      <c r="E260" s="55"/>
      <c r="F260" s="55"/>
      <c r="G260" s="55"/>
      <c r="H260" s="57"/>
      <c r="I260" s="58">
        <f>SUBTOTAL(109,factura_c_mes1242[TOTAL])</f>
        <v>8807256</v>
      </c>
      <c r="J260" s="55"/>
      <c r="K260" s="55"/>
      <c r="L260" s="56"/>
      <c r="M260" s="56"/>
      <c r="N260" s="56"/>
      <c r="O260" s="56"/>
      <c r="P260" s="56"/>
      <c r="Q260" s="56"/>
      <c r="R260" s="56"/>
    </row>
    <row r="265" spans="2:18" ht="26.25">
      <c r="B265" s="720" t="s">
        <v>29</v>
      </c>
      <c r="C265" s="720"/>
      <c r="D265" s="720"/>
      <c r="E265" s="720"/>
      <c r="F265" s="720"/>
      <c r="G265" s="720"/>
      <c r="H265" s="720"/>
      <c r="I265" s="720"/>
      <c r="J265" s="720"/>
      <c r="K265" s="716">
        <f>N1</f>
        <v>45261</v>
      </c>
      <c r="L265" s="716"/>
      <c r="M265" s="716"/>
    </row>
    <row r="267" spans="2:18" ht="21">
      <c r="B267" s="713" t="s">
        <v>30</v>
      </c>
      <c r="C267" s="713"/>
    </row>
    <row r="268" spans="2:18" ht="31.5">
      <c r="B268" s="60" t="s">
        <v>0</v>
      </c>
      <c r="C268" s="61" t="s">
        <v>1</v>
      </c>
      <c r="D268" s="61" t="s">
        <v>21</v>
      </c>
      <c r="E268" s="61" t="s">
        <v>22</v>
      </c>
      <c r="F268" s="61" t="s">
        <v>3</v>
      </c>
      <c r="G268" s="61" t="s">
        <v>4</v>
      </c>
      <c r="H268" s="61" t="s">
        <v>23</v>
      </c>
      <c r="I268" s="61" t="s">
        <v>17</v>
      </c>
      <c r="J268" s="61" t="s">
        <v>7</v>
      </c>
      <c r="K268" s="61" t="s">
        <v>24</v>
      </c>
      <c r="L268" s="61" t="s">
        <v>10</v>
      </c>
      <c r="M268" s="62" t="s">
        <v>38</v>
      </c>
    </row>
    <row r="269" spans="2:18">
      <c r="B269" s="40"/>
      <c r="C269" s="41"/>
      <c r="D269" s="42"/>
      <c r="E269" s="43"/>
      <c r="F269" s="44"/>
      <c r="G269" s="99" t="str">
        <f>IFERROR(IF(venta_a_mes1254[[#This Row],[CUIT]]="","-",VLOOKUP(venta_a_mes1254[[#This Row],[CUIT]],Lista_CUIT[#All],2,0)),"CUIT NO CARGADO")</f>
        <v>-</v>
      </c>
      <c r="H269" s="100"/>
      <c r="I269" s="101">
        <f>venta_a_mes1254[[#This Row],[IMPORTE NETO]]*0.21</f>
        <v>0</v>
      </c>
      <c r="J269" s="65"/>
      <c r="K269" s="65"/>
      <c r="L269" s="65">
        <f>SUM(venta_a_mes1254[[#This Row],[IMPORTE NETO]:[EXENTO]])</f>
        <v>0</v>
      </c>
      <c r="M269" s="59"/>
    </row>
    <row r="270" spans="2:18">
      <c r="B270" s="40"/>
      <c r="C270" s="41"/>
      <c r="D270" s="42"/>
      <c r="E270" s="43"/>
      <c r="F270" s="44"/>
      <c r="G270" s="99" t="str">
        <f>IFERROR(IF(venta_a_mes1254[[#This Row],[CUIT]]="","-",VLOOKUP(venta_a_mes1254[[#This Row],[CUIT]],Lista_CUIT[#All],2,0)),"CUIT NO CARGADO")</f>
        <v>-</v>
      </c>
      <c r="H270" s="100"/>
      <c r="I270" s="101">
        <f>venta_a_mes1254[[#This Row],[IMPORTE NETO]]*0.21</f>
        <v>0</v>
      </c>
      <c r="J270" s="65"/>
      <c r="K270" s="65"/>
      <c r="L270" s="65">
        <f>SUM(venta_a_mes1254[[#This Row],[IMPORTE NETO]:[EXENTO]])</f>
        <v>0</v>
      </c>
      <c r="M270" s="59"/>
    </row>
    <row r="271" spans="2:18">
      <c r="B271" s="40"/>
      <c r="C271" s="41"/>
      <c r="D271" s="42"/>
      <c r="E271" s="43"/>
      <c r="F271" s="44"/>
      <c r="G271" s="99" t="str">
        <f>IFERROR(IF(venta_a_mes1254[[#This Row],[CUIT]]="","-",VLOOKUP(venta_a_mes1254[[#This Row],[CUIT]],Lista_CUIT[#All],2,0)),"CUIT NO CARGADO")</f>
        <v>-</v>
      </c>
      <c r="H271" s="100"/>
      <c r="I271" s="101">
        <f>venta_a_mes1254[[#This Row],[IMPORTE NETO]]*0.21</f>
        <v>0</v>
      </c>
      <c r="J271" s="65"/>
      <c r="K271" s="65"/>
      <c r="L271" s="65">
        <f>SUM(venta_a_mes1254[[#This Row],[IMPORTE NETO]:[EXENTO]])</f>
        <v>0</v>
      </c>
      <c r="M271" s="59"/>
    </row>
    <row r="272" spans="2:18">
      <c r="B272" s="40"/>
      <c r="C272" s="41"/>
      <c r="D272" s="42"/>
      <c r="E272" s="43"/>
      <c r="F272" s="44"/>
      <c r="G272" s="99" t="str">
        <f>IFERROR(IF(venta_a_mes1254[[#This Row],[CUIT]]="","-",VLOOKUP(venta_a_mes1254[[#This Row],[CUIT]],Lista_CUIT[#All],2,0)),"CUIT NO CARGADO")</f>
        <v>-</v>
      </c>
      <c r="H272" s="100"/>
      <c r="I272" s="101">
        <f>venta_a_mes1254[[#This Row],[IMPORTE NETO]]*0.21</f>
        <v>0</v>
      </c>
      <c r="J272" s="65"/>
      <c r="K272" s="65"/>
      <c r="L272" s="65">
        <f>SUM(venta_a_mes1254[[#This Row],[IMPORTE NETO]:[EXENTO]])</f>
        <v>0</v>
      </c>
      <c r="M272" s="59"/>
    </row>
    <row r="273" spans="2:13">
      <c r="B273" s="40"/>
      <c r="C273" s="41"/>
      <c r="D273" s="42"/>
      <c r="E273" s="43"/>
      <c r="F273" s="44"/>
      <c r="G273" s="99" t="str">
        <f>IFERROR(IF(venta_a_mes1254[[#This Row],[CUIT]]="","-",VLOOKUP(venta_a_mes1254[[#This Row],[CUIT]],Lista_CUIT[#All],2,0)),"CUIT NO CARGADO")</f>
        <v>-</v>
      </c>
      <c r="H273" s="100"/>
      <c r="I273" s="101">
        <f>venta_a_mes1254[[#This Row],[IMPORTE NETO]]*0.21</f>
        <v>0</v>
      </c>
      <c r="J273" s="65"/>
      <c r="K273" s="65"/>
      <c r="L273" s="65">
        <f>SUM(venta_a_mes1254[[#This Row],[IMPORTE NETO]:[EXENTO]])</f>
        <v>0</v>
      </c>
      <c r="M273" s="59"/>
    </row>
    <row r="274" spans="2:13">
      <c r="B274" s="40"/>
      <c r="C274" s="41"/>
      <c r="D274" s="42"/>
      <c r="E274" s="43"/>
      <c r="F274" s="44"/>
      <c r="G274" s="99" t="str">
        <f>IFERROR(IF(venta_a_mes1254[[#This Row],[CUIT]]="","-",VLOOKUP(venta_a_mes1254[[#This Row],[CUIT]],Lista_CUIT[#All],2,0)),"CUIT NO CARGADO")</f>
        <v>-</v>
      </c>
      <c r="H274" s="100"/>
      <c r="I274" s="101">
        <f>venta_a_mes1254[[#This Row],[IMPORTE NETO]]*0.21</f>
        <v>0</v>
      </c>
      <c r="J274" s="65"/>
      <c r="K274" s="65"/>
      <c r="L274" s="65">
        <f>SUM(venta_a_mes1254[[#This Row],[IMPORTE NETO]:[EXENTO]])</f>
        <v>0</v>
      </c>
      <c r="M274" s="59"/>
    </row>
    <row r="275" spans="2:13">
      <c r="B275" s="40"/>
      <c r="C275" s="41"/>
      <c r="D275" s="42"/>
      <c r="E275" s="43"/>
      <c r="F275" s="44"/>
      <c r="G275" s="99" t="str">
        <f>IFERROR(IF(venta_a_mes1254[[#This Row],[CUIT]]="","-",VLOOKUP(venta_a_mes1254[[#This Row],[CUIT]],Lista_CUIT[#All],2,0)),"CUIT NO CARGADO")</f>
        <v>-</v>
      </c>
      <c r="H275" s="100"/>
      <c r="I275" s="101">
        <f>venta_a_mes1254[[#This Row],[IMPORTE NETO]]*0.21</f>
        <v>0</v>
      </c>
      <c r="J275" s="65"/>
      <c r="K275" s="65"/>
      <c r="L275" s="65">
        <f>SUM(venta_a_mes1254[[#This Row],[IMPORTE NETO]:[EXENTO]])</f>
        <v>0</v>
      </c>
      <c r="M275" s="63"/>
    </row>
    <row r="276" spans="2:13">
      <c r="B276" s="102"/>
      <c r="C276" s="41"/>
      <c r="D276" s="104"/>
      <c r="E276" s="105"/>
      <c r="F276" s="106"/>
      <c r="G276" s="99" t="str">
        <f>IFERROR(IF(venta_a_mes1254[[#This Row],[CUIT]]="","-",VLOOKUP(venta_a_mes1254[[#This Row],[CUIT]],Lista_CUIT[#All],2,0)),"CUIT NO CARGADO")</f>
        <v>-</v>
      </c>
      <c r="H276" s="107"/>
      <c r="I276" s="108">
        <f>venta_a_mes1254[[#This Row],[IMPORTE NETO]]*0.21</f>
        <v>0</v>
      </c>
      <c r="J276" s="72"/>
      <c r="K276" s="72"/>
      <c r="L276" s="72">
        <f>SUM(venta_a_mes1254[[#This Row],[IMPORTE NETO]:[EXENTO]])</f>
        <v>0</v>
      </c>
      <c r="M276" s="63"/>
    </row>
    <row r="277" spans="2:13">
      <c r="B277" s="109"/>
      <c r="C277" s="41"/>
      <c r="D277" s="111"/>
      <c r="E277" s="112"/>
      <c r="F277" s="113"/>
      <c r="G277" s="99" t="str">
        <f>IFERROR(IF(venta_a_mes1254[[#This Row],[CUIT]]="","-",VLOOKUP(venta_a_mes1254[[#This Row],[CUIT]],Lista_CUIT[#All],2,0)),"CUIT NO CARGADO")</f>
        <v>-</v>
      </c>
      <c r="H277" s="100"/>
      <c r="I277" s="101">
        <f>venta_a_mes1254[[#This Row],[IMPORTE NETO]]*0.21</f>
        <v>0</v>
      </c>
      <c r="J277" s="65"/>
      <c r="K277" s="65"/>
      <c r="L277" s="65">
        <f>SUM(venta_a_mes1254[[#This Row],[IMPORTE NETO]:[EXENTO]])</f>
        <v>0</v>
      </c>
      <c r="M277" s="59"/>
    </row>
    <row r="278" spans="2:13">
      <c r="B278" s="102"/>
      <c r="C278" s="41"/>
      <c r="D278" s="104"/>
      <c r="E278" s="105"/>
      <c r="F278" s="106"/>
      <c r="G278" s="134" t="str">
        <f>IFERROR(IF(venta_a_mes1254[[#This Row],[CUIT]]="","-",VLOOKUP(venta_a_mes1254[[#This Row],[CUIT]],Lista_CUIT[#All],2,0)),"CUIT NO CARGADO")</f>
        <v>-</v>
      </c>
      <c r="H278" s="107"/>
      <c r="I278" s="108">
        <f>venta_a_mes1254[[#This Row],[IMPORTE NETO]]*0.21</f>
        <v>0</v>
      </c>
      <c r="J278" s="72"/>
      <c r="K278" s="72"/>
      <c r="L278" s="72">
        <f>SUM(venta_a_mes1254[[#This Row],[IMPORTE NETO]:[EXENTO]])</f>
        <v>0</v>
      </c>
      <c r="M278" s="63"/>
    </row>
    <row r="279" spans="2:13">
      <c r="B279" s="102"/>
      <c r="C279" s="41"/>
      <c r="D279" s="104"/>
      <c r="E279" s="105"/>
      <c r="F279" s="106"/>
      <c r="G279" s="134" t="str">
        <f>IFERROR(IF(venta_a_mes1254[[#This Row],[CUIT]]="","-",VLOOKUP(venta_a_mes1254[[#This Row],[CUIT]],Lista_CUIT[#All],2,0)),"CUIT NO CARGADO")</f>
        <v>-</v>
      </c>
      <c r="H279" s="107"/>
      <c r="I279" s="108">
        <f>venta_a_mes1254[[#This Row],[IMPORTE NETO]]*0.21</f>
        <v>0</v>
      </c>
      <c r="J279" s="72"/>
      <c r="K279" s="72"/>
      <c r="L279" s="72">
        <f>SUM(venta_a_mes1254[[#This Row],[IMPORTE NETO]:[EXENTO]])</f>
        <v>0</v>
      </c>
      <c r="M279" s="63"/>
    </row>
    <row r="280" spans="2:13">
      <c r="B280" s="109"/>
      <c r="C280" s="41"/>
      <c r="D280" s="111"/>
      <c r="E280" s="112"/>
      <c r="F280" s="113"/>
      <c r="G280" s="99" t="str">
        <f>IFERROR(IF(venta_a_mes1254[[#This Row],[CUIT]]="","-",VLOOKUP(venta_a_mes1254[[#This Row],[CUIT]],Lista_CUIT[#All],2,0)),"CUIT NO CARGADO")</f>
        <v>-</v>
      </c>
      <c r="H280" s="100"/>
      <c r="I280" s="101">
        <f>venta_a_mes1254[[#This Row],[IMPORTE NETO]]*0.21</f>
        <v>0</v>
      </c>
      <c r="J280" s="65"/>
      <c r="K280" s="65"/>
      <c r="L280" s="65">
        <f>SUM(venta_a_mes1254[[#This Row],[IMPORTE NETO]:[EXENTO]])</f>
        <v>0</v>
      </c>
      <c r="M280" s="59"/>
    </row>
    <row r="281" spans="2:13">
      <c r="B281" s="109"/>
      <c r="C281" s="41"/>
      <c r="D281" s="111"/>
      <c r="E281" s="112"/>
      <c r="F281" s="113"/>
      <c r="G281" s="99" t="str">
        <f>IFERROR(IF(venta_a_mes1254[[#This Row],[CUIT]]="","-",VLOOKUP(venta_a_mes1254[[#This Row],[CUIT]],Lista_CUIT[#All],2,0)),"CUIT NO CARGADO")</f>
        <v>-</v>
      </c>
      <c r="H281" s="100"/>
      <c r="I281" s="101">
        <f>venta_a_mes1254[[#This Row],[IMPORTE NETO]]*0.21</f>
        <v>0</v>
      </c>
      <c r="J281" s="65"/>
      <c r="K281" s="65"/>
      <c r="L281" s="65">
        <f>SUM(venta_a_mes1254[[#This Row],[IMPORTE NETO]:[EXENTO]])</f>
        <v>0</v>
      </c>
      <c r="M281" s="59"/>
    </row>
    <row r="282" spans="2:13">
      <c r="B282" s="109"/>
      <c r="C282" s="41"/>
      <c r="D282" s="111"/>
      <c r="E282" s="112"/>
      <c r="F282" s="113"/>
      <c r="G282" s="99" t="str">
        <f>IFERROR(IF(venta_a_mes1254[[#This Row],[CUIT]]="","-",VLOOKUP(venta_a_mes1254[[#This Row],[CUIT]],Lista_CUIT[#All],2,0)),"CUIT NO CARGADO")</f>
        <v>-</v>
      </c>
      <c r="H282" s="100"/>
      <c r="I282" s="101">
        <f>venta_a_mes1254[[#This Row],[IMPORTE NETO]]*0.21</f>
        <v>0</v>
      </c>
      <c r="J282" s="65"/>
      <c r="K282" s="65"/>
      <c r="L282" s="65">
        <f>SUM(venta_a_mes1254[[#This Row],[IMPORTE NETO]:[EXENTO]])</f>
        <v>0</v>
      </c>
      <c r="M282" s="59"/>
    </row>
    <row r="283" spans="2:13">
      <c r="B283" s="109"/>
      <c r="C283" s="41"/>
      <c r="D283" s="111"/>
      <c r="E283" s="112"/>
      <c r="F283" s="113"/>
      <c r="G283" s="99" t="str">
        <f>IFERROR(IF(venta_a_mes1254[[#This Row],[CUIT]]="","-",VLOOKUP(venta_a_mes1254[[#This Row],[CUIT]],Lista_CUIT[#All],2,0)),"CUIT NO CARGADO")</f>
        <v>-</v>
      </c>
      <c r="H283" s="100"/>
      <c r="I283" s="101">
        <f>venta_a_mes1254[[#This Row],[IMPORTE NETO]]*0.21</f>
        <v>0</v>
      </c>
      <c r="J283" s="65"/>
      <c r="K283" s="65"/>
      <c r="L283" s="65">
        <f>SUM(venta_a_mes1254[[#This Row],[IMPORTE NETO]:[EXENTO]])</f>
        <v>0</v>
      </c>
      <c r="M283" s="59"/>
    </row>
    <row r="284" spans="2:13">
      <c r="B284" s="109"/>
      <c r="C284" s="41"/>
      <c r="D284" s="111"/>
      <c r="E284" s="112"/>
      <c r="F284" s="113"/>
      <c r="G284" s="99" t="str">
        <f>IFERROR(IF(venta_a_mes1254[[#This Row],[CUIT]]="","-",VLOOKUP(venta_a_mes1254[[#This Row],[CUIT]],Lista_CUIT[#All],2,0)),"CUIT NO CARGADO")</f>
        <v>-</v>
      </c>
      <c r="H284" s="100"/>
      <c r="I284" s="101">
        <f>venta_a_mes1254[[#This Row],[IMPORTE NETO]]*0.21</f>
        <v>0</v>
      </c>
      <c r="J284" s="65"/>
      <c r="K284" s="65"/>
      <c r="L284" s="65">
        <f>SUM(venta_a_mes1254[[#This Row],[IMPORTE NETO]:[EXENTO]])</f>
        <v>0</v>
      </c>
      <c r="M284" s="59"/>
    </row>
    <row r="285" spans="2:13">
      <c r="B285" s="109"/>
      <c r="C285" s="41"/>
      <c r="D285" s="111"/>
      <c r="E285" s="112"/>
      <c r="F285" s="113"/>
      <c r="G285" s="99" t="str">
        <f>IFERROR(IF(venta_a_mes1254[[#This Row],[CUIT]]="","-",VLOOKUP(venta_a_mes1254[[#This Row],[CUIT]],Lista_CUIT[#All],2,0)),"CUIT NO CARGADO")</f>
        <v>-</v>
      </c>
      <c r="H285" s="100"/>
      <c r="I285" s="101">
        <f>venta_a_mes1254[[#This Row],[IMPORTE NETO]]*0.21</f>
        <v>0</v>
      </c>
      <c r="J285" s="65"/>
      <c r="K285" s="65"/>
      <c r="L285" s="65">
        <f>SUM(venta_a_mes1254[[#This Row],[IMPORTE NETO]:[EXENTO]])</f>
        <v>0</v>
      </c>
      <c r="M285" s="59"/>
    </row>
    <row r="286" spans="2:13">
      <c r="B286" s="109"/>
      <c r="C286" s="41"/>
      <c r="D286" s="111"/>
      <c r="E286" s="112"/>
      <c r="F286" s="113"/>
      <c r="G286" s="99" t="str">
        <f>IFERROR(IF(venta_a_mes1254[[#This Row],[CUIT]]="","-",VLOOKUP(venta_a_mes1254[[#This Row],[CUIT]],Lista_CUIT[#All],2,0)),"CUIT NO CARGADO")</f>
        <v>-</v>
      </c>
      <c r="H286" s="100"/>
      <c r="I286" s="101">
        <f>venta_a_mes1254[[#This Row],[IMPORTE NETO]]*0.21</f>
        <v>0</v>
      </c>
      <c r="J286" s="65"/>
      <c r="K286" s="65"/>
      <c r="L286" s="65">
        <f>SUM(venta_a_mes1254[[#This Row],[IMPORTE NETO]:[EXENTO]])</f>
        <v>0</v>
      </c>
      <c r="M286" s="59"/>
    </row>
    <row r="287" spans="2:13">
      <c r="B287" s="109"/>
      <c r="C287" s="41"/>
      <c r="D287" s="111"/>
      <c r="E287" s="112"/>
      <c r="F287" s="113"/>
      <c r="G287" s="99" t="str">
        <f>IFERROR(IF(venta_a_mes1254[[#This Row],[CUIT]]="","-",VLOOKUP(venta_a_mes1254[[#This Row],[CUIT]],Lista_CUIT[#All],2,0)),"CUIT NO CARGADO")</f>
        <v>-</v>
      </c>
      <c r="H287" s="100"/>
      <c r="I287" s="101">
        <f>venta_a_mes1254[[#This Row],[IMPORTE NETO]]*0.21</f>
        <v>0</v>
      </c>
      <c r="J287" s="65"/>
      <c r="K287" s="65"/>
      <c r="L287" s="65">
        <f>SUM(venta_a_mes1254[[#This Row],[IMPORTE NETO]:[EXENTO]])</f>
        <v>0</v>
      </c>
      <c r="M287" s="59"/>
    </row>
    <row r="288" spans="2:13">
      <c r="B288" s="109"/>
      <c r="C288" s="41"/>
      <c r="D288" s="111"/>
      <c r="E288" s="112"/>
      <c r="F288" s="113"/>
      <c r="G288" s="99" t="str">
        <f>IFERROR(IF(venta_a_mes1254[[#This Row],[CUIT]]="","-",VLOOKUP(venta_a_mes1254[[#This Row],[CUIT]],Lista_CUIT[#All],2,0)),"CUIT NO CARGADO")</f>
        <v>-</v>
      </c>
      <c r="H288" s="100"/>
      <c r="I288" s="101">
        <f>venta_a_mes1254[[#This Row],[IMPORTE NETO]]*0.21</f>
        <v>0</v>
      </c>
      <c r="J288" s="65"/>
      <c r="K288" s="65"/>
      <c r="L288" s="65">
        <f>SUM(venta_a_mes1254[[#This Row],[IMPORTE NETO]:[EXENTO]])</f>
        <v>0</v>
      </c>
      <c r="M288" s="59"/>
    </row>
    <row r="289" spans="2:13">
      <c r="B289" s="109"/>
      <c r="C289" s="41"/>
      <c r="D289" s="111"/>
      <c r="E289" s="112"/>
      <c r="F289" s="113"/>
      <c r="G289" s="99" t="str">
        <f>IFERROR(IF(venta_a_mes1254[[#This Row],[CUIT]]="","-",VLOOKUP(venta_a_mes1254[[#This Row],[CUIT]],Lista_CUIT[#All],2,0)),"CUIT NO CARGADO")</f>
        <v>-</v>
      </c>
      <c r="H289" s="100"/>
      <c r="I289" s="101">
        <f>venta_a_mes1254[[#This Row],[IMPORTE NETO]]*0.21</f>
        <v>0</v>
      </c>
      <c r="J289" s="65"/>
      <c r="K289" s="65"/>
      <c r="L289" s="65">
        <f>SUM(venta_a_mes1254[[#This Row],[IMPORTE NETO]:[EXENTO]])</f>
        <v>0</v>
      </c>
      <c r="M289" s="59"/>
    </row>
    <row r="290" spans="2:13">
      <c r="B290" s="109"/>
      <c r="C290" s="41"/>
      <c r="D290" s="111"/>
      <c r="E290" s="112"/>
      <c r="F290" s="113"/>
      <c r="G290" s="99" t="str">
        <f>IFERROR(IF(venta_a_mes1254[[#This Row],[CUIT]]="","-",VLOOKUP(venta_a_mes1254[[#This Row],[CUIT]],Lista_CUIT[#All],2,0)),"CUIT NO CARGADO")</f>
        <v>-</v>
      </c>
      <c r="H290" s="100"/>
      <c r="I290" s="101">
        <f>venta_a_mes1254[[#This Row],[IMPORTE NETO]]*0.21</f>
        <v>0</v>
      </c>
      <c r="J290" s="65"/>
      <c r="K290" s="65"/>
      <c r="L290" s="65">
        <f>SUM(venta_a_mes1254[[#This Row],[IMPORTE NETO]:[EXENTO]])</f>
        <v>0</v>
      </c>
      <c r="M290" s="59"/>
    </row>
    <row r="291" spans="2:13">
      <c r="B291" s="109"/>
      <c r="C291" s="41"/>
      <c r="D291" s="111"/>
      <c r="E291" s="112"/>
      <c r="F291" s="113"/>
      <c r="G291" s="99" t="str">
        <f>IFERROR(IF(venta_a_mes1254[[#This Row],[CUIT]]="","-",VLOOKUP(venta_a_mes1254[[#This Row],[CUIT]],Lista_CUIT[#All],2,0)),"CUIT NO CARGADO")</f>
        <v>-</v>
      </c>
      <c r="H291" s="100"/>
      <c r="I291" s="101">
        <f>venta_a_mes1254[[#This Row],[IMPORTE NETO]]*0.21</f>
        <v>0</v>
      </c>
      <c r="J291" s="65"/>
      <c r="K291" s="65"/>
      <c r="L291" s="65">
        <f>SUM(venta_a_mes1254[[#This Row],[IMPORTE NETO]:[EXENTO]])</f>
        <v>0</v>
      </c>
      <c r="M291" s="59"/>
    </row>
    <row r="292" spans="2:13">
      <c r="B292" s="109"/>
      <c r="C292" s="41"/>
      <c r="D292" s="111"/>
      <c r="E292" s="112"/>
      <c r="F292" s="113"/>
      <c r="G292" s="99" t="str">
        <f>IFERROR(IF(venta_a_mes1254[[#This Row],[CUIT]]="","-",VLOOKUP(venta_a_mes1254[[#This Row],[CUIT]],Lista_CUIT[#All],2,0)),"CUIT NO CARGADO")</f>
        <v>-</v>
      </c>
      <c r="H292" s="100"/>
      <c r="I292" s="101">
        <f>venta_a_mes1254[[#This Row],[IMPORTE NETO]]*0.21</f>
        <v>0</v>
      </c>
      <c r="J292" s="65"/>
      <c r="K292" s="65"/>
      <c r="L292" s="65">
        <f>SUM(venta_a_mes1254[[#This Row],[IMPORTE NETO]:[EXENTO]])</f>
        <v>0</v>
      </c>
      <c r="M292" s="59"/>
    </row>
    <row r="293" spans="2:13">
      <c r="B293" s="109"/>
      <c r="C293" s="41"/>
      <c r="D293" s="111"/>
      <c r="E293" s="112"/>
      <c r="F293" s="113"/>
      <c r="G293" s="99" t="str">
        <f>IFERROR(IF(venta_a_mes1254[[#This Row],[CUIT]]="","-",VLOOKUP(venta_a_mes1254[[#This Row],[CUIT]],Lista_CUIT[#All],2,0)),"CUIT NO CARGADO")</f>
        <v>-</v>
      </c>
      <c r="H293" s="100"/>
      <c r="I293" s="101">
        <f>venta_a_mes1254[[#This Row],[IMPORTE NETO]]*0.21</f>
        <v>0</v>
      </c>
      <c r="J293" s="65"/>
      <c r="K293" s="65"/>
      <c r="L293" s="65">
        <f>SUM(venta_a_mes1254[[#This Row],[IMPORTE NETO]:[EXENTO]])</f>
        <v>0</v>
      </c>
      <c r="M293" s="59"/>
    </row>
    <row r="294" spans="2:13">
      <c r="B294" s="109"/>
      <c r="C294" s="41"/>
      <c r="D294" s="111"/>
      <c r="E294" s="112"/>
      <c r="F294" s="113"/>
      <c r="G294" s="99" t="str">
        <f>IFERROR(IF(venta_a_mes1254[[#This Row],[CUIT]]="","-",VLOOKUP(venta_a_mes1254[[#This Row],[CUIT]],Lista_CUIT[#All],2,0)),"CUIT NO CARGADO")</f>
        <v>-</v>
      </c>
      <c r="H294" s="100"/>
      <c r="I294" s="101">
        <f>venta_a_mes1254[[#This Row],[IMPORTE NETO]]*0.21</f>
        <v>0</v>
      </c>
      <c r="J294" s="65"/>
      <c r="K294" s="65"/>
      <c r="L294" s="65">
        <f>SUM(venta_a_mes1254[[#This Row],[IMPORTE NETO]:[EXENTO]])</f>
        <v>0</v>
      </c>
      <c r="M294" s="59"/>
    </row>
    <row r="295" spans="2:13">
      <c r="B295" s="109"/>
      <c r="C295" s="41"/>
      <c r="D295" s="111"/>
      <c r="E295" s="112"/>
      <c r="F295" s="113"/>
      <c r="G295" s="99" t="str">
        <f>IFERROR(IF(venta_a_mes1254[[#This Row],[CUIT]]="","-",VLOOKUP(venta_a_mes1254[[#This Row],[CUIT]],Lista_CUIT[#All],2,0)),"CUIT NO CARGADO")</f>
        <v>-</v>
      </c>
      <c r="H295" s="100"/>
      <c r="I295" s="101">
        <f>venta_a_mes1254[[#This Row],[IMPORTE NETO]]*0.21</f>
        <v>0</v>
      </c>
      <c r="J295" s="65"/>
      <c r="K295" s="65"/>
      <c r="L295" s="65">
        <f>SUM(venta_a_mes1254[[#This Row],[IMPORTE NETO]:[EXENTO]])</f>
        <v>0</v>
      </c>
      <c r="M295" s="59"/>
    </row>
    <row r="296" spans="2:13">
      <c r="B296" s="109"/>
      <c r="C296" s="41"/>
      <c r="D296" s="111"/>
      <c r="E296" s="112"/>
      <c r="F296" s="113"/>
      <c r="G296" s="99" t="str">
        <f>IFERROR(IF(venta_a_mes1254[[#This Row],[CUIT]]="","-",VLOOKUP(venta_a_mes1254[[#This Row],[CUIT]],Lista_CUIT[#All],2,0)),"CUIT NO CARGADO")</f>
        <v>-</v>
      </c>
      <c r="H296" s="100"/>
      <c r="I296" s="101">
        <f>venta_a_mes1254[[#This Row],[IMPORTE NETO]]*0.21</f>
        <v>0</v>
      </c>
      <c r="J296" s="65"/>
      <c r="K296" s="65"/>
      <c r="L296" s="65">
        <f>SUM(venta_a_mes1254[[#This Row],[IMPORTE NETO]:[EXENTO]])</f>
        <v>0</v>
      </c>
      <c r="M296" s="59"/>
    </row>
    <row r="297" spans="2:13">
      <c r="B297" s="109"/>
      <c r="C297" s="41"/>
      <c r="D297" s="111"/>
      <c r="E297" s="112"/>
      <c r="F297" s="113"/>
      <c r="G297" s="99" t="str">
        <f>IFERROR(IF(venta_a_mes1254[[#This Row],[CUIT]]="","-",VLOOKUP(venta_a_mes1254[[#This Row],[CUIT]],Lista_CUIT[#All],2,0)),"CUIT NO CARGADO")</f>
        <v>-</v>
      </c>
      <c r="H297" s="100"/>
      <c r="I297" s="101">
        <f>venta_a_mes1254[[#This Row],[IMPORTE NETO]]*0.21</f>
        <v>0</v>
      </c>
      <c r="J297" s="65"/>
      <c r="K297" s="65"/>
      <c r="L297" s="65">
        <f>SUM(venta_a_mes1254[[#This Row],[IMPORTE NETO]:[EXENTO]])</f>
        <v>0</v>
      </c>
      <c r="M297" s="59"/>
    </row>
    <row r="298" spans="2:13">
      <c r="B298" s="109"/>
      <c r="C298" s="41"/>
      <c r="D298" s="111"/>
      <c r="E298" s="112"/>
      <c r="F298" s="113"/>
      <c r="G298" s="99" t="str">
        <f>IFERROR(IF(venta_a_mes1254[[#This Row],[CUIT]]="","-",VLOOKUP(venta_a_mes1254[[#This Row],[CUIT]],Lista_CUIT[#All],2,0)),"CUIT NO CARGADO")</f>
        <v>-</v>
      </c>
      <c r="H298" s="100"/>
      <c r="I298" s="101">
        <f>venta_a_mes1254[[#This Row],[IMPORTE NETO]]*0.21</f>
        <v>0</v>
      </c>
      <c r="J298" s="65"/>
      <c r="K298" s="65"/>
      <c r="L298" s="65">
        <f>SUM(venta_a_mes1254[[#This Row],[IMPORTE NETO]:[EXENTO]])</f>
        <v>0</v>
      </c>
      <c r="M298" s="59"/>
    </row>
    <row r="299" spans="2:13">
      <c r="B299" s="109"/>
      <c r="C299" s="41"/>
      <c r="D299" s="111"/>
      <c r="E299" s="112"/>
      <c r="F299" s="113"/>
      <c r="G299" s="99" t="str">
        <f>IFERROR(IF(venta_a_mes1254[[#This Row],[CUIT]]="","-",VLOOKUP(venta_a_mes1254[[#This Row],[CUIT]],Lista_CUIT[#All],2,0)),"CUIT NO CARGADO")</f>
        <v>-</v>
      </c>
      <c r="H299" s="100"/>
      <c r="I299" s="101">
        <f>venta_a_mes1254[[#This Row],[IMPORTE NETO]]*0.21</f>
        <v>0</v>
      </c>
      <c r="J299" s="65"/>
      <c r="K299" s="65"/>
      <c r="L299" s="65">
        <f>SUM(venta_a_mes1254[[#This Row],[IMPORTE NETO]:[EXENTO]])</f>
        <v>0</v>
      </c>
      <c r="M299" s="59"/>
    </row>
    <row r="300" spans="2:13">
      <c r="B300" s="109"/>
      <c r="C300" s="41"/>
      <c r="D300" s="111"/>
      <c r="E300" s="112"/>
      <c r="F300" s="113"/>
      <c r="G300" s="99" t="str">
        <f>IFERROR(IF(venta_a_mes1254[[#This Row],[CUIT]]="","-",VLOOKUP(venta_a_mes1254[[#This Row],[CUIT]],Lista_CUIT[#All],2,0)),"CUIT NO CARGADO")</f>
        <v>-</v>
      </c>
      <c r="H300" s="100"/>
      <c r="I300" s="101">
        <f>venta_a_mes1254[[#This Row],[IMPORTE NETO]]*0.21</f>
        <v>0</v>
      </c>
      <c r="J300" s="65"/>
      <c r="K300" s="65"/>
      <c r="L300" s="65">
        <f>SUM(venta_a_mes1254[[#This Row],[IMPORTE NETO]:[EXENTO]])</f>
        <v>0</v>
      </c>
      <c r="M300" s="59"/>
    </row>
    <row r="301" spans="2:13">
      <c r="B301" s="109"/>
      <c r="C301" s="41"/>
      <c r="D301" s="111"/>
      <c r="E301" s="112"/>
      <c r="F301" s="113"/>
      <c r="G301" s="99" t="str">
        <f>IFERROR(IF(venta_a_mes1254[[#This Row],[CUIT]]="","-",VLOOKUP(venta_a_mes1254[[#This Row],[CUIT]],Lista_CUIT[#All],2,0)),"CUIT NO CARGADO")</f>
        <v>-</v>
      </c>
      <c r="H301" s="100"/>
      <c r="I301" s="101">
        <f>venta_a_mes1254[[#This Row],[IMPORTE NETO]]*0.21</f>
        <v>0</v>
      </c>
      <c r="J301" s="65"/>
      <c r="K301" s="65"/>
      <c r="L301" s="65">
        <f>SUM(venta_a_mes1254[[#This Row],[IMPORTE NETO]:[EXENTO]])</f>
        <v>0</v>
      </c>
      <c r="M301" s="59"/>
    </row>
    <row r="302" spans="2:13">
      <c r="B302" s="109"/>
      <c r="C302" s="41"/>
      <c r="D302" s="111"/>
      <c r="E302" s="112"/>
      <c r="F302" s="113"/>
      <c r="G302" s="99" t="str">
        <f>IFERROR(IF(venta_a_mes1254[[#This Row],[CUIT]]="","-",VLOOKUP(venta_a_mes1254[[#This Row],[CUIT]],Lista_CUIT[#All],2,0)),"CUIT NO CARGADO")</f>
        <v>-</v>
      </c>
      <c r="H302" s="100"/>
      <c r="I302" s="101">
        <f>venta_a_mes1254[[#This Row],[IMPORTE NETO]]*0.21</f>
        <v>0</v>
      </c>
      <c r="J302" s="65"/>
      <c r="K302" s="65"/>
      <c r="L302" s="65">
        <f>SUM(venta_a_mes1254[[#This Row],[IMPORTE NETO]:[EXENTO]])</f>
        <v>0</v>
      </c>
      <c r="M302" s="59"/>
    </row>
    <row r="303" spans="2:13">
      <c r="B303" s="109"/>
      <c r="C303" s="41"/>
      <c r="D303" s="111"/>
      <c r="E303" s="112"/>
      <c r="F303" s="113"/>
      <c r="G303" s="99" t="str">
        <f>IFERROR(IF(venta_a_mes1254[[#This Row],[CUIT]]="","-",VLOOKUP(venta_a_mes1254[[#This Row],[CUIT]],Lista_CUIT[#All],2,0)),"CUIT NO CARGADO")</f>
        <v>-</v>
      </c>
      <c r="H303" s="100"/>
      <c r="I303" s="101">
        <f>venta_a_mes1254[[#This Row],[IMPORTE NETO]]*0.21</f>
        <v>0</v>
      </c>
      <c r="J303" s="65"/>
      <c r="K303" s="65"/>
      <c r="L303" s="65">
        <f>SUM(venta_a_mes1254[[#This Row],[IMPORTE NETO]:[EXENTO]])</f>
        <v>0</v>
      </c>
      <c r="M303" s="59"/>
    </row>
    <row r="304" spans="2:13">
      <c r="B304" s="109"/>
      <c r="C304" s="41"/>
      <c r="D304" s="111"/>
      <c r="E304" s="112"/>
      <c r="F304" s="113"/>
      <c r="G304" s="99" t="str">
        <f>IFERROR(IF(venta_a_mes1254[[#This Row],[CUIT]]="","-",VLOOKUP(venta_a_mes1254[[#This Row],[CUIT]],Lista_CUIT[#All],2,0)),"CUIT NO CARGADO")</f>
        <v>-</v>
      </c>
      <c r="H304" s="100"/>
      <c r="I304" s="101">
        <f>venta_a_mes1254[[#This Row],[IMPORTE NETO]]*0.21</f>
        <v>0</v>
      </c>
      <c r="J304" s="65"/>
      <c r="K304" s="65"/>
      <c r="L304" s="65">
        <f>SUM(venta_a_mes1254[[#This Row],[IMPORTE NETO]:[EXENTO]])</f>
        <v>0</v>
      </c>
      <c r="M304" s="59"/>
    </row>
    <row r="305" spans="2:13">
      <c r="B305" s="109"/>
      <c r="C305" s="41"/>
      <c r="D305" s="111"/>
      <c r="E305" s="112"/>
      <c r="F305" s="113"/>
      <c r="G305" s="99" t="str">
        <f>IFERROR(IF(venta_a_mes1254[[#This Row],[CUIT]]="","-",VLOOKUP(venta_a_mes1254[[#This Row],[CUIT]],Lista_CUIT[#All],2,0)),"CUIT NO CARGADO")</f>
        <v>-</v>
      </c>
      <c r="H305" s="100"/>
      <c r="I305" s="101">
        <f>venta_a_mes1254[[#This Row],[IMPORTE NETO]]*0.21</f>
        <v>0</v>
      </c>
      <c r="J305" s="65"/>
      <c r="K305" s="65"/>
      <c r="L305" s="65">
        <f>SUM(venta_a_mes1254[[#This Row],[IMPORTE NETO]:[EXENTO]])</f>
        <v>0</v>
      </c>
      <c r="M305" s="59"/>
    </row>
    <row r="306" spans="2:13">
      <c r="B306" s="109"/>
      <c r="C306" s="41"/>
      <c r="D306" s="111"/>
      <c r="E306" s="112"/>
      <c r="F306" s="113"/>
      <c r="G306" s="99" t="str">
        <f>IFERROR(IF(venta_a_mes1254[[#This Row],[CUIT]]="","-",VLOOKUP(venta_a_mes1254[[#This Row],[CUIT]],Lista_CUIT[#All],2,0)),"CUIT NO CARGADO")</f>
        <v>-</v>
      </c>
      <c r="H306" s="100"/>
      <c r="I306" s="101">
        <f>venta_a_mes1254[[#This Row],[IMPORTE NETO]]*0.21</f>
        <v>0</v>
      </c>
      <c r="J306" s="65"/>
      <c r="K306" s="65"/>
      <c r="L306" s="65">
        <f>SUM(venta_a_mes1254[[#This Row],[IMPORTE NETO]:[EXENTO]])</f>
        <v>0</v>
      </c>
      <c r="M306" s="59"/>
    </row>
    <row r="307" spans="2:13">
      <c r="B307" s="109"/>
      <c r="C307" s="41"/>
      <c r="D307" s="111"/>
      <c r="E307" s="112"/>
      <c r="F307" s="113"/>
      <c r="G307" s="99" t="str">
        <f>IFERROR(IF(venta_a_mes1254[[#This Row],[CUIT]]="","-",VLOOKUP(venta_a_mes1254[[#This Row],[CUIT]],Lista_CUIT[#All],2,0)),"CUIT NO CARGADO")</f>
        <v>-</v>
      </c>
      <c r="H307" s="100"/>
      <c r="I307" s="101">
        <f>venta_a_mes1254[[#This Row],[IMPORTE NETO]]*0.21</f>
        <v>0</v>
      </c>
      <c r="J307" s="65"/>
      <c r="K307" s="65"/>
      <c r="L307" s="65">
        <f>SUM(venta_a_mes1254[[#This Row],[IMPORTE NETO]:[EXENTO]])</f>
        <v>0</v>
      </c>
      <c r="M307" s="59"/>
    </row>
    <row r="308" spans="2:13">
      <c r="B308" s="109"/>
      <c r="C308" s="41"/>
      <c r="D308" s="111"/>
      <c r="E308" s="112"/>
      <c r="F308" s="113"/>
      <c r="G308" s="99" t="str">
        <f>IFERROR(IF(venta_a_mes1254[[#This Row],[CUIT]]="","-",VLOOKUP(venta_a_mes1254[[#This Row],[CUIT]],Lista_CUIT[#All],2,0)),"CUIT NO CARGADO")</f>
        <v>-</v>
      </c>
      <c r="H308" s="100"/>
      <c r="I308" s="101">
        <f>venta_a_mes1254[[#This Row],[IMPORTE NETO]]*0.21</f>
        <v>0</v>
      </c>
      <c r="J308" s="65"/>
      <c r="K308" s="65"/>
      <c r="L308" s="65">
        <f>SUM(venta_a_mes1254[[#This Row],[IMPORTE NETO]:[EXENTO]])</f>
        <v>0</v>
      </c>
      <c r="M308" s="59"/>
    </row>
    <row r="309" spans="2:13">
      <c r="B309" s="109"/>
      <c r="C309" s="41"/>
      <c r="D309" s="111"/>
      <c r="E309" s="112"/>
      <c r="F309" s="113"/>
      <c r="G309" s="99" t="str">
        <f>IFERROR(IF(venta_a_mes1254[[#This Row],[CUIT]]="","-",VLOOKUP(venta_a_mes1254[[#This Row],[CUIT]],Lista_CUIT[#All],2,0)),"CUIT NO CARGADO")</f>
        <v>-</v>
      </c>
      <c r="H309" s="100"/>
      <c r="I309" s="101">
        <f>venta_a_mes1254[[#This Row],[IMPORTE NETO]]*0.21</f>
        <v>0</v>
      </c>
      <c r="J309" s="65"/>
      <c r="K309" s="65"/>
      <c r="L309" s="65">
        <f>SUM(venta_a_mes1254[[#This Row],[IMPORTE NETO]:[EXENTO]])</f>
        <v>0</v>
      </c>
      <c r="M309" s="59"/>
    </row>
    <row r="310" spans="2:13">
      <c r="B310" s="109"/>
      <c r="C310" s="41"/>
      <c r="D310" s="111"/>
      <c r="E310" s="112"/>
      <c r="F310" s="113"/>
      <c r="G310" s="99" t="str">
        <f>IFERROR(IF(venta_a_mes1254[[#This Row],[CUIT]]="","-",VLOOKUP(venta_a_mes1254[[#This Row],[CUIT]],Lista_CUIT[#All],2,0)),"CUIT NO CARGADO")</f>
        <v>-</v>
      </c>
      <c r="H310" s="100"/>
      <c r="I310" s="101">
        <f>venta_a_mes1254[[#This Row],[IMPORTE NETO]]*0.21</f>
        <v>0</v>
      </c>
      <c r="J310" s="65"/>
      <c r="K310" s="65"/>
      <c r="L310" s="65">
        <f>SUM(venta_a_mes1254[[#This Row],[IMPORTE NETO]:[EXENTO]])</f>
        <v>0</v>
      </c>
      <c r="M310" s="59"/>
    </row>
    <row r="311" spans="2:13">
      <c r="B311" s="109"/>
      <c r="C311" s="41"/>
      <c r="D311" s="111"/>
      <c r="E311" s="112"/>
      <c r="F311" s="113"/>
      <c r="G311" s="99" t="str">
        <f>IFERROR(IF(venta_a_mes1254[[#This Row],[CUIT]]="","-",VLOOKUP(venta_a_mes1254[[#This Row],[CUIT]],Lista_CUIT[#All],2,0)),"CUIT NO CARGADO")</f>
        <v>-</v>
      </c>
      <c r="H311" s="100"/>
      <c r="I311" s="101">
        <f>venta_a_mes1254[[#This Row],[IMPORTE NETO]]*0.21</f>
        <v>0</v>
      </c>
      <c r="J311" s="65"/>
      <c r="K311" s="65"/>
      <c r="L311" s="65">
        <f>SUM(venta_a_mes1254[[#This Row],[IMPORTE NETO]:[EXENTO]])</f>
        <v>0</v>
      </c>
      <c r="M311" s="59"/>
    </row>
    <row r="312" spans="2:13">
      <c r="B312" s="109"/>
      <c r="C312" s="41"/>
      <c r="D312" s="111"/>
      <c r="E312" s="112"/>
      <c r="F312" s="113"/>
      <c r="G312" s="99" t="str">
        <f>IFERROR(IF(venta_a_mes1254[[#This Row],[CUIT]]="","-",VLOOKUP(venta_a_mes1254[[#This Row],[CUIT]],Lista_CUIT[#All],2,0)),"CUIT NO CARGADO")</f>
        <v>-</v>
      </c>
      <c r="H312" s="100"/>
      <c r="I312" s="101">
        <f>venta_a_mes1254[[#This Row],[IMPORTE NETO]]*0.21</f>
        <v>0</v>
      </c>
      <c r="J312" s="65"/>
      <c r="K312" s="65"/>
      <c r="L312" s="65">
        <f>SUM(venta_a_mes1254[[#This Row],[IMPORTE NETO]:[EXENTO]])</f>
        <v>0</v>
      </c>
      <c r="M312" s="59"/>
    </row>
    <row r="313" spans="2:13">
      <c r="B313" s="109"/>
      <c r="C313" s="41"/>
      <c r="D313" s="111"/>
      <c r="E313" s="112"/>
      <c r="F313" s="113"/>
      <c r="G313" s="99" t="str">
        <f>IFERROR(IF(venta_a_mes1254[[#This Row],[CUIT]]="","-",VLOOKUP(venta_a_mes1254[[#This Row],[CUIT]],Lista_CUIT[#All],2,0)),"CUIT NO CARGADO")</f>
        <v>-</v>
      </c>
      <c r="H313" s="100"/>
      <c r="I313" s="101">
        <f>venta_a_mes1254[[#This Row],[IMPORTE NETO]]*0.21</f>
        <v>0</v>
      </c>
      <c r="J313" s="65"/>
      <c r="K313" s="65"/>
      <c r="L313" s="65">
        <f>SUM(venta_a_mes1254[[#This Row],[IMPORTE NETO]:[EXENTO]])</f>
        <v>0</v>
      </c>
      <c r="M313" s="59"/>
    </row>
    <row r="314" spans="2:13">
      <c r="B314" s="109"/>
      <c r="C314" s="41"/>
      <c r="D314" s="111"/>
      <c r="E314" s="112"/>
      <c r="F314" s="113"/>
      <c r="G314" s="99" t="str">
        <f>IFERROR(IF(venta_a_mes1254[[#This Row],[CUIT]]="","-",VLOOKUP(venta_a_mes1254[[#This Row],[CUIT]],Lista_CUIT[#All],2,0)),"CUIT NO CARGADO")</f>
        <v>-</v>
      </c>
      <c r="H314" s="100"/>
      <c r="I314" s="101">
        <f>venta_a_mes1254[[#This Row],[IMPORTE NETO]]*0.21</f>
        <v>0</v>
      </c>
      <c r="J314" s="65"/>
      <c r="K314" s="65"/>
      <c r="L314" s="65">
        <f>SUM(venta_a_mes1254[[#This Row],[IMPORTE NETO]:[EXENTO]])</f>
        <v>0</v>
      </c>
      <c r="M314" s="59"/>
    </row>
    <row r="315" spans="2:13">
      <c r="B315" s="109"/>
      <c r="C315" s="41"/>
      <c r="D315" s="111"/>
      <c r="E315" s="112"/>
      <c r="F315" s="113"/>
      <c r="G315" s="99" t="str">
        <f>IFERROR(IF(venta_a_mes1254[[#This Row],[CUIT]]="","-",VLOOKUP(venta_a_mes1254[[#This Row],[CUIT]],Lista_CUIT[#All],2,0)),"CUIT NO CARGADO")</f>
        <v>-</v>
      </c>
      <c r="H315" s="100"/>
      <c r="I315" s="101">
        <f>venta_a_mes1254[[#This Row],[IMPORTE NETO]]*0.21</f>
        <v>0</v>
      </c>
      <c r="J315" s="65"/>
      <c r="K315" s="65"/>
      <c r="L315" s="65">
        <f>SUM(venta_a_mes1254[[#This Row],[IMPORTE NETO]:[EXENTO]])</f>
        <v>0</v>
      </c>
      <c r="M315" s="59"/>
    </row>
    <row r="316" spans="2:13">
      <c r="B316" s="109"/>
      <c r="C316" s="41"/>
      <c r="D316" s="111"/>
      <c r="E316" s="112"/>
      <c r="F316" s="113"/>
      <c r="G316" s="99" t="str">
        <f>IFERROR(IF(venta_a_mes1254[[#This Row],[CUIT]]="","-",VLOOKUP(venta_a_mes1254[[#This Row],[CUIT]],Lista_CUIT[#All],2,0)),"CUIT NO CARGADO")</f>
        <v>-</v>
      </c>
      <c r="H316" s="100"/>
      <c r="I316" s="101">
        <f>venta_a_mes1254[[#This Row],[IMPORTE NETO]]*0.21</f>
        <v>0</v>
      </c>
      <c r="J316" s="65"/>
      <c r="K316" s="65"/>
      <c r="L316" s="65">
        <f>SUM(venta_a_mes1254[[#This Row],[IMPORTE NETO]:[EXENTO]])</f>
        <v>0</v>
      </c>
      <c r="M316" s="59"/>
    </row>
    <row r="317" spans="2:13">
      <c r="B317" s="109"/>
      <c r="C317" s="41"/>
      <c r="D317" s="111"/>
      <c r="E317" s="112"/>
      <c r="F317" s="113"/>
      <c r="G317" s="99" t="str">
        <f>IFERROR(IF(venta_a_mes1254[[#This Row],[CUIT]]="","-",VLOOKUP(venta_a_mes1254[[#This Row],[CUIT]],Lista_CUIT[#All],2,0)),"CUIT NO CARGADO")</f>
        <v>-</v>
      </c>
      <c r="H317" s="100"/>
      <c r="I317" s="101">
        <f>venta_a_mes1254[[#This Row],[IMPORTE NETO]]*0.21</f>
        <v>0</v>
      </c>
      <c r="J317" s="65"/>
      <c r="K317" s="65"/>
      <c r="L317" s="65">
        <f>SUM(venta_a_mes1254[[#This Row],[IMPORTE NETO]:[EXENTO]])</f>
        <v>0</v>
      </c>
      <c r="M317" s="59"/>
    </row>
    <row r="318" spans="2:13">
      <c r="B318" s="109"/>
      <c r="C318" s="41"/>
      <c r="D318" s="111"/>
      <c r="E318" s="112"/>
      <c r="F318" s="113"/>
      <c r="G318" s="99" t="str">
        <f>IFERROR(IF(venta_a_mes1254[[#This Row],[CUIT]]="","-",VLOOKUP(venta_a_mes1254[[#This Row],[CUIT]],Lista_CUIT[#All],2,0)),"CUIT NO CARGADO")</f>
        <v>-</v>
      </c>
      <c r="H318" s="100"/>
      <c r="I318" s="101">
        <f>venta_a_mes1254[[#This Row],[IMPORTE NETO]]*0.21</f>
        <v>0</v>
      </c>
      <c r="J318" s="65"/>
      <c r="K318" s="65"/>
      <c r="L318" s="65">
        <f>SUM(venta_a_mes1254[[#This Row],[IMPORTE NETO]:[EXENTO]])</f>
        <v>0</v>
      </c>
      <c r="M318" s="59"/>
    </row>
    <row r="319" spans="2:13">
      <c r="B319" s="109"/>
      <c r="C319" s="41"/>
      <c r="D319" s="111"/>
      <c r="E319" s="112"/>
      <c r="F319" s="113"/>
      <c r="G319" s="99" t="str">
        <f>IFERROR(IF(venta_a_mes1254[[#This Row],[CUIT]]="","-",VLOOKUP(venta_a_mes1254[[#This Row],[CUIT]],Lista_CUIT[#All],2,0)),"CUIT NO CARGADO")</f>
        <v>-</v>
      </c>
      <c r="H319" s="100"/>
      <c r="I319" s="101">
        <f>venta_a_mes1254[[#This Row],[IMPORTE NETO]]*0.21</f>
        <v>0</v>
      </c>
      <c r="J319" s="65"/>
      <c r="K319" s="65"/>
      <c r="L319" s="65">
        <f>SUM(venta_a_mes1254[[#This Row],[IMPORTE NETO]:[EXENTO]])</f>
        <v>0</v>
      </c>
      <c r="M319" s="59"/>
    </row>
    <row r="320" spans="2:13">
      <c r="B320" s="109"/>
      <c r="C320" s="41"/>
      <c r="D320" s="111"/>
      <c r="E320" s="112"/>
      <c r="F320" s="113"/>
      <c r="G320" s="99" t="str">
        <f>IFERROR(IF(venta_a_mes1254[[#This Row],[CUIT]]="","-",VLOOKUP(venta_a_mes1254[[#This Row],[CUIT]],Lista_CUIT[#All],2,0)),"CUIT NO CARGADO")</f>
        <v>-</v>
      </c>
      <c r="H320" s="100"/>
      <c r="I320" s="101">
        <f>venta_a_mes1254[[#This Row],[IMPORTE NETO]]*0.21</f>
        <v>0</v>
      </c>
      <c r="J320" s="65"/>
      <c r="K320" s="65"/>
      <c r="L320" s="65">
        <f>SUM(venta_a_mes1254[[#This Row],[IMPORTE NETO]:[EXENTO]])</f>
        <v>0</v>
      </c>
      <c r="M320" s="59"/>
    </row>
    <row r="321" spans="2:13">
      <c r="B321" s="109"/>
      <c r="C321" s="41"/>
      <c r="D321" s="111"/>
      <c r="E321" s="112"/>
      <c r="F321" s="113"/>
      <c r="G321" s="99" t="str">
        <f>IFERROR(IF(venta_a_mes1254[[#This Row],[CUIT]]="","-",VLOOKUP(venta_a_mes1254[[#This Row],[CUIT]],Lista_CUIT[#All],2,0)),"CUIT NO CARGADO")</f>
        <v>-</v>
      </c>
      <c r="H321" s="100"/>
      <c r="I321" s="101">
        <f>venta_a_mes1254[[#This Row],[IMPORTE NETO]]*0.21</f>
        <v>0</v>
      </c>
      <c r="J321" s="65"/>
      <c r="K321" s="65"/>
      <c r="L321" s="65">
        <f>SUM(venta_a_mes1254[[#This Row],[IMPORTE NETO]:[EXENTO]])</f>
        <v>0</v>
      </c>
      <c r="M321" s="59"/>
    </row>
    <row r="322" spans="2:13">
      <c r="B322" s="109"/>
      <c r="C322" s="41"/>
      <c r="D322" s="111"/>
      <c r="E322" s="112"/>
      <c r="F322" s="113"/>
      <c r="G322" s="99" t="str">
        <f>IFERROR(IF(venta_a_mes1254[[#This Row],[CUIT]]="","-",VLOOKUP(venta_a_mes1254[[#This Row],[CUIT]],Lista_CUIT[#All],2,0)),"CUIT NO CARGADO")</f>
        <v>-</v>
      </c>
      <c r="H322" s="100"/>
      <c r="I322" s="101">
        <f>venta_a_mes1254[[#This Row],[IMPORTE NETO]]*0.21</f>
        <v>0</v>
      </c>
      <c r="J322" s="65"/>
      <c r="K322" s="65"/>
      <c r="L322" s="65">
        <f>SUM(venta_a_mes1254[[#This Row],[IMPORTE NETO]:[EXENTO]])</f>
        <v>0</v>
      </c>
      <c r="M322" s="59"/>
    </row>
    <row r="323" spans="2:13">
      <c r="B323" s="109"/>
      <c r="C323" s="41"/>
      <c r="D323" s="111"/>
      <c r="E323" s="112"/>
      <c r="F323" s="113"/>
      <c r="G323" s="99" t="str">
        <f>IFERROR(IF(venta_a_mes1254[[#This Row],[CUIT]]="","-",VLOOKUP(venta_a_mes1254[[#This Row],[CUIT]],Lista_CUIT[#All],2,0)),"CUIT NO CARGADO")</f>
        <v>-</v>
      </c>
      <c r="H323" s="100"/>
      <c r="I323" s="101">
        <f>venta_a_mes1254[[#This Row],[IMPORTE NETO]]*0.21</f>
        <v>0</v>
      </c>
      <c r="J323" s="65"/>
      <c r="K323" s="65"/>
      <c r="L323" s="65">
        <f>SUM(venta_a_mes1254[[#This Row],[IMPORTE NETO]:[EXENTO]])</f>
        <v>0</v>
      </c>
      <c r="M323" s="59"/>
    </row>
    <row r="324" spans="2:13">
      <c r="B324" s="109"/>
      <c r="C324" s="41"/>
      <c r="D324" s="111"/>
      <c r="E324" s="112"/>
      <c r="F324" s="113"/>
      <c r="G324" s="99" t="str">
        <f>IFERROR(IF(venta_a_mes1254[[#This Row],[CUIT]]="","-",VLOOKUP(venta_a_mes1254[[#This Row],[CUIT]],Lista_CUIT[#All],2,0)),"CUIT NO CARGADO")</f>
        <v>-</v>
      </c>
      <c r="H324" s="100"/>
      <c r="I324" s="101">
        <f>venta_a_mes1254[[#This Row],[IMPORTE NETO]]*0.21</f>
        <v>0</v>
      </c>
      <c r="J324" s="65"/>
      <c r="K324" s="65"/>
      <c r="L324" s="65">
        <f>SUM(venta_a_mes1254[[#This Row],[IMPORTE NETO]:[EXENTO]])</f>
        <v>0</v>
      </c>
      <c r="M324" s="59"/>
    </row>
    <row r="325" spans="2:13">
      <c r="B325" s="109"/>
      <c r="C325" s="41"/>
      <c r="D325" s="111"/>
      <c r="E325" s="112"/>
      <c r="F325" s="113"/>
      <c r="G325" s="99" t="str">
        <f>IFERROR(IF(venta_a_mes1254[[#This Row],[CUIT]]="","-",VLOOKUP(venta_a_mes1254[[#This Row],[CUIT]],Lista_CUIT[#All],2,0)),"CUIT NO CARGADO")</f>
        <v>-</v>
      </c>
      <c r="H325" s="100"/>
      <c r="I325" s="101">
        <f>venta_a_mes1254[[#This Row],[IMPORTE NETO]]*0.21</f>
        <v>0</v>
      </c>
      <c r="J325" s="65"/>
      <c r="K325" s="65"/>
      <c r="L325" s="65">
        <f>SUM(venta_a_mes1254[[#This Row],[IMPORTE NETO]:[EXENTO]])</f>
        <v>0</v>
      </c>
      <c r="M325" s="59"/>
    </row>
    <row r="326" spans="2:13">
      <c r="B326" s="109"/>
      <c r="C326" s="41"/>
      <c r="D326" s="111"/>
      <c r="E326" s="112"/>
      <c r="F326" s="113"/>
      <c r="G326" s="99" t="str">
        <f>IFERROR(IF(venta_a_mes1254[[#This Row],[CUIT]]="","-",VLOOKUP(venta_a_mes1254[[#This Row],[CUIT]],Lista_CUIT[#All],2,0)),"CUIT NO CARGADO")</f>
        <v>-</v>
      </c>
      <c r="H326" s="100"/>
      <c r="I326" s="101">
        <f>venta_a_mes1254[[#This Row],[IMPORTE NETO]]*0.21</f>
        <v>0</v>
      </c>
      <c r="J326" s="65"/>
      <c r="K326" s="65"/>
      <c r="L326" s="65">
        <f>SUM(venta_a_mes1254[[#This Row],[IMPORTE NETO]:[EXENTO]])</f>
        <v>0</v>
      </c>
      <c r="M326" s="59"/>
    </row>
    <row r="327" spans="2:13">
      <c r="B327" s="109"/>
      <c r="C327" s="41"/>
      <c r="D327" s="111"/>
      <c r="E327" s="112"/>
      <c r="F327" s="113"/>
      <c r="G327" s="99" t="str">
        <f>IFERROR(IF(venta_a_mes1254[[#This Row],[CUIT]]="","-",VLOOKUP(venta_a_mes1254[[#This Row],[CUIT]],Lista_CUIT[#All],2,0)),"CUIT NO CARGADO")</f>
        <v>-</v>
      </c>
      <c r="H327" s="100"/>
      <c r="I327" s="101">
        <f>venta_a_mes1254[[#This Row],[IMPORTE NETO]]*0.21</f>
        <v>0</v>
      </c>
      <c r="J327" s="65"/>
      <c r="K327" s="65"/>
      <c r="L327" s="65">
        <f>SUM(venta_a_mes1254[[#This Row],[IMPORTE NETO]:[EXENTO]])</f>
        <v>0</v>
      </c>
      <c r="M327" s="59"/>
    </row>
    <row r="328" spans="2:13">
      <c r="B328" s="109"/>
      <c r="C328" s="41"/>
      <c r="D328" s="111"/>
      <c r="E328" s="112"/>
      <c r="F328" s="113"/>
      <c r="G328" s="99" t="str">
        <f>IFERROR(IF(venta_a_mes1254[[#This Row],[CUIT]]="","-",VLOOKUP(venta_a_mes1254[[#This Row],[CUIT]],Lista_CUIT[#All],2,0)),"CUIT NO CARGADO")</f>
        <v>-</v>
      </c>
      <c r="H328" s="100"/>
      <c r="I328" s="101">
        <f>venta_a_mes1254[[#This Row],[IMPORTE NETO]]*0.21</f>
        <v>0</v>
      </c>
      <c r="J328" s="65"/>
      <c r="K328" s="65"/>
      <c r="L328" s="65">
        <f>SUM(venta_a_mes1254[[#This Row],[IMPORTE NETO]:[EXENTO]])</f>
        <v>0</v>
      </c>
      <c r="M328" s="59"/>
    </row>
    <row r="329" spans="2:13">
      <c r="B329" s="109"/>
      <c r="C329" s="41"/>
      <c r="D329" s="111"/>
      <c r="E329" s="112"/>
      <c r="F329" s="113"/>
      <c r="G329" s="99" t="str">
        <f>IFERROR(IF(venta_a_mes1254[[#This Row],[CUIT]]="","-",VLOOKUP(venta_a_mes1254[[#This Row],[CUIT]],Lista_CUIT[#All],2,0)),"CUIT NO CARGADO")</f>
        <v>-</v>
      </c>
      <c r="H329" s="100"/>
      <c r="I329" s="101">
        <f>venta_a_mes1254[[#This Row],[IMPORTE NETO]]*0.21</f>
        <v>0</v>
      </c>
      <c r="J329" s="65"/>
      <c r="K329" s="65"/>
      <c r="L329" s="65">
        <f>SUM(venta_a_mes1254[[#This Row],[IMPORTE NETO]:[EXENTO]])</f>
        <v>0</v>
      </c>
      <c r="M329" s="59"/>
    </row>
    <row r="330" spans="2:13">
      <c r="B330" s="109"/>
      <c r="C330" s="41"/>
      <c r="D330" s="111"/>
      <c r="E330" s="112"/>
      <c r="F330" s="113"/>
      <c r="G330" s="99" t="str">
        <f>IFERROR(IF(venta_a_mes1254[[#This Row],[CUIT]]="","-",VLOOKUP(venta_a_mes1254[[#This Row],[CUIT]],Lista_CUIT[#All],2,0)),"CUIT NO CARGADO")</f>
        <v>-</v>
      </c>
      <c r="H330" s="100"/>
      <c r="I330" s="101">
        <f>venta_a_mes1254[[#This Row],[IMPORTE NETO]]*0.21</f>
        <v>0</v>
      </c>
      <c r="J330" s="65"/>
      <c r="K330" s="65"/>
      <c r="L330" s="65">
        <f>SUM(venta_a_mes1254[[#This Row],[IMPORTE NETO]:[EXENTO]])</f>
        <v>0</v>
      </c>
      <c r="M330" s="59"/>
    </row>
    <row r="331" spans="2:13">
      <c r="B331" s="109"/>
      <c r="C331" s="41"/>
      <c r="D331" s="111"/>
      <c r="E331" s="112"/>
      <c r="F331" s="113"/>
      <c r="G331" s="99" t="str">
        <f>IFERROR(IF(venta_a_mes1254[[#This Row],[CUIT]]="","-",VLOOKUP(venta_a_mes1254[[#This Row],[CUIT]],Lista_CUIT[#All],2,0)),"CUIT NO CARGADO")</f>
        <v>-</v>
      </c>
      <c r="H331" s="100"/>
      <c r="I331" s="101">
        <f>venta_a_mes1254[[#This Row],[IMPORTE NETO]]*0.21</f>
        <v>0</v>
      </c>
      <c r="J331" s="65"/>
      <c r="K331" s="65"/>
      <c r="L331" s="65">
        <f>SUM(venta_a_mes1254[[#This Row],[IMPORTE NETO]:[EXENTO]])</f>
        <v>0</v>
      </c>
      <c r="M331" s="59"/>
    </row>
    <row r="332" spans="2:13">
      <c r="B332" s="109"/>
      <c r="C332" s="41"/>
      <c r="D332" s="111"/>
      <c r="E332" s="112"/>
      <c r="F332" s="113"/>
      <c r="G332" s="99" t="str">
        <f>IFERROR(IF(venta_a_mes1254[[#This Row],[CUIT]]="","-",VLOOKUP(venta_a_mes1254[[#This Row],[CUIT]],Lista_CUIT[#All],2,0)),"CUIT NO CARGADO")</f>
        <v>-</v>
      </c>
      <c r="H332" s="100"/>
      <c r="I332" s="101">
        <f>venta_a_mes1254[[#This Row],[IMPORTE NETO]]*0.21</f>
        <v>0</v>
      </c>
      <c r="J332" s="65"/>
      <c r="K332" s="65"/>
      <c r="L332" s="65">
        <f>SUM(venta_a_mes1254[[#This Row],[IMPORTE NETO]:[EXENTO]])</f>
        <v>0</v>
      </c>
      <c r="M332" s="59"/>
    </row>
    <row r="333" spans="2:13">
      <c r="B333" s="109"/>
      <c r="C333" s="41"/>
      <c r="D333" s="111"/>
      <c r="E333" s="112"/>
      <c r="F333" s="113"/>
      <c r="G333" s="99" t="str">
        <f>IFERROR(IF(venta_a_mes1254[[#This Row],[CUIT]]="","-",VLOOKUP(venta_a_mes1254[[#This Row],[CUIT]],Lista_CUIT[#All],2,0)),"CUIT NO CARGADO")</f>
        <v>-</v>
      </c>
      <c r="H333" s="100"/>
      <c r="I333" s="101">
        <f>venta_a_mes1254[[#This Row],[IMPORTE NETO]]*0.21</f>
        <v>0</v>
      </c>
      <c r="J333" s="65"/>
      <c r="K333" s="65"/>
      <c r="L333" s="65">
        <f>SUM(venta_a_mes1254[[#This Row],[IMPORTE NETO]:[EXENTO]])</f>
        <v>0</v>
      </c>
      <c r="M333" s="59"/>
    </row>
    <row r="334" spans="2:13">
      <c r="B334" s="109"/>
      <c r="C334" s="41"/>
      <c r="D334" s="111"/>
      <c r="E334" s="112"/>
      <c r="F334" s="113"/>
      <c r="G334" s="99" t="str">
        <f>IFERROR(IF(venta_a_mes1254[[#This Row],[CUIT]]="","-",VLOOKUP(venta_a_mes1254[[#This Row],[CUIT]],Lista_CUIT[#All],2,0)),"CUIT NO CARGADO")</f>
        <v>-</v>
      </c>
      <c r="H334" s="100"/>
      <c r="I334" s="101">
        <f>venta_a_mes1254[[#This Row],[IMPORTE NETO]]*0.21</f>
        <v>0</v>
      </c>
      <c r="J334" s="65"/>
      <c r="K334" s="65"/>
      <c r="L334" s="65">
        <f>SUM(venta_a_mes1254[[#This Row],[IMPORTE NETO]:[EXENTO]])</f>
        <v>0</v>
      </c>
      <c r="M334" s="59"/>
    </row>
    <row r="335" spans="2:13">
      <c r="B335" s="109"/>
      <c r="C335" s="41"/>
      <c r="D335" s="111"/>
      <c r="E335" s="112"/>
      <c r="F335" s="113"/>
      <c r="G335" s="99" t="str">
        <f>IFERROR(IF(venta_a_mes1254[[#This Row],[CUIT]]="","-",VLOOKUP(venta_a_mes1254[[#This Row],[CUIT]],Lista_CUIT[#All],2,0)),"CUIT NO CARGADO")</f>
        <v>-</v>
      </c>
      <c r="H335" s="100"/>
      <c r="I335" s="101">
        <f>venta_a_mes1254[[#This Row],[IMPORTE NETO]]*0.21</f>
        <v>0</v>
      </c>
      <c r="J335" s="65"/>
      <c r="K335" s="65"/>
      <c r="L335" s="65">
        <f>SUM(venta_a_mes1254[[#This Row],[IMPORTE NETO]:[EXENTO]])</f>
        <v>0</v>
      </c>
      <c r="M335" s="59"/>
    </row>
    <row r="336" spans="2:13">
      <c r="B336" s="109"/>
      <c r="C336" s="41"/>
      <c r="D336" s="111"/>
      <c r="E336" s="112"/>
      <c r="F336" s="113"/>
      <c r="G336" s="99" t="str">
        <f>IFERROR(IF(venta_a_mes1254[[#This Row],[CUIT]]="","-",VLOOKUP(venta_a_mes1254[[#This Row],[CUIT]],Lista_CUIT[#All],2,0)),"CUIT NO CARGADO")</f>
        <v>-</v>
      </c>
      <c r="H336" s="100"/>
      <c r="I336" s="101">
        <f>venta_a_mes1254[[#This Row],[IMPORTE NETO]]*0.21</f>
        <v>0</v>
      </c>
      <c r="J336" s="65"/>
      <c r="K336" s="65"/>
      <c r="L336" s="65">
        <f>SUM(venta_a_mes1254[[#This Row],[IMPORTE NETO]:[EXENTO]])</f>
        <v>0</v>
      </c>
      <c r="M336" s="59"/>
    </row>
    <row r="337" spans="2:13">
      <c r="B337" s="109"/>
      <c r="C337" s="41"/>
      <c r="D337" s="111"/>
      <c r="E337" s="112"/>
      <c r="F337" s="113"/>
      <c r="G337" s="99" t="str">
        <f>IFERROR(IF(venta_a_mes1254[[#This Row],[CUIT]]="","-",VLOOKUP(venta_a_mes1254[[#This Row],[CUIT]],Lista_CUIT[#All],2,0)),"CUIT NO CARGADO")</f>
        <v>-</v>
      </c>
      <c r="H337" s="100"/>
      <c r="I337" s="101">
        <f>venta_a_mes1254[[#This Row],[IMPORTE NETO]]*0.21</f>
        <v>0</v>
      </c>
      <c r="J337" s="65"/>
      <c r="K337" s="65"/>
      <c r="L337" s="65">
        <f>SUM(venta_a_mes1254[[#This Row],[IMPORTE NETO]:[EXENTO]])</f>
        <v>0</v>
      </c>
      <c r="M337" s="59"/>
    </row>
    <row r="338" spans="2:13">
      <c r="B338" s="109"/>
      <c r="C338" s="41"/>
      <c r="D338" s="111"/>
      <c r="E338" s="112"/>
      <c r="F338" s="113"/>
      <c r="G338" s="99" t="str">
        <f>IFERROR(IF(venta_a_mes1254[[#This Row],[CUIT]]="","-",VLOOKUP(venta_a_mes1254[[#This Row],[CUIT]],Lista_CUIT[#All],2,0)),"CUIT NO CARGADO")</f>
        <v>-</v>
      </c>
      <c r="H338" s="100"/>
      <c r="I338" s="101">
        <f>venta_a_mes1254[[#This Row],[IMPORTE NETO]]*0.21</f>
        <v>0</v>
      </c>
      <c r="J338" s="65"/>
      <c r="K338" s="65"/>
      <c r="L338" s="65">
        <f>SUM(venta_a_mes1254[[#This Row],[IMPORTE NETO]:[EXENTO]])</f>
        <v>0</v>
      </c>
      <c r="M338" s="59"/>
    </row>
    <row r="339" spans="2:13">
      <c r="B339" s="109"/>
      <c r="C339" s="41"/>
      <c r="D339" s="111"/>
      <c r="E339" s="112"/>
      <c r="F339" s="113"/>
      <c r="G339" s="99" t="str">
        <f>IFERROR(IF(venta_a_mes1254[[#This Row],[CUIT]]="","-",VLOOKUP(venta_a_mes1254[[#This Row],[CUIT]],Lista_CUIT[#All],2,0)),"CUIT NO CARGADO")</f>
        <v>-</v>
      </c>
      <c r="H339" s="100"/>
      <c r="I339" s="101">
        <f>venta_a_mes1254[[#This Row],[IMPORTE NETO]]*0.21</f>
        <v>0</v>
      </c>
      <c r="J339" s="65"/>
      <c r="K339" s="65"/>
      <c r="L339" s="65">
        <f>SUM(venta_a_mes1254[[#This Row],[IMPORTE NETO]:[EXENTO]])</f>
        <v>0</v>
      </c>
      <c r="M339" s="59"/>
    </row>
    <row r="340" spans="2:13">
      <c r="B340" s="109"/>
      <c r="C340" s="41"/>
      <c r="D340" s="111"/>
      <c r="E340" s="112"/>
      <c r="F340" s="113"/>
      <c r="G340" s="99" t="str">
        <f>IFERROR(IF(venta_a_mes1254[[#This Row],[CUIT]]="","-",VLOOKUP(venta_a_mes1254[[#This Row],[CUIT]],Lista_CUIT[#All],2,0)),"CUIT NO CARGADO")</f>
        <v>-</v>
      </c>
      <c r="H340" s="100"/>
      <c r="I340" s="101">
        <f>venta_a_mes1254[[#This Row],[IMPORTE NETO]]*0.21</f>
        <v>0</v>
      </c>
      <c r="J340" s="65"/>
      <c r="K340" s="65"/>
      <c r="L340" s="65">
        <f>SUM(venta_a_mes1254[[#This Row],[IMPORTE NETO]:[EXENTO]])</f>
        <v>0</v>
      </c>
      <c r="M340" s="59"/>
    </row>
    <row r="341" spans="2:13">
      <c r="B341" s="109"/>
      <c r="C341" s="41"/>
      <c r="D341" s="111"/>
      <c r="E341" s="112"/>
      <c r="F341" s="113"/>
      <c r="G341" s="99" t="str">
        <f>IFERROR(IF(venta_a_mes1254[[#This Row],[CUIT]]="","-",VLOOKUP(venta_a_mes1254[[#This Row],[CUIT]],Lista_CUIT[#All],2,0)),"CUIT NO CARGADO")</f>
        <v>-</v>
      </c>
      <c r="H341" s="100"/>
      <c r="I341" s="101">
        <f>venta_a_mes1254[[#This Row],[IMPORTE NETO]]*0.21</f>
        <v>0</v>
      </c>
      <c r="J341" s="65"/>
      <c r="K341" s="65"/>
      <c r="L341" s="65">
        <f>SUM(venta_a_mes1254[[#This Row],[IMPORTE NETO]:[EXENTO]])</f>
        <v>0</v>
      </c>
      <c r="M341" s="59"/>
    </row>
    <row r="342" spans="2:13">
      <c r="B342" s="109"/>
      <c r="C342" s="41"/>
      <c r="D342" s="111"/>
      <c r="E342" s="112"/>
      <c r="F342" s="113"/>
      <c r="G342" s="99" t="str">
        <f>IFERROR(IF(venta_a_mes1254[[#This Row],[CUIT]]="","-",VLOOKUP(venta_a_mes1254[[#This Row],[CUIT]],Lista_CUIT[#All],2,0)),"CUIT NO CARGADO")</f>
        <v>-</v>
      </c>
      <c r="H342" s="100"/>
      <c r="I342" s="101">
        <f>venta_a_mes1254[[#This Row],[IMPORTE NETO]]*0.21</f>
        <v>0</v>
      </c>
      <c r="J342" s="65"/>
      <c r="K342" s="65"/>
      <c r="L342" s="65">
        <f>SUM(venta_a_mes1254[[#This Row],[IMPORTE NETO]:[EXENTO]])</f>
        <v>0</v>
      </c>
      <c r="M342" s="59"/>
    </row>
    <row r="343" spans="2:13">
      <c r="B343" s="109"/>
      <c r="C343" s="41"/>
      <c r="D343" s="111"/>
      <c r="E343" s="112"/>
      <c r="F343" s="113"/>
      <c r="G343" s="99" t="str">
        <f>IFERROR(IF(venta_a_mes1254[[#This Row],[CUIT]]="","-",VLOOKUP(venta_a_mes1254[[#This Row],[CUIT]],Lista_CUIT[#All],2,0)),"CUIT NO CARGADO")</f>
        <v>-</v>
      </c>
      <c r="H343" s="100"/>
      <c r="I343" s="101">
        <f>venta_a_mes1254[[#This Row],[IMPORTE NETO]]*0.21</f>
        <v>0</v>
      </c>
      <c r="J343" s="65"/>
      <c r="K343" s="65"/>
      <c r="L343" s="65">
        <f>SUM(venta_a_mes1254[[#This Row],[IMPORTE NETO]:[EXENTO]])</f>
        <v>0</v>
      </c>
      <c r="M343" s="59"/>
    </row>
    <row r="344" spans="2:13">
      <c r="B344" s="109"/>
      <c r="C344" s="41"/>
      <c r="D344" s="111"/>
      <c r="E344" s="112"/>
      <c r="F344" s="113"/>
      <c r="G344" s="99" t="str">
        <f>IFERROR(IF(venta_a_mes1254[[#This Row],[CUIT]]="","-",VLOOKUP(venta_a_mes1254[[#This Row],[CUIT]],Lista_CUIT[#All],2,0)),"CUIT NO CARGADO")</f>
        <v>-</v>
      </c>
      <c r="H344" s="100"/>
      <c r="I344" s="101">
        <f>venta_a_mes1254[[#This Row],[IMPORTE NETO]]*0.21</f>
        <v>0</v>
      </c>
      <c r="J344" s="65"/>
      <c r="K344" s="65"/>
      <c r="L344" s="65">
        <f>SUM(venta_a_mes1254[[#This Row],[IMPORTE NETO]:[EXENTO]])</f>
        <v>0</v>
      </c>
      <c r="M344" s="59"/>
    </row>
    <row r="345" spans="2:13">
      <c r="B345" s="109"/>
      <c r="C345" s="41"/>
      <c r="D345" s="111"/>
      <c r="E345" s="112"/>
      <c r="F345" s="113"/>
      <c r="G345" s="99" t="str">
        <f>IFERROR(IF(venta_a_mes1254[[#This Row],[CUIT]]="","-",VLOOKUP(venta_a_mes1254[[#This Row],[CUIT]],Lista_CUIT[#All],2,0)),"CUIT NO CARGADO")</f>
        <v>-</v>
      </c>
      <c r="H345" s="100"/>
      <c r="I345" s="101">
        <f>venta_a_mes1254[[#This Row],[IMPORTE NETO]]*0.21</f>
        <v>0</v>
      </c>
      <c r="J345" s="65"/>
      <c r="K345" s="65"/>
      <c r="L345" s="65">
        <f>SUM(venta_a_mes1254[[#This Row],[IMPORTE NETO]:[EXENTO]])</f>
        <v>0</v>
      </c>
      <c r="M345" s="59"/>
    </row>
    <row r="346" spans="2:13">
      <c r="B346" s="109"/>
      <c r="C346" s="41"/>
      <c r="D346" s="111"/>
      <c r="E346" s="112"/>
      <c r="F346" s="113"/>
      <c r="G346" s="99" t="str">
        <f>IFERROR(IF(venta_a_mes1254[[#This Row],[CUIT]]="","-",VLOOKUP(venta_a_mes1254[[#This Row],[CUIT]],Lista_CUIT[#All],2,0)),"CUIT NO CARGADO")</f>
        <v>-</v>
      </c>
      <c r="H346" s="100"/>
      <c r="I346" s="101">
        <f>venta_a_mes1254[[#This Row],[IMPORTE NETO]]*0.21</f>
        <v>0</v>
      </c>
      <c r="J346" s="65"/>
      <c r="K346" s="65"/>
      <c r="L346" s="65">
        <f>SUM(venta_a_mes1254[[#This Row],[IMPORTE NETO]:[EXENTO]])</f>
        <v>0</v>
      </c>
      <c r="M346" s="59"/>
    </row>
    <row r="347" spans="2:13">
      <c r="B347" s="109"/>
      <c r="C347" s="41"/>
      <c r="D347" s="111"/>
      <c r="E347" s="112"/>
      <c r="F347" s="113"/>
      <c r="G347" s="99" t="str">
        <f>IFERROR(IF(venta_a_mes1254[[#This Row],[CUIT]]="","-",VLOOKUP(venta_a_mes1254[[#This Row],[CUIT]],Lista_CUIT[#All],2,0)),"CUIT NO CARGADO")</f>
        <v>-</v>
      </c>
      <c r="H347" s="100"/>
      <c r="I347" s="101">
        <f>venta_a_mes1254[[#This Row],[IMPORTE NETO]]*0.21</f>
        <v>0</v>
      </c>
      <c r="J347" s="65"/>
      <c r="K347" s="65"/>
      <c r="L347" s="65">
        <f>SUM(venta_a_mes1254[[#This Row],[IMPORTE NETO]:[EXENTO]])</f>
        <v>0</v>
      </c>
      <c r="M347" s="59"/>
    </row>
    <row r="348" spans="2:13">
      <c r="B348" s="109"/>
      <c r="C348" s="41"/>
      <c r="D348" s="111"/>
      <c r="E348" s="112"/>
      <c r="F348" s="113"/>
      <c r="G348" s="99" t="str">
        <f>IFERROR(IF(venta_a_mes1254[[#This Row],[CUIT]]="","-",VLOOKUP(venta_a_mes1254[[#This Row],[CUIT]],Lista_CUIT[#All],2,0)),"CUIT NO CARGADO")</f>
        <v>-</v>
      </c>
      <c r="H348" s="100"/>
      <c r="I348" s="101">
        <f>venta_a_mes1254[[#This Row],[IMPORTE NETO]]*0.21</f>
        <v>0</v>
      </c>
      <c r="J348" s="65"/>
      <c r="K348" s="65"/>
      <c r="L348" s="65">
        <f>SUM(venta_a_mes1254[[#This Row],[IMPORTE NETO]:[EXENTO]])</f>
        <v>0</v>
      </c>
      <c r="M348" s="59"/>
    </row>
    <row r="349" spans="2:13">
      <c r="B349" s="109"/>
      <c r="C349" s="41"/>
      <c r="D349" s="111"/>
      <c r="E349" s="112"/>
      <c r="F349" s="113"/>
      <c r="G349" s="99" t="str">
        <f>IFERROR(IF(venta_a_mes1254[[#This Row],[CUIT]]="","-",VLOOKUP(venta_a_mes1254[[#This Row],[CUIT]],Lista_CUIT[#All],2,0)),"CUIT NO CARGADO")</f>
        <v>-</v>
      </c>
      <c r="H349" s="100"/>
      <c r="I349" s="101">
        <f>venta_a_mes1254[[#This Row],[IMPORTE NETO]]*0.21</f>
        <v>0</v>
      </c>
      <c r="J349" s="65"/>
      <c r="K349" s="65"/>
      <c r="L349" s="65">
        <f>SUM(venta_a_mes1254[[#This Row],[IMPORTE NETO]:[EXENTO]])</f>
        <v>0</v>
      </c>
      <c r="M349" s="59"/>
    </row>
    <row r="350" spans="2:13">
      <c r="B350" s="109"/>
      <c r="C350" s="41"/>
      <c r="D350" s="111"/>
      <c r="E350" s="112"/>
      <c r="F350" s="113"/>
      <c r="G350" s="99" t="str">
        <f>IFERROR(IF(venta_a_mes1254[[#This Row],[CUIT]]="","-",VLOOKUP(venta_a_mes1254[[#This Row],[CUIT]],Lista_CUIT[#All],2,0)),"CUIT NO CARGADO")</f>
        <v>-</v>
      </c>
      <c r="H350" s="100"/>
      <c r="I350" s="101">
        <f>venta_a_mes1254[[#This Row],[IMPORTE NETO]]*0.21</f>
        <v>0</v>
      </c>
      <c r="J350" s="65"/>
      <c r="K350" s="65"/>
      <c r="L350" s="65">
        <f>SUM(venta_a_mes1254[[#This Row],[IMPORTE NETO]:[EXENTO]])</f>
        <v>0</v>
      </c>
      <c r="M350" s="59"/>
    </row>
    <row r="351" spans="2:13">
      <c r="B351" s="109"/>
      <c r="C351" s="41"/>
      <c r="D351" s="111"/>
      <c r="E351" s="112"/>
      <c r="F351" s="113"/>
      <c r="G351" s="99" t="str">
        <f>IFERROR(IF(venta_a_mes1254[[#This Row],[CUIT]]="","-",VLOOKUP(venta_a_mes1254[[#This Row],[CUIT]],Lista_CUIT[#All],2,0)),"CUIT NO CARGADO")</f>
        <v>-</v>
      </c>
      <c r="H351" s="100"/>
      <c r="I351" s="101">
        <f>venta_a_mes1254[[#This Row],[IMPORTE NETO]]*0.21</f>
        <v>0</v>
      </c>
      <c r="J351" s="65"/>
      <c r="K351" s="65"/>
      <c r="L351" s="65">
        <f>SUM(venta_a_mes1254[[#This Row],[IMPORTE NETO]:[EXENTO]])</f>
        <v>0</v>
      </c>
      <c r="M351" s="59"/>
    </row>
    <row r="352" spans="2:13">
      <c r="B352" s="109"/>
      <c r="C352" s="41"/>
      <c r="D352" s="111"/>
      <c r="E352" s="112"/>
      <c r="F352" s="113"/>
      <c r="G352" s="99" t="str">
        <f>IFERROR(IF(venta_a_mes1254[[#This Row],[CUIT]]="","-",VLOOKUP(venta_a_mes1254[[#This Row],[CUIT]],Lista_CUIT[#All],2,0)),"CUIT NO CARGADO")</f>
        <v>-</v>
      </c>
      <c r="H352" s="100"/>
      <c r="I352" s="101">
        <f>venta_a_mes1254[[#This Row],[IMPORTE NETO]]*0.21</f>
        <v>0</v>
      </c>
      <c r="J352" s="65"/>
      <c r="K352" s="65"/>
      <c r="L352" s="65">
        <f>SUM(venta_a_mes1254[[#This Row],[IMPORTE NETO]:[EXENTO]])</f>
        <v>0</v>
      </c>
      <c r="M352" s="59"/>
    </row>
    <row r="353" spans="2:13">
      <c r="B353" s="109"/>
      <c r="C353" s="41"/>
      <c r="D353" s="111"/>
      <c r="E353" s="112"/>
      <c r="F353" s="113"/>
      <c r="G353" s="99" t="str">
        <f>IFERROR(IF(venta_a_mes1254[[#This Row],[CUIT]]="","-",VLOOKUP(venta_a_mes1254[[#This Row],[CUIT]],Lista_CUIT[#All],2,0)),"CUIT NO CARGADO")</f>
        <v>-</v>
      </c>
      <c r="H353" s="100"/>
      <c r="I353" s="101">
        <f>venta_a_mes1254[[#This Row],[IMPORTE NETO]]*0.21</f>
        <v>0</v>
      </c>
      <c r="J353" s="65"/>
      <c r="K353" s="65"/>
      <c r="L353" s="65">
        <f>SUM(venta_a_mes1254[[#This Row],[IMPORTE NETO]:[EXENTO]])</f>
        <v>0</v>
      </c>
      <c r="M353" s="59"/>
    </row>
    <row r="354" spans="2:13">
      <c r="B354" s="109"/>
      <c r="C354" s="41"/>
      <c r="D354" s="111"/>
      <c r="E354" s="112"/>
      <c r="F354" s="113"/>
      <c r="G354" s="99" t="str">
        <f>IFERROR(IF(venta_a_mes1254[[#This Row],[CUIT]]="","-",VLOOKUP(venta_a_mes1254[[#This Row],[CUIT]],Lista_CUIT[#All],2,0)),"CUIT NO CARGADO")</f>
        <v>-</v>
      </c>
      <c r="H354" s="100"/>
      <c r="I354" s="101">
        <f>venta_a_mes1254[[#This Row],[IMPORTE NETO]]*0.21</f>
        <v>0</v>
      </c>
      <c r="J354" s="65"/>
      <c r="K354" s="65"/>
      <c r="L354" s="65">
        <f>SUM(venta_a_mes1254[[#This Row],[IMPORTE NETO]:[EXENTO]])</f>
        <v>0</v>
      </c>
      <c r="M354" s="59"/>
    </row>
    <row r="355" spans="2:13">
      <c r="B355" s="109"/>
      <c r="C355" s="41"/>
      <c r="D355" s="111"/>
      <c r="E355" s="112"/>
      <c r="F355" s="113"/>
      <c r="G355" s="99" t="str">
        <f>IFERROR(IF(venta_a_mes1254[[#This Row],[CUIT]]="","-",VLOOKUP(venta_a_mes1254[[#This Row],[CUIT]],Lista_CUIT[#All],2,0)),"CUIT NO CARGADO")</f>
        <v>-</v>
      </c>
      <c r="H355" s="100"/>
      <c r="I355" s="101">
        <f>venta_a_mes1254[[#This Row],[IMPORTE NETO]]*0.21</f>
        <v>0</v>
      </c>
      <c r="J355" s="65"/>
      <c r="K355" s="65"/>
      <c r="L355" s="65">
        <f>SUM(venta_a_mes1254[[#This Row],[IMPORTE NETO]:[EXENTO]])</f>
        <v>0</v>
      </c>
      <c r="M355" s="59"/>
    </row>
    <row r="356" spans="2:13">
      <c r="B356" s="109"/>
      <c r="C356" s="41"/>
      <c r="D356" s="111"/>
      <c r="E356" s="112"/>
      <c r="F356" s="113"/>
      <c r="G356" s="99" t="str">
        <f>IFERROR(IF(venta_a_mes1254[[#This Row],[CUIT]]="","-",VLOOKUP(venta_a_mes1254[[#This Row],[CUIT]],Lista_CUIT[#All],2,0)),"CUIT NO CARGADO")</f>
        <v>-</v>
      </c>
      <c r="H356" s="100"/>
      <c r="I356" s="101">
        <f>venta_a_mes1254[[#This Row],[IMPORTE NETO]]*0.21</f>
        <v>0</v>
      </c>
      <c r="J356" s="65"/>
      <c r="K356" s="65"/>
      <c r="L356" s="65">
        <f>SUM(venta_a_mes1254[[#This Row],[IMPORTE NETO]:[EXENTO]])</f>
        <v>0</v>
      </c>
      <c r="M356" s="59"/>
    </row>
    <row r="357" spans="2:13">
      <c r="B357" s="109"/>
      <c r="C357" s="41"/>
      <c r="D357" s="111"/>
      <c r="E357" s="112"/>
      <c r="F357" s="113"/>
      <c r="G357" s="99" t="str">
        <f>IFERROR(IF(venta_a_mes1254[[#This Row],[CUIT]]="","-",VLOOKUP(venta_a_mes1254[[#This Row],[CUIT]],Lista_CUIT[#All],2,0)),"CUIT NO CARGADO")</f>
        <v>-</v>
      </c>
      <c r="H357" s="100"/>
      <c r="I357" s="101">
        <f>venta_a_mes1254[[#This Row],[IMPORTE NETO]]*0.21</f>
        <v>0</v>
      </c>
      <c r="J357" s="65"/>
      <c r="K357" s="65"/>
      <c r="L357" s="65">
        <f>SUM(venta_a_mes1254[[#This Row],[IMPORTE NETO]:[EXENTO]])</f>
        <v>0</v>
      </c>
      <c r="M357" s="59"/>
    </row>
    <row r="358" spans="2:13">
      <c r="B358" s="109"/>
      <c r="C358" s="41"/>
      <c r="D358" s="111"/>
      <c r="E358" s="112"/>
      <c r="F358" s="113"/>
      <c r="G358" s="99" t="str">
        <f>IFERROR(IF(venta_a_mes1254[[#This Row],[CUIT]]="","-",VLOOKUP(venta_a_mes1254[[#This Row],[CUIT]],Lista_CUIT[#All],2,0)),"CUIT NO CARGADO")</f>
        <v>-</v>
      </c>
      <c r="H358" s="100"/>
      <c r="I358" s="101">
        <f>venta_a_mes1254[[#This Row],[IMPORTE NETO]]*0.21</f>
        <v>0</v>
      </c>
      <c r="J358" s="65"/>
      <c r="K358" s="65"/>
      <c r="L358" s="65">
        <f>SUM(venta_a_mes1254[[#This Row],[IMPORTE NETO]:[EXENTO]])</f>
        <v>0</v>
      </c>
      <c r="M358" s="59"/>
    </row>
    <row r="359" spans="2:13">
      <c r="B359" s="109"/>
      <c r="C359" s="41"/>
      <c r="D359" s="111"/>
      <c r="E359" s="112"/>
      <c r="F359" s="113"/>
      <c r="G359" s="99" t="str">
        <f>IFERROR(IF(venta_a_mes1254[[#This Row],[CUIT]]="","-",VLOOKUP(venta_a_mes1254[[#This Row],[CUIT]],Lista_CUIT[#All],2,0)),"CUIT NO CARGADO")</f>
        <v>-</v>
      </c>
      <c r="H359" s="100"/>
      <c r="I359" s="101">
        <f>venta_a_mes1254[[#This Row],[IMPORTE NETO]]*0.21</f>
        <v>0</v>
      </c>
      <c r="J359" s="65"/>
      <c r="K359" s="65"/>
      <c r="L359" s="65">
        <f>SUM(venta_a_mes1254[[#This Row],[IMPORTE NETO]:[EXENTO]])</f>
        <v>0</v>
      </c>
      <c r="M359" s="59"/>
    </row>
    <row r="360" spans="2:13">
      <c r="B360" s="109"/>
      <c r="C360" s="41"/>
      <c r="D360" s="111"/>
      <c r="E360" s="112"/>
      <c r="F360" s="113"/>
      <c r="G360" s="99" t="str">
        <f>IFERROR(IF(venta_a_mes1254[[#This Row],[CUIT]]="","-",VLOOKUP(venta_a_mes1254[[#This Row],[CUIT]],Lista_CUIT[#All],2,0)),"CUIT NO CARGADO")</f>
        <v>-</v>
      </c>
      <c r="H360" s="100"/>
      <c r="I360" s="101">
        <f>venta_a_mes1254[[#This Row],[IMPORTE NETO]]*0.21</f>
        <v>0</v>
      </c>
      <c r="J360" s="65"/>
      <c r="K360" s="65"/>
      <c r="L360" s="65">
        <f>SUM(venta_a_mes1254[[#This Row],[IMPORTE NETO]:[EXENTO]])</f>
        <v>0</v>
      </c>
      <c r="M360" s="59"/>
    </row>
    <row r="361" spans="2:13">
      <c r="B361" s="109"/>
      <c r="C361" s="41"/>
      <c r="D361" s="111"/>
      <c r="E361" s="112"/>
      <c r="F361" s="113"/>
      <c r="G361" s="99" t="str">
        <f>IFERROR(IF(venta_a_mes1254[[#This Row],[CUIT]]="","-",VLOOKUP(venta_a_mes1254[[#This Row],[CUIT]],Lista_CUIT[#All],2,0)),"CUIT NO CARGADO")</f>
        <v>-</v>
      </c>
      <c r="H361" s="100"/>
      <c r="I361" s="101">
        <f>venta_a_mes1254[[#This Row],[IMPORTE NETO]]*0.21</f>
        <v>0</v>
      </c>
      <c r="J361" s="65"/>
      <c r="K361" s="65"/>
      <c r="L361" s="65">
        <f>SUM(venta_a_mes1254[[#This Row],[IMPORTE NETO]:[EXENTO]])</f>
        <v>0</v>
      </c>
      <c r="M361" s="59"/>
    </row>
    <row r="362" spans="2:13">
      <c r="B362" s="109"/>
      <c r="C362" s="41"/>
      <c r="D362" s="111"/>
      <c r="E362" s="112"/>
      <c r="F362" s="113"/>
      <c r="G362" s="99" t="str">
        <f>IFERROR(IF(venta_a_mes1254[[#This Row],[CUIT]]="","-",VLOOKUP(venta_a_mes1254[[#This Row],[CUIT]],Lista_CUIT[#All],2,0)),"CUIT NO CARGADO")</f>
        <v>-</v>
      </c>
      <c r="H362" s="100"/>
      <c r="I362" s="101">
        <f>venta_a_mes1254[[#This Row],[IMPORTE NETO]]*0.21</f>
        <v>0</v>
      </c>
      <c r="J362" s="65"/>
      <c r="K362" s="65"/>
      <c r="L362" s="65">
        <f>SUM(venta_a_mes1254[[#This Row],[IMPORTE NETO]:[EXENTO]])</f>
        <v>0</v>
      </c>
      <c r="M362" s="59"/>
    </row>
    <row r="363" spans="2:13">
      <c r="B363" s="109"/>
      <c r="C363" s="41"/>
      <c r="D363" s="111"/>
      <c r="E363" s="112"/>
      <c r="F363" s="113"/>
      <c r="G363" s="99" t="str">
        <f>IFERROR(IF(venta_a_mes1254[[#This Row],[CUIT]]="","-",VLOOKUP(venta_a_mes1254[[#This Row],[CUIT]],Lista_CUIT[#All],2,0)),"CUIT NO CARGADO")</f>
        <v>-</v>
      </c>
      <c r="H363" s="100"/>
      <c r="I363" s="101">
        <f>venta_a_mes1254[[#This Row],[IMPORTE NETO]]*0.21</f>
        <v>0</v>
      </c>
      <c r="J363" s="65"/>
      <c r="K363" s="65"/>
      <c r="L363" s="65">
        <f>SUM(venta_a_mes1254[[#This Row],[IMPORTE NETO]:[EXENTO]])</f>
        <v>0</v>
      </c>
      <c r="M363" s="59"/>
    </row>
    <row r="364" spans="2:13">
      <c r="B364" s="109"/>
      <c r="C364" s="41"/>
      <c r="D364" s="111"/>
      <c r="E364" s="112"/>
      <c r="F364" s="113"/>
      <c r="G364" s="99" t="str">
        <f>IFERROR(IF(venta_a_mes1254[[#This Row],[CUIT]]="","-",VLOOKUP(venta_a_mes1254[[#This Row],[CUIT]],Lista_CUIT[#All],2,0)),"CUIT NO CARGADO")</f>
        <v>-</v>
      </c>
      <c r="H364" s="100"/>
      <c r="I364" s="101">
        <f>venta_a_mes1254[[#This Row],[IMPORTE NETO]]*0.21</f>
        <v>0</v>
      </c>
      <c r="J364" s="65"/>
      <c r="K364" s="65"/>
      <c r="L364" s="65">
        <f>SUM(venta_a_mes1254[[#This Row],[IMPORTE NETO]:[EXENTO]])</f>
        <v>0</v>
      </c>
      <c r="M364" s="59"/>
    </row>
    <row r="365" spans="2:13">
      <c r="B365" s="109"/>
      <c r="C365" s="41"/>
      <c r="D365" s="111"/>
      <c r="E365" s="112"/>
      <c r="F365" s="113"/>
      <c r="G365" s="99" t="str">
        <f>IFERROR(IF(venta_a_mes1254[[#This Row],[CUIT]]="","-",VLOOKUP(venta_a_mes1254[[#This Row],[CUIT]],Lista_CUIT[#All],2,0)),"CUIT NO CARGADO")</f>
        <v>-</v>
      </c>
      <c r="H365" s="100"/>
      <c r="I365" s="101">
        <f>venta_a_mes1254[[#This Row],[IMPORTE NETO]]*0.21</f>
        <v>0</v>
      </c>
      <c r="J365" s="65"/>
      <c r="K365" s="65"/>
      <c r="L365" s="65">
        <f>SUM(venta_a_mes1254[[#This Row],[IMPORTE NETO]:[EXENTO]])</f>
        <v>0</v>
      </c>
      <c r="M365" s="59"/>
    </row>
    <row r="366" spans="2:13">
      <c r="B366" s="109"/>
      <c r="C366" s="41"/>
      <c r="D366" s="111"/>
      <c r="E366" s="112"/>
      <c r="F366" s="113"/>
      <c r="G366" s="99" t="str">
        <f>IFERROR(IF(venta_a_mes1254[[#This Row],[CUIT]]="","-",VLOOKUP(venta_a_mes1254[[#This Row],[CUIT]],Lista_CUIT[#All],2,0)),"CUIT NO CARGADO")</f>
        <v>-</v>
      </c>
      <c r="H366" s="100"/>
      <c r="I366" s="101">
        <f>venta_a_mes1254[[#This Row],[IMPORTE NETO]]*0.21</f>
        <v>0</v>
      </c>
      <c r="J366" s="65"/>
      <c r="K366" s="65"/>
      <c r="L366" s="65">
        <f>SUM(venta_a_mes1254[[#This Row],[IMPORTE NETO]:[EXENTO]])</f>
        <v>0</v>
      </c>
      <c r="M366" s="59"/>
    </row>
    <row r="367" spans="2:13">
      <c r="B367" s="109"/>
      <c r="C367" s="41"/>
      <c r="D367" s="111"/>
      <c r="E367" s="112"/>
      <c r="F367" s="113"/>
      <c r="G367" s="99" t="str">
        <f>IFERROR(IF(venta_a_mes1254[[#This Row],[CUIT]]="","-",VLOOKUP(venta_a_mes1254[[#This Row],[CUIT]],Lista_CUIT[#All],2,0)),"CUIT NO CARGADO")</f>
        <v>-</v>
      </c>
      <c r="H367" s="100"/>
      <c r="I367" s="101">
        <f>venta_a_mes1254[[#This Row],[IMPORTE NETO]]*0.21</f>
        <v>0</v>
      </c>
      <c r="J367" s="65"/>
      <c r="K367" s="65"/>
      <c r="L367" s="65">
        <f>SUM(venta_a_mes1254[[#This Row],[IMPORTE NETO]:[EXENTO]])</f>
        <v>0</v>
      </c>
      <c r="M367" s="59"/>
    </row>
    <row r="368" spans="2:13">
      <c r="B368" s="109"/>
      <c r="C368" s="41"/>
      <c r="D368" s="111"/>
      <c r="E368" s="112"/>
      <c r="F368" s="113"/>
      <c r="G368" s="99" t="str">
        <f>IFERROR(IF(venta_a_mes1254[[#This Row],[CUIT]]="","-",VLOOKUP(venta_a_mes1254[[#This Row],[CUIT]],Lista_CUIT[#All],2,0)),"CUIT NO CARGADO")</f>
        <v>-</v>
      </c>
      <c r="H368" s="100"/>
      <c r="I368" s="101">
        <f>venta_a_mes1254[[#This Row],[IMPORTE NETO]]*0.21</f>
        <v>0</v>
      </c>
      <c r="J368" s="65"/>
      <c r="K368" s="65"/>
      <c r="L368" s="65">
        <f>SUM(venta_a_mes1254[[#This Row],[IMPORTE NETO]:[EXENTO]])</f>
        <v>0</v>
      </c>
      <c r="M368" s="59"/>
    </row>
    <row r="369" spans="2:13">
      <c r="B369" s="109"/>
      <c r="C369" s="41"/>
      <c r="D369" s="111"/>
      <c r="E369" s="112"/>
      <c r="F369" s="113"/>
      <c r="G369" s="99" t="str">
        <f>IFERROR(IF(venta_a_mes1254[[#This Row],[CUIT]]="","-",VLOOKUP(venta_a_mes1254[[#This Row],[CUIT]],Lista_CUIT[#All],2,0)),"CUIT NO CARGADO")</f>
        <v>-</v>
      </c>
      <c r="H369" s="100"/>
      <c r="I369" s="101">
        <f>venta_a_mes1254[[#This Row],[IMPORTE NETO]]*0.21</f>
        <v>0</v>
      </c>
      <c r="J369" s="65"/>
      <c r="K369" s="65"/>
      <c r="L369" s="65">
        <f>SUM(venta_a_mes1254[[#This Row],[IMPORTE NETO]:[EXENTO]])</f>
        <v>0</v>
      </c>
      <c r="M369" s="59"/>
    </row>
    <row r="370" spans="2:13">
      <c r="B370" s="109"/>
      <c r="C370" s="41"/>
      <c r="D370" s="111"/>
      <c r="E370" s="112"/>
      <c r="F370" s="113"/>
      <c r="G370" s="99" t="str">
        <f>IFERROR(IF(venta_a_mes1254[[#This Row],[CUIT]]="","-",VLOOKUP(venta_a_mes1254[[#This Row],[CUIT]],Lista_CUIT[#All],2,0)),"CUIT NO CARGADO")</f>
        <v>-</v>
      </c>
      <c r="H370" s="100"/>
      <c r="I370" s="101">
        <f>venta_a_mes1254[[#This Row],[IMPORTE NETO]]*0.21</f>
        <v>0</v>
      </c>
      <c r="J370" s="65"/>
      <c r="K370" s="65"/>
      <c r="L370" s="65">
        <f>SUM(venta_a_mes1254[[#This Row],[IMPORTE NETO]:[EXENTO]])</f>
        <v>0</v>
      </c>
      <c r="M370" s="59"/>
    </row>
    <row r="371" spans="2:13">
      <c r="B371" s="109"/>
      <c r="C371" s="41"/>
      <c r="D371" s="111"/>
      <c r="E371" s="112"/>
      <c r="F371" s="113"/>
      <c r="G371" s="99" t="str">
        <f>IFERROR(IF(venta_a_mes1254[[#This Row],[CUIT]]="","-",VLOOKUP(venta_a_mes1254[[#This Row],[CUIT]],Lista_CUIT[#All],2,0)),"CUIT NO CARGADO")</f>
        <v>-</v>
      </c>
      <c r="H371" s="100"/>
      <c r="I371" s="101">
        <f>venta_a_mes1254[[#This Row],[IMPORTE NETO]]*0.21</f>
        <v>0</v>
      </c>
      <c r="J371" s="65"/>
      <c r="K371" s="65"/>
      <c r="L371" s="65">
        <f>SUM(venta_a_mes1254[[#This Row],[IMPORTE NETO]:[EXENTO]])</f>
        <v>0</v>
      </c>
      <c r="M371" s="59"/>
    </row>
    <row r="372" spans="2:13">
      <c r="B372" s="109"/>
      <c r="C372" s="41"/>
      <c r="D372" s="111"/>
      <c r="E372" s="112"/>
      <c r="F372" s="113"/>
      <c r="G372" s="99" t="str">
        <f>IFERROR(IF(venta_a_mes1254[[#This Row],[CUIT]]="","-",VLOOKUP(venta_a_mes1254[[#This Row],[CUIT]],Lista_CUIT[#All],2,0)),"CUIT NO CARGADO")</f>
        <v>-</v>
      </c>
      <c r="H372" s="100"/>
      <c r="I372" s="101">
        <f>venta_a_mes1254[[#This Row],[IMPORTE NETO]]*0.21</f>
        <v>0</v>
      </c>
      <c r="J372" s="65"/>
      <c r="K372" s="65"/>
      <c r="L372" s="65">
        <f>SUM(venta_a_mes1254[[#This Row],[IMPORTE NETO]:[EXENTO]])</f>
        <v>0</v>
      </c>
      <c r="M372" s="59"/>
    </row>
    <row r="373" spans="2:13">
      <c r="B373" s="109"/>
      <c r="C373" s="41"/>
      <c r="D373" s="111"/>
      <c r="E373" s="112"/>
      <c r="F373" s="113"/>
      <c r="G373" s="99" t="str">
        <f>IFERROR(IF(venta_a_mes1254[[#This Row],[CUIT]]="","-",VLOOKUP(venta_a_mes1254[[#This Row],[CUIT]],Lista_CUIT[#All],2,0)),"CUIT NO CARGADO")</f>
        <v>-</v>
      </c>
      <c r="H373" s="100"/>
      <c r="I373" s="101">
        <f>venta_a_mes1254[[#This Row],[IMPORTE NETO]]*0.21</f>
        <v>0</v>
      </c>
      <c r="J373" s="65"/>
      <c r="K373" s="65"/>
      <c r="L373" s="65">
        <f>SUM(venta_a_mes1254[[#This Row],[IMPORTE NETO]:[EXENTO]])</f>
        <v>0</v>
      </c>
      <c r="M373" s="59"/>
    </row>
    <row r="374" spans="2:13">
      <c r="B374" s="109"/>
      <c r="C374" s="41"/>
      <c r="D374" s="111"/>
      <c r="E374" s="112"/>
      <c r="F374" s="113"/>
      <c r="G374" s="99" t="str">
        <f>IFERROR(IF(venta_a_mes1254[[#This Row],[CUIT]]="","-",VLOOKUP(venta_a_mes1254[[#This Row],[CUIT]],Lista_CUIT[#All],2,0)),"CUIT NO CARGADO")</f>
        <v>-</v>
      </c>
      <c r="H374" s="100"/>
      <c r="I374" s="101">
        <f>venta_a_mes1254[[#This Row],[IMPORTE NETO]]*0.21</f>
        <v>0</v>
      </c>
      <c r="J374" s="65"/>
      <c r="K374" s="65"/>
      <c r="L374" s="65">
        <f>SUM(venta_a_mes1254[[#This Row],[IMPORTE NETO]:[EXENTO]])</f>
        <v>0</v>
      </c>
      <c r="M374" s="59"/>
    </row>
    <row r="375" spans="2:13">
      <c r="B375" s="109"/>
      <c r="C375" s="41"/>
      <c r="D375" s="111"/>
      <c r="E375" s="112"/>
      <c r="F375" s="113"/>
      <c r="G375" s="99" t="str">
        <f>IFERROR(IF(venta_a_mes1254[[#This Row],[CUIT]]="","-",VLOOKUP(venta_a_mes1254[[#This Row],[CUIT]],Lista_CUIT[#All],2,0)),"CUIT NO CARGADO")</f>
        <v>-</v>
      </c>
      <c r="H375" s="100"/>
      <c r="I375" s="101">
        <f>venta_a_mes1254[[#This Row],[IMPORTE NETO]]*0.21</f>
        <v>0</v>
      </c>
      <c r="J375" s="65"/>
      <c r="K375" s="65"/>
      <c r="L375" s="65">
        <f>SUM(venta_a_mes1254[[#This Row],[IMPORTE NETO]:[EXENTO]])</f>
        <v>0</v>
      </c>
      <c r="M375" s="59"/>
    </row>
    <row r="376" spans="2:13">
      <c r="B376" s="109"/>
      <c r="C376" s="41"/>
      <c r="D376" s="111"/>
      <c r="E376" s="112"/>
      <c r="F376" s="113"/>
      <c r="G376" s="99" t="str">
        <f>IFERROR(IF(venta_a_mes1254[[#This Row],[CUIT]]="","-",VLOOKUP(venta_a_mes1254[[#This Row],[CUIT]],Lista_CUIT[#All],2,0)),"CUIT NO CARGADO")</f>
        <v>-</v>
      </c>
      <c r="H376" s="100"/>
      <c r="I376" s="101">
        <f>venta_a_mes1254[[#This Row],[IMPORTE NETO]]*0.21</f>
        <v>0</v>
      </c>
      <c r="J376" s="65"/>
      <c r="K376" s="65"/>
      <c r="L376" s="65">
        <f>SUM(venta_a_mes1254[[#This Row],[IMPORTE NETO]:[EXENTO]])</f>
        <v>0</v>
      </c>
      <c r="M376" s="59"/>
    </row>
    <row r="377" spans="2:13">
      <c r="B377" s="109"/>
      <c r="C377" s="41"/>
      <c r="D377" s="111"/>
      <c r="E377" s="112"/>
      <c r="F377" s="113"/>
      <c r="G377" s="99" t="str">
        <f>IFERROR(IF(venta_a_mes1254[[#This Row],[CUIT]]="","-",VLOOKUP(venta_a_mes1254[[#This Row],[CUIT]],Lista_CUIT[#All],2,0)),"CUIT NO CARGADO")</f>
        <v>-</v>
      </c>
      <c r="H377" s="100"/>
      <c r="I377" s="101">
        <f>venta_a_mes1254[[#This Row],[IMPORTE NETO]]*0.21</f>
        <v>0</v>
      </c>
      <c r="J377" s="65"/>
      <c r="K377" s="65"/>
      <c r="L377" s="65">
        <f>SUM(venta_a_mes1254[[#This Row],[IMPORTE NETO]:[EXENTO]])</f>
        <v>0</v>
      </c>
      <c r="M377" s="59"/>
    </row>
    <row r="378" spans="2:13">
      <c r="B378" s="109"/>
      <c r="C378" s="41"/>
      <c r="D378" s="111"/>
      <c r="E378" s="112"/>
      <c r="F378" s="113"/>
      <c r="G378" s="99" t="str">
        <f>IFERROR(IF(venta_a_mes1254[[#This Row],[CUIT]]="","-",VLOOKUP(venta_a_mes1254[[#This Row],[CUIT]],Lista_CUIT[#All],2,0)),"CUIT NO CARGADO")</f>
        <v>-</v>
      </c>
      <c r="H378" s="100"/>
      <c r="I378" s="101">
        <f>venta_a_mes1254[[#This Row],[IMPORTE NETO]]*0.21</f>
        <v>0</v>
      </c>
      <c r="J378" s="65"/>
      <c r="K378" s="65"/>
      <c r="L378" s="65">
        <f>SUM(venta_a_mes1254[[#This Row],[IMPORTE NETO]:[EXENTO]])</f>
        <v>0</v>
      </c>
      <c r="M378" s="59"/>
    </row>
    <row r="379" spans="2:13">
      <c r="B379" s="109"/>
      <c r="C379" s="41"/>
      <c r="D379" s="111"/>
      <c r="E379" s="112"/>
      <c r="F379" s="113"/>
      <c r="G379" s="99" t="str">
        <f>IFERROR(IF(venta_a_mes1254[[#This Row],[CUIT]]="","-",VLOOKUP(venta_a_mes1254[[#This Row],[CUIT]],Lista_CUIT[#All],2,0)),"CUIT NO CARGADO")</f>
        <v>-</v>
      </c>
      <c r="H379" s="100"/>
      <c r="I379" s="101">
        <f>venta_a_mes1254[[#This Row],[IMPORTE NETO]]*0.21</f>
        <v>0</v>
      </c>
      <c r="J379" s="65"/>
      <c r="K379" s="65"/>
      <c r="L379" s="65">
        <f>SUM(venta_a_mes1254[[#This Row],[IMPORTE NETO]:[EXENTO]])</f>
        <v>0</v>
      </c>
      <c r="M379" s="59"/>
    </row>
    <row r="380" spans="2:13">
      <c r="B380" s="109"/>
      <c r="C380" s="41"/>
      <c r="D380" s="111"/>
      <c r="E380" s="112"/>
      <c r="F380" s="113"/>
      <c r="G380" s="99" t="str">
        <f>IFERROR(IF(venta_a_mes1254[[#This Row],[CUIT]]="","-",VLOOKUP(venta_a_mes1254[[#This Row],[CUIT]],Lista_CUIT[#All],2,0)),"CUIT NO CARGADO")</f>
        <v>-</v>
      </c>
      <c r="H380" s="100"/>
      <c r="I380" s="101">
        <f>venta_a_mes1254[[#This Row],[IMPORTE NETO]]*0.21</f>
        <v>0</v>
      </c>
      <c r="J380" s="65"/>
      <c r="K380" s="65"/>
      <c r="L380" s="65">
        <f>SUM(venta_a_mes1254[[#This Row],[IMPORTE NETO]:[EXENTO]])</f>
        <v>0</v>
      </c>
      <c r="M380" s="59"/>
    </row>
    <row r="381" spans="2:13">
      <c r="B381" s="109"/>
      <c r="C381" s="41"/>
      <c r="D381" s="111"/>
      <c r="E381" s="112"/>
      <c r="F381" s="113"/>
      <c r="G381" s="99" t="str">
        <f>IFERROR(IF(venta_a_mes1254[[#This Row],[CUIT]]="","-",VLOOKUP(venta_a_mes1254[[#This Row],[CUIT]],Lista_CUIT[#All],2,0)),"CUIT NO CARGADO")</f>
        <v>-</v>
      </c>
      <c r="H381" s="100"/>
      <c r="I381" s="101">
        <f>venta_a_mes1254[[#This Row],[IMPORTE NETO]]*0.21</f>
        <v>0</v>
      </c>
      <c r="J381" s="65"/>
      <c r="K381" s="65"/>
      <c r="L381" s="65">
        <f>SUM(venta_a_mes1254[[#This Row],[IMPORTE NETO]:[EXENTO]])</f>
        <v>0</v>
      </c>
      <c r="M381" s="59"/>
    </row>
    <row r="382" spans="2:13">
      <c r="B382" s="109"/>
      <c r="C382" s="41"/>
      <c r="D382" s="111"/>
      <c r="E382" s="112"/>
      <c r="F382" s="113"/>
      <c r="G382" s="99" t="str">
        <f>IFERROR(IF(venta_a_mes1254[[#This Row],[CUIT]]="","-",VLOOKUP(venta_a_mes1254[[#This Row],[CUIT]],Lista_CUIT[#All],2,0)),"CUIT NO CARGADO")</f>
        <v>-</v>
      </c>
      <c r="H382" s="100"/>
      <c r="I382" s="101">
        <f>venta_a_mes1254[[#This Row],[IMPORTE NETO]]*0.21</f>
        <v>0</v>
      </c>
      <c r="J382" s="65"/>
      <c r="K382" s="65"/>
      <c r="L382" s="65">
        <f>SUM(venta_a_mes1254[[#This Row],[IMPORTE NETO]:[EXENTO]])</f>
        <v>0</v>
      </c>
      <c r="M382" s="59"/>
    </row>
    <row r="383" spans="2:13">
      <c r="B383" s="109"/>
      <c r="C383" s="41"/>
      <c r="D383" s="111"/>
      <c r="E383" s="112"/>
      <c r="F383" s="113"/>
      <c r="G383" s="99" t="str">
        <f>IFERROR(IF(venta_a_mes1254[[#This Row],[CUIT]]="","-",VLOOKUP(venta_a_mes1254[[#This Row],[CUIT]],Lista_CUIT[#All],2,0)),"CUIT NO CARGADO")</f>
        <v>-</v>
      </c>
      <c r="H383" s="100"/>
      <c r="I383" s="101">
        <f>venta_a_mes1254[[#This Row],[IMPORTE NETO]]*0.21</f>
        <v>0</v>
      </c>
      <c r="J383" s="65"/>
      <c r="K383" s="65"/>
      <c r="L383" s="65">
        <f>SUM(venta_a_mes1254[[#This Row],[IMPORTE NETO]:[EXENTO]])</f>
        <v>0</v>
      </c>
      <c r="M383" s="59"/>
    </row>
    <row r="384" spans="2:13">
      <c r="B384" s="109"/>
      <c r="C384" s="41"/>
      <c r="D384" s="111"/>
      <c r="E384" s="112"/>
      <c r="F384" s="113"/>
      <c r="G384" s="99" t="str">
        <f>IFERROR(IF(venta_a_mes1254[[#This Row],[CUIT]]="","-",VLOOKUP(venta_a_mes1254[[#This Row],[CUIT]],Lista_CUIT[#All],2,0)),"CUIT NO CARGADO")</f>
        <v>-</v>
      </c>
      <c r="H384" s="100"/>
      <c r="I384" s="101">
        <f>venta_a_mes1254[[#This Row],[IMPORTE NETO]]*0.21</f>
        <v>0</v>
      </c>
      <c r="J384" s="65"/>
      <c r="K384" s="65"/>
      <c r="L384" s="65">
        <f>SUM(venta_a_mes1254[[#This Row],[IMPORTE NETO]:[EXENTO]])</f>
        <v>0</v>
      </c>
      <c r="M384" s="59"/>
    </row>
    <row r="385" spans="2:13">
      <c r="B385" s="109"/>
      <c r="C385" s="41"/>
      <c r="D385" s="111"/>
      <c r="E385" s="112"/>
      <c r="F385" s="113"/>
      <c r="G385" s="99" t="str">
        <f>IFERROR(IF(venta_a_mes1254[[#This Row],[CUIT]]="","-",VLOOKUP(venta_a_mes1254[[#This Row],[CUIT]],Lista_CUIT[#All],2,0)),"CUIT NO CARGADO")</f>
        <v>-</v>
      </c>
      <c r="H385" s="100"/>
      <c r="I385" s="101">
        <f>venta_a_mes1254[[#This Row],[IMPORTE NETO]]*0.21</f>
        <v>0</v>
      </c>
      <c r="J385" s="65"/>
      <c r="K385" s="65"/>
      <c r="L385" s="65">
        <f>SUM(venta_a_mes1254[[#This Row],[IMPORTE NETO]:[EXENTO]])</f>
        <v>0</v>
      </c>
      <c r="M385" s="59"/>
    </row>
    <row r="386" spans="2:13">
      <c r="B386" s="109"/>
      <c r="C386" s="41"/>
      <c r="D386" s="111"/>
      <c r="E386" s="112"/>
      <c r="F386" s="113"/>
      <c r="G386" s="99" t="str">
        <f>IFERROR(IF(venta_a_mes1254[[#This Row],[CUIT]]="","-",VLOOKUP(venta_a_mes1254[[#This Row],[CUIT]],Lista_CUIT[#All],2,0)),"CUIT NO CARGADO")</f>
        <v>-</v>
      </c>
      <c r="H386" s="100"/>
      <c r="I386" s="101">
        <f>venta_a_mes1254[[#This Row],[IMPORTE NETO]]*0.21</f>
        <v>0</v>
      </c>
      <c r="J386" s="65"/>
      <c r="K386" s="65"/>
      <c r="L386" s="65">
        <f>SUM(venta_a_mes1254[[#This Row],[IMPORTE NETO]:[EXENTO]])</f>
        <v>0</v>
      </c>
      <c r="M386" s="59"/>
    </row>
    <row r="387" spans="2:13">
      <c r="B387" s="109"/>
      <c r="C387" s="41"/>
      <c r="D387" s="111"/>
      <c r="E387" s="112"/>
      <c r="F387" s="113"/>
      <c r="G387" s="99" t="str">
        <f>IFERROR(IF(venta_a_mes1254[[#This Row],[CUIT]]="","-",VLOOKUP(venta_a_mes1254[[#This Row],[CUIT]],Lista_CUIT[#All],2,0)),"CUIT NO CARGADO")</f>
        <v>-</v>
      </c>
      <c r="H387" s="100"/>
      <c r="I387" s="101">
        <f>venta_a_mes1254[[#This Row],[IMPORTE NETO]]*0.21</f>
        <v>0</v>
      </c>
      <c r="J387" s="65"/>
      <c r="K387" s="65"/>
      <c r="L387" s="65">
        <f>SUM(venta_a_mes1254[[#This Row],[IMPORTE NETO]:[EXENTO]])</f>
        <v>0</v>
      </c>
      <c r="M387" s="59"/>
    </row>
    <row r="388" spans="2:13">
      <c r="B388" s="109"/>
      <c r="C388" s="41"/>
      <c r="D388" s="111"/>
      <c r="E388" s="112"/>
      <c r="F388" s="113"/>
      <c r="G388" s="99" t="str">
        <f>IFERROR(IF(venta_a_mes1254[[#This Row],[CUIT]]="","-",VLOOKUP(venta_a_mes1254[[#This Row],[CUIT]],Lista_CUIT[#All],2,0)),"CUIT NO CARGADO")</f>
        <v>-</v>
      </c>
      <c r="H388" s="100"/>
      <c r="I388" s="101">
        <f>venta_a_mes1254[[#This Row],[IMPORTE NETO]]*0.21</f>
        <v>0</v>
      </c>
      <c r="J388" s="65"/>
      <c r="K388" s="65"/>
      <c r="L388" s="65">
        <f>SUM(venta_a_mes1254[[#This Row],[IMPORTE NETO]:[EXENTO]])</f>
        <v>0</v>
      </c>
      <c r="M388" s="59"/>
    </row>
    <row r="389" spans="2:13">
      <c r="B389" s="109"/>
      <c r="C389" s="41"/>
      <c r="D389" s="111"/>
      <c r="E389" s="112"/>
      <c r="F389" s="113"/>
      <c r="G389" s="99" t="str">
        <f>IFERROR(IF(venta_a_mes1254[[#This Row],[CUIT]]="","-",VLOOKUP(venta_a_mes1254[[#This Row],[CUIT]],Lista_CUIT[#All],2,0)),"CUIT NO CARGADO")</f>
        <v>-</v>
      </c>
      <c r="H389" s="100"/>
      <c r="I389" s="101">
        <f>venta_a_mes1254[[#This Row],[IMPORTE NETO]]*0.21</f>
        <v>0</v>
      </c>
      <c r="J389" s="65"/>
      <c r="K389" s="65"/>
      <c r="L389" s="65">
        <f>SUM(venta_a_mes1254[[#This Row],[IMPORTE NETO]:[EXENTO]])</f>
        <v>0</v>
      </c>
      <c r="M389" s="59"/>
    </row>
    <row r="390" spans="2:13">
      <c r="B390" s="109"/>
      <c r="C390" s="41"/>
      <c r="D390" s="111"/>
      <c r="E390" s="112"/>
      <c r="F390" s="113"/>
      <c r="G390" s="99" t="str">
        <f>IFERROR(IF(venta_a_mes1254[[#This Row],[CUIT]]="","-",VLOOKUP(venta_a_mes1254[[#This Row],[CUIT]],Lista_CUIT[#All],2,0)),"CUIT NO CARGADO")</f>
        <v>-</v>
      </c>
      <c r="H390" s="100"/>
      <c r="I390" s="101">
        <f>venta_a_mes1254[[#This Row],[IMPORTE NETO]]*0.21</f>
        <v>0</v>
      </c>
      <c r="J390" s="65"/>
      <c r="K390" s="65"/>
      <c r="L390" s="65">
        <f>SUM(venta_a_mes1254[[#This Row],[IMPORTE NETO]:[EXENTO]])</f>
        <v>0</v>
      </c>
      <c r="M390" s="59"/>
    </row>
    <row r="391" spans="2:13">
      <c r="B391" s="109"/>
      <c r="C391" s="41"/>
      <c r="D391" s="111"/>
      <c r="E391" s="112"/>
      <c r="F391" s="113"/>
      <c r="G391" s="99" t="str">
        <f>IFERROR(IF(venta_a_mes1254[[#This Row],[CUIT]]="","-",VLOOKUP(venta_a_mes1254[[#This Row],[CUIT]],Lista_CUIT[#All],2,0)),"CUIT NO CARGADO")</f>
        <v>-</v>
      </c>
      <c r="H391" s="100"/>
      <c r="I391" s="101">
        <f>venta_a_mes1254[[#This Row],[IMPORTE NETO]]*0.21</f>
        <v>0</v>
      </c>
      <c r="J391" s="65"/>
      <c r="K391" s="65"/>
      <c r="L391" s="65">
        <f>SUM(venta_a_mes1254[[#This Row],[IMPORTE NETO]:[EXENTO]])</f>
        <v>0</v>
      </c>
      <c r="M391" s="59"/>
    </row>
    <row r="392" spans="2:13">
      <c r="B392" s="109"/>
      <c r="C392" s="41"/>
      <c r="D392" s="111"/>
      <c r="E392" s="112"/>
      <c r="F392" s="113"/>
      <c r="G392" s="99" t="str">
        <f>IFERROR(IF(venta_a_mes1254[[#This Row],[CUIT]]="","-",VLOOKUP(venta_a_mes1254[[#This Row],[CUIT]],Lista_CUIT[#All],2,0)),"CUIT NO CARGADO")</f>
        <v>-</v>
      </c>
      <c r="H392" s="100"/>
      <c r="I392" s="101">
        <f>venta_a_mes1254[[#This Row],[IMPORTE NETO]]*0.21</f>
        <v>0</v>
      </c>
      <c r="J392" s="65"/>
      <c r="K392" s="65"/>
      <c r="L392" s="65">
        <f>SUM(venta_a_mes1254[[#This Row],[IMPORTE NETO]:[EXENTO]])</f>
        <v>0</v>
      </c>
      <c r="M392" s="59"/>
    </row>
    <row r="393" spans="2:13">
      <c r="B393" s="109"/>
      <c r="C393" s="41"/>
      <c r="D393" s="111"/>
      <c r="E393" s="112"/>
      <c r="F393" s="113"/>
      <c r="G393" s="99" t="str">
        <f>IFERROR(IF(venta_a_mes1254[[#This Row],[CUIT]]="","-",VLOOKUP(venta_a_mes1254[[#This Row],[CUIT]],Lista_CUIT[#All],2,0)),"CUIT NO CARGADO")</f>
        <v>-</v>
      </c>
      <c r="H393" s="100"/>
      <c r="I393" s="101">
        <f>venta_a_mes1254[[#This Row],[IMPORTE NETO]]*0.21</f>
        <v>0</v>
      </c>
      <c r="J393" s="65"/>
      <c r="K393" s="65"/>
      <c r="L393" s="65">
        <f>SUM(venta_a_mes1254[[#This Row],[IMPORTE NETO]:[EXENTO]])</f>
        <v>0</v>
      </c>
      <c r="M393" s="59"/>
    </row>
    <row r="394" spans="2:13">
      <c r="B394" s="109"/>
      <c r="C394" s="41"/>
      <c r="D394" s="111"/>
      <c r="E394" s="112"/>
      <c r="F394" s="113"/>
      <c r="G394" s="99" t="str">
        <f>IFERROR(IF(venta_a_mes1254[[#This Row],[CUIT]]="","-",VLOOKUP(venta_a_mes1254[[#This Row],[CUIT]],Lista_CUIT[#All],2,0)),"CUIT NO CARGADO")</f>
        <v>-</v>
      </c>
      <c r="H394" s="100"/>
      <c r="I394" s="101">
        <f>venta_a_mes1254[[#This Row],[IMPORTE NETO]]*0.21</f>
        <v>0</v>
      </c>
      <c r="J394" s="65"/>
      <c r="K394" s="65"/>
      <c r="L394" s="65">
        <f>SUM(venta_a_mes1254[[#This Row],[IMPORTE NETO]:[EXENTO]])</f>
        <v>0</v>
      </c>
      <c r="M394" s="59"/>
    </row>
    <row r="395" spans="2:13">
      <c r="B395" s="109"/>
      <c r="C395" s="41"/>
      <c r="D395" s="111"/>
      <c r="E395" s="112"/>
      <c r="F395" s="113"/>
      <c r="G395" s="99" t="str">
        <f>IFERROR(IF(venta_a_mes1254[[#This Row],[CUIT]]="","-",VLOOKUP(venta_a_mes1254[[#This Row],[CUIT]],Lista_CUIT[#All],2,0)),"CUIT NO CARGADO")</f>
        <v>-</v>
      </c>
      <c r="H395" s="100"/>
      <c r="I395" s="101">
        <f>venta_a_mes1254[[#This Row],[IMPORTE NETO]]*0.21</f>
        <v>0</v>
      </c>
      <c r="J395" s="65"/>
      <c r="K395" s="65"/>
      <c r="L395" s="65">
        <f>SUM(venta_a_mes1254[[#This Row],[IMPORTE NETO]:[EXENTO]])</f>
        <v>0</v>
      </c>
      <c r="M395" s="59"/>
    </row>
    <row r="396" spans="2:13">
      <c r="B396" s="109"/>
      <c r="C396" s="41"/>
      <c r="D396" s="111"/>
      <c r="E396" s="112"/>
      <c r="F396" s="113"/>
      <c r="G396" s="99" t="str">
        <f>IFERROR(IF(venta_a_mes1254[[#This Row],[CUIT]]="","-",VLOOKUP(venta_a_mes1254[[#This Row],[CUIT]],Lista_CUIT[#All],2,0)),"CUIT NO CARGADO")</f>
        <v>-</v>
      </c>
      <c r="H396" s="100"/>
      <c r="I396" s="101">
        <f>venta_a_mes1254[[#This Row],[IMPORTE NETO]]*0.21</f>
        <v>0</v>
      </c>
      <c r="J396" s="65"/>
      <c r="K396" s="65"/>
      <c r="L396" s="65">
        <f>SUM(venta_a_mes1254[[#This Row],[IMPORTE NETO]:[EXENTO]])</f>
        <v>0</v>
      </c>
      <c r="M396" s="59"/>
    </row>
    <row r="397" spans="2:13">
      <c r="B397" s="109"/>
      <c r="C397" s="41"/>
      <c r="D397" s="111"/>
      <c r="E397" s="112"/>
      <c r="F397" s="113"/>
      <c r="G397" s="99" t="str">
        <f>IFERROR(IF(venta_a_mes1254[[#This Row],[CUIT]]="","-",VLOOKUP(venta_a_mes1254[[#This Row],[CUIT]],Lista_CUIT[#All],2,0)),"CUIT NO CARGADO")</f>
        <v>-</v>
      </c>
      <c r="H397" s="100"/>
      <c r="I397" s="101">
        <f>venta_a_mes1254[[#This Row],[IMPORTE NETO]]*0.21</f>
        <v>0</v>
      </c>
      <c r="J397" s="65"/>
      <c r="K397" s="65"/>
      <c r="L397" s="65">
        <f>SUM(venta_a_mes1254[[#This Row],[IMPORTE NETO]:[EXENTO]])</f>
        <v>0</v>
      </c>
      <c r="M397" s="59"/>
    </row>
    <row r="398" spans="2:13">
      <c r="B398" s="109"/>
      <c r="C398" s="41"/>
      <c r="D398" s="111"/>
      <c r="E398" s="112"/>
      <c r="F398" s="113"/>
      <c r="G398" s="99" t="str">
        <f>IFERROR(IF(venta_a_mes1254[[#This Row],[CUIT]]="","-",VLOOKUP(venta_a_mes1254[[#This Row],[CUIT]],Lista_CUIT[#All],2,0)),"CUIT NO CARGADO")</f>
        <v>-</v>
      </c>
      <c r="H398" s="100"/>
      <c r="I398" s="101">
        <f>venta_a_mes1254[[#This Row],[IMPORTE NETO]]*0.21</f>
        <v>0</v>
      </c>
      <c r="J398" s="65"/>
      <c r="K398" s="65"/>
      <c r="L398" s="65">
        <f>SUM(venta_a_mes1254[[#This Row],[IMPORTE NETO]:[EXENTO]])</f>
        <v>0</v>
      </c>
      <c r="M398" s="59"/>
    </row>
    <row r="399" spans="2:13">
      <c r="B399" s="109"/>
      <c r="C399" s="41"/>
      <c r="D399" s="111"/>
      <c r="E399" s="112"/>
      <c r="F399" s="113"/>
      <c r="G399" s="99" t="str">
        <f>IFERROR(IF(venta_a_mes1254[[#This Row],[CUIT]]="","-",VLOOKUP(venta_a_mes1254[[#This Row],[CUIT]],Lista_CUIT[#All],2,0)),"CUIT NO CARGADO")</f>
        <v>-</v>
      </c>
      <c r="H399" s="100"/>
      <c r="I399" s="101">
        <f>venta_a_mes1254[[#This Row],[IMPORTE NETO]]*0.21</f>
        <v>0</v>
      </c>
      <c r="J399" s="65"/>
      <c r="K399" s="65"/>
      <c r="L399" s="65">
        <f>SUM(venta_a_mes1254[[#This Row],[IMPORTE NETO]:[EXENTO]])</f>
        <v>0</v>
      </c>
      <c r="M399" s="59"/>
    </row>
    <row r="400" spans="2:13">
      <c r="B400" s="109"/>
      <c r="C400" s="41"/>
      <c r="D400" s="111"/>
      <c r="E400" s="112"/>
      <c r="F400" s="113"/>
      <c r="G400" s="99" t="str">
        <f>IFERROR(IF(venta_a_mes1254[[#This Row],[CUIT]]="","-",VLOOKUP(venta_a_mes1254[[#This Row],[CUIT]],Lista_CUIT[#All],2,0)),"CUIT NO CARGADO")</f>
        <v>-</v>
      </c>
      <c r="H400" s="100"/>
      <c r="I400" s="101">
        <f>venta_a_mes1254[[#This Row],[IMPORTE NETO]]*0.21</f>
        <v>0</v>
      </c>
      <c r="J400" s="65"/>
      <c r="K400" s="65"/>
      <c r="L400" s="65">
        <f>SUM(venta_a_mes1254[[#This Row],[IMPORTE NETO]:[EXENTO]])</f>
        <v>0</v>
      </c>
      <c r="M400" s="59"/>
    </row>
    <row r="401" spans="2:13">
      <c r="B401" s="109"/>
      <c r="C401" s="41"/>
      <c r="D401" s="111"/>
      <c r="E401" s="112"/>
      <c r="F401" s="113"/>
      <c r="G401" s="99" t="str">
        <f>IFERROR(IF(venta_a_mes1254[[#This Row],[CUIT]]="","-",VLOOKUP(venta_a_mes1254[[#This Row],[CUIT]],Lista_CUIT[#All],2,0)),"CUIT NO CARGADO")</f>
        <v>-</v>
      </c>
      <c r="H401" s="100"/>
      <c r="I401" s="101">
        <f>venta_a_mes1254[[#This Row],[IMPORTE NETO]]*0.21</f>
        <v>0</v>
      </c>
      <c r="J401" s="65"/>
      <c r="K401" s="65"/>
      <c r="L401" s="65">
        <f>SUM(venta_a_mes1254[[#This Row],[IMPORTE NETO]:[EXENTO]])</f>
        <v>0</v>
      </c>
      <c r="M401" s="59"/>
    </row>
    <row r="402" spans="2:13">
      <c r="B402" s="109"/>
      <c r="C402" s="41"/>
      <c r="D402" s="111"/>
      <c r="E402" s="112"/>
      <c r="F402" s="113"/>
      <c r="G402" s="99" t="str">
        <f>IFERROR(IF(venta_a_mes1254[[#This Row],[CUIT]]="","-",VLOOKUP(venta_a_mes1254[[#This Row],[CUIT]],Lista_CUIT[#All],2,0)),"CUIT NO CARGADO")</f>
        <v>-</v>
      </c>
      <c r="H402" s="100"/>
      <c r="I402" s="101">
        <f>venta_a_mes1254[[#This Row],[IMPORTE NETO]]*0.21</f>
        <v>0</v>
      </c>
      <c r="J402" s="65"/>
      <c r="K402" s="65"/>
      <c r="L402" s="65">
        <f>SUM(venta_a_mes1254[[#This Row],[IMPORTE NETO]:[EXENTO]])</f>
        <v>0</v>
      </c>
      <c r="M402" s="59"/>
    </row>
    <row r="403" spans="2:13">
      <c r="B403" s="109"/>
      <c r="C403" s="41"/>
      <c r="D403" s="111"/>
      <c r="E403" s="112"/>
      <c r="F403" s="113"/>
      <c r="G403" s="99" t="str">
        <f>IFERROR(IF(venta_a_mes1254[[#This Row],[CUIT]]="","-",VLOOKUP(venta_a_mes1254[[#This Row],[CUIT]],Lista_CUIT[#All],2,0)),"CUIT NO CARGADO")</f>
        <v>-</v>
      </c>
      <c r="H403" s="100"/>
      <c r="I403" s="101">
        <f>venta_a_mes1254[[#This Row],[IMPORTE NETO]]*0.21</f>
        <v>0</v>
      </c>
      <c r="J403" s="65"/>
      <c r="K403" s="65"/>
      <c r="L403" s="65">
        <f>SUM(venta_a_mes1254[[#This Row],[IMPORTE NETO]:[EXENTO]])</f>
        <v>0</v>
      </c>
      <c r="M403" s="59"/>
    </row>
    <row r="404" spans="2:13">
      <c r="B404" s="109"/>
      <c r="C404" s="41"/>
      <c r="D404" s="111"/>
      <c r="E404" s="112"/>
      <c r="F404" s="113"/>
      <c r="G404" s="99" t="str">
        <f>IFERROR(IF(venta_a_mes1254[[#This Row],[CUIT]]="","-",VLOOKUP(venta_a_mes1254[[#This Row],[CUIT]],Lista_CUIT[#All],2,0)),"CUIT NO CARGADO")</f>
        <v>-</v>
      </c>
      <c r="H404" s="100"/>
      <c r="I404" s="101">
        <f>venta_a_mes1254[[#This Row],[IMPORTE NETO]]*0.21</f>
        <v>0</v>
      </c>
      <c r="J404" s="65"/>
      <c r="K404" s="65"/>
      <c r="L404" s="65">
        <f>SUM(venta_a_mes1254[[#This Row],[IMPORTE NETO]:[EXENTO]])</f>
        <v>0</v>
      </c>
      <c r="M404" s="59"/>
    </row>
    <row r="405" spans="2:13">
      <c r="B405" s="109"/>
      <c r="C405" s="41"/>
      <c r="D405" s="111"/>
      <c r="E405" s="112"/>
      <c r="F405" s="113"/>
      <c r="G405" s="99" t="str">
        <f>IFERROR(IF(venta_a_mes1254[[#This Row],[CUIT]]="","-",VLOOKUP(venta_a_mes1254[[#This Row],[CUIT]],Lista_CUIT[#All],2,0)),"CUIT NO CARGADO")</f>
        <v>-</v>
      </c>
      <c r="H405" s="100"/>
      <c r="I405" s="101">
        <f>venta_a_mes1254[[#This Row],[IMPORTE NETO]]*0.21</f>
        <v>0</v>
      </c>
      <c r="J405" s="65"/>
      <c r="K405" s="65"/>
      <c r="L405" s="65">
        <f>SUM(venta_a_mes1254[[#This Row],[IMPORTE NETO]:[EXENTO]])</f>
        <v>0</v>
      </c>
      <c r="M405" s="59"/>
    </row>
    <row r="406" spans="2:13">
      <c r="B406" s="109"/>
      <c r="C406" s="41"/>
      <c r="D406" s="111"/>
      <c r="E406" s="112"/>
      <c r="F406" s="113"/>
      <c r="G406" s="99" t="str">
        <f>IFERROR(IF(venta_a_mes1254[[#This Row],[CUIT]]="","-",VLOOKUP(venta_a_mes1254[[#This Row],[CUIT]],Lista_CUIT[#All],2,0)),"CUIT NO CARGADO")</f>
        <v>-</v>
      </c>
      <c r="H406" s="100"/>
      <c r="I406" s="101">
        <f>venta_a_mes1254[[#This Row],[IMPORTE NETO]]*0.21</f>
        <v>0</v>
      </c>
      <c r="J406" s="65"/>
      <c r="K406" s="65"/>
      <c r="L406" s="65">
        <f>SUM(venta_a_mes1254[[#This Row],[IMPORTE NETO]:[EXENTO]])</f>
        <v>0</v>
      </c>
      <c r="M406" s="59"/>
    </row>
    <row r="407" spans="2:13">
      <c r="B407" s="109"/>
      <c r="C407" s="41"/>
      <c r="D407" s="111"/>
      <c r="E407" s="112"/>
      <c r="F407" s="113"/>
      <c r="G407" s="99" t="str">
        <f>IFERROR(IF(venta_a_mes1254[[#This Row],[CUIT]]="","-",VLOOKUP(venta_a_mes1254[[#This Row],[CUIT]],Lista_CUIT[#All],2,0)),"CUIT NO CARGADO")</f>
        <v>-</v>
      </c>
      <c r="H407" s="100"/>
      <c r="I407" s="101">
        <f>venta_a_mes1254[[#This Row],[IMPORTE NETO]]*0.21</f>
        <v>0</v>
      </c>
      <c r="J407" s="65"/>
      <c r="K407" s="65"/>
      <c r="L407" s="65">
        <f>SUM(venta_a_mes1254[[#This Row],[IMPORTE NETO]:[EXENTO]])</f>
        <v>0</v>
      </c>
      <c r="M407" s="59"/>
    </row>
    <row r="408" spans="2:13">
      <c r="B408" s="109"/>
      <c r="C408" s="41"/>
      <c r="D408" s="111"/>
      <c r="E408" s="112"/>
      <c r="F408" s="113"/>
      <c r="G408" s="99" t="str">
        <f>IFERROR(IF(venta_a_mes1254[[#This Row],[CUIT]]="","-",VLOOKUP(venta_a_mes1254[[#This Row],[CUIT]],Lista_CUIT[#All],2,0)),"CUIT NO CARGADO")</f>
        <v>-</v>
      </c>
      <c r="H408" s="100"/>
      <c r="I408" s="101">
        <f>venta_a_mes1254[[#This Row],[IMPORTE NETO]]*0.21</f>
        <v>0</v>
      </c>
      <c r="J408" s="65"/>
      <c r="K408" s="65"/>
      <c r="L408" s="65">
        <f>SUM(venta_a_mes1254[[#This Row],[IMPORTE NETO]:[EXENTO]])</f>
        <v>0</v>
      </c>
      <c r="M408" s="59"/>
    </row>
    <row r="409" spans="2:13">
      <c r="B409" s="109"/>
      <c r="C409" s="41"/>
      <c r="D409" s="111"/>
      <c r="E409" s="112"/>
      <c r="F409" s="113"/>
      <c r="G409" s="99" t="str">
        <f>IFERROR(IF(venta_a_mes1254[[#This Row],[CUIT]]="","-",VLOOKUP(venta_a_mes1254[[#This Row],[CUIT]],Lista_CUIT[#All],2,0)),"CUIT NO CARGADO")</f>
        <v>-</v>
      </c>
      <c r="H409" s="100"/>
      <c r="I409" s="101">
        <f>venta_a_mes1254[[#This Row],[IMPORTE NETO]]*0.21</f>
        <v>0</v>
      </c>
      <c r="J409" s="65"/>
      <c r="K409" s="65"/>
      <c r="L409" s="65">
        <f>SUM(venta_a_mes1254[[#This Row],[IMPORTE NETO]:[EXENTO]])</f>
        <v>0</v>
      </c>
      <c r="M409" s="59"/>
    </row>
    <row r="410" spans="2:13">
      <c r="B410" s="109"/>
      <c r="C410" s="41"/>
      <c r="D410" s="111"/>
      <c r="E410" s="112"/>
      <c r="F410" s="113"/>
      <c r="G410" s="99" t="str">
        <f>IFERROR(IF(venta_a_mes1254[[#This Row],[CUIT]]="","-",VLOOKUP(venta_a_mes1254[[#This Row],[CUIT]],Lista_CUIT[#All],2,0)),"CUIT NO CARGADO")</f>
        <v>-</v>
      </c>
      <c r="H410" s="100"/>
      <c r="I410" s="101">
        <f>venta_a_mes1254[[#This Row],[IMPORTE NETO]]*0.21</f>
        <v>0</v>
      </c>
      <c r="J410" s="65"/>
      <c r="K410" s="65"/>
      <c r="L410" s="65">
        <f>SUM(venta_a_mes1254[[#This Row],[IMPORTE NETO]:[EXENTO]])</f>
        <v>0</v>
      </c>
      <c r="M410" s="59"/>
    </row>
    <row r="411" spans="2:13">
      <c r="B411" s="109"/>
      <c r="C411" s="41"/>
      <c r="D411" s="111"/>
      <c r="E411" s="112"/>
      <c r="F411" s="113"/>
      <c r="G411" s="99" t="str">
        <f>IFERROR(IF(venta_a_mes1254[[#This Row],[CUIT]]="","-",VLOOKUP(venta_a_mes1254[[#This Row],[CUIT]],Lista_CUIT[#All],2,0)),"CUIT NO CARGADO")</f>
        <v>-</v>
      </c>
      <c r="H411" s="100"/>
      <c r="I411" s="101">
        <f>venta_a_mes1254[[#This Row],[IMPORTE NETO]]*0.21</f>
        <v>0</v>
      </c>
      <c r="J411" s="65"/>
      <c r="K411" s="65"/>
      <c r="L411" s="65">
        <f>SUM(venta_a_mes1254[[#This Row],[IMPORTE NETO]:[EXENTO]])</f>
        <v>0</v>
      </c>
      <c r="M411" s="59"/>
    </row>
    <row r="412" spans="2:13">
      <c r="B412" s="109"/>
      <c r="C412" s="41"/>
      <c r="D412" s="111"/>
      <c r="E412" s="112"/>
      <c r="F412" s="113"/>
      <c r="G412" s="99" t="str">
        <f>IFERROR(IF(venta_a_mes1254[[#This Row],[CUIT]]="","-",VLOOKUP(venta_a_mes1254[[#This Row],[CUIT]],Lista_CUIT[#All],2,0)),"CUIT NO CARGADO")</f>
        <v>-</v>
      </c>
      <c r="H412" s="100"/>
      <c r="I412" s="101">
        <f>venta_a_mes1254[[#This Row],[IMPORTE NETO]]*0.21</f>
        <v>0</v>
      </c>
      <c r="J412" s="65"/>
      <c r="K412" s="65"/>
      <c r="L412" s="65">
        <f>SUM(venta_a_mes1254[[#This Row],[IMPORTE NETO]:[EXENTO]])</f>
        <v>0</v>
      </c>
      <c r="M412" s="59"/>
    </row>
    <row r="413" spans="2:13">
      <c r="B413" s="109"/>
      <c r="C413" s="41"/>
      <c r="D413" s="111"/>
      <c r="E413" s="112"/>
      <c r="F413" s="113"/>
      <c r="G413" s="99" t="str">
        <f>IFERROR(IF(venta_a_mes1254[[#This Row],[CUIT]]="","-",VLOOKUP(venta_a_mes1254[[#This Row],[CUIT]],Lista_CUIT[#All],2,0)),"CUIT NO CARGADO")</f>
        <v>-</v>
      </c>
      <c r="H413" s="100"/>
      <c r="I413" s="101">
        <f>venta_a_mes1254[[#This Row],[IMPORTE NETO]]*0.21</f>
        <v>0</v>
      </c>
      <c r="J413" s="65"/>
      <c r="K413" s="65"/>
      <c r="L413" s="65">
        <f>SUM(venta_a_mes1254[[#This Row],[IMPORTE NETO]:[EXENTO]])</f>
        <v>0</v>
      </c>
      <c r="M413" s="59"/>
    </row>
    <row r="414" spans="2:13">
      <c r="B414" s="109"/>
      <c r="C414" s="41"/>
      <c r="D414" s="111"/>
      <c r="E414" s="112"/>
      <c r="F414" s="113"/>
      <c r="G414" s="99" t="str">
        <f>IFERROR(IF(venta_a_mes1254[[#This Row],[CUIT]]="","-",VLOOKUP(venta_a_mes1254[[#This Row],[CUIT]],Lista_CUIT[#All],2,0)),"CUIT NO CARGADO")</f>
        <v>-</v>
      </c>
      <c r="H414" s="100"/>
      <c r="I414" s="101">
        <f>venta_a_mes1254[[#This Row],[IMPORTE NETO]]*0.21</f>
        <v>0</v>
      </c>
      <c r="J414" s="65"/>
      <c r="K414" s="65"/>
      <c r="L414" s="65">
        <f>SUM(venta_a_mes1254[[#This Row],[IMPORTE NETO]:[EXENTO]])</f>
        <v>0</v>
      </c>
      <c r="M414" s="59"/>
    </row>
    <row r="415" spans="2:13">
      <c r="B415" s="109"/>
      <c r="C415" s="41"/>
      <c r="D415" s="111"/>
      <c r="E415" s="112"/>
      <c r="F415" s="113"/>
      <c r="G415" s="99" t="str">
        <f>IFERROR(IF(venta_a_mes1254[[#This Row],[CUIT]]="","-",VLOOKUP(venta_a_mes1254[[#This Row],[CUIT]],Lista_CUIT[#All],2,0)),"CUIT NO CARGADO")</f>
        <v>-</v>
      </c>
      <c r="H415" s="100"/>
      <c r="I415" s="101">
        <f>venta_a_mes1254[[#This Row],[IMPORTE NETO]]*0.21</f>
        <v>0</v>
      </c>
      <c r="J415" s="65"/>
      <c r="K415" s="65"/>
      <c r="L415" s="65">
        <f>SUM(venta_a_mes1254[[#This Row],[IMPORTE NETO]:[EXENTO]])</f>
        <v>0</v>
      </c>
      <c r="M415" s="59"/>
    </row>
    <row r="416" spans="2:13">
      <c r="B416" s="109"/>
      <c r="C416" s="41"/>
      <c r="D416" s="111"/>
      <c r="E416" s="112"/>
      <c r="F416" s="113"/>
      <c r="G416" s="99" t="str">
        <f>IFERROR(IF(venta_a_mes1254[[#This Row],[CUIT]]="","-",VLOOKUP(venta_a_mes1254[[#This Row],[CUIT]],Lista_CUIT[#All],2,0)),"CUIT NO CARGADO")</f>
        <v>-</v>
      </c>
      <c r="H416" s="100"/>
      <c r="I416" s="101">
        <f>venta_a_mes1254[[#This Row],[IMPORTE NETO]]*0.21</f>
        <v>0</v>
      </c>
      <c r="J416" s="65"/>
      <c r="K416" s="65"/>
      <c r="L416" s="65">
        <f>SUM(venta_a_mes1254[[#This Row],[IMPORTE NETO]:[EXENTO]])</f>
        <v>0</v>
      </c>
      <c r="M416" s="59"/>
    </row>
    <row r="417" spans="2:13">
      <c r="B417" s="109"/>
      <c r="C417" s="41"/>
      <c r="D417" s="111"/>
      <c r="E417" s="112"/>
      <c r="F417" s="113"/>
      <c r="G417" s="99" t="str">
        <f>IFERROR(IF(venta_a_mes1254[[#This Row],[CUIT]]="","-",VLOOKUP(venta_a_mes1254[[#This Row],[CUIT]],Lista_CUIT[#All],2,0)),"CUIT NO CARGADO")</f>
        <v>-</v>
      </c>
      <c r="H417" s="100"/>
      <c r="I417" s="101">
        <f>venta_a_mes1254[[#This Row],[IMPORTE NETO]]*0.21</f>
        <v>0</v>
      </c>
      <c r="J417" s="65"/>
      <c r="K417" s="65"/>
      <c r="L417" s="65">
        <f>SUM(venta_a_mes1254[[#This Row],[IMPORTE NETO]:[EXENTO]])</f>
        <v>0</v>
      </c>
      <c r="M417" s="59"/>
    </row>
    <row r="418" spans="2:13">
      <c r="B418" s="109"/>
      <c r="C418" s="41"/>
      <c r="D418" s="111"/>
      <c r="E418" s="112"/>
      <c r="F418" s="113"/>
      <c r="G418" s="99" t="str">
        <f>IFERROR(IF(venta_a_mes1254[[#This Row],[CUIT]]="","-",VLOOKUP(venta_a_mes1254[[#This Row],[CUIT]],Lista_CUIT[#All],2,0)),"CUIT NO CARGADO")</f>
        <v>-</v>
      </c>
      <c r="H418" s="100"/>
      <c r="I418" s="101">
        <f>venta_a_mes1254[[#This Row],[IMPORTE NETO]]*0.21</f>
        <v>0</v>
      </c>
      <c r="J418" s="65"/>
      <c r="K418" s="65"/>
      <c r="L418" s="65">
        <f>SUM(venta_a_mes1254[[#This Row],[IMPORTE NETO]:[EXENTO]])</f>
        <v>0</v>
      </c>
      <c r="M418" s="59"/>
    </row>
    <row r="419" spans="2:13">
      <c r="B419" s="109"/>
      <c r="C419" s="41"/>
      <c r="D419" s="111"/>
      <c r="E419" s="112"/>
      <c r="F419" s="113"/>
      <c r="G419" s="99" t="str">
        <f>IFERROR(IF(venta_a_mes1254[[#This Row],[CUIT]]="","-",VLOOKUP(venta_a_mes1254[[#This Row],[CUIT]],Lista_CUIT[#All],2,0)),"CUIT NO CARGADO")</f>
        <v>-</v>
      </c>
      <c r="H419" s="100"/>
      <c r="I419" s="101">
        <f>venta_a_mes1254[[#This Row],[IMPORTE NETO]]*0.21</f>
        <v>0</v>
      </c>
      <c r="J419" s="65"/>
      <c r="K419" s="65"/>
      <c r="L419" s="65">
        <f>SUM(venta_a_mes1254[[#This Row],[IMPORTE NETO]:[EXENTO]])</f>
        <v>0</v>
      </c>
      <c r="M419" s="59"/>
    </row>
    <row r="420" spans="2:13">
      <c r="B420" s="109"/>
      <c r="C420" s="41"/>
      <c r="D420" s="111"/>
      <c r="E420" s="112"/>
      <c r="F420" s="113"/>
      <c r="G420" s="99" t="str">
        <f>IFERROR(IF(venta_a_mes1254[[#This Row],[CUIT]]="","-",VLOOKUP(venta_a_mes1254[[#This Row],[CUIT]],Lista_CUIT[#All],2,0)),"CUIT NO CARGADO")</f>
        <v>-</v>
      </c>
      <c r="H420" s="100"/>
      <c r="I420" s="101">
        <f>venta_a_mes1254[[#This Row],[IMPORTE NETO]]*0.21</f>
        <v>0</v>
      </c>
      <c r="J420" s="65"/>
      <c r="K420" s="65"/>
      <c r="L420" s="65">
        <f>SUM(venta_a_mes1254[[#This Row],[IMPORTE NETO]:[EXENTO]])</f>
        <v>0</v>
      </c>
      <c r="M420" s="59"/>
    </row>
    <row r="421" spans="2:13">
      <c r="B421" s="109"/>
      <c r="C421" s="41"/>
      <c r="D421" s="111"/>
      <c r="E421" s="112"/>
      <c r="F421" s="113"/>
      <c r="G421" s="99" t="str">
        <f>IFERROR(IF(venta_a_mes1254[[#This Row],[CUIT]]="","-",VLOOKUP(venta_a_mes1254[[#This Row],[CUIT]],Lista_CUIT[#All],2,0)),"CUIT NO CARGADO")</f>
        <v>-</v>
      </c>
      <c r="H421" s="100"/>
      <c r="I421" s="101">
        <f>venta_a_mes1254[[#This Row],[IMPORTE NETO]]*0.21</f>
        <v>0</v>
      </c>
      <c r="J421" s="65"/>
      <c r="K421" s="65"/>
      <c r="L421" s="65">
        <f>SUM(venta_a_mes1254[[#This Row],[IMPORTE NETO]:[EXENTO]])</f>
        <v>0</v>
      </c>
      <c r="M421" s="59"/>
    </row>
    <row r="422" spans="2:13">
      <c r="B422" s="109"/>
      <c r="C422" s="41"/>
      <c r="D422" s="111"/>
      <c r="E422" s="112"/>
      <c r="F422" s="113"/>
      <c r="G422" s="99" t="str">
        <f>IFERROR(IF(venta_a_mes1254[[#This Row],[CUIT]]="","-",VLOOKUP(venta_a_mes1254[[#This Row],[CUIT]],Lista_CUIT[#All],2,0)),"CUIT NO CARGADO")</f>
        <v>-</v>
      </c>
      <c r="H422" s="100"/>
      <c r="I422" s="101">
        <f>venta_a_mes1254[[#This Row],[IMPORTE NETO]]*0.21</f>
        <v>0</v>
      </c>
      <c r="J422" s="65"/>
      <c r="K422" s="65"/>
      <c r="L422" s="65">
        <f>SUM(venta_a_mes1254[[#This Row],[IMPORTE NETO]:[EXENTO]])</f>
        <v>0</v>
      </c>
      <c r="M422" s="59"/>
    </row>
    <row r="423" spans="2:13">
      <c r="B423" s="109"/>
      <c r="C423" s="41"/>
      <c r="D423" s="111"/>
      <c r="E423" s="112"/>
      <c r="F423" s="113"/>
      <c r="G423" s="99" t="str">
        <f>IFERROR(IF(venta_a_mes1254[[#This Row],[CUIT]]="","-",VLOOKUP(venta_a_mes1254[[#This Row],[CUIT]],Lista_CUIT[#All],2,0)),"CUIT NO CARGADO")</f>
        <v>-</v>
      </c>
      <c r="H423" s="100"/>
      <c r="I423" s="101">
        <f>venta_a_mes1254[[#This Row],[IMPORTE NETO]]*0.21</f>
        <v>0</v>
      </c>
      <c r="J423" s="65"/>
      <c r="K423" s="65"/>
      <c r="L423" s="65">
        <f>SUM(venta_a_mes1254[[#This Row],[IMPORTE NETO]:[EXENTO]])</f>
        <v>0</v>
      </c>
      <c r="M423" s="59"/>
    </row>
    <row r="424" spans="2:13">
      <c r="B424" s="109"/>
      <c r="C424" s="41"/>
      <c r="D424" s="111"/>
      <c r="E424" s="112"/>
      <c r="F424" s="113"/>
      <c r="G424" s="99" t="str">
        <f>IFERROR(IF(venta_a_mes1254[[#This Row],[CUIT]]="","-",VLOOKUP(venta_a_mes1254[[#This Row],[CUIT]],Lista_CUIT[#All],2,0)),"CUIT NO CARGADO")</f>
        <v>-</v>
      </c>
      <c r="H424" s="100"/>
      <c r="I424" s="101">
        <f>venta_a_mes1254[[#This Row],[IMPORTE NETO]]*0.21</f>
        <v>0</v>
      </c>
      <c r="J424" s="65"/>
      <c r="K424" s="65"/>
      <c r="L424" s="65">
        <f>SUM(venta_a_mes1254[[#This Row],[IMPORTE NETO]:[EXENTO]])</f>
        <v>0</v>
      </c>
      <c r="M424" s="59"/>
    </row>
    <row r="425" spans="2:13">
      <c r="B425" s="109"/>
      <c r="C425" s="41"/>
      <c r="D425" s="111"/>
      <c r="E425" s="112"/>
      <c r="F425" s="113"/>
      <c r="G425" s="99" t="str">
        <f>IFERROR(IF(venta_a_mes1254[[#This Row],[CUIT]]="","-",VLOOKUP(venta_a_mes1254[[#This Row],[CUIT]],Lista_CUIT[#All],2,0)),"CUIT NO CARGADO")</f>
        <v>-</v>
      </c>
      <c r="H425" s="100"/>
      <c r="I425" s="101">
        <f>venta_a_mes1254[[#This Row],[IMPORTE NETO]]*0.21</f>
        <v>0</v>
      </c>
      <c r="J425" s="65"/>
      <c r="K425" s="65"/>
      <c r="L425" s="65">
        <f>SUM(venta_a_mes1254[[#This Row],[IMPORTE NETO]:[EXENTO]])</f>
        <v>0</v>
      </c>
      <c r="M425" s="59"/>
    </row>
    <row r="426" spans="2:13">
      <c r="B426" s="109"/>
      <c r="C426" s="41"/>
      <c r="D426" s="111"/>
      <c r="E426" s="112"/>
      <c r="F426" s="113"/>
      <c r="G426" s="99" t="str">
        <f>IFERROR(IF(venta_a_mes1254[[#This Row],[CUIT]]="","-",VLOOKUP(venta_a_mes1254[[#This Row],[CUIT]],Lista_CUIT[#All],2,0)),"CUIT NO CARGADO")</f>
        <v>-</v>
      </c>
      <c r="H426" s="100"/>
      <c r="I426" s="101">
        <f>venta_a_mes1254[[#This Row],[IMPORTE NETO]]*0.21</f>
        <v>0</v>
      </c>
      <c r="J426" s="65"/>
      <c r="K426" s="65"/>
      <c r="L426" s="65">
        <f>SUM(venta_a_mes1254[[#This Row],[IMPORTE NETO]:[EXENTO]])</f>
        <v>0</v>
      </c>
      <c r="M426" s="59"/>
    </row>
    <row r="427" spans="2:13">
      <c r="B427" s="109"/>
      <c r="C427" s="41"/>
      <c r="D427" s="111"/>
      <c r="E427" s="112"/>
      <c r="F427" s="113"/>
      <c r="G427" s="99" t="str">
        <f>IFERROR(IF(venta_a_mes1254[[#This Row],[CUIT]]="","-",VLOOKUP(venta_a_mes1254[[#This Row],[CUIT]],Lista_CUIT[#All],2,0)),"CUIT NO CARGADO")</f>
        <v>-</v>
      </c>
      <c r="H427" s="100"/>
      <c r="I427" s="101">
        <f>venta_a_mes1254[[#This Row],[IMPORTE NETO]]*0.21</f>
        <v>0</v>
      </c>
      <c r="J427" s="65"/>
      <c r="K427" s="65"/>
      <c r="L427" s="65">
        <f>SUM(venta_a_mes1254[[#This Row],[IMPORTE NETO]:[EXENTO]])</f>
        <v>0</v>
      </c>
      <c r="M427" s="59"/>
    </row>
    <row r="428" spans="2:13">
      <c r="B428" s="109"/>
      <c r="C428" s="41"/>
      <c r="D428" s="111"/>
      <c r="E428" s="112"/>
      <c r="F428" s="113"/>
      <c r="G428" s="99" t="str">
        <f>IFERROR(IF(venta_a_mes1254[[#This Row],[CUIT]]="","-",VLOOKUP(venta_a_mes1254[[#This Row],[CUIT]],Lista_CUIT[#All],2,0)),"CUIT NO CARGADO")</f>
        <v>-</v>
      </c>
      <c r="H428" s="100"/>
      <c r="I428" s="101">
        <f>venta_a_mes1254[[#This Row],[IMPORTE NETO]]*0.21</f>
        <v>0</v>
      </c>
      <c r="J428" s="65"/>
      <c r="K428" s="65"/>
      <c r="L428" s="65">
        <f>SUM(venta_a_mes1254[[#This Row],[IMPORTE NETO]:[EXENTO]])</f>
        <v>0</v>
      </c>
      <c r="M428" s="59"/>
    </row>
    <row r="429" spans="2:13">
      <c r="B429" s="109"/>
      <c r="C429" s="41"/>
      <c r="D429" s="111"/>
      <c r="E429" s="112"/>
      <c r="F429" s="113"/>
      <c r="G429" s="99" t="str">
        <f>IFERROR(IF(venta_a_mes1254[[#This Row],[CUIT]]="","-",VLOOKUP(venta_a_mes1254[[#This Row],[CUIT]],Lista_CUIT[#All],2,0)),"CUIT NO CARGADO")</f>
        <v>-</v>
      </c>
      <c r="H429" s="100"/>
      <c r="I429" s="101">
        <f>venta_a_mes1254[[#This Row],[IMPORTE NETO]]*0.21</f>
        <v>0</v>
      </c>
      <c r="J429" s="65"/>
      <c r="K429" s="65"/>
      <c r="L429" s="65">
        <f>SUM(venta_a_mes1254[[#This Row],[IMPORTE NETO]:[EXENTO]])</f>
        <v>0</v>
      </c>
      <c r="M429" s="59"/>
    </row>
    <row r="430" spans="2:13">
      <c r="B430" s="109"/>
      <c r="C430" s="41"/>
      <c r="D430" s="111"/>
      <c r="E430" s="112"/>
      <c r="F430" s="113"/>
      <c r="G430" s="99" t="str">
        <f>IFERROR(IF(venta_a_mes1254[[#This Row],[CUIT]]="","-",VLOOKUP(venta_a_mes1254[[#This Row],[CUIT]],Lista_CUIT[#All],2,0)),"CUIT NO CARGADO")</f>
        <v>-</v>
      </c>
      <c r="H430" s="100"/>
      <c r="I430" s="101">
        <f>venta_a_mes1254[[#This Row],[IMPORTE NETO]]*0.21</f>
        <v>0</v>
      </c>
      <c r="J430" s="65"/>
      <c r="K430" s="65"/>
      <c r="L430" s="65">
        <f>SUM(venta_a_mes1254[[#This Row],[IMPORTE NETO]:[EXENTO]])</f>
        <v>0</v>
      </c>
      <c r="M430" s="59"/>
    </row>
    <row r="431" spans="2:13">
      <c r="B431" s="109"/>
      <c r="C431" s="41"/>
      <c r="D431" s="111"/>
      <c r="E431" s="112"/>
      <c r="F431" s="113"/>
      <c r="G431" s="99" t="str">
        <f>IFERROR(IF(venta_a_mes1254[[#This Row],[CUIT]]="","-",VLOOKUP(venta_a_mes1254[[#This Row],[CUIT]],Lista_CUIT[#All],2,0)),"CUIT NO CARGADO")</f>
        <v>-</v>
      </c>
      <c r="H431" s="100"/>
      <c r="I431" s="101">
        <f>venta_a_mes1254[[#This Row],[IMPORTE NETO]]*0.21</f>
        <v>0</v>
      </c>
      <c r="J431" s="65"/>
      <c r="K431" s="65"/>
      <c r="L431" s="65">
        <f>SUM(venta_a_mes1254[[#This Row],[IMPORTE NETO]:[EXENTO]])</f>
        <v>0</v>
      </c>
      <c r="M431" s="59"/>
    </row>
    <row r="432" spans="2:13">
      <c r="B432" s="109"/>
      <c r="C432" s="41"/>
      <c r="D432" s="111"/>
      <c r="E432" s="112"/>
      <c r="F432" s="113"/>
      <c r="G432" s="99" t="str">
        <f>IFERROR(IF(venta_a_mes1254[[#This Row],[CUIT]]="","-",VLOOKUP(venta_a_mes1254[[#This Row],[CUIT]],Lista_CUIT[#All],2,0)),"CUIT NO CARGADO")</f>
        <v>-</v>
      </c>
      <c r="H432" s="100"/>
      <c r="I432" s="101">
        <f>venta_a_mes1254[[#This Row],[IMPORTE NETO]]*0.21</f>
        <v>0</v>
      </c>
      <c r="J432" s="65"/>
      <c r="K432" s="65"/>
      <c r="L432" s="65">
        <f>SUM(venta_a_mes1254[[#This Row],[IMPORTE NETO]:[EXENTO]])</f>
        <v>0</v>
      </c>
      <c r="M432" s="59"/>
    </row>
    <row r="433" spans="2:13">
      <c r="B433" s="109"/>
      <c r="C433" s="41"/>
      <c r="D433" s="111"/>
      <c r="E433" s="112"/>
      <c r="F433" s="113"/>
      <c r="G433" s="99" t="str">
        <f>IFERROR(IF(venta_a_mes1254[[#This Row],[CUIT]]="","-",VLOOKUP(venta_a_mes1254[[#This Row],[CUIT]],Lista_CUIT[#All],2,0)),"CUIT NO CARGADO")</f>
        <v>-</v>
      </c>
      <c r="H433" s="100"/>
      <c r="I433" s="101">
        <f>venta_a_mes1254[[#This Row],[IMPORTE NETO]]*0.21</f>
        <v>0</v>
      </c>
      <c r="J433" s="65"/>
      <c r="K433" s="65"/>
      <c r="L433" s="65">
        <f>SUM(venta_a_mes1254[[#This Row],[IMPORTE NETO]:[EXENTO]])</f>
        <v>0</v>
      </c>
      <c r="M433" s="59"/>
    </row>
    <row r="434" spans="2:13">
      <c r="B434" s="109"/>
      <c r="C434" s="41"/>
      <c r="D434" s="111"/>
      <c r="E434" s="112"/>
      <c r="F434" s="113"/>
      <c r="G434" s="99" t="str">
        <f>IFERROR(IF(venta_a_mes1254[[#This Row],[CUIT]]="","-",VLOOKUP(venta_a_mes1254[[#This Row],[CUIT]],Lista_CUIT[#All],2,0)),"CUIT NO CARGADO")</f>
        <v>-</v>
      </c>
      <c r="H434" s="100"/>
      <c r="I434" s="101">
        <f>venta_a_mes1254[[#This Row],[IMPORTE NETO]]*0.21</f>
        <v>0</v>
      </c>
      <c r="J434" s="65"/>
      <c r="K434" s="65"/>
      <c r="L434" s="65">
        <f>SUM(venta_a_mes1254[[#This Row],[IMPORTE NETO]:[EXENTO]])</f>
        <v>0</v>
      </c>
      <c r="M434" s="59"/>
    </row>
    <row r="435" spans="2:13">
      <c r="B435" s="109"/>
      <c r="C435" s="41"/>
      <c r="D435" s="111"/>
      <c r="E435" s="112"/>
      <c r="F435" s="113"/>
      <c r="G435" s="99" t="str">
        <f>IFERROR(IF(venta_a_mes1254[[#This Row],[CUIT]]="","-",VLOOKUP(venta_a_mes1254[[#This Row],[CUIT]],Lista_CUIT[#All],2,0)),"CUIT NO CARGADO")</f>
        <v>-</v>
      </c>
      <c r="H435" s="100"/>
      <c r="I435" s="101">
        <f>venta_a_mes1254[[#This Row],[IMPORTE NETO]]*0.21</f>
        <v>0</v>
      </c>
      <c r="J435" s="65"/>
      <c r="K435" s="65"/>
      <c r="L435" s="65">
        <f>SUM(venta_a_mes1254[[#This Row],[IMPORTE NETO]:[EXENTO]])</f>
        <v>0</v>
      </c>
      <c r="M435" s="59"/>
    </row>
    <row r="436" spans="2:13">
      <c r="B436" s="109"/>
      <c r="C436" s="41"/>
      <c r="D436" s="111"/>
      <c r="E436" s="112"/>
      <c r="F436" s="113"/>
      <c r="G436" s="99" t="str">
        <f>IFERROR(IF(venta_a_mes1254[[#This Row],[CUIT]]="","-",VLOOKUP(venta_a_mes1254[[#This Row],[CUIT]],Lista_CUIT[#All],2,0)),"CUIT NO CARGADO")</f>
        <v>-</v>
      </c>
      <c r="H436" s="100"/>
      <c r="I436" s="101">
        <f>venta_a_mes1254[[#This Row],[IMPORTE NETO]]*0.21</f>
        <v>0</v>
      </c>
      <c r="J436" s="65"/>
      <c r="K436" s="65"/>
      <c r="L436" s="65">
        <f>SUM(venta_a_mes1254[[#This Row],[IMPORTE NETO]:[EXENTO]])</f>
        <v>0</v>
      </c>
      <c r="M436" s="59"/>
    </row>
    <row r="437" spans="2:13">
      <c r="B437" s="109"/>
      <c r="C437" s="41"/>
      <c r="D437" s="111"/>
      <c r="E437" s="112"/>
      <c r="F437" s="113"/>
      <c r="G437" s="99" t="str">
        <f>IFERROR(IF(venta_a_mes1254[[#This Row],[CUIT]]="","-",VLOOKUP(venta_a_mes1254[[#This Row],[CUIT]],Lista_CUIT[#All],2,0)),"CUIT NO CARGADO")</f>
        <v>-</v>
      </c>
      <c r="H437" s="100"/>
      <c r="I437" s="101">
        <f>venta_a_mes1254[[#This Row],[IMPORTE NETO]]*0.21</f>
        <v>0</v>
      </c>
      <c r="J437" s="65"/>
      <c r="K437" s="65"/>
      <c r="L437" s="65">
        <f>SUM(venta_a_mes1254[[#This Row],[IMPORTE NETO]:[EXENTO]])</f>
        <v>0</v>
      </c>
      <c r="M437" s="59"/>
    </row>
    <row r="438" spans="2:13">
      <c r="B438" s="109"/>
      <c r="C438" s="41"/>
      <c r="D438" s="111"/>
      <c r="E438" s="112"/>
      <c r="F438" s="113"/>
      <c r="G438" s="99" t="str">
        <f>IFERROR(IF(venta_a_mes1254[[#This Row],[CUIT]]="","-",VLOOKUP(venta_a_mes1254[[#This Row],[CUIT]],Lista_CUIT[#All],2,0)),"CUIT NO CARGADO")</f>
        <v>-</v>
      </c>
      <c r="H438" s="100"/>
      <c r="I438" s="101">
        <f>venta_a_mes1254[[#This Row],[IMPORTE NETO]]*0.21</f>
        <v>0</v>
      </c>
      <c r="J438" s="65"/>
      <c r="K438" s="65"/>
      <c r="L438" s="65">
        <f>SUM(venta_a_mes1254[[#This Row],[IMPORTE NETO]:[EXENTO]])</f>
        <v>0</v>
      </c>
      <c r="M438" s="59"/>
    </row>
    <row r="439" spans="2:13">
      <c r="B439" s="109"/>
      <c r="C439" s="41"/>
      <c r="D439" s="111"/>
      <c r="E439" s="112"/>
      <c r="F439" s="113"/>
      <c r="G439" s="99" t="str">
        <f>IFERROR(IF(venta_a_mes1254[[#This Row],[CUIT]]="","-",VLOOKUP(venta_a_mes1254[[#This Row],[CUIT]],Lista_CUIT[#All],2,0)),"CUIT NO CARGADO")</f>
        <v>-</v>
      </c>
      <c r="H439" s="100"/>
      <c r="I439" s="101">
        <f>venta_a_mes1254[[#This Row],[IMPORTE NETO]]*0.21</f>
        <v>0</v>
      </c>
      <c r="J439" s="65"/>
      <c r="K439" s="65"/>
      <c r="L439" s="65">
        <f>SUM(venta_a_mes1254[[#This Row],[IMPORTE NETO]:[EXENTO]])</f>
        <v>0</v>
      </c>
      <c r="M439" s="59"/>
    </row>
    <row r="440" spans="2:13">
      <c r="B440" s="109"/>
      <c r="C440" s="41"/>
      <c r="D440" s="111"/>
      <c r="E440" s="112"/>
      <c r="F440" s="113"/>
      <c r="G440" s="99" t="str">
        <f>IFERROR(IF(venta_a_mes1254[[#This Row],[CUIT]]="","-",VLOOKUP(venta_a_mes1254[[#This Row],[CUIT]],Lista_CUIT[#All],2,0)),"CUIT NO CARGADO")</f>
        <v>-</v>
      </c>
      <c r="H440" s="100"/>
      <c r="I440" s="101">
        <f>venta_a_mes1254[[#This Row],[IMPORTE NETO]]*0.21</f>
        <v>0</v>
      </c>
      <c r="J440" s="65"/>
      <c r="K440" s="65"/>
      <c r="L440" s="65">
        <f>SUM(venta_a_mes1254[[#This Row],[IMPORTE NETO]:[EXENTO]])</f>
        <v>0</v>
      </c>
      <c r="M440" s="59"/>
    </row>
    <row r="441" spans="2:13">
      <c r="B441" s="109"/>
      <c r="C441" s="41"/>
      <c r="D441" s="111"/>
      <c r="E441" s="112"/>
      <c r="F441" s="113"/>
      <c r="G441" s="99" t="str">
        <f>IFERROR(IF(venta_a_mes1254[[#This Row],[CUIT]]="","-",VLOOKUP(venta_a_mes1254[[#This Row],[CUIT]],Lista_CUIT[#All],2,0)),"CUIT NO CARGADO")</f>
        <v>-</v>
      </c>
      <c r="H441" s="100"/>
      <c r="I441" s="101">
        <f>venta_a_mes1254[[#This Row],[IMPORTE NETO]]*0.21</f>
        <v>0</v>
      </c>
      <c r="J441" s="65"/>
      <c r="K441" s="65"/>
      <c r="L441" s="65">
        <f>SUM(venta_a_mes1254[[#This Row],[IMPORTE NETO]:[EXENTO]])</f>
        <v>0</v>
      </c>
      <c r="M441" s="59"/>
    </row>
    <row r="442" spans="2:13">
      <c r="B442" s="109"/>
      <c r="C442" s="41"/>
      <c r="D442" s="111"/>
      <c r="E442" s="112"/>
      <c r="F442" s="113"/>
      <c r="G442" s="99" t="str">
        <f>IFERROR(IF(venta_a_mes1254[[#This Row],[CUIT]]="","-",VLOOKUP(venta_a_mes1254[[#This Row],[CUIT]],Lista_CUIT[#All],2,0)),"CUIT NO CARGADO")</f>
        <v>-</v>
      </c>
      <c r="H442" s="100"/>
      <c r="I442" s="101">
        <f>venta_a_mes1254[[#This Row],[IMPORTE NETO]]*0.21</f>
        <v>0</v>
      </c>
      <c r="J442" s="65"/>
      <c r="K442" s="65"/>
      <c r="L442" s="65">
        <f>SUM(venta_a_mes1254[[#This Row],[IMPORTE NETO]:[EXENTO]])</f>
        <v>0</v>
      </c>
      <c r="M442" s="59"/>
    </row>
    <row r="443" spans="2:13">
      <c r="B443" s="109"/>
      <c r="C443" s="41"/>
      <c r="D443" s="111"/>
      <c r="E443" s="112"/>
      <c r="F443" s="113"/>
      <c r="G443" s="99" t="str">
        <f>IFERROR(IF(venta_a_mes1254[[#This Row],[CUIT]]="","-",VLOOKUP(venta_a_mes1254[[#This Row],[CUIT]],Lista_CUIT[#All],2,0)),"CUIT NO CARGADO")</f>
        <v>-</v>
      </c>
      <c r="H443" s="100"/>
      <c r="I443" s="101">
        <f>venta_a_mes1254[[#This Row],[IMPORTE NETO]]*0.21</f>
        <v>0</v>
      </c>
      <c r="J443" s="65"/>
      <c r="K443" s="65"/>
      <c r="L443" s="65">
        <f>SUM(venta_a_mes1254[[#This Row],[IMPORTE NETO]:[EXENTO]])</f>
        <v>0</v>
      </c>
      <c r="M443" s="59"/>
    </row>
    <row r="444" spans="2:13">
      <c r="B444" s="109"/>
      <c r="C444" s="41"/>
      <c r="D444" s="111"/>
      <c r="E444" s="112"/>
      <c r="F444" s="113"/>
      <c r="G444" s="99" t="str">
        <f>IFERROR(IF(venta_a_mes1254[[#This Row],[CUIT]]="","-",VLOOKUP(venta_a_mes1254[[#This Row],[CUIT]],Lista_CUIT[#All],2,0)),"CUIT NO CARGADO")</f>
        <v>-</v>
      </c>
      <c r="H444" s="100"/>
      <c r="I444" s="101">
        <f>venta_a_mes1254[[#This Row],[IMPORTE NETO]]*0.21</f>
        <v>0</v>
      </c>
      <c r="J444" s="65"/>
      <c r="K444" s="65"/>
      <c r="L444" s="65">
        <f>SUM(venta_a_mes1254[[#This Row],[IMPORTE NETO]:[EXENTO]])</f>
        <v>0</v>
      </c>
      <c r="M444" s="59"/>
    </row>
    <row r="445" spans="2:13">
      <c r="B445" s="109"/>
      <c r="C445" s="41"/>
      <c r="D445" s="111"/>
      <c r="E445" s="112"/>
      <c r="F445" s="113"/>
      <c r="G445" s="99" t="str">
        <f>IFERROR(IF(venta_a_mes1254[[#This Row],[CUIT]]="","-",VLOOKUP(venta_a_mes1254[[#This Row],[CUIT]],Lista_CUIT[#All],2,0)),"CUIT NO CARGADO")</f>
        <v>-</v>
      </c>
      <c r="H445" s="100"/>
      <c r="I445" s="101">
        <f>venta_a_mes1254[[#This Row],[IMPORTE NETO]]*0.21</f>
        <v>0</v>
      </c>
      <c r="J445" s="65"/>
      <c r="K445" s="65"/>
      <c r="L445" s="65">
        <f>SUM(venta_a_mes1254[[#This Row],[IMPORTE NETO]:[EXENTO]])</f>
        <v>0</v>
      </c>
      <c r="M445" s="59"/>
    </row>
    <row r="446" spans="2:13">
      <c r="B446" s="109"/>
      <c r="C446" s="41"/>
      <c r="D446" s="111"/>
      <c r="E446" s="112"/>
      <c r="F446" s="113"/>
      <c r="G446" s="99" t="str">
        <f>IFERROR(IF(venta_a_mes1254[[#This Row],[CUIT]]="","-",VLOOKUP(venta_a_mes1254[[#This Row],[CUIT]],Lista_CUIT[#All],2,0)),"CUIT NO CARGADO")</f>
        <v>-</v>
      </c>
      <c r="H446" s="100"/>
      <c r="I446" s="101">
        <f>venta_a_mes1254[[#This Row],[IMPORTE NETO]]*0.21</f>
        <v>0</v>
      </c>
      <c r="J446" s="65"/>
      <c r="K446" s="65"/>
      <c r="L446" s="65">
        <f>SUM(venta_a_mes1254[[#This Row],[IMPORTE NETO]:[EXENTO]])</f>
        <v>0</v>
      </c>
      <c r="M446" s="59"/>
    </row>
    <row r="447" spans="2:13">
      <c r="B447" s="109"/>
      <c r="C447" s="41"/>
      <c r="D447" s="111"/>
      <c r="E447" s="112"/>
      <c r="F447" s="113"/>
      <c r="G447" s="99" t="str">
        <f>IFERROR(IF(venta_a_mes1254[[#This Row],[CUIT]]="","-",VLOOKUP(venta_a_mes1254[[#This Row],[CUIT]],Lista_CUIT[#All],2,0)),"CUIT NO CARGADO")</f>
        <v>-</v>
      </c>
      <c r="H447" s="100"/>
      <c r="I447" s="101">
        <f>venta_a_mes1254[[#This Row],[IMPORTE NETO]]*0.21</f>
        <v>0</v>
      </c>
      <c r="J447" s="65"/>
      <c r="K447" s="65"/>
      <c r="L447" s="65">
        <f>SUM(venta_a_mes1254[[#This Row],[IMPORTE NETO]:[EXENTO]])</f>
        <v>0</v>
      </c>
      <c r="M447" s="59"/>
    </row>
    <row r="448" spans="2:13">
      <c r="B448" s="109"/>
      <c r="C448" s="41"/>
      <c r="D448" s="111"/>
      <c r="E448" s="112"/>
      <c r="F448" s="113"/>
      <c r="G448" s="99" t="str">
        <f>IFERROR(IF(venta_a_mes1254[[#This Row],[CUIT]]="","-",VLOOKUP(venta_a_mes1254[[#This Row],[CUIT]],Lista_CUIT[#All],2,0)),"CUIT NO CARGADO")</f>
        <v>-</v>
      </c>
      <c r="H448" s="100"/>
      <c r="I448" s="101">
        <f>venta_a_mes1254[[#This Row],[IMPORTE NETO]]*0.21</f>
        <v>0</v>
      </c>
      <c r="J448" s="65"/>
      <c r="K448" s="65"/>
      <c r="L448" s="65">
        <f>SUM(venta_a_mes1254[[#This Row],[IMPORTE NETO]:[EXENTO]])</f>
        <v>0</v>
      </c>
      <c r="M448" s="59"/>
    </row>
    <row r="449" spans="2:13">
      <c r="B449" s="109"/>
      <c r="C449" s="41"/>
      <c r="D449" s="111"/>
      <c r="E449" s="112"/>
      <c r="F449" s="113"/>
      <c r="G449" s="99" t="str">
        <f>IFERROR(IF(venta_a_mes1254[[#This Row],[CUIT]]="","-",VLOOKUP(venta_a_mes1254[[#This Row],[CUIT]],Lista_CUIT[#All],2,0)),"CUIT NO CARGADO")</f>
        <v>-</v>
      </c>
      <c r="H449" s="100"/>
      <c r="I449" s="101">
        <f>venta_a_mes1254[[#This Row],[IMPORTE NETO]]*0.21</f>
        <v>0</v>
      </c>
      <c r="J449" s="65"/>
      <c r="K449" s="65"/>
      <c r="L449" s="65">
        <f>SUM(venta_a_mes1254[[#This Row],[IMPORTE NETO]:[EXENTO]])</f>
        <v>0</v>
      </c>
      <c r="M449" s="59"/>
    </row>
    <row r="450" spans="2:13">
      <c r="B450" s="109"/>
      <c r="C450" s="41"/>
      <c r="D450" s="111"/>
      <c r="E450" s="112"/>
      <c r="F450" s="113"/>
      <c r="G450" s="99" t="str">
        <f>IFERROR(IF(venta_a_mes1254[[#This Row],[CUIT]]="","-",VLOOKUP(venta_a_mes1254[[#This Row],[CUIT]],Lista_CUIT[#All],2,0)),"CUIT NO CARGADO")</f>
        <v>-</v>
      </c>
      <c r="H450" s="100"/>
      <c r="I450" s="101">
        <f>venta_a_mes1254[[#This Row],[IMPORTE NETO]]*0.21</f>
        <v>0</v>
      </c>
      <c r="J450" s="65"/>
      <c r="K450" s="65"/>
      <c r="L450" s="65">
        <f>SUM(venta_a_mes1254[[#This Row],[IMPORTE NETO]:[EXENTO]])</f>
        <v>0</v>
      </c>
      <c r="M450" s="59"/>
    </row>
    <row r="451" spans="2:13">
      <c r="B451" s="109"/>
      <c r="C451" s="41"/>
      <c r="D451" s="111"/>
      <c r="E451" s="112"/>
      <c r="F451" s="113"/>
      <c r="G451" s="99" t="str">
        <f>IFERROR(IF(venta_a_mes1254[[#This Row],[CUIT]]="","-",VLOOKUP(venta_a_mes1254[[#This Row],[CUIT]],Lista_CUIT[#All],2,0)),"CUIT NO CARGADO")</f>
        <v>-</v>
      </c>
      <c r="H451" s="100"/>
      <c r="I451" s="101">
        <f>venta_a_mes1254[[#This Row],[IMPORTE NETO]]*0.21</f>
        <v>0</v>
      </c>
      <c r="J451" s="65"/>
      <c r="K451" s="65"/>
      <c r="L451" s="65">
        <f>SUM(venta_a_mes1254[[#This Row],[IMPORTE NETO]:[EXENTO]])</f>
        <v>0</v>
      </c>
      <c r="M451" s="59"/>
    </row>
    <row r="452" spans="2:13">
      <c r="B452" s="109"/>
      <c r="C452" s="41"/>
      <c r="D452" s="111"/>
      <c r="E452" s="112"/>
      <c r="F452" s="113"/>
      <c r="G452" s="99" t="str">
        <f>IFERROR(IF(venta_a_mes1254[[#This Row],[CUIT]]="","-",VLOOKUP(venta_a_mes1254[[#This Row],[CUIT]],Lista_CUIT[#All],2,0)),"CUIT NO CARGADO")</f>
        <v>-</v>
      </c>
      <c r="H452" s="100"/>
      <c r="I452" s="101">
        <f>venta_a_mes1254[[#This Row],[IMPORTE NETO]]*0.21</f>
        <v>0</v>
      </c>
      <c r="J452" s="65"/>
      <c r="K452" s="65"/>
      <c r="L452" s="65">
        <f>SUM(venta_a_mes1254[[#This Row],[IMPORTE NETO]:[EXENTO]])</f>
        <v>0</v>
      </c>
      <c r="M452" s="59"/>
    </row>
    <row r="453" spans="2:13">
      <c r="B453" s="109"/>
      <c r="C453" s="41"/>
      <c r="D453" s="111"/>
      <c r="E453" s="112"/>
      <c r="F453" s="113"/>
      <c r="G453" s="99" t="str">
        <f>IFERROR(IF(venta_a_mes1254[[#This Row],[CUIT]]="","-",VLOOKUP(venta_a_mes1254[[#This Row],[CUIT]],Lista_CUIT[#All],2,0)),"CUIT NO CARGADO")</f>
        <v>-</v>
      </c>
      <c r="H453" s="100"/>
      <c r="I453" s="101">
        <f>venta_a_mes1254[[#This Row],[IMPORTE NETO]]*0.21</f>
        <v>0</v>
      </c>
      <c r="J453" s="65"/>
      <c r="K453" s="65"/>
      <c r="L453" s="65">
        <f>SUM(venta_a_mes1254[[#This Row],[IMPORTE NETO]:[EXENTO]])</f>
        <v>0</v>
      </c>
      <c r="M453" s="59"/>
    </row>
    <row r="454" spans="2:13">
      <c r="B454" s="109"/>
      <c r="C454" s="41"/>
      <c r="D454" s="111"/>
      <c r="E454" s="112"/>
      <c r="F454" s="113"/>
      <c r="G454" s="99" t="str">
        <f>IFERROR(IF(venta_a_mes1254[[#This Row],[CUIT]]="","-",VLOOKUP(venta_a_mes1254[[#This Row],[CUIT]],Lista_CUIT[#All],2,0)),"CUIT NO CARGADO")</f>
        <v>-</v>
      </c>
      <c r="H454" s="100"/>
      <c r="I454" s="101">
        <f>venta_a_mes1254[[#This Row],[IMPORTE NETO]]*0.21</f>
        <v>0</v>
      </c>
      <c r="J454" s="65"/>
      <c r="K454" s="65"/>
      <c r="L454" s="65">
        <f>SUM(venta_a_mes1254[[#This Row],[IMPORTE NETO]:[EXENTO]])</f>
        <v>0</v>
      </c>
      <c r="M454" s="59"/>
    </row>
    <row r="455" spans="2:13">
      <c r="B455" s="109"/>
      <c r="C455" s="41"/>
      <c r="D455" s="111"/>
      <c r="E455" s="112"/>
      <c r="F455" s="113"/>
      <c r="G455" s="99" t="str">
        <f>IFERROR(IF(venta_a_mes1254[[#This Row],[CUIT]]="","-",VLOOKUP(venta_a_mes1254[[#This Row],[CUIT]],Lista_CUIT[#All],2,0)),"CUIT NO CARGADO")</f>
        <v>-</v>
      </c>
      <c r="H455" s="100"/>
      <c r="I455" s="101">
        <f>venta_a_mes1254[[#This Row],[IMPORTE NETO]]*0.21</f>
        <v>0</v>
      </c>
      <c r="J455" s="65"/>
      <c r="K455" s="65"/>
      <c r="L455" s="65">
        <f>SUM(venta_a_mes1254[[#This Row],[IMPORTE NETO]:[EXENTO]])</f>
        <v>0</v>
      </c>
      <c r="M455" s="59"/>
    </row>
    <row r="456" spans="2:13">
      <c r="B456" s="66" t="s">
        <v>103</v>
      </c>
      <c r="C456" s="67"/>
      <c r="D456" s="67"/>
      <c r="E456" s="67"/>
      <c r="F456" s="67"/>
      <c r="G456" s="67"/>
      <c r="H456" s="69">
        <f>SUBTOTAL(109,venta_a_mes1254[IMPORTE NETO])</f>
        <v>0</v>
      </c>
      <c r="I456" s="70">
        <f>SUBTOTAL(109,venta_a_mes1254[IVA 21%])</f>
        <v>0</v>
      </c>
      <c r="J456" s="71">
        <f>SUBTOTAL(109,venta_a_mes1254[IVA 10,5%])</f>
        <v>0</v>
      </c>
      <c r="K456" s="71">
        <f>SUBTOTAL(109,venta_a_mes1254[EXENTO])</f>
        <v>0</v>
      </c>
      <c r="L456" s="71">
        <f>SUBTOTAL(109,venta_a_mes1254[TOTAL])</f>
        <v>0</v>
      </c>
      <c r="M456" s="68">
        <f>SUBTOTAL(103,venta_a_mes1254[Provincia])</f>
        <v>0</v>
      </c>
    </row>
    <row r="457" spans="2:13">
      <c r="B457" s="147"/>
      <c r="C457" s="147"/>
      <c r="D457" s="147"/>
      <c r="E457" s="147"/>
      <c r="F457" s="147"/>
      <c r="G457" s="147"/>
      <c r="H457" s="149"/>
      <c r="I457" s="150"/>
      <c r="J457" s="151"/>
      <c r="K457" s="151"/>
      <c r="L457" s="151"/>
      <c r="M457" s="148"/>
    </row>
    <row r="458" spans="2:13" ht="21">
      <c r="B458" s="713" t="s">
        <v>31</v>
      </c>
      <c r="C458" s="713"/>
    </row>
    <row r="459" spans="2:13" ht="31.5">
      <c r="B459" s="60" t="s">
        <v>0</v>
      </c>
      <c r="C459" s="61" t="s">
        <v>1</v>
      </c>
      <c r="D459" s="61" t="s">
        <v>21</v>
      </c>
      <c r="E459" s="61" t="s">
        <v>22</v>
      </c>
      <c r="F459" s="61" t="s">
        <v>3</v>
      </c>
      <c r="G459" s="61" t="s">
        <v>4</v>
      </c>
      <c r="H459" s="61" t="s">
        <v>23</v>
      </c>
      <c r="I459" s="61" t="s">
        <v>17</v>
      </c>
      <c r="J459" s="61" t="s">
        <v>7</v>
      </c>
      <c r="K459" s="61" t="s">
        <v>24</v>
      </c>
      <c r="L459" s="61" t="s">
        <v>10</v>
      </c>
      <c r="M459" s="62" t="s">
        <v>38</v>
      </c>
    </row>
    <row r="460" spans="2:13">
      <c r="B460" s="135"/>
      <c r="C460" s="136"/>
      <c r="D460" s="137"/>
      <c r="E460" s="138"/>
      <c r="F460" s="139"/>
      <c r="G460" s="1" t="str">
        <f>IFERROR(IF(ventas_b_mes1255[[#This Row],[CUIT]]="","-",VLOOKUP(ventas_b_mes1255[[#This Row],[CUIT]],Lista_CUIT[#All],2,0)),"CUIT NO CARGADO")</f>
        <v>-</v>
      </c>
      <c r="H460" s="100">
        <f>ventas_b_mes1255[[#This Row],[TOTAL]]/1.21</f>
        <v>0</v>
      </c>
      <c r="I460" s="64">
        <f>ventas_b_mes1255[[#This Row],[IMPORTE NETO]]*0.21</f>
        <v>0</v>
      </c>
      <c r="J460" s="141"/>
      <c r="K460" s="141"/>
      <c r="L460" s="141"/>
      <c r="M460" s="59"/>
    </row>
    <row r="461" spans="2:13">
      <c r="B461" s="135"/>
      <c r="C461" s="136"/>
      <c r="D461" s="137"/>
      <c r="E461" s="138"/>
      <c r="F461" s="139"/>
      <c r="G461" s="1" t="str">
        <f>IFERROR(IF(ventas_b_mes1255[[#This Row],[CUIT]]="","-",VLOOKUP(ventas_b_mes1255[[#This Row],[CUIT]],Lista_CUIT[#All],2,0)),"CUIT NO CARGADO")</f>
        <v>-</v>
      </c>
      <c r="H461" s="100">
        <f>ventas_b_mes1255[[#This Row],[TOTAL]]/1.21</f>
        <v>0</v>
      </c>
      <c r="I461" s="64">
        <f>ventas_b_mes1255[[#This Row],[IMPORTE NETO]]*0.21</f>
        <v>0</v>
      </c>
      <c r="J461" s="141"/>
      <c r="K461" s="141"/>
      <c r="L461" s="141"/>
      <c r="M461" s="59"/>
    </row>
    <row r="462" spans="2:13">
      <c r="B462" s="135"/>
      <c r="C462" s="136"/>
      <c r="D462" s="137"/>
      <c r="E462" s="138"/>
      <c r="F462" s="139"/>
      <c r="G462" s="1" t="str">
        <f>IFERROR(IF(ventas_b_mes1255[[#This Row],[CUIT]]="","-",VLOOKUP(ventas_b_mes1255[[#This Row],[CUIT]],Lista_CUIT[#All],2,0)),"CUIT NO CARGADO")</f>
        <v>-</v>
      </c>
      <c r="H462" s="100">
        <f>ventas_b_mes1255[[#This Row],[TOTAL]]/1.21</f>
        <v>0</v>
      </c>
      <c r="I462" s="64">
        <f>ventas_b_mes1255[[#This Row],[IMPORTE NETO]]*0.21</f>
        <v>0</v>
      </c>
      <c r="J462" s="141"/>
      <c r="K462" s="141"/>
      <c r="L462" s="141"/>
      <c r="M462" s="59"/>
    </row>
    <row r="463" spans="2:13">
      <c r="B463" s="135"/>
      <c r="C463" s="136"/>
      <c r="D463" s="137"/>
      <c r="E463" s="138"/>
      <c r="F463" s="139"/>
      <c r="G463" s="1" t="str">
        <f>IFERROR(IF(ventas_b_mes1255[[#This Row],[CUIT]]="","-",VLOOKUP(ventas_b_mes1255[[#This Row],[CUIT]],Lista_CUIT[#All],2,0)),"CUIT NO CARGADO")</f>
        <v>-</v>
      </c>
      <c r="H463" s="100">
        <f>ventas_b_mes1255[[#This Row],[TOTAL]]/1.21</f>
        <v>0</v>
      </c>
      <c r="I463" s="64">
        <f>ventas_b_mes1255[[#This Row],[IMPORTE NETO]]*0.21</f>
        <v>0</v>
      </c>
      <c r="J463" s="141"/>
      <c r="K463" s="141"/>
      <c r="L463" s="141"/>
      <c r="M463" s="59"/>
    </row>
    <row r="464" spans="2:13">
      <c r="B464" s="135"/>
      <c r="C464" s="136"/>
      <c r="D464" s="137"/>
      <c r="E464" s="138"/>
      <c r="F464" s="139"/>
      <c r="G464" s="1" t="str">
        <f>IFERROR(IF(ventas_b_mes1255[[#This Row],[CUIT]]="","-",VLOOKUP(ventas_b_mes1255[[#This Row],[CUIT]],Lista_CUIT[#All],2,0)),"CUIT NO CARGADO")</f>
        <v>-</v>
      </c>
      <c r="H464" s="100">
        <f>ventas_b_mes1255[[#This Row],[TOTAL]]/1.21</f>
        <v>0</v>
      </c>
      <c r="I464" s="64">
        <f>ventas_b_mes1255[[#This Row],[IMPORTE NETO]]*0.21</f>
        <v>0</v>
      </c>
      <c r="J464" s="141"/>
      <c r="K464" s="141"/>
      <c r="L464" s="141"/>
      <c r="M464" s="59"/>
    </row>
    <row r="465" spans="2:13">
      <c r="B465" s="135"/>
      <c r="C465" s="136"/>
      <c r="D465" s="137"/>
      <c r="E465" s="138"/>
      <c r="F465" s="139"/>
      <c r="G465" s="1" t="str">
        <f>IFERROR(IF(ventas_b_mes1255[[#This Row],[CUIT]]="","-",VLOOKUP(ventas_b_mes1255[[#This Row],[CUIT]],Lista_CUIT[#All],2,0)),"CUIT NO CARGADO")</f>
        <v>-</v>
      </c>
      <c r="H465" s="100">
        <f>ventas_b_mes1255[[#This Row],[TOTAL]]/1.21</f>
        <v>0</v>
      </c>
      <c r="I465" s="64">
        <f>ventas_b_mes1255[[#This Row],[IMPORTE NETO]]*0.21</f>
        <v>0</v>
      </c>
      <c r="J465" s="141"/>
      <c r="K465" s="141"/>
      <c r="L465" s="141"/>
      <c r="M465" s="59"/>
    </row>
    <row r="466" spans="2:13">
      <c r="B466" s="135"/>
      <c r="C466" s="136"/>
      <c r="D466" s="137"/>
      <c r="E466" s="138"/>
      <c r="F466" s="139"/>
      <c r="G466" s="1" t="str">
        <f>IFERROR(IF(ventas_b_mes1255[[#This Row],[CUIT]]="","-",VLOOKUP(ventas_b_mes1255[[#This Row],[CUIT]],Lista_CUIT[#All],2,0)),"CUIT NO CARGADO")</f>
        <v>-</v>
      </c>
      <c r="H466" s="100">
        <f>ventas_b_mes1255[[#This Row],[TOTAL]]/1.21</f>
        <v>0</v>
      </c>
      <c r="I466" s="64">
        <f>ventas_b_mes1255[[#This Row],[IMPORTE NETO]]*0.21</f>
        <v>0</v>
      </c>
      <c r="J466" s="141"/>
      <c r="K466" s="141"/>
      <c r="L466" s="141"/>
      <c r="M466" s="59"/>
    </row>
    <row r="467" spans="2:13">
      <c r="B467" s="135"/>
      <c r="C467" s="136"/>
      <c r="D467" s="137"/>
      <c r="E467" s="138"/>
      <c r="F467" s="139"/>
      <c r="G467" s="1" t="str">
        <f>IFERROR(IF(ventas_b_mes1255[[#This Row],[CUIT]]="","-",VLOOKUP(ventas_b_mes1255[[#This Row],[CUIT]],Lista_CUIT[#All],2,0)),"CUIT NO CARGADO")</f>
        <v>-</v>
      </c>
      <c r="H467" s="100">
        <f>ventas_b_mes1255[[#This Row],[TOTAL]]/1.21</f>
        <v>0</v>
      </c>
      <c r="I467" s="64">
        <f>ventas_b_mes1255[[#This Row],[IMPORTE NETO]]*0.21</f>
        <v>0</v>
      </c>
      <c r="J467" s="141"/>
      <c r="K467" s="141"/>
      <c r="L467" s="141"/>
      <c r="M467" s="59"/>
    </row>
    <row r="468" spans="2:13">
      <c r="B468" s="135"/>
      <c r="C468" s="136"/>
      <c r="D468" s="137"/>
      <c r="E468" s="138"/>
      <c r="F468" s="139"/>
      <c r="G468" s="1" t="str">
        <f>IFERROR(IF(ventas_b_mes1255[[#This Row],[CUIT]]="","-",VLOOKUP(ventas_b_mes1255[[#This Row],[CUIT]],Lista_CUIT[#All],2,0)),"CUIT NO CARGADO")</f>
        <v>-</v>
      </c>
      <c r="H468" s="100">
        <f>ventas_b_mes1255[[#This Row],[TOTAL]]/1.21</f>
        <v>0</v>
      </c>
      <c r="I468" s="64">
        <f>ventas_b_mes1255[[#This Row],[IMPORTE NETO]]*0.21</f>
        <v>0</v>
      </c>
      <c r="J468" s="141"/>
      <c r="K468" s="141"/>
      <c r="L468" s="141"/>
      <c r="M468" s="59"/>
    </row>
    <row r="469" spans="2:13">
      <c r="B469" s="135"/>
      <c r="C469" s="136"/>
      <c r="D469" s="137"/>
      <c r="E469" s="138"/>
      <c r="F469" s="139"/>
      <c r="G469" s="1" t="str">
        <f>IFERROR(IF(ventas_b_mes1255[[#This Row],[CUIT]]="","-",VLOOKUP(ventas_b_mes1255[[#This Row],[CUIT]],Lista_CUIT[#All],2,0)),"CUIT NO CARGADO")</f>
        <v>-</v>
      </c>
      <c r="H469" s="100">
        <f>ventas_b_mes1255[[#This Row],[TOTAL]]/1.21</f>
        <v>0</v>
      </c>
      <c r="I469" s="64">
        <f>ventas_b_mes1255[[#This Row],[IMPORTE NETO]]*0.21</f>
        <v>0</v>
      </c>
      <c r="J469" s="141"/>
      <c r="K469" s="141"/>
      <c r="L469" s="141"/>
      <c r="M469" s="59"/>
    </row>
    <row r="470" spans="2:13">
      <c r="B470" s="135"/>
      <c r="C470" s="136"/>
      <c r="D470" s="137"/>
      <c r="E470" s="138"/>
      <c r="F470" s="139"/>
      <c r="G470" s="1" t="str">
        <f>IFERROR(IF(ventas_b_mes1255[[#This Row],[CUIT]]="","-",VLOOKUP(ventas_b_mes1255[[#This Row],[CUIT]],Lista_CUIT[#All],2,0)),"CUIT NO CARGADO")</f>
        <v>-</v>
      </c>
      <c r="H470" s="100">
        <f>ventas_b_mes1255[[#This Row],[TOTAL]]/1.21</f>
        <v>0</v>
      </c>
      <c r="I470" s="64">
        <f>ventas_b_mes1255[[#This Row],[IMPORTE NETO]]*0.21</f>
        <v>0</v>
      </c>
      <c r="J470" s="141"/>
      <c r="K470" s="141"/>
      <c r="L470" s="141"/>
      <c r="M470" s="59"/>
    </row>
    <row r="471" spans="2:13">
      <c r="B471" s="135"/>
      <c r="C471" s="136"/>
      <c r="D471" s="137"/>
      <c r="E471" s="138"/>
      <c r="F471" s="139"/>
      <c r="G471" s="1" t="str">
        <f>IFERROR(IF(ventas_b_mes1255[[#This Row],[CUIT]]="","-",VLOOKUP(ventas_b_mes1255[[#This Row],[CUIT]],Lista_CUIT[#All],2,0)),"CUIT NO CARGADO")</f>
        <v>-</v>
      </c>
      <c r="H471" s="100">
        <f>ventas_b_mes1255[[#This Row],[TOTAL]]/1.21</f>
        <v>0</v>
      </c>
      <c r="I471" s="64">
        <f>ventas_b_mes1255[[#This Row],[IMPORTE NETO]]*0.21</f>
        <v>0</v>
      </c>
      <c r="J471" s="141"/>
      <c r="K471" s="141"/>
      <c r="L471" s="141"/>
      <c r="M471" s="59"/>
    </row>
    <row r="472" spans="2:13">
      <c r="B472" s="135"/>
      <c r="C472" s="136"/>
      <c r="D472" s="137"/>
      <c r="E472" s="138"/>
      <c r="F472" s="139"/>
      <c r="G472" s="1" t="str">
        <f>IFERROR(IF(ventas_b_mes1255[[#This Row],[CUIT]]="","-",VLOOKUP(ventas_b_mes1255[[#This Row],[CUIT]],Lista_CUIT[#All],2,0)),"CUIT NO CARGADO")</f>
        <v>-</v>
      </c>
      <c r="H472" s="100">
        <f>ventas_b_mes1255[[#This Row],[TOTAL]]/1.21</f>
        <v>0</v>
      </c>
      <c r="I472" s="64">
        <f>ventas_b_mes1255[[#This Row],[IMPORTE NETO]]*0.21</f>
        <v>0</v>
      </c>
      <c r="J472" s="141"/>
      <c r="K472" s="141"/>
      <c r="L472" s="141"/>
      <c r="M472" s="59"/>
    </row>
    <row r="473" spans="2:13">
      <c r="B473" s="135"/>
      <c r="C473" s="136"/>
      <c r="D473" s="137"/>
      <c r="E473" s="138"/>
      <c r="F473" s="139"/>
      <c r="G473" s="1" t="str">
        <f>IFERROR(IF(ventas_b_mes1255[[#This Row],[CUIT]]="","-",VLOOKUP(ventas_b_mes1255[[#This Row],[CUIT]],Lista_CUIT[#All],2,0)),"CUIT NO CARGADO")</f>
        <v>-</v>
      </c>
      <c r="H473" s="100">
        <f>ventas_b_mes1255[[#This Row],[TOTAL]]/1.21</f>
        <v>0</v>
      </c>
      <c r="I473" s="64">
        <f>ventas_b_mes1255[[#This Row],[IMPORTE NETO]]*0.21</f>
        <v>0</v>
      </c>
      <c r="J473" s="141"/>
      <c r="K473" s="141"/>
      <c r="L473" s="141"/>
      <c r="M473" s="59"/>
    </row>
    <row r="474" spans="2:13">
      <c r="B474" s="135"/>
      <c r="C474" s="136"/>
      <c r="D474" s="137"/>
      <c r="E474" s="138"/>
      <c r="F474" s="139"/>
      <c r="G474" s="1" t="str">
        <f>IFERROR(IF(ventas_b_mes1255[[#This Row],[CUIT]]="","-",VLOOKUP(ventas_b_mes1255[[#This Row],[CUIT]],Lista_CUIT[#All],2,0)),"CUIT NO CARGADO")</f>
        <v>-</v>
      </c>
      <c r="H474" s="100">
        <f>ventas_b_mes1255[[#This Row],[TOTAL]]/1.21</f>
        <v>0</v>
      </c>
      <c r="I474" s="64">
        <f>ventas_b_mes1255[[#This Row],[IMPORTE NETO]]*0.21</f>
        <v>0</v>
      </c>
      <c r="J474" s="141"/>
      <c r="K474" s="141"/>
      <c r="L474" s="141"/>
      <c r="M474" s="59"/>
    </row>
    <row r="475" spans="2:13">
      <c r="B475" s="135"/>
      <c r="C475" s="136"/>
      <c r="D475" s="137"/>
      <c r="E475" s="138"/>
      <c r="F475" s="139"/>
      <c r="G475" s="1" t="str">
        <f>IFERROR(IF(ventas_b_mes1255[[#This Row],[CUIT]]="","-",VLOOKUP(ventas_b_mes1255[[#This Row],[CUIT]],Lista_CUIT[#All],2,0)),"CUIT NO CARGADO")</f>
        <v>-</v>
      </c>
      <c r="H475" s="100">
        <f>ventas_b_mes1255[[#This Row],[TOTAL]]/1.21</f>
        <v>0</v>
      </c>
      <c r="I475" s="64">
        <f>ventas_b_mes1255[[#This Row],[IMPORTE NETO]]*0.21</f>
        <v>0</v>
      </c>
      <c r="J475" s="141"/>
      <c r="K475" s="141"/>
      <c r="L475" s="141"/>
      <c r="M475" s="59"/>
    </row>
    <row r="476" spans="2:13">
      <c r="B476" s="135"/>
      <c r="C476" s="136"/>
      <c r="D476" s="137"/>
      <c r="E476" s="138"/>
      <c r="F476" s="139"/>
      <c r="G476" s="1" t="str">
        <f>IFERROR(IF(ventas_b_mes1255[[#This Row],[CUIT]]="","-",VLOOKUP(ventas_b_mes1255[[#This Row],[CUIT]],Lista_CUIT[#All],2,0)),"CUIT NO CARGADO")</f>
        <v>-</v>
      </c>
      <c r="H476" s="100">
        <f>ventas_b_mes1255[[#This Row],[TOTAL]]/1.21</f>
        <v>0</v>
      </c>
      <c r="I476" s="64">
        <f>ventas_b_mes1255[[#This Row],[IMPORTE NETO]]*0.21</f>
        <v>0</v>
      </c>
      <c r="J476" s="141"/>
      <c r="K476" s="141"/>
      <c r="L476" s="141"/>
      <c r="M476" s="59"/>
    </row>
    <row r="477" spans="2:13">
      <c r="B477" s="135"/>
      <c r="C477" s="136"/>
      <c r="D477" s="137"/>
      <c r="E477" s="138"/>
      <c r="F477" s="139"/>
      <c r="G477" s="1" t="str">
        <f>IFERROR(IF(ventas_b_mes1255[[#This Row],[CUIT]]="","-",VLOOKUP(ventas_b_mes1255[[#This Row],[CUIT]],Lista_CUIT[#All],2,0)),"CUIT NO CARGADO")</f>
        <v>-</v>
      </c>
      <c r="H477" s="100">
        <f>ventas_b_mes1255[[#This Row],[TOTAL]]/1.21</f>
        <v>0</v>
      </c>
      <c r="I477" s="64">
        <f>ventas_b_mes1255[[#This Row],[IMPORTE NETO]]*0.21</f>
        <v>0</v>
      </c>
      <c r="J477" s="141"/>
      <c r="K477" s="141"/>
      <c r="L477" s="141"/>
      <c r="M477" s="59"/>
    </row>
    <row r="478" spans="2:13">
      <c r="B478" s="135"/>
      <c r="C478" s="136"/>
      <c r="D478" s="137"/>
      <c r="E478" s="138"/>
      <c r="F478" s="139"/>
      <c r="G478" s="1" t="str">
        <f>IFERROR(IF(ventas_b_mes1255[[#This Row],[CUIT]]="","-",VLOOKUP(ventas_b_mes1255[[#This Row],[CUIT]],Lista_CUIT[#All],2,0)),"CUIT NO CARGADO")</f>
        <v>-</v>
      </c>
      <c r="H478" s="100">
        <f>ventas_b_mes1255[[#This Row],[TOTAL]]/1.21</f>
        <v>0</v>
      </c>
      <c r="I478" s="64">
        <f>ventas_b_mes1255[[#This Row],[IMPORTE NETO]]*0.21</f>
        <v>0</v>
      </c>
      <c r="J478" s="141"/>
      <c r="K478" s="141"/>
      <c r="L478" s="141"/>
      <c r="M478" s="59"/>
    </row>
    <row r="479" spans="2:13">
      <c r="B479" s="135"/>
      <c r="C479" s="136"/>
      <c r="D479" s="137"/>
      <c r="E479" s="138"/>
      <c r="F479" s="139"/>
      <c r="G479" s="1" t="str">
        <f>IFERROR(IF(ventas_b_mes1255[[#This Row],[CUIT]]="","-",VLOOKUP(ventas_b_mes1255[[#This Row],[CUIT]],Lista_CUIT[#All],2,0)),"CUIT NO CARGADO")</f>
        <v>-</v>
      </c>
      <c r="H479" s="100">
        <f>ventas_b_mes1255[[#This Row],[TOTAL]]/1.21</f>
        <v>0</v>
      </c>
      <c r="I479" s="64">
        <f>ventas_b_mes1255[[#This Row],[IMPORTE NETO]]*0.21</f>
        <v>0</v>
      </c>
      <c r="J479" s="141"/>
      <c r="K479" s="141"/>
      <c r="L479" s="141"/>
      <c r="M479" s="59"/>
    </row>
    <row r="480" spans="2:13">
      <c r="B480" s="135"/>
      <c r="C480" s="136"/>
      <c r="D480" s="137"/>
      <c r="E480" s="138"/>
      <c r="F480" s="139"/>
      <c r="G480" s="1" t="str">
        <f>IFERROR(IF(ventas_b_mes1255[[#This Row],[CUIT]]="","-",VLOOKUP(ventas_b_mes1255[[#This Row],[CUIT]],Lista_CUIT[#All],2,0)),"CUIT NO CARGADO")</f>
        <v>-</v>
      </c>
      <c r="H480" s="100">
        <f>ventas_b_mes1255[[#This Row],[TOTAL]]/1.21</f>
        <v>0</v>
      </c>
      <c r="I480" s="64">
        <f>ventas_b_mes1255[[#This Row],[IMPORTE NETO]]*0.21</f>
        <v>0</v>
      </c>
      <c r="J480" s="141"/>
      <c r="K480" s="141"/>
      <c r="L480" s="141"/>
      <c r="M480" s="59"/>
    </row>
    <row r="481" spans="2:13">
      <c r="B481" s="135"/>
      <c r="C481" s="136"/>
      <c r="D481" s="137"/>
      <c r="E481" s="138"/>
      <c r="F481" s="139"/>
      <c r="G481" s="1" t="str">
        <f>IFERROR(IF(ventas_b_mes1255[[#This Row],[CUIT]]="","-",VLOOKUP(ventas_b_mes1255[[#This Row],[CUIT]],Lista_CUIT[#All],2,0)),"CUIT NO CARGADO")</f>
        <v>-</v>
      </c>
      <c r="H481" s="100">
        <f>ventas_b_mes1255[[#This Row],[TOTAL]]/1.21</f>
        <v>0</v>
      </c>
      <c r="I481" s="64">
        <f>ventas_b_mes1255[[#This Row],[IMPORTE NETO]]*0.21</f>
        <v>0</v>
      </c>
      <c r="J481" s="141"/>
      <c r="K481" s="141"/>
      <c r="L481" s="141"/>
      <c r="M481" s="59"/>
    </row>
    <row r="482" spans="2:13">
      <c r="B482" s="135"/>
      <c r="C482" s="136"/>
      <c r="D482" s="137"/>
      <c r="E482" s="138"/>
      <c r="F482" s="139"/>
      <c r="G482" s="1" t="str">
        <f>IFERROR(IF(ventas_b_mes1255[[#This Row],[CUIT]]="","-",VLOOKUP(ventas_b_mes1255[[#This Row],[CUIT]],Lista_CUIT[#All],2,0)),"CUIT NO CARGADO")</f>
        <v>-</v>
      </c>
      <c r="H482" s="100">
        <f>ventas_b_mes1255[[#This Row],[TOTAL]]/1.21</f>
        <v>0</v>
      </c>
      <c r="I482" s="64">
        <f>ventas_b_mes1255[[#This Row],[IMPORTE NETO]]*0.21</f>
        <v>0</v>
      </c>
      <c r="J482" s="141"/>
      <c r="K482" s="141"/>
      <c r="L482" s="141"/>
      <c r="M482" s="59"/>
    </row>
    <row r="483" spans="2:13">
      <c r="B483" s="135"/>
      <c r="C483" s="136"/>
      <c r="D483" s="137"/>
      <c r="E483" s="138"/>
      <c r="F483" s="139"/>
      <c r="G483" s="1" t="str">
        <f>IFERROR(IF(ventas_b_mes1255[[#This Row],[CUIT]]="","-",VLOOKUP(ventas_b_mes1255[[#This Row],[CUIT]],Lista_CUIT[#All],2,0)),"CUIT NO CARGADO")</f>
        <v>-</v>
      </c>
      <c r="H483" s="100">
        <f>ventas_b_mes1255[[#This Row],[TOTAL]]/1.21</f>
        <v>0</v>
      </c>
      <c r="I483" s="64">
        <f>ventas_b_mes1255[[#This Row],[IMPORTE NETO]]*0.21</f>
        <v>0</v>
      </c>
      <c r="J483" s="141"/>
      <c r="K483" s="141"/>
      <c r="L483" s="141"/>
      <c r="M483" s="59"/>
    </row>
    <row r="484" spans="2:13">
      <c r="B484" s="135"/>
      <c r="C484" s="136"/>
      <c r="D484" s="137"/>
      <c r="E484" s="138"/>
      <c r="F484" s="139"/>
      <c r="G484" s="1" t="str">
        <f>IFERROR(IF(ventas_b_mes1255[[#This Row],[CUIT]]="","-",VLOOKUP(ventas_b_mes1255[[#This Row],[CUIT]],Lista_CUIT[#All],2,0)),"CUIT NO CARGADO")</f>
        <v>-</v>
      </c>
      <c r="H484" s="100">
        <f>ventas_b_mes1255[[#This Row],[TOTAL]]/1.21</f>
        <v>0</v>
      </c>
      <c r="I484" s="64">
        <f>ventas_b_mes1255[[#This Row],[IMPORTE NETO]]*0.21</f>
        <v>0</v>
      </c>
      <c r="J484" s="141"/>
      <c r="K484" s="141"/>
      <c r="L484" s="141"/>
      <c r="M484" s="59"/>
    </row>
    <row r="485" spans="2:13">
      <c r="B485" s="135"/>
      <c r="C485" s="136"/>
      <c r="D485" s="137"/>
      <c r="E485" s="138"/>
      <c r="F485" s="139"/>
      <c r="G485" s="1" t="str">
        <f>IFERROR(IF(ventas_b_mes1255[[#This Row],[CUIT]]="","-",VLOOKUP(ventas_b_mes1255[[#This Row],[CUIT]],Lista_CUIT[#All],2,0)),"CUIT NO CARGADO")</f>
        <v>-</v>
      </c>
      <c r="H485" s="100">
        <f>ventas_b_mes1255[[#This Row],[TOTAL]]/1.21</f>
        <v>0</v>
      </c>
      <c r="I485" s="64">
        <f>ventas_b_mes1255[[#This Row],[IMPORTE NETO]]*0.21</f>
        <v>0</v>
      </c>
      <c r="J485" s="141"/>
      <c r="K485" s="141"/>
      <c r="L485" s="141"/>
      <c r="M485" s="59"/>
    </row>
    <row r="486" spans="2:13">
      <c r="B486" s="135"/>
      <c r="C486" s="136"/>
      <c r="D486" s="137"/>
      <c r="E486" s="138"/>
      <c r="F486" s="139"/>
      <c r="G486" s="1" t="str">
        <f>IFERROR(IF(ventas_b_mes1255[[#This Row],[CUIT]]="","-",VLOOKUP(ventas_b_mes1255[[#This Row],[CUIT]],Lista_CUIT[#All],2,0)),"CUIT NO CARGADO")</f>
        <v>-</v>
      </c>
      <c r="H486" s="100">
        <f>ventas_b_mes1255[[#This Row],[TOTAL]]/1.21</f>
        <v>0</v>
      </c>
      <c r="I486" s="64">
        <f>ventas_b_mes1255[[#This Row],[IMPORTE NETO]]*0.21</f>
        <v>0</v>
      </c>
      <c r="J486" s="141"/>
      <c r="K486" s="141"/>
      <c r="L486" s="141"/>
      <c r="M486" s="59"/>
    </row>
    <row r="487" spans="2:13">
      <c r="B487" s="135"/>
      <c r="C487" s="136"/>
      <c r="D487" s="137"/>
      <c r="E487" s="138"/>
      <c r="F487" s="139"/>
      <c r="G487" s="1" t="str">
        <f>IFERROR(IF(ventas_b_mes1255[[#This Row],[CUIT]]="","-",VLOOKUP(ventas_b_mes1255[[#This Row],[CUIT]],Lista_CUIT[#All],2,0)),"CUIT NO CARGADO")</f>
        <v>-</v>
      </c>
      <c r="H487" s="100">
        <f>ventas_b_mes1255[[#This Row],[TOTAL]]/1.21</f>
        <v>0</v>
      </c>
      <c r="I487" s="64">
        <f>ventas_b_mes1255[[#This Row],[IMPORTE NETO]]*0.21</f>
        <v>0</v>
      </c>
      <c r="J487" s="141"/>
      <c r="K487" s="141"/>
      <c r="L487" s="141"/>
      <c r="M487" s="59"/>
    </row>
    <row r="488" spans="2:13">
      <c r="B488" s="135"/>
      <c r="C488" s="136"/>
      <c r="D488" s="137"/>
      <c r="E488" s="138"/>
      <c r="F488" s="139"/>
      <c r="G488" s="1" t="str">
        <f>IFERROR(IF(ventas_b_mes1255[[#This Row],[CUIT]]="","-",VLOOKUP(ventas_b_mes1255[[#This Row],[CUIT]],Lista_CUIT[#All],2,0)),"CUIT NO CARGADO")</f>
        <v>-</v>
      </c>
      <c r="H488" s="100">
        <f>ventas_b_mes1255[[#This Row],[TOTAL]]/1.21</f>
        <v>0</v>
      </c>
      <c r="I488" s="64">
        <f>ventas_b_mes1255[[#This Row],[IMPORTE NETO]]*0.21</f>
        <v>0</v>
      </c>
      <c r="J488" s="141"/>
      <c r="K488" s="141"/>
      <c r="L488" s="141"/>
      <c r="M488" s="59"/>
    </row>
    <row r="489" spans="2:13">
      <c r="B489" s="135"/>
      <c r="C489" s="136"/>
      <c r="D489" s="137"/>
      <c r="E489" s="138"/>
      <c r="F489" s="139"/>
      <c r="G489" s="1" t="str">
        <f>IFERROR(IF(ventas_b_mes1255[[#This Row],[CUIT]]="","-",VLOOKUP(ventas_b_mes1255[[#This Row],[CUIT]],Lista_CUIT[#All],2,0)),"CUIT NO CARGADO")</f>
        <v>-</v>
      </c>
      <c r="H489" s="100">
        <f>ventas_b_mes1255[[#This Row],[TOTAL]]/1.21</f>
        <v>0</v>
      </c>
      <c r="I489" s="64">
        <f>ventas_b_mes1255[[#This Row],[IMPORTE NETO]]*0.21</f>
        <v>0</v>
      </c>
      <c r="J489" s="141"/>
      <c r="K489" s="141"/>
      <c r="L489" s="141"/>
      <c r="M489" s="59"/>
    </row>
    <row r="490" spans="2:13">
      <c r="B490" s="135"/>
      <c r="C490" s="136"/>
      <c r="D490" s="137"/>
      <c r="E490" s="138"/>
      <c r="F490" s="139"/>
      <c r="G490" s="1" t="str">
        <f>IFERROR(IF(ventas_b_mes1255[[#This Row],[CUIT]]="","-",VLOOKUP(ventas_b_mes1255[[#This Row],[CUIT]],Lista_CUIT[#All],2,0)),"CUIT NO CARGADO")</f>
        <v>-</v>
      </c>
      <c r="H490" s="100">
        <f>ventas_b_mes1255[[#This Row],[TOTAL]]/1.21</f>
        <v>0</v>
      </c>
      <c r="I490" s="64">
        <f>ventas_b_mes1255[[#This Row],[IMPORTE NETO]]*0.21</f>
        <v>0</v>
      </c>
      <c r="J490" s="141"/>
      <c r="K490" s="141"/>
      <c r="L490" s="141"/>
      <c r="M490" s="59"/>
    </row>
    <row r="491" spans="2:13">
      <c r="B491" s="135"/>
      <c r="C491" s="136"/>
      <c r="D491" s="137"/>
      <c r="E491" s="138"/>
      <c r="F491" s="139"/>
      <c r="G491" s="1" t="str">
        <f>IFERROR(IF(ventas_b_mes1255[[#This Row],[CUIT]]="","-",VLOOKUP(ventas_b_mes1255[[#This Row],[CUIT]],Lista_CUIT[#All],2,0)),"CUIT NO CARGADO")</f>
        <v>-</v>
      </c>
      <c r="H491" s="100">
        <f>ventas_b_mes1255[[#This Row],[TOTAL]]/1.21</f>
        <v>0</v>
      </c>
      <c r="I491" s="64">
        <f>ventas_b_mes1255[[#This Row],[IMPORTE NETO]]*0.21</f>
        <v>0</v>
      </c>
      <c r="J491" s="141"/>
      <c r="K491" s="141"/>
      <c r="L491" s="141"/>
      <c r="M491" s="59"/>
    </row>
    <row r="492" spans="2:13">
      <c r="B492" s="135"/>
      <c r="C492" s="136"/>
      <c r="D492" s="137"/>
      <c r="E492" s="138"/>
      <c r="F492" s="139"/>
      <c r="G492" s="1" t="str">
        <f>IFERROR(IF(ventas_b_mes1255[[#This Row],[CUIT]]="","-",VLOOKUP(ventas_b_mes1255[[#This Row],[CUIT]],Lista_CUIT[#All],2,0)),"CUIT NO CARGADO")</f>
        <v>-</v>
      </c>
      <c r="H492" s="100">
        <f>ventas_b_mes1255[[#This Row],[TOTAL]]/1.21</f>
        <v>0</v>
      </c>
      <c r="I492" s="64">
        <f>ventas_b_mes1255[[#This Row],[IMPORTE NETO]]*0.21</f>
        <v>0</v>
      </c>
      <c r="J492" s="141"/>
      <c r="K492" s="141"/>
      <c r="L492" s="141"/>
      <c r="M492" s="59"/>
    </row>
    <row r="493" spans="2:13">
      <c r="B493" s="135"/>
      <c r="C493" s="136"/>
      <c r="D493" s="137"/>
      <c r="E493" s="138"/>
      <c r="F493" s="139"/>
      <c r="G493" s="1" t="str">
        <f>IFERROR(IF(ventas_b_mes1255[[#This Row],[CUIT]]="","-",VLOOKUP(ventas_b_mes1255[[#This Row],[CUIT]],Lista_CUIT[#All],2,0)),"CUIT NO CARGADO")</f>
        <v>-</v>
      </c>
      <c r="H493" s="100">
        <f>ventas_b_mes1255[[#This Row],[TOTAL]]/1.21</f>
        <v>0</v>
      </c>
      <c r="I493" s="64">
        <f>ventas_b_mes1255[[#This Row],[IMPORTE NETO]]*0.21</f>
        <v>0</v>
      </c>
      <c r="J493" s="141"/>
      <c r="K493" s="141"/>
      <c r="L493" s="141"/>
      <c r="M493" s="59"/>
    </row>
    <row r="494" spans="2:13">
      <c r="B494" s="135"/>
      <c r="C494" s="136"/>
      <c r="D494" s="137"/>
      <c r="E494" s="138"/>
      <c r="F494" s="139"/>
      <c r="G494" s="1" t="str">
        <f>IFERROR(IF(ventas_b_mes1255[[#This Row],[CUIT]]="","-",VLOOKUP(ventas_b_mes1255[[#This Row],[CUIT]],Lista_CUIT[#All],2,0)),"CUIT NO CARGADO")</f>
        <v>-</v>
      </c>
      <c r="H494" s="100">
        <f>ventas_b_mes1255[[#This Row],[TOTAL]]/1.21</f>
        <v>0</v>
      </c>
      <c r="I494" s="64">
        <f>ventas_b_mes1255[[#This Row],[IMPORTE NETO]]*0.21</f>
        <v>0</v>
      </c>
      <c r="J494" s="141"/>
      <c r="K494" s="141"/>
      <c r="L494" s="141"/>
      <c r="M494" s="59"/>
    </row>
    <row r="495" spans="2:13">
      <c r="B495" s="135"/>
      <c r="C495" s="136"/>
      <c r="D495" s="137"/>
      <c r="E495" s="138"/>
      <c r="F495" s="139"/>
      <c r="G495" s="1" t="str">
        <f>IFERROR(IF(ventas_b_mes1255[[#This Row],[CUIT]]="","-",VLOOKUP(ventas_b_mes1255[[#This Row],[CUIT]],Lista_CUIT[#All],2,0)),"CUIT NO CARGADO")</f>
        <v>-</v>
      </c>
      <c r="H495" s="100">
        <f>ventas_b_mes1255[[#This Row],[TOTAL]]/1.21</f>
        <v>0</v>
      </c>
      <c r="I495" s="64">
        <f>ventas_b_mes1255[[#This Row],[IMPORTE NETO]]*0.21</f>
        <v>0</v>
      </c>
      <c r="J495" s="141"/>
      <c r="K495" s="141"/>
      <c r="L495" s="141"/>
      <c r="M495" s="59"/>
    </row>
    <row r="496" spans="2:13">
      <c r="B496" s="135"/>
      <c r="C496" s="136"/>
      <c r="D496" s="137"/>
      <c r="E496" s="138"/>
      <c r="F496" s="139"/>
      <c r="G496" s="1" t="str">
        <f>IFERROR(IF(ventas_b_mes1255[[#This Row],[CUIT]]="","-",VLOOKUP(ventas_b_mes1255[[#This Row],[CUIT]],Lista_CUIT[#All],2,0)),"CUIT NO CARGADO")</f>
        <v>-</v>
      </c>
      <c r="H496" s="100">
        <f>ventas_b_mes1255[[#This Row],[TOTAL]]/1.21</f>
        <v>0</v>
      </c>
      <c r="I496" s="64">
        <f>ventas_b_mes1255[[#This Row],[IMPORTE NETO]]*0.21</f>
        <v>0</v>
      </c>
      <c r="J496" s="141"/>
      <c r="K496" s="141"/>
      <c r="L496" s="141"/>
      <c r="M496" s="59"/>
    </row>
    <row r="497" spans="2:13">
      <c r="B497" s="135"/>
      <c r="C497" s="136"/>
      <c r="D497" s="137"/>
      <c r="E497" s="138"/>
      <c r="F497" s="139"/>
      <c r="G497" s="1" t="str">
        <f>IFERROR(IF(ventas_b_mes1255[[#This Row],[CUIT]]="","-",VLOOKUP(ventas_b_mes1255[[#This Row],[CUIT]],Lista_CUIT[#All],2,0)),"CUIT NO CARGADO")</f>
        <v>-</v>
      </c>
      <c r="H497" s="100">
        <f>ventas_b_mes1255[[#This Row],[TOTAL]]/1.21</f>
        <v>0</v>
      </c>
      <c r="I497" s="64">
        <f>ventas_b_mes1255[[#This Row],[IMPORTE NETO]]*0.21</f>
        <v>0</v>
      </c>
      <c r="J497" s="141"/>
      <c r="K497" s="141"/>
      <c r="L497" s="141"/>
      <c r="M497" s="59"/>
    </row>
    <row r="498" spans="2:13">
      <c r="B498" s="135"/>
      <c r="C498" s="136"/>
      <c r="D498" s="137"/>
      <c r="E498" s="138"/>
      <c r="F498" s="139"/>
      <c r="G498" s="1" t="str">
        <f>IFERROR(IF(ventas_b_mes1255[[#This Row],[CUIT]]="","-",VLOOKUP(ventas_b_mes1255[[#This Row],[CUIT]],Lista_CUIT[#All],2,0)),"CUIT NO CARGADO")</f>
        <v>-</v>
      </c>
      <c r="H498" s="100">
        <f>ventas_b_mes1255[[#This Row],[TOTAL]]/1.21</f>
        <v>0</v>
      </c>
      <c r="I498" s="64">
        <f>ventas_b_mes1255[[#This Row],[IMPORTE NETO]]*0.21</f>
        <v>0</v>
      </c>
      <c r="J498" s="141"/>
      <c r="K498" s="141"/>
      <c r="L498" s="141"/>
      <c r="M498" s="59"/>
    </row>
    <row r="499" spans="2:13">
      <c r="B499" s="135"/>
      <c r="C499" s="136"/>
      <c r="D499" s="137"/>
      <c r="E499" s="138"/>
      <c r="F499" s="139"/>
      <c r="G499" s="1" t="str">
        <f>IFERROR(IF(ventas_b_mes1255[[#This Row],[CUIT]]="","-",VLOOKUP(ventas_b_mes1255[[#This Row],[CUIT]],Lista_CUIT[#All],2,0)),"CUIT NO CARGADO")</f>
        <v>-</v>
      </c>
      <c r="H499" s="100">
        <f>ventas_b_mes1255[[#This Row],[TOTAL]]/1.21</f>
        <v>0</v>
      </c>
      <c r="I499" s="64">
        <f>ventas_b_mes1255[[#This Row],[IMPORTE NETO]]*0.21</f>
        <v>0</v>
      </c>
      <c r="J499" s="141"/>
      <c r="K499" s="141"/>
      <c r="L499" s="141"/>
      <c r="M499" s="59"/>
    </row>
    <row r="500" spans="2:13">
      <c r="B500" s="135"/>
      <c r="C500" s="136"/>
      <c r="D500" s="137"/>
      <c r="E500" s="138"/>
      <c r="F500" s="139"/>
      <c r="G500" s="1" t="str">
        <f>IFERROR(IF(ventas_b_mes1255[[#This Row],[CUIT]]="","-",VLOOKUP(ventas_b_mes1255[[#This Row],[CUIT]],Lista_CUIT[#All],2,0)),"CUIT NO CARGADO")</f>
        <v>-</v>
      </c>
      <c r="H500" s="100">
        <f>ventas_b_mes1255[[#This Row],[TOTAL]]/1.21</f>
        <v>0</v>
      </c>
      <c r="I500" s="64">
        <f>ventas_b_mes1255[[#This Row],[IMPORTE NETO]]*0.21</f>
        <v>0</v>
      </c>
      <c r="J500" s="141"/>
      <c r="K500" s="141"/>
      <c r="L500" s="141"/>
      <c r="M500" s="59"/>
    </row>
    <row r="501" spans="2:13">
      <c r="B501" s="135"/>
      <c r="C501" s="136"/>
      <c r="D501" s="137"/>
      <c r="E501" s="138"/>
      <c r="F501" s="139"/>
      <c r="G501" s="1" t="str">
        <f>IFERROR(IF(ventas_b_mes1255[[#This Row],[CUIT]]="","-",VLOOKUP(ventas_b_mes1255[[#This Row],[CUIT]],Lista_CUIT[#All],2,0)),"CUIT NO CARGADO")</f>
        <v>-</v>
      </c>
      <c r="H501" s="100">
        <f>ventas_b_mes1255[[#This Row],[TOTAL]]/1.21</f>
        <v>0</v>
      </c>
      <c r="I501" s="64">
        <f>ventas_b_mes1255[[#This Row],[IMPORTE NETO]]*0.21</f>
        <v>0</v>
      </c>
      <c r="J501" s="141"/>
      <c r="K501" s="141"/>
      <c r="L501" s="141"/>
      <c r="M501" s="59"/>
    </row>
    <row r="502" spans="2:13">
      <c r="B502" s="135"/>
      <c r="C502" s="136"/>
      <c r="D502" s="137"/>
      <c r="E502" s="138"/>
      <c r="F502" s="139"/>
      <c r="G502" s="1" t="str">
        <f>IFERROR(IF(ventas_b_mes1255[[#This Row],[CUIT]]="","-",VLOOKUP(ventas_b_mes1255[[#This Row],[CUIT]],Lista_CUIT[#All],2,0)),"CUIT NO CARGADO")</f>
        <v>-</v>
      </c>
      <c r="H502" s="100">
        <f>ventas_b_mes1255[[#This Row],[TOTAL]]/1.21</f>
        <v>0</v>
      </c>
      <c r="I502" s="64">
        <f>ventas_b_mes1255[[#This Row],[IMPORTE NETO]]*0.21</f>
        <v>0</v>
      </c>
      <c r="J502" s="141"/>
      <c r="K502" s="141"/>
      <c r="L502" s="141"/>
      <c r="M502" s="59"/>
    </row>
    <row r="503" spans="2:13">
      <c r="B503" s="135"/>
      <c r="C503" s="136"/>
      <c r="D503" s="137"/>
      <c r="E503" s="138"/>
      <c r="F503" s="139"/>
      <c r="G503" s="1" t="str">
        <f>IFERROR(IF(ventas_b_mes1255[[#This Row],[CUIT]]="","-",VLOOKUP(ventas_b_mes1255[[#This Row],[CUIT]],Lista_CUIT[#All],2,0)),"CUIT NO CARGADO")</f>
        <v>-</v>
      </c>
      <c r="H503" s="100">
        <f>ventas_b_mes1255[[#This Row],[TOTAL]]/1.21</f>
        <v>0</v>
      </c>
      <c r="I503" s="64">
        <f>ventas_b_mes1255[[#This Row],[IMPORTE NETO]]*0.21</f>
        <v>0</v>
      </c>
      <c r="J503" s="141"/>
      <c r="K503" s="141"/>
      <c r="L503" s="141"/>
      <c r="M503" s="59"/>
    </row>
    <row r="504" spans="2:13">
      <c r="B504" s="135"/>
      <c r="C504" s="136"/>
      <c r="D504" s="137"/>
      <c r="E504" s="138"/>
      <c r="F504" s="139"/>
      <c r="G504" s="1" t="str">
        <f>IFERROR(IF(ventas_b_mes1255[[#This Row],[CUIT]]="","-",VLOOKUP(ventas_b_mes1255[[#This Row],[CUIT]],Lista_CUIT[#All],2,0)),"CUIT NO CARGADO")</f>
        <v>-</v>
      </c>
      <c r="H504" s="100">
        <f>ventas_b_mes1255[[#This Row],[TOTAL]]/1.21</f>
        <v>0</v>
      </c>
      <c r="I504" s="64">
        <f>ventas_b_mes1255[[#This Row],[IMPORTE NETO]]*0.21</f>
        <v>0</v>
      </c>
      <c r="J504" s="141"/>
      <c r="K504" s="141"/>
      <c r="L504" s="141"/>
      <c r="M504" s="59"/>
    </row>
    <row r="505" spans="2:13">
      <c r="B505" s="135"/>
      <c r="C505" s="136"/>
      <c r="D505" s="137"/>
      <c r="E505" s="138"/>
      <c r="F505" s="139"/>
      <c r="G505" s="1" t="str">
        <f>IFERROR(IF(ventas_b_mes1255[[#This Row],[CUIT]]="","-",VLOOKUP(ventas_b_mes1255[[#This Row],[CUIT]],Lista_CUIT[#All],2,0)),"CUIT NO CARGADO")</f>
        <v>-</v>
      </c>
      <c r="H505" s="100">
        <f>ventas_b_mes1255[[#This Row],[TOTAL]]/1.21</f>
        <v>0</v>
      </c>
      <c r="I505" s="64">
        <f>ventas_b_mes1255[[#This Row],[IMPORTE NETO]]*0.21</f>
        <v>0</v>
      </c>
      <c r="J505" s="141"/>
      <c r="K505" s="141"/>
      <c r="L505" s="141"/>
      <c r="M505" s="59"/>
    </row>
    <row r="506" spans="2:13">
      <c r="B506" s="135"/>
      <c r="C506" s="136"/>
      <c r="D506" s="137"/>
      <c r="E506" s="138"/>
      <c r="F506" s="139"/>
      <c r="G506" s="1" t="str">
        <f>IFERROR(IF(ventas_b_mes1255[[#This Row],[CUIT]]="","-",VLOOKUP(ventas_b_mes1255[[#This Row],[CUIT]],Lista_CUIT[#All],2,0)),"CUIT NO CARGADO")</f>
        <v>-</v>
      </c>
      <c r="H506" s="100">
        <f>ventas_b_mes1255[[#This Row],[TOTAL]]/1.21</f>
        <v>0</v>
      </c>
      <c r="I506" s="64">
        <f>ventas_b_mes1255[[#This Row],[IMPORTE NETO]]*0.21</f>
        <v>0</v>
      </c>
      <c r="J506" s="141"/>
      <c r="K506" s="141"/>
      <c r="L506" s="141"/>
      <c r="M506" s="59"/>
    </row>
    <row r="507" spans="2:13">
      <c r="B507" s="135"/>
      <c r="C507" s="136"/>
      <c r="D507" s="137"/>
      <c r="E507" s="138"/>
      <c r="F507" s="139"/>
      <c r="G507" s="1" t="str">
        <f>IFERROR(IF(ventas_b_mes1255[[#This Row],[CUIT]]="","-",VLOOKUP(ventas_b_mes1255[[#This Row],[CUIT]],Lista_CUIT[#All],2,0)),"CUIT NO CARGADO")</f>
        <v>-</v>
      </c>
      <c r="H507" s="100">
        <f>ventas_b_mes1255[[#This Row],[TOTAL]]/1.21</f>
        <v>0</v>
      </c>
      <c r="I507" s="64">
        <f>ventas_b_mes1255[[#This Row],[IMPORTE NETO]]*0.21</f>
        <v>0</v>
      </c>
      <c r="J507" s="141"/>
      <c r="K507" s="141"/>
      <c r="L507" s="141"/>
      <c r="M507" s="59"/>
    </row>
    <row r="508" spans="2:13">
      <c r="B508" s="135"/>
      <c r="C508" s="136"/>
      <c r="D508" s="137"/>
      <c r="E508" s="138"/>
      <c r="F508" s="139"/>
      <c r="G508" s="1" t="str">
        <f>IFERROR(IF(ventas_b_mes1255[[#This Row],[CUIT]]="","-",VLOOKUP(ventas_b_mes1255[[#This Row],[CUIT]],Lista_CUIT[#All],2,0)),"CUIT NO CARGADO")</f>
        <v>-</v>
      </c>
      <c r="H508" s="100">
        <f>ventas_b_mes1255[[#This Row],[TOTAL]]/1.21</f>
        <v>0</v>
      </c>
      <c r="I508" s="64">
        <f>ventas_b_mes1255[[#This Row],[IMPORTE NETO]]*0.21</f>
        <v>0</v>
      </c>
      <c r="J508" s="141"/>
      <c r="K508" s="141"/>
      <c r="L508" s="141"/>
      <c r="M508" s="59"/>
    </row>
    <row r="509" spans="2:13">
      <c r="B509" s="135"/>
      <c r="C509" s="136"/>
      <c r="D509" s="137"/>
      <c r="E509" s="138"/>
      <c r="F509" s="139"/>
      <c r="G509" s="1" t="str">
        <f>IFERROR(IF(ventas_b_mes1255[[#This Row],[CUIT]]="","-",VLOOKUP(ventas_b_mes1255[[#This Row],[CUIT]],Lista_CUIT[#All],2,0)),"CUIT NO CARGADO")</f>
        <v>-</v>
      </c>
      <c r="H509" s="100">
        <f>ventas_b_mes1255[[#This Row],[TOTAL]]/1.21</f>
        <v>0</v>
      </c>
      <c r="I509" s="64">
        <f>ventas_b_mes1255[[#This Row],[IMPORTE NETO]]*0.21</f>
        <v>0</v>
      </c>
      <c r="J509" s="141"/>
      <c r="K509" s="141"/>
      <c r="L509" s="141"/>
      <c r="M509" s="59"/>
    </row>
    <row r="510" spans="2:13">
      <c r="B510" s="135"/>
      <c r="C510" s="136"/>
      <c r="D510" s="137"/>
      <c r="E510" s="138"/>
      <c r="F510" s="139"/>
      <c r="G510" s="1" t="str">
        <f>IFERROR(IF(ventas_b_mes1255[[#This Row],[CUIT]]="","-",VLOOKUP(ventas_b_mes1255[[#This Row],[CUIT]],Lista_CUIT[#All],2,0)),"CUIT NO CARGADO")</f>
        <v>-</v>
      </c>
      <c r="H510" s="100">
        <f>ventas_b_mes1255[[#This Row],[TOTAL]]/1.21</f>
        <v>0</v>
      </c>
      <c r="I510" s="64">
        <f>ventas_b_mes1255[[#This Row],[IMPORTE NETO]]*0.21</f>
        <v>0</v>
      </c>
      <c r="J510" s="141"/>
      <c r="K510" s="141"/>
      <c r="L510" s="141"/>
      <c r="M510" s="59"/>
    </row>
    <row r="511" spans="2:13">
      <c r="B511" s="135"/>
      <c r="C511" s="136"/>
      <c r="D511" s="137"/>
      <c r="E511" s="138"/>
      <c r="F511" s="139"/>
      <c r="G511" s="1" t="str">
        <f>IFERROR(IF(ventas_b_mes1255[[#This Row],[CUIT]]="","-",VLOOKUP(ventas_b_mes1255[[#This Row],[CUIT]],Lista_CUIT[#All],2,0)),"CUIT NO CARGADO")</f>
        <v>-</v>
      </c>
      <c r="H511" s="100">
        <f>ventas_b_mes1255[[#This Row],[TOTAL]]/1.21</f>
        <v>0</v>
      </c>
      <c r="I511" s="64">
        <f>ventas_b_mes1255[[#This Row],[IMPORTE NETO]]*0.21</f>
        <v>0</v>
      </c>
      <c r="J511" s="141"/>
      <c r="K511" s="141"/>
      <c r="L511" s="141"/>
      <c r="M511" s="59"/>
    </row>
    <row r="512" spans="2:13">
      <c r="B512" s="135"/>
      <c r="C512" s="136"/>
      <c r="D512" s="137"/>
      <c r="E512" s="138"/>
      <c r="F512" s="139"/>
      <c r="G512" s="1" t="str">
        <f>IFERROR(IF(ventas_b_mes1255[[#This Row],[CUIT]]="","-",VLOOKUP(ventas_b_mes1255[[#This Row],[CUIT]],Lista_CUIT[#All],2,0)),"CUIT NO CARGADO")</f>
        <v>-</v>
      </c>
      <c r="H512" s="100">
        <f>ventas_b_mes1255[[#This Row],[TOTAL]]/1.21</f>
        <v>0</v>
      </c>
      <c r="I512" s="64">
        <f>ventas_b_mes1255[[#This Row],[IMPORTE NETO]]*0.21</f>
        <v>0</v>
      </c>
      <c r="J512" s="141"/>
      <c r="K512" s="141"/>
      <c r="L512" s="141"/>
      <c r="M512" s="59"/>
    </row>
    <row r="513" spans="2:13">
      <c r="B513" s="135"/>
      <c r="C513" s="136"/>
      <c r="D513" s="137"/>
      <c r="E513" s="138"/>
      <c r="F513" s="139"/>
      <c r="G513" s="1" t="str">
        <f>IFERROR(IF(ventas_b_mes1255[[#This Row],[CUIT]]="","-",VLOOKUP(ventas_b_mes1255[[#This Row],[CUIT]],Lista_CUIT[#All],2,0)),"CUIT NO CARGADO")</f>
        <v>-</v>
      </c>
      <c r="H513" s="100">
        <f>ventas_b_mes1255[[#This Row],[TOTAL]]/1.21</f>
        <v>0</v>
      </c>
      <c r="I513" s="64">
        <f>ventas_b_mes1255[[#This Row],[IMPORTE NETO]]*0.21</f>
        <v>0</v>
      </c>
      <c r="J513" s="141"/>
      <c r="K513" s="141"/>
      <c r="L513" s="141"/>
      <c r="M513" s="59"/>
    </row>
    <row r="514" spans="2:13">
      <c r="B514" s="135"/>
      <c r="C514" s="136"/>
      <c r="D514" s="137"/>
      <c r="E514" s="138"/>
      <c r="F514" s="139"/>
      <c r="G514" s="1" t="str">
        <f>IFERROR(IF(ventas_b_mes1255[[#This Row],[CUIT]]="","-",VLOOKUP(ventas_b_mes1255[[#This Row],[CUIT]],Lista_CUIT[#All],2,0)),"CUIT NO CARGADO")</f>
        <v>-</v>
      </c>
      <c r="H514" s="100">
        <f>ventas_b_mes1255[[#This Row],[TOTAL]]/1.21</f>
        <v>0</v>
      </c>
      <c r="I514" s="64">
        <f>ventas_b_mes1255[[#This Row],[IMPORTE NETO]]*0.21</f>
        <v>0</v>
      </c>
      <c r="J514" s="141"/>
      <c r="K514" s="141"/>
      <c r="L514" s="141"/>
      <c r="M514" s="59"/>
    </row>
    <row r="515" spans="2:13">
      <c r="B515" s="135"/>
      <c r="C515" s="136"/>
      <c r="D515" s="137"/>
      <c r="E515" s="138"/>
      <c r="F515" s="139"/>
      <c r="G515" s="1" t="str">
        <f>IFERROR(IF(ventas_b_mes1255[[#This Row],[CUIT]]="","-",VLOOKUP(ventas_b_mes1255[[#This Row],[CUIT]],Lista_CUIT[#All],2,0)),"CUIT NO CARGADO")</f>
        <v>-</v>
      </c>
      <c r="H515" s="100">
        <f>ventas_b_mes1255[[#This Row],[TOTAL]]/1.21</f>
        <v>0</v>
      </c>
      <c r="I515" s="64">
        <f>ventas_b_mes1255[[#This Row],[IMPORTE NETO]]*0.21</f>
        <v>0</v>
      </c>
      <c r="J515" s="141"/>
      <c r="K515" s="141"/>
      <c r="L515" s="141"/>
      <c r="M515" s="59"/>
    </row>
    <row r="516" spans="2:13">
      <c r="B516" s="135"/>
      <c r="C516" s="136"/>
      <c r="D516" s="137"/>
      <c r="E516" s="138"/>
      <c r="F516" s="139"/>
      <c r="G516" s="1" t="str">
        <f>IFERROR(IF(ventas_b_mes1255[[#This Row],[CUIT]]="","-",VLOOKUP(ventas_b_mes1255[[#This Row],[CUIT]],Lista_CUIT[#All],2,0)),"CUIT NO CARGADO")</f>
        <v>-</v>
      </c>
      <c r="H516" s="100">
        <f>ventas_b_mes1255[[#This Row],[TOTAL]]/1.21</f>
        <v>0</v>
      </c>
      <c r="I516" s="64">
        <f>ventas_b_mes1255[[#This Row],[IMPORTE NETO]]*0.21</f>
        <v>0</v>
      </c>
      <c r="J516" s="141"/>
      <c r="K516" s="141"/>
      <c r="L516" s="141"/>
      <c r="M516" s="59"/>
    </row>
    <row r="517" spans="2:13">
      <c r="B517" s="135"/>
      <c r="C517" s="136"/>
      <c r="D517" s="137"/>
      <c r="E517" s="138"/>
      <c r="F517" s="139"/>
      <c r="G517" s="1" t="str">
        <f>IFERROR(IF(ventas_b_mes1255[[#This Row],[CUIT]]="","-",VLOOKUP(ventas_b_mes1255[[#This Row],[CUIT]],Lista_CUIT[#All],2,0)),"CUIT NO CARGADO")</f>
        <v>-</v>
      </c>
      <c r="H517" s="100">
        <f>ventas_b_mes1255[[#This Row],[TOTAL]]/1.21</f>
        <v>0</v>
      </c>
      <c r="I517" s="64">
        <f>ventas_b_mes1255[[#This Row],[IMPORTE NETO]]*0.21</f>
        <v>0</v>
      </c>
      <c r="J517" s="141"/>
      <c r="K517" s="141"/>
      <c r="L517" s="141"/>
      <c r="M517" s="59"/>
    </row>
    <row r="518" spans="2:13">
      <c r="B518" s="135"/>
      <c r="C518" s="136"/>
      <c r="D518" s="137"/>
      <c r="E518" s="138"/>
      <c r="F518" s="139"/>
      <c r="G518" s="1" t="str">
        <f>IFERROR(IF(ventas_b_mes1255[[#This Row],[CUIT]]="","-",VLOOKUP(ventas_b_mes1255[[#This Row],[CUIT]],Lista_CUIT[#All],2,0)),"CUIT NO CARGADO")</f>
        <v>-</v>
      </c>
      <c r="H518" s="100">
        <f>ventas_b_mes1255[[#This Row],[TOTAL]]/1.21</f>
        <v>0</v>
      </c>
      <c r="I518" s="64">
        <f>ventas_b_mes1255[[#This Row],[IMPORTE NETO]]*0.21</f>
        <v>0</v>
      </c>
      <c r="J518" s="141"/>
      <c r="K518" s="141"/>
      <c r="L518" s="141"/>
      <c r="M518" s="59"/>
    </row>
    <row r="519" spans="2:13">
      <c r="B519" s="135"/>
      <c r="C519" s="136"/>
      <c r="D519" s="137"/>
      <c r="E519" s="138"/>
      <c r="F519" s="139"/>
      <c r="G519" s="1" t="str">
        <f>IFERROR(IF(ventas_b_mes1255[[#This Row],[CUIT]]="","-",VLOOKUP(ventas_b_mes1255[[#This Row],[CUIT]],Lista_CUIT[#All],2,0)),"CUIT NO CARGADO")</f>
        <v>-</v>
      </c>
      <c r="H519" s="100">
        <f>ventas_b_mes1255[[#This Row],[TOTAL]]/1.21</f>
        <v>0</v>
      </c>
      <c r="I519" s="64">
        <f>ventas_b_mes1255[[#This Row],[IMPORTE NETO]]*0.21</f>
        <v>0</v>
      </c>
      <c r="J519" s="141"/>
      <c r="K519" s="141"/>
      <c r="L519" s="141"/>
      <c r="M519" s="59"/>
    </row>
    <row r="520" spans="2:13">
      <c r="B520" s="135"/>
      <c r="C520" s="136"/>
      <c r="D520" s="137"/>
      <c r="E520" s="138"/>
      <c r="F520" s="139"/>
      <c r="G520" s="1" t="str">
        <f>IFERROR(IF(ventas_b_mes1255[[#This Row],[CUIT]]="","-",VLOOKUP(ventas_b_mes1255[[#This Row],[CUIT]],Lista_CUIT[#All],2,0)),"CUIT NO CARGADO")</f>
        <v>-</v>
      </c>
      <c r="H520" s="100">
        <f>ventas_b_mes1255[[#This Row],[TOTAL]]/1.21</f>
        <v>0</v>
      </c>
      <c r="I520" s="64">
        <f>ventas_b_mes1255[[#This Row],[IMPORTE NETO]]*0.21</f>
        <v>0</v>
      </c>
      <c r="J520" s="141"/>
      <c r="K520" s="141"/>
      <c r="L520" s="141"/>
      <c r="M520" s="59"/>
    </row>
    <row r="521" spans="2:13">
      <c r="B521" s="135"/>
      <c r="C521" s="136"/>
      <c r="D521" s="137"/>
      <c r="E521" s="138"/>
      <c r="F521" s="139"/>
      <c r="G521" s="1" t="str">
        <f>IFERROR(IF(ventas_b_mes1255[[#This Row],[CUIT]]="","-",VLOOKUP(ventas_b_mes1255[[#This Row],[CUIT]],Lista_CUIT[#All],2,0)),"CUIT NO CARGADO")</f>
        <v>-</v>
      </c>
      <c r="H521" s="100">
        <f>ventas_b_mes1255[[#This Row],[TOTAL]]/1.21</f>
        <v>0</v>
      </c>
      <c r="I521" s="64">
        <f>ventas_b_mes1255[[#This Row],[IMPORTE NETO]]*0.21</f>
        <v>0</v>
      </c>
      <c r="J521" s="141"/>
      <c r="K521" s="141"/>
      <c r="L521" s="141"/>
      <c r="M521" s="59"/>
    </row>
    <row r="522" spans="2:13">
      <c r="B522" s="135"/>
      <c r="C522" s="136"/>
      <c r="D522" s="137"/>
      <c r="E522" s="138"/>
      <c r="F522" s="139"/>
      <c r="G522" s="1" t="str">
        <f>IFERROR(IF(ventas_b_mes1255[[#This Row],[CUIT]]="","-",VLOOKUP(ventas_b_mes1255[[#This Row],[CUIT]],Lista_CUIT[#All],2,0)),"CUIT NO CARGADO")</f>
        <v>-</v>
      </c>
      <c r="H522" s="100">
        <f>ventas_b_mes1255[[#This Row],[TOTAL]]/1.21</f>
        <v>0</v>
      </c>
      <c r="I522" s="64">
        <f>ventas_b_mes1255[[#This Row],[IMPORTE NETO]]*0.21</f>
        <v>0</v>
      </c>
      <c r="J522" s="141"/>
      <c r="K522" s="141"/>
      <c r="L522" s="141"/>
      <c r="M522" s="59"/>
    </row>
    <row r="523" spans="2:13">
      <c r="B523" s="135"/>
      <c r="C523" s="136"/>
      <c r="D523" s="137"/>
      <c r="E523" s="138"/>
      <c r="F523" s="139"/>
      <c r="G523" s="1" t="str">
        <f>IFERROR(IF(ventas_b_mes1255[[#This Row],[CUIT]]="","-",VLOOKUP(ventas_b_mes1255[[#This Row],[CUIT]],Lista_CUIT[#All],2,0)),"CUIT NO CARGADO")</f>
        <v>-</v>
      </c>
      <c r="H523" s="100">
        <f>ventas_b_mes1255[[#This Row],[TOTAL]]/1.21</f>
        <v>0</v>
      </c>
      <c r="I523" s="64">
        <f>ventas_b_mes1255[[#This Row],[IMPORTE NETO]]*0.21</f>
        <v>0</v>
      </c>
      <c r="J523" s="141"/>
      <c r="K523" s="141"/>
      <c r="L523" s="141"/>
      <c r="M523" s="59"/>
    </row>
    <row r="524" spans="2:13">
      <c r="B524" s="135"/>
      <c r="C524" s="136"/>
      <c r="D524" s="137"/>
      <c r="E524" s="138"/>
      <c r="F524" s="139"/>
      <c r="G524" s="1" t="str">
        <f>IFERROR(IF(ventas_b_mes1255[[#This Row],[CUIT]]="","-",VLOOKUP(ventas_b_mes1255[[#This Row],[CUIT]],Lista_CUIT[#All],2,0)),"CUIT NO CARGADO")</f>
        <v>-</v>
      </c>
      <c r="H524" s="100">
        <f>ventas_b_mes1255[[#This Row],[TOTAL]]/1.21</f>
        <v>0</v>
      </c>
      <c r="I524" s="64">
        <f>ventas_b_mes1255[[#This Row],[IMPORTE NETO]]*0.21</f>
        <v>0</v>
      </c>
      <c r="J524" s="141"/>
      <c r="K524" s="141"/>
      <c r="L524" s="141"/>
      <c r="M524" s="59"/>
    </row>
    <row r="525" spans="2:13">
      <c r="B525" s="135"/>
      <c r="C525" s="136"/>
      <c r="D525" s="137"/>
      <c r="E525" s="138"/>
      <c r="F525" s="139"/>
      <c r="G525" s="1" t="str">
        <f>IFERROR(IF(ventas_b_mes1255[[#This Row],[CUIT]]="","-",VLOOKUP(ventas_b_mes1255[[#This Row],[CUIT]],Lista_CUIT[#All],2,0)),"CUIT NO CARGADO")</f>
        <v>-</v>
      </c>
      <c r="H525" s="100">
        <f>ventas_b_mes1255[[#This Row],[TOTAL]]/1.21</f>
        <v>0</v>
      </c>
      <c r="I525" s="64">
        <f>ventas_b_mes1255[[#This Row],[IMPORTE NETO]]*0.21</f>
        <v>0</v>
      </c>
      <c r="J525" s="141"/>
      <c r="K525" s="141"/>
      <c r="L525" s="141"/>
      <c r="M525" s="59"/>
    </row>
    <row r="526" spans="2:13">
      <c r="B526" s="135"/>
      <c r="C526" s="136"/>
      <c r="D526" s="137"/>
      <c r="E526" s="138"/>
      <c r="F526" s="139"/>
      <c r="G526" s="1" t="str">
        <f>IFERROR(IF(ventas_b_mes1255[[#This Row],[CUIT]]="","-",VLOOKUP(ventas_b_mes1255[[#This Row],[CUIT]],Lista_CUIT[#All],2,0)),"CUIT NO CARGADO")</f>
        <v>-</v>
      </c>
      <c r="H526" s="100">
        <f>ventas_b_mes1255[[#This Row],[TOTAL]]/1.21</f>
        <v>0</v>
      </c>
      <c r="I526" s="64">
        <f>ventas_b_mes1255[[#This Row],[IMPORTE NETO]]*0.21</f>
        <v>0</v>
      </c>
      <c r="J526" s="141"/>
      <c r="K526" s="141"/>
      <c r="L526" s="141"/>
      <c r="M526" s="59"/>
    </row>
    <row r="527" spans="2:13">
      <c r="B527" s="135"/>
      <c r="C527" s="136"/>
      <c r="D527" s="137"/>
      <c r="E527" s="138"/>
      <c r="F527" s="139"/>
      <c r="G527" s="1" t="str">
        <f>IFERROR(IF(ventas_b_mes1255[[#This Row],[CUIT]]="","-",VLOOKUP(ventas_b_mes1255[[#This Row],[CUIT]],Lista_CUIT[#All],2,0)),"CUIT NO CARGADO")</f>
        <v>-</v>
      </c>
      <c r="H527" s="100">
        <f>ventas_b_mes1255[[#This Row],[TOTAL]]/1.21</f>
        <v>0</v>
      </c>
      <c r="I527" s="64">
        <f>ventas_b_mes1255[[#This Row],[IMPORTE NETO]]*0.21</f>
        <v>0</v>
      </c>
      <c r="J527" s="141"/>
      <c r="K527" s="141"/>
      <c r="L527" s="141"/>
      <c r="M527" s="59"/>
    </row>
    <row r="528" spans="2:13">
      <c r="B528" s="135"/>
      <c r="C528" s="136"/>
      <c r="D528" s="137"/>
      <c r="E528" s="138"/>
      <c r="F528" s="139"/>
      <c r="G528" s="1" t="str">
        <f>IFERROR(IF(ventas_b_mes1255[[#This Row],[CUIT]]="","-",VLOOKUP(ventas_b_mes1255[[#This Row],[CUIT]],Lista_CUIT[#All],2,0)),"CUIT NO CARGADO")</f>
        <v>-</v>
      </c>
      <c r="H528" s="100">
        <f>ventas_b_mes1255[[#This Row],[TOTAL]]/1.21</f>
        <v>0</v>
      </c>
      <c r="I528" s="64">
        <f>ventas_b_mes1255[[#This Row],[IMPORTE NETO]]*0.21</f>
        <v>0</v>
      </c>
      <c r="J528" s="141"/>
      <c r="K528" s="141"/>
      <c r="L528" s="141"/>
      <c r="M528" s="59"/>
    </row>
    <row r="529" spans="2:13">
      <c r="B529" s="135"/>
      <c r="C529" s="136"/>
      <c r="D529" s="137"/>
      <c r="E529" s="138"/>
      <c r="F529" s="139"/>
      <c r="G529" s="1" t="str">
        <f>IFERROR(IF(ventas_b_mes1255[[#This Row],[CUIT]]="","-",VLOOKUP(ventas_b_mes1255[[#This Row],[CUIT]],Lista_CUIT[#All],2,0)),"CUIT NO CARGADO")</f>
        <v>-</v>
      </c>
      <c r="H529" s="100">
        <f>ventas_b_mes1255[[#This Row],[TOTAL]]/1.21</f>
        <v>0</v>
      </c>
      <c r="I529" s="64">
        <f>ventas_b_mes1255[[#This Row],[IMPORTE NETO]]*0.21</f>
        <v>0</v>
      </c>
      <c r="J529" s="141"/>
      <c r="K529" s="141"/>
      <c r="L529" s="141"/>
      <c r="M529" s="59"/>
    </row>
    <row r="530" spans="2:13">
      <c r="B530" s="135"/>
      <c r="C530" s="136"/>
      <c r="D530" s="137"/>
      <c r="E530" s="138"/>
      <c r="F530" s="139"/>
      <c r="G530" s="1" t="str">
        <f>IFERROR(IF(ventas_b_mes1255[[#This Row],[CUIT]]="","-",VLOOKUP(ventas_b_mes1255[[#This Row],[CUIT]],Lista_CUIT[#All],2,0)),"CUIT NO CARGADO")</f>
        <v>-</v>
      </c>
      <c r="H530" s="100">
        <f>ventas_b_mes1255[[#This Row],[TOTAL]]/1.21</f>
        <v>0</v>
      </c>
      <c r="I530" s="64">
        <f>ventas_b_mes1255[[#This Row],[IMPORTE NETO]]*0.21</f>
        <v>0</v>
      </c>
      <c r="J530" s="141"/>
      <c r="K530" s="141"/>
      <c r="L530" s="141"/>
      <c r="M530" s="59"/>
    </row>
    <row r="531" spans="2:13">
      <c r="B531" s="135"/>
      <c r="C531" s="136"/>
      <c r="D531" s="137"/>
      <c r="E531" s="138"/>
      <c r="F531" s="139"/>
      <c r="G531" s="1" t="str">
        <f>IFERROR(IF(ventas_b_mes1255[[#This Row],[CUIT]]="","-",VLOOKUP(ventas_b_mes1255[[#This Row],[CUIT]],Lista_CUIT[#All],2,0)),"CUIT NO CARGADO")</f>
        <v>-</v>
      </c>
      <c r="H531" s="100">
        <f>ventas_b_mes1255[[#This Row],[TOTAL]]/1.21</f>
        <v>0</v>
      </c>
      <c r="I531" s="64">
        <f>ventas_b_mes1255[[#This Row],[IMPORTE NETO]]*0.21</f>
        <v>0</v>
      </c>
      <c r="J531" s="141"/>
      <c r="K531" s="141"/>
      <c r="L531" s="141"/>
      <c r="M531" s="59"/>
    </row>
    <row r="532" spans="2:13">
      <c r="B532" s="135"/>
      <c r="C532" s="136"/>
      <c r="D532" s="137"/>
      <c r="E532" s="138"/>
      <c r="F532" s="139"/>
      <c r="G532" s="1" t="str">
        <f>IFERROR(IF(ventas_b_mes1255[[#This Row],[CUIT]]="","-",VLOOKUP(ventas_b_mes1255[[#This Row],[CUIT]],Lista_CUIT[#All],2,0)),"CUIT NO CARGADO")</f>
        <v>-</v>
      </c>
      <c r="H532" s="100">
        <f>ventas_b_mes1255[[#This Row],[TOTAL]]/1.21</f>
        <v>0</v>
      </c>
      <c r="I532" s="64">
        <f>ventas_b_mes1255[[#This Row],[IMPORTE NETO]]*0.21</f>
        <v>0</v>
      </c>
      <c r="J532" s="141"/>
      <c r="K532" s="141"/>
      <c r="L532" s="141"/>
      <c r="M532" s="59"/>
    </row>
    <row r="533" spans="2:13">
      <c r="B533" s="135"/>
      <c r="C533" s="136"/>
      <c r="D533" s="137"/>
      <c r="E533" s="138"/>
      <c r="F533" s="139"/>
      <c r="G533" s="1" t="str">
        <f>IFERROR(IF(ventas_b_mes1255[[#This Row],[CUIT]]="","-",VLOOKUP(ventas_b_mes1255[[#This Row],[CUIT]],Lista_CUIT[#All],2,0)),"CUIT NO CARGADO")</f>
        <v>-</v>
      </c>
      <c r="H533" s="100">
        <f>ventas_b_mes1255[[#This Row],[TOTAL]]/1.21</f>
        <v>0</v>
      </c>
      <c r="I533" s="64">
        <f>ventas_b_mes1255[[#This Row],[IMPORTE NETO]]*0.21</f>
        <v>0</v>
      </c>
      <c r="J533" s="141"/>
      <c r="K533" s="141"/>
      <c r="L533" s="141"/>
      <c r="M533" s="59"/>
    </row>
    <row r="534" spans="2:13">
      <c r="B534" s="135"/>
      <c r="C534" s="136"/>
      <c r="D534" s="137"/>
      <c r="E534" s="138"/>
      <c r="F534" s="139"/>
      <c r="G534" s="1" t="str">
        <f>IFERROR(IF(ventas_b_mes1255[[#This Row],[CUIT]]="","-",VLOOKUP(ventas_b_mes1255[[#This Row],[CUIT]],Lista_CUIT[#All],2,0)),"CUIT NO CARGADO")</f>
        <v>-</v>
      </c>
      <c r="H534" s="100">
        <f>ventas_b_mes1255[[#This Row],[TOTAL]]/1.21</f>
        <v>0</v>
      </c>
      <c r="I534" s="64">
        <f>ventas_b_mes1255[[#This Row],[IMPORTE NETO]]*0.21</f>
        <v>0</v>
      </c>
      <c r="J534" s="141"/>
      <c r="K534" s="141"/>
      <c r="L534" s="141"/>
      <c r="M534" s="59"/>
    </row>
    <row r="535" spans="2:13">
      <c r="B535" s="135"/>
      <c r="C535" s="136"/>
      <c r="D535" s="137"/>
      <c r="E535" s="138"/>
      <c r="F535" s="139"/>
      <c r="G535" s="1" t="str">
        <f>IFERROR(IF(ventas_b_mes1255[[#This Row],[CUIT]]="","-",VLOOKUP(ventas_b_mes1255[[#This Row],[CUIT]],Lista_CUIT[#All],2,0)),"CUIT NO CARGADO")</f>
        <v>-</v>
      </c>
      <c r="H535" s="100">
        <f>ventas_b_mes1255[[#This Row],[TOTAL]]/1.21</f>
        <v>0</v>
      </c>
      <c r="I535" s="64">
        <f>ventas_b_mes1255[[#This Row],[IMPORTE NETO]]*0.21</f>
        <v>0</v>
      </c>
      <c r="J535" s="141"/>
      <c r="K535" s="141"/>
      <c r="L535" s="141"/>
      <c r="M535" s="59"/>
    </row>
    <row r="536" spans="2:13">
      <c r="B536" s="135"/>
      <c r="C536" s="136"/>
      <c r="D536" s="137"/>
      <c r="E536" s="138"/>
      <c r="F536" s="139"/>
      <c r="G536" s="1" t="str">
        <f>IFERROR(IF(ventas_b_mes1255[[#This Row],[CUIT]]="","-",VLOOKUP(ventas_b_mes1255[[#This Row],[CUIT]],Lista_CUIT[#All],2,0)),"CUIT NO CARGADO")</f>
        <v>-</v>
      </c>
      <c r="H536" s="100">
        <f>ventas_b_mes1255[[#This Row],[TOTAL]]/1.21</f>
        <v>0</v>
      </c>
      <c r="I536" s="64">
        <f>ventas_b_mes1255[[#This Row],[IMPORTE NETO]]*0.21</f>
        <v>0</v>
      </c>
      <c r="J536" s="141"/>
      <c r="K536" s="141"/>
      <c r="L536" s="141"/>
      <c r="M536" s="59"/>
    </row>
    <row r="537" spans="2:13">
      <c r="B537" s="135"/>
      <c r="C537" s="136"/>
      <c r="D537" s="137"/>
      <c r="E537" s="138"/>
      <c r="F537" s="139"/>
      <c r="G537" s="1" t="str">
        <f>IFERROR(IF(ventas_b_mes1255[[#This Row],[CUIT]]="","-",VLOOKUP(ventas_b_mes1255[[#This Row],[CUIT]],Lista_CUIT[#All],2,0)),"CUIT NO CARGADO")</f>
        <v>-</v>
      </c>
      <c r="H537" s="100">
        <f>ventas_b_mes1255[[#This Row],[TOTAL]]/1.21</f>
        <v>0</v>
      </c>
      <c r="I537" s="64">
        <f>ventas_b_mes1255[[#This Row],[IMPORTE NETO]]*0.21</f>
        <v>0</v>
      </c>
      <c r="J537" s="141"/>
      <c r="K537" s="141"/>
      <c r="L537" s="141"/>
      <c r="M537" s="59"/>
    </row>
    <row r="538" spans="2:13">
      <c r="B538" s="135"/>
      <c r="C538" s="136"/>
      <c r="D538" s="137"/>
      <c r="E538" s="138"/>
      <c r="F538" s="139"/>
      <c r="G538" s="1" t="str">
        <f>IFERROR(IF(ventas_b_mes1255[[#This Row],[CUIT]]="","-",VLOOKUP(ventas_b_mes1255[[#This Row],[CUIT]],Lista_CUIT[#All],2,0)),"CUIT NO CARGADO")</f>
        <v>-</v>
      </c>
      <c r="H538" s="100">
        <f>ventas_b_mes1255[[#This Row],[TOTAL]]/1.21</f>
        <v>0</v>
      </c>
      <c r="I538" s="64">
        <f>ventas_b_mes1255[[#This Row],[IMPORTE NETO]]*0.21</f>
        <v>0</v>
      </c>
      <c r="J538" s="141"/>
      <c r="K538" s="141"/>
      <c r="L538" s="141"/>
      <c r="M538" s="59"/>
    </row>
    <row r="539" spans="2:13">
      <c r="B539" s="135"/>
      <c r="C539" s="136"/>
      <c r="D539" s="137"/>
      <c r="E539" s="138"/>
      <c r="F539" s="139"/>
      <c r="G539" s="1" t="str">
        <f>IFERROR(IF(ventas_b_mes1255[[#This Row],[CUIT]]="","-",VLOOKUP(ventas_b_mes1255[[#This Row],[CUIT]],Lista_CUIT[#All],2,0)),"CUIT NO CARGADO")</f>
        <v>-</v>
      </c>
      <c r="H539" s="100">
        <f>ventas_b_mes1255[[#This Row],[TOTAL]]/1.21</f>
        <v>0</v>
      </c>
      <c r="I539" s="64">
        <f>ventas_b_mes1255[[#This Row],[IMPORTE NETO]]*0.21</f>
        <v>0</v>
      </c>
      <c r="J539" s="141"/>
      <c r="K539" s="141"/>
      <c r="L539" s="141"/>
      <c r="M539" s="59"/>
    </row>
    <row r="540" spans="2:13">
      <c r="B540" s="135"/>
      <c r="C540" s="136"/>
      <c r="D540" s="137"/>
      <c r="E540" s="138"/>
      <c r="F540" s="139"/>
      <c r="G540" s="1" t="str">
        <f>IFERROR(IF(ventas_b_mes1255[[#This Row],[CUIT]]="","-",VLOOKUP(ventas_b_mes1255[[#This Row],[CUIT]],Lista_CUIT[#All],2,0)),"CUIT NO CARGADO")</f>
        <v>-</v>
      </c>
      <c r="H540" s="100">
        <f>ventas_b_mes1255[[#This Row],[TOTAL]]/1.21</f>
        <v>0</v>
      </c>
      <c r="I540" s="64">
        <f>ventas_b_mes1255[[#This Row],[IMPORTE NETO]]*0.21</f>
        <v>0</v>
      </c>
      <c r="J540" s="141"/>
      <c r="K540" s="141"/>
      <c r="L540" s="141"/>
      <c r="M540" s="59"/>
    </row>
    <row r="541" spans="2:13">
      <c r="B541" s="135"/>
      <c r="C541" s="136"/>
      <c r="D541" s="137"/>
      <c r="E541" s="138"/>
      <c r="F541" s="139"/>
      <c r="G541" s="1" t="str">
        <f>IFERROR(IF(ventas_b_mes1255[[#This Row],[CUIT]]="","-",VLOOKUP(ventas_b_mes1255[[#This Row],[CUIT]],Lista_CUIT[#All],2,0)),"CUIT NO CARGADO")</f>
        <v>-</v>
      </c>
      <c r="H541" s="100">
        <f>ventas_b_mes1255[[#This Row],[TOTAL]]/1.21</f>
        <v>0</v>
      </c>
      <c r="I541" s="64">
        <f>ventas_b_mes1255[[#This Row],[IMPORTE NETO]]*0.21</f>
        <v>0</v>
      </c>
      <c r="J541" s="141"/>
      <c r="K541" s="141"/>
      <c r="L541" s="141"/>
      <c r="M541" s="59"/>
    </row>
    <row r="542" spans="2:13">
      <c r="B542" s="135"/>
      <c r="C542" s="136"/>
      <c r="D542" s="137"/>
      <c r="E542" s="138"/>
      <c r="F542" s="139"/>
      <c r="G542" s="1" t="str">
        <f>IFERROR(IF(ventas_b_mes1255[[#This Row],[CUIT]]="","-",VLOOKUP(ventas_b_mes1255[[#This Row],[CUIT]],Lista_CUIT[#All],2,0)),"CUIT NO CARGADO")</f>
        <v>-</v>
      </c>
      <c r="H542" s="100">
        <f>ventas_b_mes1255[[#This Row],[TOTAL]]/1.21</f>
        <v>0</v>
      </c>
      <c r="I542" s="64">
        <f>ventas_b_mes1255[[#This Row],[IMPORTE NETO]]*0.21</f>
        <v>0</v>
      </c>
      <c r="J542" s="141"/>
      <c r="K542" s="141"/>
      <c r="L542" s="141"/>
      <c r="M542" s="59"/>
    </row>
    <row r="543" spans="2:13">
      <c r="B543" s="135"/>
      <c r="C543" s="136"/>
      <c r="D543" s="137"/>
      <c r="E543" s="138"/>
      <c r="F543" s="139"/>
      <c r="G543" s="1" t="str">
        <f>IFERROR(IF(ventas_b_mes1255[[#This Row],[CUIT]]="","-",VLOOKUP(ventas_b_mes1255[[#This Row],[CUIT]],Lista_CUIT[#All],2,0)),"CUIT NO CARGADO")</f>
        <v>-</v>
      </c>
      <c r="H543" s="100">
        <f>ventas_b_mes1255[[#This Row],[TOTAL]]/1.21</f>
        <v>0</v>
      </c>
      <c r="I543" s="64">
        <f>ventas_b_mes1255[[#This Row],[IMPORTE NETO]]*0.21</f>
        <v>0</v>
      </c>
      <c r="J543" s="141"/>
      <c r="K543" s="141"/>
      <c r="L543" s="141"/>
      <c r="M543" s="59"/>
    </row>
    <row r="544" spans="2:13">
      <c r="B544" s="135"/>
      <c r="C544" s="136"/>
      <c r="D544" s="137"/>
      <c r="E544" s="138"/>
      <c r="F544" s="139"/>
      <c r="G544" s="1" t="str">
        <f>IFERROR(IF(ventas_b_mes1255[[#This Row],[CUIT]]="","-",VLOOKUP(ventas_b_mes1255[[#This Row],[CUIT]],Lista_CUIT[#All],2,0)),"CUIT NO CARGADO")</f>
        <v>-</v>
      </c>
      <c r="H544" s="100">
        <f>ventas_b_mes1255[[#This Row],[TOTAL]]/1.21</f>
        <v>0</v>
      </c>
      <c r="I544" s="64">
        <f>ventas_b_mes1255[[#This Row],[IMPORTE NETO]]*0.21</f>
        <v>0</v>
      </c>
      <c r="J544" s="141"/>
      <c r="K544" s="141"/>
      <c r="L544" s="141"/>
      <c r="M544" s="59"/>
    </row>
    <row r="545" spans="2:13">
      <c r="B545" s="135"/>
      <c r="C545" s="136"/>
      <c r="D545" s="137"/>
      <c r="E545" s="138"/>
      <c r="F545" s="139"/>
      <c r="G545" s="1" t="str">
        <f>IFERROR(IF(ventas_b_mes1255[[#This Row],[CUIT]]="","-",VLOOKUP(ventas_b_mes1255[[#This Row],[CUIT]],Lista_CUIT[#All],2,0)),"CUIT NO CARGADO")</f>
        <v>-</v>
      </c>
      <c r="H545" s="100">
        <f>ventas_b_mes1255[[#This Row],[TOTAL]]/1.21</f>
        <v>0</v>
      </c>
      <c r="I545" s="64">
        <f>ventas_b_mes1255[[#This Row],[IMPORTE NETO]]*0.21</f>
        <v>0</v>
      </c>
      <c r="J545" s="141"/>
      <c r="K545" s="141"/>
      <c r="L545" s="141"/>
      <c r="M545" s="59"/>
    </row>
    <row r="546" spans="2:13">
      <c r="B546" s="135"/>
      <c r="C546" s="136"/>
      <c r="D546" s="137"/>
      <c r="E546" s="138"/>
      <c r="F546" s="139"/>
      <c r="G546" s="1" t="str">
        <f>IFERROR(IF(ventas_b_mes1255[[#This Row],[CUIT]]="","-",VLOOKUP(ventas_b_mes1255[[#This Row],[CUIT]],Lista_CUIT[#All],2,0)),"CUIT NO CARGADO")</f>
        <v>-</v>
      </c>
      <c r="H546" s="100">
        <f>ventas_b_mes1255[[#This Row],[TOTAL]]/1.21</f>
        <v>0</v>
      </c>
      <c r="I546" s="64">
        <f>ventas_b_mes1255[[#This Row],[IMPORTE NETO]]*0.21</f>
        <v>0</v>
      </c>
      <c r="J546" s="141"/>
      <c r="K546" s="141"/>
      <c r="L546" s="141"/>
      <c r="M546" s="59"/>
    </row>
    <row r="547" spans="2:13">
      <c r="B547" s="135"/>
      <c r="C547" s="136"/>
      <c r="D547" s="137"/>
      <c r="E547" s="138"/>
      <c r="F547" s="139"/>
      <c r="G547" s="1" t="str">
        <f>IFERROR(IF(ventas_b_mes1255[[#This Row],[CUIT]]="","-",VLOOKUP(ventas_b_mes1255[[#This Row],[CUIT]],Lista_CUIT[#All],2,0)),"CUIT NO CARGADO")</f>
        <v>-</v>
      </c>
      <c r="H547" s="100">
        <f>ventas_b_mes1255[[#This Row],[TOTAL]]/1.21</f>
        <v>0</v>
      </c>
      <c r="I547" s="64">
        <f>ventas_b_mes1255[[#This Row],[IMPORTE NETO]]*0.21</f>
        <v>0</v>
      </c>
      <c r="J547" s="141"/>
      <c r="K547" s="141"/>
      <c r="L547" s="141"/>
      <c r="M547" s="59"/>
    </row>
    <row r="548" spans="2:13">
      <c r="B548" s="135"/>
      <c r="C548" s="136"/>
      <c r="D548" s="137"/>
      <c r="E548" s="138"/>
      <c r="F548" s="139"/>
      <c r="G548" s="1" t="str">
        <f>IFERROR(IF(ventas_b_mes1255[[#This Row],[CUIT]]="","-",VLOOKUP(ventas_b_mes1255[[#This Row],[CUIT]],Lista_CUIT[#All],2,0)),"CUIT NO CARGADO")</f>
        <v>-</v>
      </c>
      <c r="H548" s="100">
        <f>ventas_b_mes1255[[#This Row],[TOTAL]]/1.21</f>
        <v>0</v>
      </c>
      <c r="I548" s="64">
        <f>ventas_b_mes1255[[#This Row],[IMPORTE NETO]]*0.21</f>
        <v>0</v>
      </c>
      <c r="J548" s="141"/>
      <c r="K548" s="141"/>
      <c r="L548" s="141"/>
      <c r="M548" s="59"/>
    </row>
    <row r="549" spans="2:13">
      <c r="B549" s="135"/>
      <c r="C549" s="136"/>
      <c r="D549" s="137"/>
      <c r="E549" s="138"/>
      <c r="F549" s="139"/>
      <c r="G549" s="1" t="str">
        <f>IFERROR(IF(ventas_b_mes1255[[#This Row],[CUIT]]="","-",VLOOKUP(ventas_b_mes1255[[#This Row],[CUIT]],Lista_CUIT[#All],2,0)),"CUIT NO CARGADO")</f>
        <v>-</v>
      </c>
      <c r="H549" s="100">
        <f>ventas_b_mes1255[[#This Row],[TOTAL]]/1.21</f>
        <v>0</v>
      </c>
      <c r="I549" s="64">
        <f>ventas_b_mes1255[[#This Row],[IMPORTE NETO]]*0.21</f>
        <v>0</v>
      </c>
      <c r="J549" s="141"/>
      <c r="K549" s="141"/>
      <c r="L549" s="141"/>
      <c r="M549" s="59"/>
    </row>
    <row r="550" spans="2:13">
      <c r="B550" s="135"/>
      <c r="C550" s="136"/>
      <c r="D550" s="137"/>
      <c r="E550" s="138"/>
      <c r="F550" s="139"/>
      <c r="G550" s="1" t="str">
        <f>IFERROR(IF(ventas_b_mes1255[[#This Row],[CUIT]]="","-",VLOOKUP(ventas_b_mes1255[[#This Row],[CUIT]],Lista_CUIT[#All],2,0)),"CUIT NO CARGADO")</f>
        <v>-</v>
      </c>
      <c r="H550" s="100">
        <f>ventas_b_mes1255[[#This Row],[TOTAL]]/1.21</f>
        <v>0</v>
      </c>
      <c r="I550" s="64">
        <f>ventas_b_mes1255[[#This Row],[IMPORTE NETO]]*0.21</f>
        <v>0</v>
      </c>
      <c r="J550" s="141"/>
      <c r="K550" s="141"/>
      <c r="L550" s="141"/>
      <c r="M550" s="59"/>
    </row>
    <row r="551" spans="2:13">
      <c r="B551" s="135"/>
      <c r="C551" s="136"/>
      <c r="D551" s="137"/>
      <c r="E551" s="138"/>
      <c r="F551" s="139"/>
      <c r="G551" s="1" t="str">
        <f>IFERROR(IF(ventas_b_mes1255[[#This Row],[CUIT]]="","-",VLOOKUP(ventas_b_mes1255[[#This Row],[CUIT]],Lista_CUIT[#All],2,0)),"CUIT NO CARGADO")</f>
        <v>-</v>
      </c>
      <c r="H551" s="100">
        <f>ventas_b_mes1255[[#This Row],[TOTAL]]/1.21</f>
        <v>0</v>
      </c>
      <c r="I551" s="64">
        <f>ventas_b_mes1255[[#This Row],[IMPORTE NETO]]*0.21</f>
        <v>0</v>
      </c>
      <c r="J551" s="141"/>
      <c r="K551" s="141"/>
      <c r="L551" s="141"/>
      <c r="M551" s="59"/>
    </row>
    <row r="552" spans="2:13">
      <c r="B552" s="135"/>
      <c r="C552" s="136"/>
      <c r="D552" s="137"/>
      <c r="E552" s="138"/>
      <c r="F552" s="139"/>
      <c r="G552" s="1" t="str">
        <f>IFERROR(IF(ventas_b_mes1255[[#This Row],[CUIT]]="","-",VLOOKUP(ventas_b_mes1255[[#This Row],[CUIT]],Lista_CUIT[#All],2,0)),"CUIT NO CARGADO")</f>
        <v>-</v>
      </c>
      <c r="H552" s="100">
        <f>ventas_b_mes1255[[#This Row],[TOTAL]]/1.21</f>
        <v>0</v>
      </c>
      <c r="I552" s="64">
        <f>ventas_b_mes1255[[#This Row],[IMPORTE NETO]]*0.21</f>
        <v>0</v>
      </c>
      <c r="J552" s="141"/>
      <c r="K552" s="141"/>
      <c r="L552" s="141"/>
      <c r="M552" s="59"/>
    </row>
    <row r="553" spans="2:13">
      <c r="B553" s="135"/>
      <c r="C553" s="136"/>
      <c r="D553" s="137"/>
      <c r="E553" s="138"/>
      <c r="F553" s="139"/>
      <c r="G553" s="1" t="str">
        <f>IFERROR(IF(ventas_b_mes1255[[#This Row],[CUIT]]="","-",VLOOKUP(ventas_b_mes1255[[#This Row],[CUIT]],Lista_CUIT[#All],2,0)),"CUIT NO CARGADO")</f>
        <v>-</v>
      </c>
      <c r="H553" s="100">
        <f>ventas_b_mes1255[[#This Row],[TOTAL]]/1.21</f>
        <v>0</v>
      </c>
      <c r="I553" s="64">
        <f>ventas_b_mes1255[[#This Row],[IMPORTE NETO]]*0.21</f>
        <v>0</v>
      </c>
      <c r="J553" s="141"/>
      <c r="K553" s="141"/>
      <c r="L553" s="141"/>
      <c r="M553" s="59"/>
    </row>
    <row r="554" spans="2:13">
      <c r="B554" s="135"/>
      <c r="C554" s="136"/>
      <c r="D554" s="137"/>
      <c r="E554" s="138"/>
      <c r="F554" s="139"/>
      <c r="G554" s="1" t="str">
        <f>IFERROR(IF(ventas_b_mes1255[[#This Row],[CUIT]]="","-",VLOOKUP(ventas_b_mes1255[[#This Row],[CUIT]],Lista_CUIT[#All],2,0)),"CUIT NO CARGADO")</f>
        <v>-</v>
      </c>
      <c r="H554" s="100">
        <f>ventas_b_mes1255[[#This Row],[TOTAL]]/1.21</f>
        <v>0</v>
      </c>
      <c r="I554" s="64">
        <f>ventas_b_mes1255[[#This Row],[IMPORTE NETO]]*0.21</f>
        <v>0</v>
      </c>
      <c r="J554" s="141"/>
      <c r="K554" s="141"/>
      <c r="L554" s="141"/>
      <c r="M554" s="59"/>
    </row>
    <row r="555" spans="2:13">
      <c r="B555" s="135"/>
      <c r="C555" s="136"/>
      <c r="D555" s="137"/>
      <c r="E555" s="138"/>
      <c r="F555" s="139"/>
      <c r="G555" s="1" t="str">
        <f>IFERROR(IF(ventas_b_mes1255[[#This Row],[CUIT]]="","-",VLOOKUP(ventas_b_mes1255[[#This Row],[CUIT]],Lista_CUIT[#All],2,0)),"CUIT NO CARGADO")</f>
        <v>-</v>
      </c>
      <c r="H555" s="100">
        <f>ventas_b_mes1255[[#This Row],[TOTAL]]/1.21</f>
        <v>0</v>
      </c>
      <c r="I555" s="64">
        <f>ventas_b_mes1255[[#This Row],[IMPORTE NETO]]*0.21</f>
        <v>0</v>
      </c>
      <c r="J555" s="141"/>
      <c r="K555" s="141"/>
      <c r="L555" s="141"/>
      <c r="M555" s="59"/>
    </row>
    <row r="556" spans="2:13">
      <c r="B556" s="135"/>
      <c r="C556" s="136"/>
      <c r="D556" s="137"/>
      <c r="E556" s="138"/>
      <c r="F556" s="139"/>
      <c r="G556" s="1" t="str">
        <f>IFERROR(IF(ventas_b_mes1255[[#This Row],[CUIT]]="","-",VLOOKUP(ventas_b_mes1255[[#This Row],[CUIT]],Lista_CUIT[#All],2,0)),"CUIT NO CARGADO")</f>
        <v>-</v>
      </c>
      <c r="H556" s="100">
        <f>ventas_b_mes1255[[#This Row],[TOTAL]]/1.21</f>
        <v>0</v>
      </c>
      <c r="I556" s="64">
        <f>ventas_b_mes1255[[#This Row],[IMPORTE NETO]]*0.21</f>
        <v>0</v>
      </c>
      <c r="J556" s="141"/>
      <c r="K556" s="141"/>
      <c r="L556" s="141"/>
      <c r="M556" s="59"/>
    </row>
    <row r="557" spans="2:13">
      <c r="B557" s="135"/>
      <c r="C557" s="136"/>
      <c r="D557" s="137"/>
      <c r="E557" s="138"/>
      <c r="F557" s="139"/>
      <c r="G557" s="1" t="str">
        <f>IFERROR(IF(ventas_b_mes1255[[#This Row],[CUIT]]="","-",VLOOKUP(ventas_b_mes1255[[#This Row],[CUIT]],Lista_CUIT[#All],2,0)),"CUIT NO CARGADO")</f>
        <v>-</v>
      </c>
      <c r="H557" s="100">
        <f>ventas_b_mes1255[[#This Row],[TOTAL]]/1.21</f>
        <v>0</v>
      </c>
      <c r="I557" s="64">
        <f>ventas_b_mes1255[[#This Row],[IMPORTE NETO]]*0.21</f>
        <v>0</v>
      </c>
      <c r="J557" s="141"/>
      <c r="K557" s="141"/>
      <c r="L557" s="141"/>
      <c r="M557" s="59"/>
    </row>
    <row r="558" spans="2:13">
      <c r="B558" s="135"/>
      <c r="C558" s="136"/>
      <c r="D558" s="137"/>
      <c r="E558" s="138"/>
      <c r="F558" s="139"/>
      <c r="G558" s="1" t="str">
        <f>IFERROR(IF(ventas_b_mes1255[[#This Row],[CUIT]]="","-",VLOOKUP(ventas_b_mes1255[[#This Row],[CUIT]],Lista_CUIT[#All],2,0)),"CUIT NO CARGADO")</f>
        <v>-</v>
      </c>
      <c r="H558" s="100">
        <f>ventas_b_mes1255[[#This Row],[TOTAL]]/1.21</f>
        <v>0</v>
      </c>
      <c r="I558" s="64">
        <f>ventas_b_mes1255[[#This Row],[IMPORTE NETO]]*0.21</f>
        <v>0</v>
      </c>
      <c r="J558" s="141"/>
      <c r="K558" s="141"/>
      <c r="L558" s="141"/>
      <c r="M558" s="59"/>
    </row>
    <row r="559" spans="2:13">
      <c r="B559" s="135"/>
      <c r="C559" s="136"/>
      <c r="D559" s="137"/>
      <c r="E559" s="138"/>
      <c r="F559" s="139"/>
      <c r="G559" s="1" t="str">
        <f>IFERROR(IF(ventas_b_mes1255[[#This Row],[CUIT]]="","-",VLOOKUP(ventas_b_mes1255[[#This Row],[CUIT]],Lista_CUIT[#All],2,0)),"CUIT NO CARGADO")</f>
        <v>-</v>
      </c>
      <c r="H559" s="100">
        <f>ventas_b_mes1255[[#This Row],[TOTAL]]/1.21</f>
        <v>0</v>
      </c>
      <c r="I559" s="64">
        <f>ventas_b_mes1255[[#This Row],[IMPORTE NETO]]*0.21</f>
        <v>0</v>
      </c>
      <c r="J559" s="141"/>
      <c r="K559" s="141"/>
      <c r="L559" s="141"/>
      <c r="M559" s="59"/>
    </row>
    <row r="560" spans="2:13">
      <c r="B560" s="135"/>
      <c r="C560" s="136"/>
      <c r="D560" s="137"/>
      <c r="E560" s="138"/>
      <c r="F560" s="139"/>
      <c r="G560" s="1" t="str">
        <f>IFERROR(IF(ventas_b_mes1255[[#This Row],[CUIT]]="","-",VLOOKUP(ventas_b_mes1255[[#This Row],[CUIT]],Lista_CUIT[#All],2,0)),"CUIT NO CARGADO")</f>
        <v>-</v>
      </c>
      <c r="H560" s="100">
        <f>ventas_b_mes1255[[#This Row],[TOTAL]]/1.21</f>
        <v>0</v>
      </c>
      <c r="I560" s="64">
        <f>ventas_b_mes1255[[#This Row],[IMPORTE NETO]]*0.21</f>
        <v>0</v>
      </c>
      <c r="J560" s="141"/>
      <c r="K560" s="141"/>
      <c r="L560" s="141"/>
      <c r="M560" s="59"/>
    </row>
    <row r="561" spans="2:13">
      <c r="B561" s="135"/>
      <c r="C561" s="136"/>
      <c r="D561" s="137"/>
      <c r="E561" s="138"/>
      <c r="F561" s="139"/>
      <c r="G561" s="1" t="str">
        <f>IFERROR(IF(ventas_b_mes1255[[#This Row],[CUIT]]="","-",VLOOKUP(ventas_b_mes1255[[#This Row],[CUIT]],Lista_CUIT[#All],2,0)),"CUIT NO CARGADO")</f>
        <v>-</v>
      </c>
      <c r="H561" s="100">
        <f>ventas_b_mes1255[[#This Row],[TOTAL]]/1.21</f>
        <v>0</v>
      </c>
      <c r="I561" s="64">
        <f>ventas_b_mes1255[[#This Row],[IMPORTE NETO]]*0.21</f>
        <v>0</v>
      </c>
      <c r="J561" s="141"/>
      <c r="K561" s="141"/>
      <c r="L561" s="141"/>
      <c r="M561" s="59"/>
    </row>
    <row r="562" spans="2:13">
      <c r="B562" s="135"/>
      <c r="C562" s="136"/>
      <c r="D562" s="137"/>
      <c r="E562" s="138"/>
      <c r="F562" s="139"/>
      <c r="G562" s="1" t="str">
        <f>IFERROR(IF(ventas_b_mes1255[[#This Row],[CUIT]]="","-",VLOOKUP(ventas_b_mes1255[[#This Row],[CUIT]],Lista_CUIT[#All],2,0)),"CUIT NO CARGADO")</f>
        <v>-</v>
      </c>
      <c r="H562" s="100">
        <f>ventas_b_mes1255[[#This Row],[TOTAL]]/1.21</f>
        <v>0</v>
      </c>
      <c r="I562" s="64">
        <f>ventas_b_mes1255[[#This Row],[IMPORTE NETO]]*0.21</f>
        <v>0</v>
      </c>
      <c r="J562" s="141"/>
      <c r="K562" s="141"/>
      <c r="L562" s="141"/>
      <c r="M562" s="59"/>
    </row>
    <row r="563" spans="2:13">
      <c r="B563" s="135"/>
      <c r="C563" s="136"/>
      <c r="D563" s="137"/>
      <c r="E563" s="138"/>
      <c r="F563" s="139"/>
      <c r="G563" s="1" t="str">
        <f>IFERROR(IF(ventas_b_mes1255[[#This Row],[CUIT]]="","-",VLOOKUP(ventas_b_mes1255[[#This Row],[CUIT]],Lista_CUIT[#All],2,0)),"CUIT NO CARGADO")</f>
        <v>-</v>
      </c>
      <c r="H563" s="100">
        <f>ventas_b_mes1255[[#This Row],[TOTAL]]/1.21</f>
        <v>0</v>
      </c>
      <c r="I563" s="64">
        <f>ventas_b_mes1255[[#This Row],[IMPORTE NETO]]*0.21</f>
        <v>0</v>
      </c>
      <c r="J563" s="141"/>
      <c r="K563" s="141"/>
      <c r="L563" s="141"/>
      <c r="M563" s="59"/>
    </row>
    <row r="564" spans="2:13">
      <c r="B564" s="135"/>
      <c r="C564" s="136"/>
      <c r="D564" s="137"/>
      <c r="E564" s="138"/>
      <c r="F564" s="139"/>
      <c r="G564" s="1" t="str">
        <f>IFERROR(IF(ventas_b_mes1255[[#This Row],[CUIT]]="","-",VLOOKUP(ventas_b_mes1255[[#This Row],[CUIT]],Lista_CUIT[#All],2,0)),"CUIT NO CARGADO")</f>
        <v>-</v>
      </c>
      <c r="H564" s="100">
        <f>ventas_b_mes1255[[#This Row],[TOTAL]]/1.21</f>
        <v>0</v>
      </c>
      <c r="I564" s="64">
        <f>ventas_b_mes1255[[#This Row],[IMPORTE NETO]]*0.21</f>
        <v>0</v>
      </c>
      <c r="J564" s="141"/>
      <c r="K564" s="141"/>
      <c r="L564" s="141"/>
      <c r="M564" s="59"/>
    </row>
    <row r="565" spans="2:13">
      <c r="B565" s="135"/>
      <c r="C565" s="136"/>
      <c r="D565" s="137"/>
      <c r="E565" s="138"/>
      <c r="F565" s="139"/>
      <c r="G565" s="1" t="str">
        <f>IFERROR(IF(ventas_b_mes1255[[#This Row],[CUIT]]="","-",VLOOKUP(ventas_b_mes1255[[#This Row],[CUIT]],Lista_CUIT[#All],2,0)),"CUIT NO CARGADO")</f>
        <v>-</v>
      </c>
      <c r="H565" s="100">
        <f>ventas_b_mes1255[[#This Row],[TOTAL]]/1.21</f>
        <v>0</v>
      </c>
      <c r="I565" s="64">
        <f>ventas_b_mes1255[[#This Row],[IMPORTE NETO]]*0.21</f>
        <v>0</v>
      </c>
      <c r="J565" s="141"/>
      <c r="K565" s="141"/>
      <c r="L565" s="141"/>
      <c r="M565" s="59"/>
    </row>
    <row r="566" spans="2:13">
      <c r="B566" s="135"/>
      <c r="C566" s="136"/>
      <c r="D566" s="137"/>
      <c r="E566" s="138"/>
      <c r="F566" s="139"/>
      <c r="G566" s="1" t="str">
        <f>IFERROR(IF(ventas_b_mes1255[[#This Row],[CUIT]]="","-",VLOOKUP(ventas_b_mes1255[[#This Row],[CUIT]],Lista_CUIT[#All],2,0)),"CUIT NO CARGADO")</f>
        <v>-</v>
      </c>
      <c r="H566" s="100">
        <f>ventas_b_mes1255[[#This Row],[TOTAL]]/1.21</f>
        <v>0</v>
      </c>
      <c r="I566" s="64">
        <f>ventas_b_mes1255[[#This Row],[IMPORTE NETO]]*0.21</f>
        <v>0</v>
      </c>
      <c r="J566" s="141"/>
      <c r="K566" s="141"/>
      <c r="L566" s="141"/>
      <c r="M566" s="59"/>
    </row>
    <row r="567" spans="2:13">
      <c r="B567" s="135"/>
      <c r="C567" s="136"/>
      <c r="D567" s="137"/>
      <c r="E567" s="138"/>
      <c r="F567" s="139"/>
      <c r="G567" s="1" t="str">
        <f>IFERROR(IF(ventas_b_mes1255[[#This Row],[CUIT]]="","-",VLOOKUP(ventas_b_mes1255[[#This Row],[CUIT]],Lista_CUIT[#All],2,0)),"CUIT NO CARGADO")</f>
        <v>-</v>
      </c>
      <c r="H567" s="100">
        <f>ventas_b_mes1255[[#This Row],[TOTAL]]/1.21</f>
        <v>0</v>
      </c>
      <c r="I567" s="64">
        <f>ventas_b_mes1255[[#This Row],[IMPORTE NETO]]*0.21</f>
        <v>0</v>
      </c>
      <c r="J567" s="141"/>
      <c r="K567" s="141"/>
      <c r="L567" s="141"/>
      <c r="M567" s="59"/>
    </row>
    <row r="568" spans="2:13">
      <c r="B568" s="135"/>
      <c r="C568" s="136"/>
      <c r="D568" s="137"/>
      <c r="E568" s="138"/>
      <c r="F568" s="139"/>
      <c r="G568" s="1" t="str">
        <f>IFERROR(IF(ventas_b_mes1255[[#This Row],[CUIT]]="","-",VLOOKUP(ventas_b_mes1255[[#This Row],[CUIT]],Lista_CUIT[#All],2,0)),"CUIT NO CARGADO")</f>
        <v>-</v>
      </c>
      <c r="H568" s="100">
        <f>ventas_b_mes1255[[#This Row],[TOTAL]]/1.21</f>
        <v>0</v>
      </c>
      <c r="I568" s="64">
        <f>ventas_b_mes1255[[#This Row],[IMPORTE NETO]]*0.21</f>
        <v>0</v>
      </c>
      <c r="J568" s="141"/>
      <c r="K568" s="141"/>
      <c r="L568" s="141"/>
      <c r="M568" s="59"/>
    </row>
    <row r="569" spans="2:13">
      <c r="B569" s="135"/>
      <c r="C569" s="136"/>
      <c r="D569" s="137"/>
      <c r="E569" s="138"/>
      <c r="F569" s="139"/>
      <c r="G569" s="1" t="str">
        <f>IFERROR(IF(ventas_b_mes1255[[#This Row],[CUIT]]="","-",VLOOKUP(ventas_b_mes1255[[#This Row],[CUIT]],Lista_CUIT[#All],2,0)),"CUIT NO CARGADO")</f>
        <v>-</v>
      </c>
      <c r="H569" s="100">
        <f>ventas_b_mes1255[[#This Row],[TOTAL]]/1.21</f>
        <v>0</v>
      </c>
      <c r="I569" s="64">
        <f>ventas_b_mes1255[[#This Row],[IMPORTE NETO]]*0.21</f>
        <v>0</v>
      </c>
      <c r="J569" s="141"/>
      <c r="K569" s="141"/>
      <c r="L569" s="141"/>
      <c r="M569" s="59"/>
    </row>
    <row r="570" spans="2:13">
      <c r="B570" s="135"/>
      <c r="C570" s="136"/>
      <c r="D570" s="137"/>
      <c r="E570" s="138"/>
      <c r="F570" s="139"/>
      <c r="G570" s="1" t="str">
        <f>IFERROR(IF(ventas_b_mes1255[[#This Row],[CUIT]]="","-",VLOOKUP(ventas_b_mes1255[[#This Row],[CUIT]],Lista_CUIT[#All],2,0)),"CUIT NO CARGADO")</f>
        <v>-</v>
      </c>
      <c r="H570" s="100">
        <f>ventas_b_mes1255[[#This Row],[TOTAL]]/1.21</f>
        <v>0</v>
      </c>
      <c r="I570" s="64">
        <f>ventas_b_mes1255[[#This Row],[IMPORTE NETO]]*0.21</f>
        <v>0</v>
      </c>
      <c r="J570" s="141"/>
      <c r="K570" s="141"/>
      <c r="L570" s="141"/>
      <c r="M570" s="59"/>
    </row>
    <row r="571" spans="2:13">
      <c r="B571" s="40"/>
      <c r="C571" s="136"/>
      <c r="D571" s="42"/>
      <c r="E571" s="43"/>
      <c r="F571" s="113"/>
      <c r="G571" s="1" t="str">
        <f>IFERROR(IF(ventas_b_mes1255[[#This Row],[CUIT]]="","-",VLOOKUP(ventas_b_mes1255[[#This Row],[CUIT]],Lista_CUIT[#All],2,0)),"CUIT NO CARGADO")</f>
        <v>-</v>
      </c>
      <c r="H571" s="100">
        <f>ventas_b_mes1255[[#This Row],[TOTAL]]/1.21</f>
        <v>0</v>
      </c>
      <c r="I571" s="64">
        <f>ventas_b_mes1255[[#This Row],[IMPORTE NETO]]*0.21</f>
        <v>0</v>
      </c>
      <c r="J571" s="64"/>
      <c r="K571" s="64"/>
      <c r="L571" s="64"/>
      <c r="M571" s="59"/>
    </row>
    <row r="572" spans="2:13">
      <c r="B572" s="40"/>
      <c r="C572" s="136"/>
      <c r="D572" s="42"/>
      <c r="E572" s="43"/>
      <c r="F572" s="113"/>
      <c r="G572" s="1" t="str">
        <f>IFERROR(IF(ventas_b_mes1255[[#This Row],[CUIT]]="","-",VLOOKUP(ventas_b_mes1255[[#This Row],[CUIT]],Lista_CUIT[#All],2,0)),"CUIT NO CARGADO")</f>
        <v>-</v>
      </c>
      <c r="H572" s="100">
        <f>ventas_b_mes1255[[#This Row],[TOTAL]]/1.21</f>
        <v>0</v>
      </c>
      <c r="I572" s="64">
        <f>ventas_b_mes1255[[#This Row],[IMPORTE NETO]]*0.21</f>
        <v>0</v>
      </c>
      <c r="J572" s="64"/>
      <c r="K572" s="64"/>
      <c r="L572" s="64"/>
      <c r="M572" s="59"/>
    </row>
    <row r="573" spans="2:13">
      <c r="B573" s="40"/>
      <c r="C573" s="136"/>
      <c r="D573" s="42"/>
      <c r="E573" s="43"/>
      <c r="F573" s="113"/>
      <c r="G573" s="1" t="str">
        <f>IFERROR(IF(ventas_b_mes1255[[#This Row],[CUIT]]="","-",VLOOKUP(ventas_b_mes1255[[#This Row],[CUIT]],Lista_CUIT[#All],2,0)),"CUIT NO CARGADO")</f>
        <v>-</v>
      </c>
      <c r="H573" s="100">
        <f>ventas_b_mes1255[[#This Row],[TOTAL]]/1.21</f>
        <v>0</v>
      </c>
      <c r="I573" s="64">
        <f>ventas_b_mes1255[[#This Row],[IMPORTE NETO]]*0.21</f>
        <v>0</v>
      </c>
      <c r="J573" s="64"/>
      <c r="K573" s="64"/>
      <c r="L573" s="64"/>
      <c r="M573" s="59"/>
    </row>
    <row r="574" spans="2:13">
      <c r="B574" s="40"/>
      <c r="C574" s="136"/>
      <c r="D574" s="42"/>
      <c r="E574" s="43"/>
      <c r="F574" s="113"/>
      <c r="G574" s="1" t="str">
        <f>IFERROR(IF(ventas_b_mes1255[[#This Row],[CUIT]]="","-",VLOOKUP(ventas_b_mes1255[[#This Row],[CUIT]],Lista_CUIT[#All],2,0)),"CUIT NO CARGADO")</f>
        <v>-</v>
      </c>
      <c r="H574" s="100">
        <f>ventas_b_mes1255[[#This Row],[TOTAL]]/1.21</f>
        <v>0</v>
      </c>
      <c r="I574" s="64">
        <f>ventas_b_mes1255[[#This Row],[IMPORTE NETO]]*0.21</f>
        <v>0</v>
      </c>
      <c r="J574" s="64"/>
      <c r="K574" s="64"/>
      <c r="L574" s="64"/>
      <c r="M574" s="59"/>
    </row>
    <row r="575" spans="2:13">
      <c r="B575" s="40"/>
      <c r="C575" s="136"/>
      <c r="D575" s="42"/>
      <c r="E575" s="43"/>
      <c r="F575" s="113"/>
      <c r="G575" s="1" t="str">
        <f>IFERROR(IF(ventas_b_mes1255[[#This Row],[CUIT]]="","-",VLOOKUP(ventas_b_mes1255[[#This Row],[CUIT]],Lista_CUIT[#All],2,0)),"CUIT NO CARGADO")</f>
        <v>-</v>
      </c>
      <c r="H575" s="100">
        <f>ventas_b_mes1255[[#This Row],[TOTAL]]/1.21</f>
        <v>0</v>
      </c>
      <c r="I575" s="64">
        <f>ventas_b_mes1255[[#This Row],[IMPORTE NETO]]*0.21</f>
        <v>0</v>
      </c>
      <c r="J575" s="64"/>
      <c r="K575" s="64"/>
      <c r="L575" s="64"/>
      <c r="M575" s="59"/>
    </row>
    <row r="576" spans="2:13">
      <c r="B576" s="40"/>
      <c r="C576" s="136"/>
      <c r="D576" s="42"/>
      <c r="E576" s="43"/>
      <c r="F576" s="113"/>
      <c r="G576" s="1" t="str">
        <f>IFERROR(IF(ventas_b_mes1255[[#This Row],[CUIT]]="","-",VLOOKUP(ventas_b_mes1255[[#This Row],[CUIT]],Lista_CUIT[#All],2,0)),"CUIT NO CARGADO")</f>
        <v>-</v>
      </c>
      <c r="H576" s="100">
        <f>ventas_b_mes1255[[#This Row],[TOTAL]]/1.21</f>
        <v>0</v>
      </c>
      <c r="I576" s="64">
        <f>ventas_b_mes1255[[#This Row],[IMPORTE NETO]]*0.21</f>
        <v>0</v>
      </c>
      <c r="J576" s="64"/>
      <c r="K576" s="64"/>
      <c r="L576" s="64"/>
      <c r="M576" s="59"/>
    </row>
    <row r="577" spans="2:13">
      <c r="B577" s="135"/>
      <c r="C577" s="136"/>
      <c r="D577" s="137"/>
      <c r="E577" s="138"/>
      <c r="F577" s="139"/>
      <c r="G577" s="1" t="str">
        <f>IFERROR(IF(ventas_b_mes1255[[#This Row],[CUIT]]="","-",VLOOKUP(ventas_b_mes1255[[#This Row],[CUIT]],Lista_CUIT[#All],2,0)),"CUIT NO CARGADO")</f>
        <v>-</v>
      </c>
      <c r="H577" s="100">
        <f>ventas_b_mes1255[[#This Row],[TOTAL]]/1.21</f>
        <v>0</v>
      </c>
      <c r="I577" s="64">
        <f>ventas_b_mes1255[[#This Row],[IMPORTE NETO]]*0.21</f>
        <v>0</v>
      </c>
      <c r="J577" s="141"/>
      <c r="K577" s="141"/>
      <c r="L577" s="141"/>
      <c r="M577" s="59"/>
    </row>
    <row r="578" spans="2:13">
      <c r="B578" s="135"/>
      <c r="C578" s="136"/>
      <c r="D578" s="137"/>
      <c r="E578" s="138"/>
      <c r="F578" s="139"/>
      <c r="G578" s="1" t="str">
        <f>IFERROR(IF(ventas_b_mes1255[[#This Row],[CUIT]]="","-",VLOOKUP(ventas_b_mes1255[[#This Row],[CUIT]],Lista_CUIT[#All],2,0)),"CUIT NO CARGADO")</f>
        <v>-</v>
      </c>
      <c r="H578" s="100">
        <f>ventas_b_mes1255[[#This Row],[TOTAL]]/1.21</f>
        <v>0</v>
      </c>
      <c r="I578" s="64">
        <f>ventas_b_mes1255[[#This Row],[IMPORTE NETO]]*0.21</f>
        <v>0</v>
      </c>
      <c r="J578" s="141"/>
      <c r="K578" s="141"/>
      <c r="L578" s="141"/>
      <c r="M578" s="59"/>
    </row>
    <row r="579" spans="2:13">
      <c r="B579" s="135"/>
      <c r="C579" s="136"/>
      <c r="D579" s="137"/>
      <c r="E579" s="138"/>
      <c r="F579" s="139"/>
      <c r="G579" s="1" t="str">
        <f>IFERROR(IF(ventas_b_mes1255[[#This Row],[CUIT]]="","-",VLOOKUP(ventas_b_mes1255[[#This Row],[CUIT]],Lista_CUIT[#All],2,0)),"CUIT NO CARGADO")</f>
        <v>-</v>
      </c>
      <c r="H579" s="100">
        <f>ventas_b_mes1255[[#This Row],[TOTAL]]/1.21</f>
        <v>0</v>
      </c>
      <c r="I579" s="64">
        <f>ventas_b_mes1255[[#This Row],[IMPORTE NETO]]*0.21</f>
        <v>0</v>
      </c>
      <c r="J579" s="141"/>
      <c r="K579" s="141"/>
      <c r="L579" s="141"/>
      <c r="M579" s="59"/>
    </row>
    <row r="580" spans="2:13">
      <c r="B580" s="135"/>
      <c r="C580" s="136"/>
      <c r="D580" s="137"/>
      <c r="E580" s="138"/>
      <c r="F580" s="139"/>
      <c r="G580" s="1" t="str">
        <f>IFERROR(IF(ventas_b_mes1255[[#This Row],[CUIT]]="","-",VLOOKUP(ventas_b_mes1255[[#This Row],[CUIT]],Lista_CUIT[#All],2,0)),"CUIT NO CARGADO")</f>
        <v>-</v>
      </c>
      <c r="H580" s="100">
        <f>ventas_b_mes1255[[#This Row],[TOTAL]]/1.21</f>
        <v>0</v>
      </c>
      <c r="I580" s="64">
        <f>ventas_b_mes1255[[#This Row],[IMPORTE NETO]]*0.21</f>
        <v>0</v>
      </c>
      <c r="J580" s="141"/>
      <c r="K580" s="141"/>
      <c r="L580" s="141"/>
      <c r="M580" s="59"/>
    </row>
    <row r="581" spans="2:13">
      <c r="B581" s="135"/>
      <c r="C581" s="136"/>
      <c r="D581" s="137"/>
      <c r="E581" s="138"/>
      <c r="F581" s="139"/>
      <c r="G581" s="1" t="str">
        <f>IFERROR(IF(ventas_b_mes1255[[#This Row],[CUIT]]="","-",VLOOKUP(ventas_b_mes1255[[#This Row],[CUIT]],Lista_CUIT[#All],2,0)),"CUIT NO CARGADO")</f>
        <v>-</v>
      </c>
      <c r="H581" s="100">
        <f>ventas_b_mes1255[[#This Row],[TOTAL]]/1.21</f>
        <v>0</v>
      </c>
      <c r="I581" s="64">
        <f>ventas_b_mes1255[[#This Row],[IMPORTE NETO]]*0.21</f>
        <v>0</v>
      </c>
      <c r="J581" s="141"/>
      <c r="K581" s="141"/>
      <c r="L581" s="141"/>
      <c r="M581" s="59"/>
    </row>
    <row r="582" spans="2:13">
      <c r="B582" s="135"/>
      <c r="C582" s="136"/>
      <c r="D582" s="137"/>
      <c r="E582" s="138"/>
      <c r="F582" s="139"/>
      <c r="G582" s="1" t="str">
        <f>IFERROR(IF(ventas_b_mes1255[[#This Row],[CUIT]]="","-",VLOOKUP(ventas_b_mes1255[[#This Row],[CUIT]],Lista_CUIT[#All],2,0)),"CUIT NO CARGADO")</f>
        <v>-</v>
      </c>
      <c r="H582" s="100">
        <f>ventas_b_mes1255[[#This Row],[TOTAL]]/1.21</f>
        <v>0</v>
      </c>
      <c r="I582" s="64">
        <f>ventas_b_mes1255[[#This Row],[IMPORTE NETO]]*0.21</f>
        <v>0</v>
      </c>
      <c r="J582" s="141"/>
      <c r="K582" s="141"/>
      <c r="L582" s="141"/>
      <c r="M582" s="59"/>
    </row>
    <row r="583" spans="2:13">
      <c r="B583" s="135"/>
      <c r="C583" s="136"/>
      <c r="D583" s="137"/>
      <c r="E583" s="138"/>
      <c r="F583" s="139"/>
      <c r="G583" s="1" t="str">
        <f>IFERROR(IF(ventas_b_mes1255[[#This Row],[CUIT]]="","-",VLOOKUP(ventas_b_mes1255[[#This Row],[CUIT]],Lista_CUIT[#All],2,0)),"CUIT NO CARGADO")</f>
        <v>-</v>
      </c>
      <c r="H583" s="100">
        <f>ventas_b_mes1255[[#This Row],[TOTAL]]/1.21</f>
        <v>0</v>
      </c>
      <c r="I583" s="64">
        <f>ventas_b_mes1255[[#This Row],[IMPORTE NETO]]*0.21</f>
        <v>0</v>
      </c>
      <c r="J583" s="141"/>
      <c r="K583" s="141"/>
      <c r="L583" s="141"/>
      <c r="M583" s="59"/>
    </row>
    <row r="584" spans="2:13">
      <c r="B584" s="135"/>
      <c r="C584" s="136"/>
      <c r="D584" s="137"/>
      <c r="E584" s="138"/>
      <c r="F584" s="139"/>
      <c r="G584" s="1" t="str">
        <f>IFERROR(IF(ventas_b_mes1255[[#This Row],[CUIT]]="","-",VLOOKUP(ventas_b_mes1255[[#This Row],[CUIT]],Lista_CUIT[#All],2,0)),"CUIT NO CARGADO")</f>
        <v>-</v>
      </c>
      <c r="H584" s="100">
        <f>ventas_b_mes1255[[#This Row],[TOTAL]]/1.21</f>
        <v>0</v>
      </c>
      <c r="I584" s="64">
        <f>ventas_b_mes1255[[#This Row],[IMPORTE NETO]]*0.21</f>
        <v>0</v>
      </c>
      <c r="J584" s="141"/>
      <c r="K584" s="141"/>
      <c r="L584" s="141"/>
      <c r="M584" s="59"/>
    </row>
    <row r="585" spans="2:13">
      <c r="B585" s="135"/>
      <c r="C585" s="136"/>
      <c r="D585" s="137"/>
      <c r="E585" s="138"/>
      <c r="F585" s="139"/>
      <c r="G585" s="1" t="str">
        <f>IFERROR(IF(ventas_b_mes1255[[#This Row],[CUIT]]="","-",VLOOKUP(ventas_b_mes1255[[#This Row],[CUIT]],Lista_CUIT[#All],2,0)),"CUIT NO CARGADO")</f>
        <v>-</v>
      </c>
      <c r="H585" s="100">
        <f>ventas_b_mes1255[[#This Row],[TOTAL]]/1.21</f>
        <v>0</v>
      </c>
      <c r="I585" s="64">
        <f>ventas_b_mes1255[[#This Row],[IMPORTE NETO]]*0.21</f>
        <v>0</v>
      </c>
      <c r="J585" s="141"/>
      <c r="K585" s="141"/>
      <c r="L585" s="141"/>
      <c r="M585" s="59"/>
    </row>
    <row r="586" spans="2:13">
      <c r="B586" s="135"/>
      <c r="C586" s="136"/>
      <c r="D586" s="137"/>
      <c r="E586" s="138"/>
      <c r="F586" s="139"/>
      <c r="G586" s="1" t="str">
        <f>IFERROR(IF(ventas_b_mes1255[[#This Row],[CUIT]]="","-",VLOOKUP(ventas_b_mes1255[[#This Row],[CUIT]],Lista_CUIT[#All],2,0)),"CUIT NO CARGADO")</f>
        <v>-</v>
      </c>
      <c r="H586" s="100">
        <f>ventas_b_mes1255[[#This Row],[TOTAL]]/1.21</f>
        <v>0</v>
      </c>
      <c r="I586" s="64">
        <f>ventas_b_mes1255[[#This Row],[IMPORTE NETO]]*0.21</f>
        <v>0</v>
      </c>
      <c r="J586" s="141"/>
      <c r="K586" s="141"/>
      <c r="L586" s="141"/>
      <c r="M586" s="59"/>
    </row>
    <row r="587" spans="2:13">
      <c r="B587" s="135"/>
      <c r="C587" s="136"/>
      <c r="D587" s="137"/>
      <c r="E587" s="138"/>
      <c r="F587" s="139"/>
      <c r="G587" s="1" t="str">
        <f>IFERROR(IF(ventas_b_mes1255[[#This Row],[CUIT]]="","-",VLOOKUP(ventas_b_mes1255[[#This Row],[CUIT]],Lista_CUIT[#All],2,0)),"CUIT NO CARGADO")</f>
        <v>-</v>
      </c>
      <c r="H587" s="100">
        <f>ventas_b_mes1255[[#This Row],[TOTAL]]/1.21</f>
        <v>0</v>
      </c>
      <c r="I587" s="64">
        <f>ventas_b_mes1255[[#This Row],[IMPORTE NETO]]*0.21</f>
        <v>0</v>
      </c>
      <c r="J587" s="141"/>
      <c r="K587" s="141"/>
      <c r="L587" s="141"/>
      <c r="M587" s="59"/>
    </row>
    <row r="588" spans="2:13">
      <c r="B588" s="135"/>
      <c r="C588" s="136"/>
      <c r="D588" s="137"/>
      <c r="E588" s="138"/>
      <c r="F588" s="139"/>
      <c r="G588" s="1" t="str">
        <f>IFERROR(IF(ventas_b_mes1255[[#This Row],[CUIT]]="","-",VLOOKUP(ventas_b_mes1255[[#This Row],[CUIT]],Lista_CUIT[#All],2,0)),"CUIT NO CARGADO")</f>
        <v>-</v>
      </c>
      <c r="H588" s="100">
        <f>ventas_b_mes1255[[#This Row],[TOTAL]]/1.21</f>
        <v>0</v>
      </c>
      <c r="I588" s="64">
        <f>ventas_b_mes1255[[#This Row],[IMPORTE NETO]]*0.21</f>
        <v>0</v>
      </c>
      <c r="J588" s="141"/>
      <c r="K588" s="141"/>
      <c r="L588" s="141"/>
      <c r="M588" s="59"/>
    </row>
    <row r="589" spans="2:13">
      <c r="B589" s="135"/>
      <c r="C589" s="136"/>
      <c r="D589" s="137"/>
      <c r="E589" s="138"/>
      <c r="F589" s="139"/>
      <c r="G589" s="1" t="str">
        <f>IFERROR(IF(ventas_b_mes1255[[#This Row],[CUIT]]="","-",VLOOKUP(ventas_b_mes1255[[#This Row],[CUIT]],Lista_CUIT[#All],2,0)),"CUIT NO CARGADO")</f>
        <v>-</v>
      </c>
      <c r="H589" s="100">
        <f>ventas_b_mes1255[[#This Row],[TOTAL]]/1.21</f>
        <v>0</v>
      </c>
      <c r="I589" s="64">
        <f>ventas_b_mes1255[[#This Row],[IMPORTE NETO]]*0.21</f>
        <v>0</v>
      </c>
      <c r="J589" s="141"/>
      <c r="K589" s="141"/>
      <c r="L589" s="141"/>
      <c r="M589" s="59"/>
    </row>
    <row r="590" spans="2:13">
      <c r="B590" s="135"/>
      <c r="C590" s="136"/>
      <c r="D590" s="137"/>
      <c r="E590" s="138"/>
      <c r="F590" s="139"/>
      <c r="G590" s="1" t="str">
        <f>IFERROR(IF(ventas_b_mes1255[[#This Row],[CUIT]]="","-",VLOOKUP(ventas_b_mes1255[[#This Row],[CUIT]],Lista_CUIT[#All],2,0)),"CUIT NO CARGADO")</f>
        <v>-</v>
      </c>
      <c r="H590" s="100">
        <f>ventas_b_mes1255[[#This Row],[TOTAL]]/1.21</f>
        <v>0</v>
      </c>
      <c r="I590" s="64">
        <f>ventas_b_mes1255[[#This Row],[IMPORTE NETO]]*0.21</f>
        <v>0</v>
      </c>
      <c r="J590" s="141"/>
      <c r="K590" s="141"/>
      <c r="L590" s="141"/>
      <c r="M590" s="59"/>
    </row>
    <row r="591" spans="2:13">
      <c r="B591" s="135"/>
      <c r="C591" s="136"/>
      <c r="D591" s="137"/>
      <c r="E591" s="138"/>
      <c r="F591" s="139"/>
      <c r="G591" s="1" t="str">
        <f>IFERROR(IF(ventas_b_mes1255[[#This Row],[CUIT]]="","-",VLOOKUP(ventas_b_mes1255[[#This Row],[CUIT]],Lista_CUIT[#All],2,0)),"CUIT NO CARGADO")</f>
        <v>-</v>
      </c>
      <c r="H591" s="100">
        <f>ventas_b_mes1255[[#This Row],[TOTAL]]/1.21</f>
        <v>0</v>
      </c>
      <c r="I591" s="64">
        <f>ventas_b_mes1255[[#This Row],[IMPORTE NETO]]*0.21</f>
        <v>0</v>
      </c>
      <c r="J591" s="141"/>
      <c r="K591" s="141"/>
      <c r="L591" s="141"/>
      <c r="M591" s="59"/>
    </row>
    <row r="592" spans="2:13">
      <c r="B592" s="135"/>
      <c r="C592" s="136"/>
      <c r="D592" s="137"/>
      <c r="E592" s="138"/>
      <c r="F592" s="139"/>
      <c r="G592" s="1" t="str">
        <f>IFERROR(IF(ventas_b_mes1255[[#This Row],[CUIT]]="","-",VLOOKUP(ventas_b_mes1255[[#This Row],[CUIT]],Lista_CUIT[#All],2,0)),"CUIT NO CARGADO")</f>
        <v>-</v>
      </c>
      <c r="H592" s="100">
        <f>ventas_b_mes1255[[#This Row],[TOTAL]]/1.21</f>
        <v>0</v>
      </c>
      <c r="I592" s="64">
        <f>ventas_b_mes1255[[#This Row],[IMPORTE NETO]]*0.21</f>
        <v>0</v>
      </c>
      <c r="J592" s="141"/>
      <c r="K592" s="141"/>
      <c r="L592" s="141"/>
      <c r="M592" s="59"/>
    </row>
    <row r="593" spans="2:13">
      <c r="B593" s="135"/>
      <c r="C593" s="136"/>
      <c r="D593" s="137"/>
      <c r="E593" s="138"/>
      <c r="F593" s="139"/>
      <c r="G593" s="1" t="str">
        <f>IFERROR(IF(ventas_b_mes1255[[#This Row],[CUIT]]="","-",VLOOKUP(ventas_b_mes1255[[#This Row],[CUIT]],Lista_CUIT[#All],2,0)),"CUIT NO CARGADO")</f>
        <v>-</v>
      </c>
      <c r="H593" s="100">
        <f>ventas_b_mes1255[[#This Row],[TOTAL]]/1.21</f>
        <v>0</v>
      </c>
      <c r="I593" s="64">
        <f>ventas_b_mes1255[[#This Row],[IMPORTE NETO]]*0.21</f>
        <v>0</v>
      </c>
      <c r="J593" s="141"/>
      <c r="K593" s="141"/>
      <c r="L593" s="141"/>
      <c r="M593" s="59"/>
    </row>
    <row r="594" spans="2:13">
      <c r="B594" s="135"/>
      <c r="C594" s="136"/>
      <c r="D594" s="137"/>
      <c r="E594" s="138"/>
      <c r="F594" s="139"/>
      <c r="G594" s="1" t="str">
        <f>IFERROR(IF(ventas_b_mes1255[[#This Row],[CUIT]]="","-",VLOOKUP(ventas_b_mes1255[[#This Row],[CUIT]],Lista_CUIT[#All],2,0)),"CUIT NO CARGADO")</f>
        <v>-</v>
      </c>
      <c r="H594" s="100">
        <f>ventas_b_mes1255[[#This Row],[TOTAL]]/1.21</f>
        <v>0</v>
      </c>
      <c r="I594" s="64">
        <f>ventas_b_mes1255[[#This Row],[IMPORTE NETO]]*0.21</f>
        <v>0</v>
      </c>
      <c r="J594" s="141"/>
      <c r="K594" s="141"/>
      <c r="L594" s="141"/>
      <c r="M594" s="59"/>
    </row>
    <row r="595" spans="2:13">
      <c r="B595" s="135"/>
      <c r="C595" s="136"/>
      <c r="D595" s="137"/>
      <c r="E595" s="138"/>
      <c r="F595" s="139"/>
      <c r="G595" s="1" t="str">
        <f>IFERROR(IF(ventas_b_mes1255[[#This Row],[CUIT]]="","-",VLOOKUP(ventas_b_mes1255[[#This Row],[CUIT]],Lista_CUIT[#All],2,0)),"CUIT NO CARGADO")</f>
        <v>-</v>
      </c>
      <c r="H595" s="100">
        <f>ventas_b_mes1255[[#This Row],[TOTAL]]/1.21</f>
        <v>0</v>
      </c>
      <c r="I595" s="64">
        <f>ventas_b_mes1255[[#This Row],[IMPORTE NETO]]*0.21</f>
        <v>0</v>
      </c>
      <c r="J595" s="141"/>
      <c r="K595" s="141"/>
      <c r="L595" s="141"/>
      <c r="M595" s="59"/>
    </row>
    <row r="596" spans="2:13">
      <c r="B596" s="135"/>
      <c r="C596" s="136"/>
      <c r="D596" s="137"/>
      <c r="E596" s="138"/>
      <c r="F596" s="139"/>
      <c r="G596" s="1" t="str">
        <f>IFERROR(IF(ventas_b_mes1255[[#This Row],[CUIT]]="","-",VLOOKUP(ventas_b_mes1255[[#This Row],[CUIT]],Lista_CUIT[#All],2,0)),"CUIT NO CARGADO")</f>
        <v>-</v>
      </c>
      <c r="H596" s="100">
        <f>ventas_b_mes1255[[#This Row],[TOTAL]]/1.21</f>
        <v>0</v>
      </c>
      <c r="I596" s="64">
        <f>ventas_b_mes1255[[#This Row],[IMPORTE NETO]]*0.21</f>
        <v>0</v>
      </c>
      <c r="J596" s="141"/>
      <c r="K596" s="141"/>
      <c r="L596" s="141"/>
      <c r="M596" s="59"/>
    </row>
    <row r="597" spans="2:13">
      <c r="B597" s="135"/>
      <c r="C597" s="136"/>
      <c r="D597" s="137"/>
      <c r="E597" s="138"/>
      <c r="F597" s="139"/>
      <c r="G597" s="1" t="str">
        <f>IFERROR(IF(ventas_b_mes1255[[#This Row],[CUIT]]="","-",VLOOKUP(ventas_b_mes1255[[#This Row],[CUIT]],Lista_CUIT[#All],2,0)),"CUIT NO CARGADO")</f>
        <v>-</v>
      </c>
      <c r="H597" s="100">
        <f>ventas_b_mes1255[[#This Row],[TOTAL]]/1.21</f>
        <v>0</v>
      </c>
      <c r="I597" s="64">
        <f>ventas_b_mes1255[[#This Row],[IMPORTE NETO]]*0.21</f>
        <v>0</v>
      </c>
      <c r="J597" s="141"/>
      <c r="K597" s="141"/>
      <c r="L597" s="141"/>
      <c r="M597" s="59"/>
    </row>
    <row r="598" spans="2:13">
      <c r="B598" s="135"/>
      <c r="C598" s="136"/>
      <c r="D598" s="137"/>
      <c r="E598" s="138"/>
      <c r="F598" s="139"/>
      <c r="G598" s="1" t="str">
        <f>IFERROR(IF(ventas_b_mes1255[[#This Row],[CUIT]]="","-",VLOOKUP(ventas_b_mes1255[[#This Row],[CUIT]],Lista_CUIT[#All],2,0)),"CUIT NO CARGADO")</f>
        <v>-</v>
      </c>
      <c r="H598" s="100">
        <f>ventas_b_mes1255[[#This Row],[TOTAL]]/1.21</f>
        <v>0</v>
      </c>
      <c r="I598" s="64">
        <f>ventas_b_mes1255[[#This Row],[IMPORTE NETO]]*0.21</f>
        <v>0</v>
      </c>
      <c r="J598" s="141"/>
      <c r="K598" s="141"/>
      <c r="L598" s="141"/>
      <c r="M598" s="59"/>
    </row>
    <row r="599" spans="2:13">
      <c r="B599" s="135"/>
      <c r="C599" s="136"/>
      <c r="D599" s="137"/>
      <c r="E599" s="138"/>
      <c r="F599" s="139"/>
      <c r="G599" s="1" t="str">
        <f>IFERROR(IF(ventas_b_mes1255[[#This Row],[CUIT]]="","-",VLOOKUP(ventas_b_mes1255[[#This Row],[CUIT]],Lista_CUIT[#All],2,0)),"CUIT NO CARGADO")</f>
        <v>-</v>
      </c>
      <c r="H599" s="100">
        <f>ventas_b_mes1255[[#This Row],[TOTAL]]/1.21</f>
        <v>0</v>
      </c>
      <c r="I599" s="64">
        <f>ventas_b_mes1255[[#This Row],[IMPORTE NETO]]*0.21</f>
        <v>0</v>
      </c>
      <c r="J599" s="141"/>
      <c r="K599" s="141"/>
      <c r="L599" s="141"/>
      <c r="M599" s="59"/>
    </row>
    <row r="600" spans="2:13">
      <c r="B600" s="135"/>
      <c r="C600" s="136"/>
      <c r="D600" s="137"/>
      <c r="E600" s="138"/>
      <c r="F600" s="139"/>
      <c r="G600" s="1" t="str">
        <f>IFERROR(IF(ventas_b_mes1255[[#This Row],[CUIT]]="","-",VLOOKUP(ventas_b_mes1255[[#This Row],[CUIT]],Lista_CUIT[#All],2,0)),"CUIT NO CARGADO")</f>
        <v>-</v>
      </c>
      <c r="H600" s="100">
        <f>ventas_b_mes1255[[#This Row],[TOTAL]]/1.21</f>
        <v>0</v>
      </c>
      <c r="I600" s="64">
        <f>ventas_b_mes1255[[#This Row],[IMPORTE NETO]]*0.21</f>
        <v>0</v>
      </c>
      <c r="J600" s="141"/>
      <c r="K600" s="141"/>
      <c r="L600" s="141"/>
      <c r="M600" s="59"/>
    </row>
    <row r="601" spans="2:13">
      <c r="B601" s="135"/>
      <c r="C601" s="136"/>
      <c r="D601" s="137"/>
      <c r="E601" s="138"/>
      <c r="F601" s="139"/>
      <c r="G601" s="1" t="str">
        <f>IFERROR(IF(ventas_b_mes1255[[#This Row],[CUIT]]="","-",VLOOKUP(ventas_b_mes1255[[#This Row],[CUIT]],Lista_CUIT[#All],2,0)),"CUIT NO CARGADO")</f>
        <v>-</v>
      </c>
      <c r="H601" s="100">
        <f>ventas_b_mes1255[[#This Row],[TOTAL]]/1.21</f>
        <v>0</v>
      </c>
      <c r="I601" s="64">
        <f>ventas_b_mes1255[[#This Row],[IMPORTE NETO]]*0.21</f>
        <v>0</v>
      </c>
      <c r="J601" s="141"/>
      <c r="K601" s="141"/>
      <c r="L601" s="141"/>
      <c r="M601" s="59"/>
    </row>
    <row r="602" spans="2:13">
      <c r="B602" s="135"/>
      <c r="C602" s="136"/>
      <c r="D602" s="137"/>
      <c r="E602" s="138"/>
      <c r="F602" s="139"/>
      <c r="G602" s="1" t="str">
        <f>IFERROR(IF(ventas_b_mes1255[[#This Row],[CUIT]]="","-",VLOOKUP(ventas_b_mes1255[[#This Row],[CUIT]],Lista_CUIT[#All],2,0)),"CUIT NO CARGADO")</f>
        <v>-</v>
      </c>
      <c r="H602" s="100">
        <f>ventas_b_mes1255[[#This Row],[TOTAL]]/1.21</f>
        <v>0</v>
      </c>
      <c r="I602" s="64">
        <f>ventas_b_mes1255[[#This Row],[IMPORTE NETO]]*0.21</f>
        <v>0</v>
      </c>
      <c r="J602" s="141"/>
      <c r="K602" s="141"/>
      <c r="L602" s="141"/>
      <c r="M602" s="59"/>
    </row>
    <row r="603" spans="2:13">
      <c r="B603" s="135"/>
      <c r="C603" s="136"/>
      <c r="D603" s="137"/>
      <c r="E603" s="138"/>
      <c r="F603" s="139"/>
      <c r="G603" s="1" t="str">
        <f>IFERROR(IF(ventas_b_mes1255[[#This Row],[CUIT]]="","-",VLOOKUP(ventas_b_mes1255[[#This Row],[CUIT]],Lista_CUIT[#All],2,0)),"CUIT NO CARGADO")</f>
        <v>-</v>
      </c>
      <c r="H603" s="100">
        <f>ventas_b_mes1255[[#This Row],[TOTAL]]/1.21</f>
        <v>0</v>
      </c>
      <c r="I603" s="64">
        <f>ventas_b_mes1255[[#This Row],[IMPORTE NETO]]*0.21</f>
        <v>0</v>
      </c>
      <c r="J603" s="141"/>
      <c r="K603" s="141"/>
      <c r="L603" s="141"/>
      <c r="M603" s="59"/>
    </row>
    <row r="604" spans="2:13">
      <c r="B604" s="135"/>
      <c r="C604" s="136"/>
      <c r="D604" s="137"/>
      <c r="E604" s="138"/>
      <c r="F604" s="139"/>
      <c r="G604" s="1" t="str">
        <f>IFERROR(IF(ventas_b_mes1255[[#This Row],[CUIT]]="","-",VLOOKUP(ventas_b_mes1255[[#This Row],[CUIT]],Lista_CUIT[#All],2,0)),"CUIT NO CARGADO")</f>
        <v>-</v>
      </c>
      <c r="H604" s="100">
        <f>ventas_b_mes1255[[#This Row],[TOTAL]]/1.21</f>
        <v>0</v>
      </c>
      <c r="I604" s="64">
        <f>ventas_b_mes1255[[#This Row],[IMPORTE NETO]]*0.21</f>
        <v>0</v>
      </c>
      <c r="J604" s="141"/>
      <c r="K604" s="141"/>
      <c r="L604" s="141"/>
      <c r="M604" s="59"/>
    </row>
    <row r="605" spans="2:13">
      <c r="B605" s="135"/>
      <c r="C605" s="136"/>
      <c r="D605" s="137"/>
      <c r="E605" s="138"/>
      <c r="F605" s="139"/>
      <c r="G605" s="1" t="str">
        <f>IFERROR(IF(ventas_b_mes1255[[#This Row],[CUIT]]="","-",VLOOKUP(ventas_b_mes1255[[#This Row],[CUIT]],Lista_CUIT[#All],2,0)),"CUIT NO CARGADO")</f>
        <v>-</v>
      </c>
      <c r="H605" s="100">
        <f>ventas_b_mes1255[[#This Row],[TOTAL]]/1.21</f>
        <v>0</v>
      </c>
      <c r="I605" s="64">
        <f>ventas_b_mes1255[[#This Row],[IMPORTE NETO]]*0.21</f>
        <v>0</v>
      </c>
      <c r="J605" s="141"/>
      <c r="K605" s="141"/>
      <c r="L605" s="141"/>
      <c r="M605" s="59"/>
    </row>
    <row r="606" spans="2:13">
      <c r="B606" s="135"/>
      <c r="C606" s="136"/>
      <c r="D606" s="137"/>
      <c r="E606" s="138"/>
      <c r="F606" s="139"/>
      <c r="G606" s="1" t="str">
        <f>IFERROR(IF(ventas_b_mes1255[[#This Row],[CUIT]]="","-",VLOOKUP(ventas_b_mes1255[[#This Row],[CUIT]],Lista_CUIT[#All],2,0)),"CUIT NO CARGADO")</f>
        <v>-</v>
      </c>
      <c r="H606" s="100">
        <f>ventas_b_mes1255[[#This Row],[TOTAL]]/1.21</f>
        <v>0</v>
      </c>
      <c r="I606" s="64">
        <f>ventas_b_mes1255[[#This Row],[IMPORTE NETO]]*0.21</f>
        <v>0</v>
      </c>
      <c r="J606" s="141"/>
      <c r="K606" s="141"/>
      <c r="L606" s="141"/>
      <c r="M606" s="59"/>
    </row>
    <row r="607" spans="2:13">
      <c r="B607" s="135"/>
      <c r="C607" s="136"/>
      <c r="D607" s="137"/>
      <c r="E607" s="138"/>
      <c r="F607" s="139"/>
      <c r="G607" s="1" t="str">
        <f>IFERROR(IF(ventas_b_mes1255[[#This Row],[CUIT]]="","-",VLOOKUP(ventas_b_mes1255[[#This Row],[CUIT]],Lista_CUIT[#All],2,0)),"CUIT NO CARGADO")</f>
        <v>-</v>
      </c>
      <c r="H607" s="100">
        <f>ventas_b_mes1255[[#This Row],[TOTAL]]/1.21</f>
        <v>0</v>
      </c>
      <c r="I607" s="64">
        <f>ventas_b_mes1255[[#This Row],[IMPORTE NETO]]*0.21</f>
        <v>0</v>
      </c>
      <c r="J607" s="141"/>
      <c r="K607" s="141"/>
      <c r="L607" s="141"/>
      <c r="M607" s="59"/>
    </row>
    <row r="608" spans="2:13">
      <c r="B608" s="135"/>
      <c r="C608" s="136"/>
      <c r="D608" s="137"/>
      <c r="E608" s="138"/>
      <c r="F608" s="139"/>
      <c r="G608" s="1" t="str">
        <f>IFERROR(IF(ventas_b_mes1255[[#This Row],[CUIT]]="","-",VLOOKUP(ventas_b_mes1255[[#This Row],[CUIT]],Lista_CUIT[#All],2,0)),"CUIT NO CARGADO")</f>
        <v>-</v>
      </c>
      <c r="H608" s="100">
        <f>ventas_b_mes1255[[#This Row],[TOTAL]]/1.21</f>
        <v>0</v>
      </c>
      <c r="I608" s="64">
        <f>ventas_b_mes1255[[#This Row],[IMPORTE NETO]]*0.21</f>
        <v>0</v>
      </c>
      <c r="J608" s="141"/>
      <c r="K608" s="141"/>
      <c r="L608" s="141"/>
      <c r="M608" s="59"/>
    </row>
    <row r="609" spans="2:13">
      <c r="B609" s="135"/>
      <c r="C609" s="136"/>
      <c r="D609" s="137"/>
      <c r="E609" s="138"/>
      <c r="F609" s="139"/>
      <c r="G609" s="1" t="str">
        <f>IFERROR(IF(ventas_b_mes1255[[#This Row],[CUIT]]="","-",VLOOKUP(ventas_b_mes1255[[#This Row],[CUIT]],Lista_CUIT[#All],2,0)),"CUIT NO CARGADO")</f>
        <v>-</v>
      </c>
      <c r="H609" s="100">
        <f>ventas_b_mes1255[[#This Row],[TOTAL]]/1.21</f>
        <v>0</v>
      </c>
      <c r="I609" s="64">
        <f>ventas_b_mes1255[[#This Row],[IMPORTE NETO]]*0.21</f>
        <v>0</v>
      </c>
      <c r="J609" s="141"/>
      <c r="K609" s="141"/>
      <c r="L609" s="141"/>
      <c r="M609" s="59"/>
    </row>
    <row r="610" spans="2:13">
      <c r="B610" s="135"/>
      <c r="C610" s="136"/>
      <c r="D610" s="137"/>
      <c r="E610" s="138"/>
      <c r="F610" s="139"/>
      <c r="G610" s="1" t="str">
        <f>IFERROR(IF(ventas_b_mes1255[[#This Row],[CUIT]]="","-",VLOOKUP(ventas_b_mes1255[[#This Row],[CUIT]],Lista_CUIT[#All],2,0)),"CUIT NO CARGADO")</f>
        <v>-</v>
      </c>
      <c r="H610" s="100">
        <f>ventas_b_mes1255[[#This Row],[TOTAL]]/1.21</f>
        <v>0</v>
      </c>
      <c r="I610" s="64">
        <f>ventas_b_mes1255[[#This Row],[IMPORTE NETO]]*0.21</f>
        <v>0</v>
      </c>
      <c r="J610" s="141"/>
      <c r="K610" s="141"/>
      <c r="L610" s="141"/>
      <c r="M610" s="59"/>
    </row>
    <row r="611" spans="2:13">
      <c r="B611" s="135"/>
      <c r="C611" s="136"/>
      <c r="D611" s="137"/>
      <c r="E611" s="138"/>
      <c r="F611" s="139"/>
      <c r="G611" s="1" t="str">
        <f>IFERROR(IF(ventas_b_mes1255[[#This Row],[CUIT]]="","-",VLOOKUP(ventas_b_mes1255[[#This Row],[CUIT]],Lista_CUIT[#All],2,0)),"CUIT NO CARGADO")</f>
        <v>-</v>
      </c>
      <c r="H611" s="100">
        <f>ventas_b_mes1255[[#This Row],[TOTAL]]/1.21</f>
        <v>0</v>
      </c>
      <c r="I611" s="64">
        <f>ventas_b_mes1255[[#This Row],[IMPORTE NETO]]*0.21</f>
        <v>0</v>
      </c>
      <c r="J611" s="141"/>
      <c r="K611" s="141"/>
      <c r="L611" s="141"/>
      <c r="M611" s="59"/>
    </row>
    <row r="612" spans="2:13">
      <c r="B612" s="135"/>
      <c r="C612" s="136"/>
      <c r="D612" s="137"/>
      <c r="E612" s="138"/>
      <c r="F612" s="139"/>
      <c r="G612" s="1" t="str">
        <f>IFERROR(IF(ventas_b_mes1255[[#This Row],[CUIT]]="","-",VLOOKUP(ventas_b_mes1255[[#This Row],[CUIT]],Lista_CUIT[#All],2,0)),"CUIT NO CARGADO")</f>
        <v>-</v>
      </c>
      <c r="H612" s="100">
        <f>ventas_b_mes1255[[#This Row],[TOTAL]]/1.21</f>
        <v>0</v>
      </c>
      <c r="I612" s="64">
        <f>ventas_b_mes1255[[#This Row],[IMPORTE NETO]]*0.21</f>
        <v>0</v>
      </c>
      <c r="J612" s="141"/>
      <c r="K612" s="141"/>
      <c r="L612" s="141"/>
      <c r="M612" s="59"/>
    </row>
    <row r="613" spans="2:13">
      <c r="B613" s="135"/>
      <c r="C613" s="136"/>
      <c r="D613" s="137"/>
      <c r="E613" s="138"/>
      <c r="F613" s="139"/>
      <c r="G613" s="1" t="str">
        <f>IFERROR(IF(ventas_b_mes1255[[#This Row],[CUIT]]="","-",VLOOKUP(ventas_b_mes1255[[#This Row],[CUIT]],Lista_CUIT[#All],2,0)),"CUIT NO CARGADO")</f>
        <v>-</v>
      </c>
      <c r="H613" s="100">
        <f>ventas_b_mes1255[[#This Row],[TOTAL]]/1.21</f>
        <v>0</v>
      </c>
      <c r="I613" s="64">
        <f>ventas_b_mes1255[[#This Row],[IMPORTE NETO]]*0.21</f>
        <v>0</v>
      </c>
      <c r="J613" s="141"/>
      <c r="K613" s="141"/>
      <c r="L613" s="141"/>
      <c r="M613" s="59"/>
    </row>
    <row r="614" spans="2:13">
      <c r="B614" s="135"/>
      <c r="C614" s="136"/>
      <c r="D614" s="137"/>
      <c r="E614" s="138"/>
      <c r="F614" s="139"/>
      <c r="G614" s="1" t="str">
        <f>IFERROR(IF(ventas_b_mes1255[[#This Row],[CUIT]]="","-",VLOOKUP(ventas_b_mes1255[[#This Row],[CUIT]],Lista_CUIT[#All],2,0)),"CUIT NO CARGADO")</f>
        <v>-</v>
      </c>
      <c r="H614" s="100">
        <f>ventas_b_mes1255[[#This Row],[TOTAL]]/1.21</f>
        <v>0</v>
      </c>
      <c r="I614" s="64">
        <f>ventas_b_mes1255[[#This Row],[IMPORTE NETO]]*0.21</f>
        <v>0</v>
      </c>
      <c r="J614" s="141"/>
      <c r="K614" s="141"/>
      <c r="L614" s="141"/>
      <c r="M614" s="59"/>
    </row>
    <row r="615" spans="2:13">
      <c r="B615" s="135"/>
      <c r="C615" s="136"/>
      <c r="D615" s="137"/>
      <c r="E615" s="138"/>
      <c r="F615" s="139"/>
      <c r="G615" s="1" t="str">
        <f>IFERROR(IF(ventas_b_mes1255[[#This Row],[CUIT]]="","-",VLOOKUP(ventas_b_mes1255[[#This Row],[CUIT]],Lista_CUIT[#All],2,0)),"CUIT NO CARGADO")</f>
        <v>-</v>
      </c>
      <c r="H615" s="100">
        <f>ventas_b_mes1255[[#This Row],[TOTAL]]/1.21</f>
        <v>0</v>
      </c>
      <c r="I615" s="64">
        <f>ventas_b_mes1255[[#This Row],[IMPORTE NETO]]*0.21</f>
        <v>0</v>
      </c>
      <c r="J615" s="141"/>
      <c r="K615" s="141"/>
      <c r="L615" s="141"/>
      <c r="M615" s="59"/>
    </row>
    <row r="616" spans="2:13">
      <c r="B616" s="135"/>
      <c r="C616" s="136"/>
      <c r="D616" s="137"/>
      <c r="E616" s="138"/>
      <c r="F616" s="139"/>
      <c r="G616" s="1" t="str">
        <f>IFERROR(IF(ventas_b_mes1255[[#This Row],[CUIT]]="","-",VLOOKUP(ventas_b_mes1255[[#This Row],[CUIT]],Lista_CUIT[#All],2,0)),"CUIT NO CARGADO")</f>
        <v>-</v>
      </c>
      <c r="H616" s="100">
        <f>ventas_b_mes1255[[#This Row],[TOTAL]]/1.21</f>
        <v>0</v>
      </c>
      <c r="I616" s="64">
        <f>ventas_b_mes1255[[#This Row],[IMPORTE NETO]]*0.21</f>
        <v>0</v>
      </c>
      <c r="J616" s="141"/>
      <c r="K616" s="141"/>
      <c r="L616" s="141"/>
      <c r="M616" s="59"/>
    </row>
    <row r="617" spans="2:13">
      <c r="B617" s="135"/>
      <c r="C617" s="136"/>
      <c r="D617" s="137"/>
      <c r="E617" s="138"/>
      <c r="F617" s="139"/>
      <c r="G617" s="1" t="str">
        <f>IFERROR(IF(ventas_b_mes1255[[#This Row],[CUIT]]="","-",VLOOKUP(ventas_b_mes1255[[#This Row],[CUIT]],Lista_CUIT[#All],2,0)),"CUIT NO CARGADO")</f>
        <v>-</v>
      </c>
      <c r="H617" s="100">
        <f>ventas_b_mes1255[[#This Row],[TOTAL]]/1.21</f>
        <v>0</v>
      </c>
      <c r="I617" s="64">
        <f>ventas_b_mes1255[[#This Row],[IMPORTE NETO]]*0.21</f>
        <v>0</v>
      </c>
      <c r="J617" s="141"/>
      <c r="K617" s="141"/>
      <c r="L617" s="141"/>
      <c r="M617" s="59"/>
    </row>
    <row r="618" spans="2:13">
      <c r="B618" s="135"/>
      <c r="C618" s="136"/>
      <c r="D618" s="137"/>
      <c r="E618" s="138"/>
      <c r="F618" s="139"/>
      <c r="G618" s="1" t="str">
        <f>IFERROR(IF(ventas_b_mes1255[[#This Row],[CUIT]]="","-",VLOOKUP(ventas_b_mes1255[[#This Row],[CUIT]],Lista_CUIT[#All],2,0)),"CUIT NO CARGADO")</f>
        <v>-</v>
      </c>
      <c r="H618" s="100">
        <f>ventas_b_mes1255[[#This Row],[TOTAL]]/1.21</f>
        <v>0</v>
      </c>
      <c r="I618" s="64">
        <f>ventas_b_mes1255[[#This Row],[IMPORTE NETO]]*0.21</f>
        <v>0</v>
      </c>
      <c r="J618" s="141"/>
      <c r="K618" s="141"/>
      <c r="L618" s="141"/>
      <c r="M618" s="59"/>
    </row>
    <row r="619" spans="2:13">
      <c r="B619" s="135"/>
      <c r="C619" s="136"/>
      <c r="D619" s="137"/>
      <c r="E619" s="138"/>
      <c r="F619" s="139"/>
      <c r="G619" s="1" t="str">
        <f>IFERROR(IF(ventas_b_mes1255[[#This Row],[CUIT]]="","-",VLOOKUP(ventas_b_mes1255[[#This Row],[CUIT]],Lista_CUIT[#All],2,0)),"CUIT NO CARGADO")</f>
        <v>-</v>
      </c>
      <c r="H619" s="100">
        <f>ventas_b_mes1255[[#This Row],[TOTAL]]/1.21</f>
        <v>0</v>
      </c>
      <c r="I619" s="64">
        <f>ventas_b_mes1255[[#This Row],[IMPORTE NETO]]*0.21</f>
        <v>0</v>
      </c>
      <c r="J619" s="141"/>
      <c r="K619" s="141"/>
      <c r="L619" s="141"/>
      <c r="M619" s="59"/>
    </row>
    <row r="620" spans="2:13">
      <c r="B620" s="135"/>
      <c r="C620" s="136"/>
      <c r="D620" s="137"/>
      <c r="E620" s="138"/>
      <c r="F620" s="139"/>
      <c r="G620" s="1" t="str">
        <f>IFERROR(IF(ventas_b_mes1255[[#This Row],[CUIT]]="","-",VLOOKUP(ventas_b_mes1255[[#This Row],[CUIT]],Lista_CUIT[#All],2,0)),"CUIT NO CARGADO")</f>
        <v>-</v>
      </c>
      <c r="H620" s="100">
        <f>ventas_b_mes1255[[#This Row],[TOTAL]]/1.21</f>
        <v>0</v>
      </c>
      <c r="I620" s="64">
        <f>ventas_b_mes1255[[#This Row],[IMPORTE NETO]]*0.21</f>
        <v>0</v>
      </c>
      <c r="J620" s="141"/>
      <c r="K620" s="141"/>
      <c r="L620" s="141"/>
      <c r="M620" s="59"/>
    </row>
    <row r="621" spans="2:13">
      <c r="B621" s="135"/>
      <c r="C621" s="136"/>
      <c r="D621" s="137"/>
      <c r="E621" s="138"/>
      <c r="F621" s="139"/>
      <c r="G621" s="1" t="str">
        <f>IFERROR(IF(ventas_b_mes1255[[#This Row],[CUIT]]="","-",VLOOKUP(ventas_b_mes1255[[#This Row],[CUIT]],Lista_CUIT[#All],2,0)),"CUIT NO CARGADO")</f>
        <v>-</v>
      </c>
      <c r="H621" s="100">
        <f>ventas_b_mes1255[[#This Row],[TOTAL]]/1.21</f>
        <v>0</v>
      </c>
      <c r="I621" s="64">
        <f>ventas_b_mes1255[[#This Row],[IMPORTE NETO]]*0.21</f>
        <v>0</v>
      </c>
      <c r="J621" s="141"/>
      <c r="K621" s="141"/>
      <c r="L621" s="141"/>
      <c r="M621" s="59"/>
    </row>
    <row r="622" spans="2:13">
      <c r="B622" s="135"/>
      <c r="C622" s="136"/>
      <c r="D622" s="137"/>
      <c r="E622" s="138"/>
      <c r="F622" s="139"/>
      <c r="G622" s="1" t="str">
        <f>IFERROR(IF(ventas_b_mes1255[[#This Row],[CUIT]]="","-",VLOOKUP(ventas_b_mes1255[[#This Row],[CUIT]],Lista_CUIT[#All],2,0)),"CUIT NO CARGADO")</f>
        <v>-</v>
      </c>
      <c r="H622" s="100">
        <f>ventas_b_mes1255[[#This Row],[TOTAL]]/1.21</f>
        <v>0</v>
      </c>
      <c r="I622" s="64">
        <f>ventas_b_mes1255[[#This Row],[IMPORTE NETO]]*0.21</f>
        <v>0</v>
      </c>
      <c r="J622" s="141"/>
      <c r="K622" s="141"/>
      <c r="L622" s="141"/>
      <c r="M622" s="59"/>
    </row>
    <row r="623" spans="2:13">
      <c r="B623" s="135"/>
      <c r="C623" s="136"/>
      <c r="D623" s="137"/>
      <c r="E623" s="138"/>
      <c r="F623" s="139"/>
      <c r="G623" s="1" t="str">
        <f>IFERROR(IF(ventas_b_mes1255[[#This Row],[CUIT]]="","-",VLOOKUP(ventas_b_mes1255[[#This Row],[CUIT]],Lista_CUIT[#All],2,0)),"CUIT NO CARGADO")</f>
        <v>-</v>
      </c>
      <c r="H623" s="100">
        <f>ventas_b_mes1255[[#This Row],[TOTAL]]/1.21</f>
        <v>0</v>
      </c>
      <c r="I623" s="64">
        <f>ventas_b_mes1255[[#This Row],[IMPORTE NETO]]*0.21</f>
        <v>0</v>
      </c>
      <c r="J623" s="141"/>
      <c r="K623" s="141"/>
      <c r="L623" s="141"/>
      <c r="M623" s="59"/>
    </row>
    <row r="624" spans="2:13">
      <c r="B624" s="135"/>
      <c r="C624" s="136"/>
      <c r="D624" s="137"/>
      <c r="E624" s="138"/>
      <c r="F624" s="139"/>
      <c r="G624" s="1" t="str">
        <f>IFERROR(IF(ventas_b_mes1255[[#This Row],[CUIT]]="","-",VLOOKUP(ventas_b_mes1255[[#This Row],[CUIT]],Lista_CUIT[#All],2,0)),"CUIT NO CARGADO")</f>
        <v>-</v>
      </c>
      <c r="H624" s="100">
        <f>ventas_b_mes1255[[#This Row],[TOTAL]]/1.21</f>
        <v>0</v>
      </c>
      <c r="I624" s="64">
        <f>ventas_b_mes1255[[#This Row],[IMPORTE NETO]]*0.21</f>
        <v>0</v>
      </c>
      <c r="J624" s="141"/>
      <c r="K624" s="141"/>
      <c r="L624" s="141"/>
      <c r="M624" s="59"/>
    </row>
    <row r="625" spans="2:13">
      <c r="B625" s="135"/>
      <c r="C625" s="136"/>
      <c r="D625" s="137"/>
      <c r="E625" s="138"/>
      <c r="F625" s="139"/>
      <c r="G625" s="1" t="str">
        <f>IFERROR(IF(ventas_b_mes1255[[#This Row],[CUIT]]="","-",VLOOKUP(ventas_b_mes1255[[#This Row],[CUIT]],Lista_CUIT[#All],2,0)),"CUIT NO CARGADO")</f>
        <v>-</v>
      </c>
      <c r="H625" s="100">
        <f>ventas_b_mes1255[[#This Row],[TOTAL]]/1.21</f>
        <v>0</v>
      </c>
      <c r="I625" s="64">
        <f>ventas_b_mes1255[[#This Row],[IMPORTE NETO]]*0.21</f>
        <v>0</v>
      </c>
      <c r="J625" s="141"/>
      <c r="K625" s="141"/>
      <c r="L625" s="141"/>
      <c r="M625" s="59"/>
    </row>
    <row r="626" spans="2:13">
      <c r="B626" s="135"/>
      <c r="C626" s="136"/>
      <c r="D626" s="137"/>
      <c r="E626" s="138"/>
      <c r="F626" s="139"/>
      <c r="G626" s="1" t="str">
        <f>IFERROR(IF(ventas_b_mes1255[[#This Row],[CUIT]]="","-",VLOOKUP(ventas_b_mes1255[[#This Row],[CUIT]],Lista_CUIT[#All],2,0)),"CUIT NO CARGADO")</f>
        <v>-</v>
      </c>
      <c r="H626" s="100">
        <f>ventas_b_mes1255[[#This Row],[TOTAL]]/1.21</f>
        <v>0</v>
      </c>
      <c r="I626" s="64">
        <f>ventas_b_mes1255[[#This Row],[IMPORTE NETO]]*0.21</f>
        <v>0</v>
      </c>
      <c r="J626" s="141"/>
      <c r="K626" s="141"/>
      <c r="L626" s="141"/>
      <c r="M626" s="59"/>
    </row>
    <row r="627" spans="2:13">
      <c r="B627" s="135"/>
      <c r="C627" s="136"/>
      <c r="D627" s="137"/>
      <c r="E627" s="138"/>
      <c r="F627" s="139"/>
      <c r="G627" s="1" t="str">
        <f>IFERROR(IF(ventas_b_mes1255[[#This Row],[CUIT]]="","-",VLOOKUP(ventas_b_mes1255[[#This Row],[CUIT]],Lista_CUIT[#All],2,0)),"CUIT NO CARGADO")</f>
        <v>-</v>
      </c>
      <c r="H627" s="100">
        <f>ventas_b_mes1255[[#This Row],[TOTAL]]/1.21</f>
        <v>0</v>
      </c>
      <c r="I627" s="64">
        <f>ventas_b_mes1255[[#This Row],[IMPORTE NETO]]*0.21</f>
        <v>0</v>
      </c>
      <c r="J627" s="141"/>
      <c r="K627" s="141"/>
      <c r="L627" s="141"/>
      <c r="M627" s="59"/>
    </row>
    <row r="628" spans="2:13">
      <c r="B628" s="135"/>
      <c r="C628" s="136"/>
      <c r="D628" s="137"/>
      <c r="E628" s="138"/>
      <c r="F628" s="139"/>
      <c r="G628" s="1" t="str">
        <f>IFERROR(IF(ventas_b_mes1255[[#This Row],[CUIT]]="","-",VLOOKUP(ventas_b_mes1255[[#This Row],[CUIT]],Lista_CUIT[#All],2,0)),"CUIT NO CARGADO")</f>
        <v>-</v>
      </c>
      <c r="H628" s="100">
        <f>ventas_b_mes1255[[#This Row],[TOTAL]]/1.21</f>
        <v>0</v>
      </c>
      <c r="I628" s="64">
        <f>ventas_b_mes1255[[#This Row],[IMPORTE NETO]]*0.21</f>
        <v>0</v>
      </c>
      <c r="J628" s="141"/>
      <c r="K628" s="141"/>
      <c r="L628" s="141"/>
      <c r="M628" s="59"/>
    </row>
    <row r="629" spans="2:13">
      <c r="B629" s="135"/>
      <c r="C629" s="136"/>
      <c r="D629" s="137"/>
      <c r="E629" s="138"/>
      <c r="F629" s="139"/>
      <c r="G629" s="1" t="str">
        <f>IFERROR(IF(ventas_b_mes1255[[#This Row],[CUIT]]="","-",VLOOKUP(ventas_b_mes1255[[#This Row],[CUIT]],Lista_CUIT[#All],2,0)),"CUIT NO CARGADO")</f>
        <v>-</v>
      </c>
      <c r="H629" s="100">
        <f>ventas_b_mes1255[[#This Row],[TOTAL]]/1.21</f>
        <v>0</v>
      </c>
      <c r="I629" s="64">
        <f>ventas_b_mes1255[[#This Row],[IMPORTE NETO]]*0.21</f>
        <v>0</v>
      </c>
      <c r="J629" s="141"/>
      <c r="K629" s="141"/>
      <c r="L629" s="141"/>
      <c r="M629" s="59"/>
    </row>
    <row r="630" spans="2:13">
      <c r="B630" s="135"/>
      <c r="C630" s="136"/>
      <c r="D630" s="137"/>
      <c r="E630" s="138"/>
      <c r="F630" s="139"/>
      <c r="G630" s="1" t="str">
        <f>IFERROR(IF(ventas_b_mes1255[[#This Row],[CUIT]]="","-",VLOOKUP(ventas_b_mes1255[[#This Row],[CUIT]],Lista_CUIT[#All],2,0)),"CUIT NO CARGADO")</f>
        <v>-</v>
      </c>
      <c r="H630" s="100">
        <f>ventas_b_mes1255[[#This Row],[TOTAL]]/1.21</f>
        <v>0</v>
      </c>
      <c r="I630" s="64">
        <f>ventas_b_mes1255[[#This Row],[IMPORTE NETO]]*0.21</f>
        <v>0</v>
      </c>
      <c r="J630" s="141"/>
      <c r="K630" s="141"/>
      <c r="L630" s="141"/>
      <c r="M630" s="59"/>
    </row>
    <row r="631" spans="2:13">
      <c r="B631" s="135"/>
      <c r="C631" s="136"/>
      <c r="D631" s="137"/>
      <c r="E631" s="138"/>
      <c r="F631" s="139"/>
      <c r="G631" s="1" t="str">
        <f>IFERROR(IF(ventas_b_mes1255[[#This Row],[CUIT]]="","-",VLOOKUP(ventas_b_mes1255[[#This Row],[CUIT]],Lista_CUIT[#All],2,0)),"CUIT NO CARGADO")</f>
        <v>-</v>
      </c>
      <c r="H631" s="100">
        <f>ventas_b_mes1255[[#This Row],[TOTAL]]/1.21</f>
        <v>0</v>
      </c>
      <c r="I631" s="64">
        <f>ventas_b_mes1255[[#This Row],[IMPORTE NETO]]*0.21</f>
        <v>0</v>
      </c>
      <c r="J631" s="141"/>
      <c r="K631" s="141"/>
      <c r="L631" s="141"/>
      <c r="M631" s="59"/>
    </row>
    <row r="632" spans="2:13">
      <c r="B632" s="135"/>
      <c r="C632" s="136"/>
      <c r="D632" s="137"/>
      <c r="E632" s="138"/>
      <c r="F632" s="139"/>
      <c r="G632" s="1" t="str">
        <f>IFERROR(IF(ventas_b_mes1255[[#This Row],[CUIT]]="","-",VLOOKUP(ventas_b_mes1255[[#This Row],[CUIT]],Lista_CUIT[#All],2,0)),"CUIT NO CARGADO")</f>
        <v>-</v>
      </c>
      <c r="H632" s="100">
        <f>ventas_b_mes1255[[#This Row],[TOTAL]]/1.21</f>
        <v>0</v>
      </c>
      <c r="I632" s="64">
        <f>ventas_b_mes1255[[#This Row],[IMPORTE NETO]]*0.21</f>
        <v>0</v>
      </c>
      <c r="J632" s="141"/>
      <c r="K632" s="141"/>
      <c r="L632" s="141"/>
      <c r="M632" s="59"/>
    </row>
    <row r="633" spans="2:13">
      <c r="B633" s="135"/>
      <c r="C633" s="136"/>
      <c r="D633" s="137"/>
      <c r="E633" s="138"/>
      <c r="F633" s="139"/>
      <c r="G633" s="1" t="str">
        <f>IFERROR(IF(ventas_b_mes1255[[#This Row],[CUIT]]="","-",VLOOKUP(ventas_b_mes1255[[#This Row],[CUIT]],Lista_CUIT[#All],2,0)),"CUIT NO CARGADO")</f>
        <v>-</v>
      </c>
      <c r="H633" s="100">
        <f>ventas_b_mes1255[[#This Row],[TOTAL]]/1.21</f>
        <v>0</v>
      </c>
      <c r="I633" s="64">
        <f>ventas_b_mes1255[[#This Row],[IMPORTE NETO]]*0.21</f>
        <v>0</v>
      </c>
      <c r="J633" s="141"/>
      <c r="K633" s="141"/>
      <c r="L633" s="141"/>
      <c r="M633" s="59"/>
    </row>
    <row r="634" spans="2:13">
      <c r="B634" s="135"/>
      <c r="C634" s="136"/>
      <c r="D634" s="137"/>
      <c r="E634" s="138"/>
      <c r="F634" s="139"/>
      <c r="G634" s="1" t="str">
        <f>IFERROR(IF(ventas_b_mes1255[[#This Row],[CUIT]]="","-",VLOOKUP(ventas_b_mes1255[[#This Row],[CUIT]],Lista_CUIT[#All],2,0)),"CUIT NO CARGADO")</f>
        <v>-</v>
      </c>
      <c r="H634" s="100">
        <f>ventas_b_mes1255[[#This Row],[TOTAL]]/1.21</f>
        <v>0</v>
      </c>
      <c r="I634" s="64">
        <f>ventas_b_mes1255[[#This Row],[IMPORTE NETO]]*0.21</f>
        <v>0</v>
      </c>
      <c r="J634" s="141"/>
      <c r="K634" s="141"/>
      <c r="L634" s="141"/>
      <c r="M634" s="59"/>
    </row>
    <row r="635" spans="2:13">
      <c r="B635" s="135"/>
      <c r="C635" s="136"/>
      <c r="D635" s="137"/>
      <c r="E635" s="138"/>
      <c r="F635" s="139"/>
      <c r="G635" s="1" t="str">
        <f>IFERROR(IF(ventas_b_mes1255[[#This Row],[CUIT]]="","-",VLOOKUP(ventas_b_mes1255[[#This Row],[CUIT]],Lista_CUIT[#All],2,0)),"CUIT NO CARGADO")</f>
        <v>-</v>
      </c>
      <c r="H635" s="100">
        <f>ventas_b_mes1255[[#This Row],[TOTAL]]/1.21</f>
        <v>0</v>
      </c>
      <c r="I635" s="64">
        <f>ventas_b_mes1255[[#This Row],[IMPORTE NETO]]*0.21</f>
        <v>0</v>
      </c>
      <c r="J635" s="141"/>
      <c r="K635" s="141"/>
      <c r="L635" s="141"/>
      <c r="M635" s="59"/>
    </row>
    <row r="636" spans="2:13">
      <c r="B636" s="135"/>
      <c r="C636" s="136"/>
      <c r="D636" s="137"/>
      <c r="E636" s="138"/>
      <c r="F636" s="139"/>
      <c r="G636" s="1" t="str">
        <f>IFERROR(IF(ventas_b_mes1255[[#This Row],[CUIT]]="","-",VLOOKUP(ventas_b_mes1255[[#This Row],[CUIT]],Lista_CUIT[#All],2,0)),"CUIT NO CARGADO")</f>
        <v>-</v>
      </c>
      <c r="H636" s="100">
        <f>ventas_b_mes1255[[#This Row],[TOTAL]]/1.21</f>
        <v>0</v>
      </c>
      <c r="I636" s="64">
        <f>ventas_b_mes1255[[#This Row],[IMPORTE NETO]]*0.21</f>
        <v>0</v>
      </c>
      <c r="J636" s="141"/>
      <c r="K636" s="141"/>
      <c r="L636" s="141"/>
      <c r="M636" s="59"/>
    </row>
    <row r="637" spans="2:13">
      <c r="B637" s="135"/>
      <c r="C637" s="136"/>
      <c r="D637" s="137"/>
      <c r="E637" s="138"/>
      <c r="F637" s="139"/>
      <c r="G637" s="1" t="str">
        <f>IFERROR(IF(ventas_b_mes1255[[#This Row],[CUIT]]="","-",VLOOKUP(ventas_b_mes1255[[#This Row],[CUIT]],Lista_CUIT[#All],2,0)),"CUIT NO CARGADO")</f>
        <v>-</v>
      </c>
      <c r="H637" s="100">
        <f>ventas_b_mes1255[[#This Row],[TOTAL]]/1.21</f>
        <v>0</v>
      </c>
      <c r="I637" s="64">
        <f>ventas_b_mes1255[[#This Row],[IMPORTE NETO]]*0.21</f>
        <v>0</v>
      </c>
      <c r="J637" s="141"/>
      <c r="K637" s="141"/>
      <c r="L637" s="141"/>
      <c r="M637" s="59"/>
    </row>
    <row r="638" spans="2:13">
      <c r="B638" s="135"/>
      <c r="C638" s="136"/>
      <c r="D638" s="137"/>
      <c r="E638" s="138"/>
      <c r="F638" s="139"/>
      <c r="G638" s="1" t="str">
        <f>IFERROR(IF(ventas_b_mes1255[[#This Row],[CUIT]]="","-",VLOOKUP(ventas_b_mes1255[[#This Row],[CUIT]],Lista_CUIT[#All],2,0)),"CUIT NO CARGADO")</f>
        <v>-</v>
      </c>
      <c r="H638" s="100">
        <f>ventas_b_mes1255[[#This Row],[TOTAL]]/1.21</f>
        <v>0</v>
      </c>
      <c r="I638" s="64">
        <f>ventas_b_mes1255[[#This Row],[IMPORTE NETO]]*0.21</f>
        <v>0</v>
      </c>
      <c r="J638" s="141"/>
      <c r="K638" s="141"/>
      <c r="L638" s="141"/>
      <c r="M638" s="59"/>
    </row>
    <row r="639" spans="2:13">
      <c r="B639" s="135"/>
      <c r="C639" s="136"/>
      <c r="D639" s="137"/>
      <c r="E639" s="138"/>
      <c r="F639" s="139"/>
      <c r="G639" s="1" t="str">
        <f>IFERROR(IF(ventas_b_mes1255[[#This Row],[CUIT]]="","-",VLOOKUP(ventas_b_mes1255[[#This Row],[CUIT]],Lista_CUIT[#All],2,0)),"CUIT NO CARGADO")</f>
        <v>-</v>
      </c>
      <c r="H639" s="100">
        <f>ventas_b_mes1255[[#This Row],[TOTAL]]/1.21</f>
        <v>0</v>
      </c>
      <c r="I639" s="64">
        <f>ventas_b_mes1255[[#This Row],[IMPORTE NETO]]*0.21</f>
        <v>0</v>
      </c>
      <c r="J639" s="141"/>
      <c r="K639" s="141"/>
      <c r="L639" s="141"/>
      <c r="M639" s="59"/>
    </row>
    <row r="640" spans="2:13">
      <c r="B640" s="135"/>
      <c r="C640" s="136"/>
      <c r="D640" s="137"/>
      <c r="E640" s="138"/>
      <c r="F640" s="139"/>
      <c r="G640" s="1" t="str">
        <f>IFERROR(IF(ventas_b_mes1255[[#This Row],[CUIT]]="","-",VLOOKUP(ventas_b_mes1255[[#This Row],[CUIT]],Lista_CUIT[#All],2,0)),"CUIT NO CARGADO")</f>
        <v>-</v>
      </c>
      <c r="H640" s="100">
        <f>ventas_b_mes1255[[#This Row],[TOTAL]]/1.21</f>
        <v>0</v>
      </c>
      <c r="I640" s="64">
        <f>ventas_b_mes1255[[#This Row],[IMPORTE NETO]]*0.21</f>
        <v>0</v>
      </c>
      <c r="J640" s="141"/>
      <c r="K640" s="141"/>
      <c r="L640" s="141"/>
      <c r="M640" s="59"/>
    </row>
    <row r="641" spans="2:13">
      <c r="B641" s="135"/>
      <c r="C641" s="136"/>
      <c r="D641" s="137"/>
      <c r="E641" s="138"/>
      <c r="F641" s="139"/>
      <c r="G641" s="1" t="str">
        <f>IFERROR(IF(ventas_b_mes1255[[#This Row],[CUIT]]="","-",VLOOKUP(ventas_b_mes1255[[#This Row],[CUIT]],Lista_CUIT[#All],2,0)),"CUIT NO CARGADO")</f>
        <v>-</v>
      </c>
      <c r="H641" s="100">
        <f>ventas_b_mes1255[[#This Row],[TOTAL]]/1.21</f>
        <v>0</v>
      </c>
      <c r="I641" s="64">
        <f>ventas_b_mes1255[[#This Row],[IMPORTE NETO]]*0.21</f>
        <v>0</v>
      </c>
      <c r="J641" s="141"/>
      <c r="K641" s="141"/>
      <c r="L641" s="141"/>
      <c r="M641" s="59"/>
    </row>
    <row r="642" spans="2:13">
      <c r="B642" s="135"/>
      <c r="C642" s="136"/>
      <c r="D642" s="137"/>
      <c r="E642" s="138"/>
      <c r="F642" s="139"/>
      <c r="G642" s="1" t="str">
        <f>IFERROR(IF(ventas_b_mes1255[[#This Row],[CUIT]]="","-",VLOOKUP(ventas_b_mes1255[[#This Row],[CUIT]],Lista_CUIT[#All],2,0)),"CUIT NO CARGADO")</f>
        <v>-</v>
      </c>
      <c r="H642" s="100">
        <f>ventas_b_mes1255[[#This Row],[TOTAL]]/1.21</f>
        <v>0</v>
      </c>
      <c r="I642" s="64">
        <f>ventas_b_mes1255[[#This Row],[IMPORTE NETO]]*0.21</f>
        <v>0</v>
      </c>
      <c r="J642" s="141"/>
      <c r="K642" s="141"/>
      <c r="L642" s="141"/>
      <c r="M642" s="59"/>
    </row>
    <row r="643" spans="2:13">
      <c r="B643" s="135"/>
      <c r="C643" s="136"/>
      <c r="D643" s="137"/>
      <c r="E643" s="138"/>
      <c r="F643" s="139"/>
      <c r="G643" s="1" t="str">
        <f>IFERROR(IF(ventas_b_mes1255[[#This Row],[CUIT]]="","-",VLOOKUP(ventas_b_mes1255[[#This Row],[CUIT]],Lista_CUIT[#All],2,0)),"CUIT NO CARGADO")</f>
        <v>-</v>
      </c>
      <c r="H643" s="100">
        <f>ventas_b_mes1255[[#This Row],[TOTAL]]/1.21</f>
        <v>0</v>
      </c>
      <c r="I643" s="64">
        <f>ventas_b_mes1255[[#This Row],[IMPORTE NETO]]*0.21</f>
        <v>0</v>
      </c>
      <c r="J643" s="141"/>
      <c r="K643" s="141"/>
      <c r="L643" s="141"/>
      <c r="M643" s="59"/>
    </row>
    <row r="644" spans="2:13">
      <c r="B644" s="135"/>
      <c r="C644" s="136"/>
      <c r="D644" s="137"/>
      <c r="E644" s="138"/>
      <c r="F644" s="139"/>
      <c r="G644" s="1" t="str">
        <f>IFERROR(IF(ventas_b_mes1255[[#This Row],[CUIT]]="","-",VLOOKUP(ventas_b_mes1255[[#This Row],[CUIT]],Lista_CUIT[#All],2,0)),"CUIT NO CARGADO")</f>
        <v>-</v>
      </c>
      <c r="H644" s="100">
        <f>ventas_b_mes1255[[#This Row],[TOTAL]]/1.21</f>
        <v>0</v>
      </c>
      <c r="I644" s="64">
        <f>ventas_b_mes1255[[#This Row],[IMPORTE NETO]]*0.21</f>
        <v>0</v>
      </c>
      <c r="J644" s="141"/>
      <c r="K644" s="141"/>
      <c r="L644" s="141"/>
      <c r="M644" s="59"/>
    </row>
    <row r="645" spans="2:13">
      <c r="B645" s="135"/>
      <c r="C645" s="136"/>
      <c r="D645" s="137"/>
      <c r="E645" s="138"/>
      <c r="F645" s="139"/>
      <c r="G645" s="1" t="str">
        <f>IFERROR(IF(ventas_b_mes1255[[#This Row],[CUIT]]="","-",VLOOKUP(ventas_b_mes1255[[#This Row],[CUIT]],Lista_CUIT[#All],2,0)),"CUIT NO CARGADO")</f>
        <v>-</v>
      </c>
      <c r="H645" s="100">
        <f>ventas_b_mes1255[[#This Row],[TOTAL]]/1.21</f>
        <v>0</v>
      </c>
      <c r="I645" s="64">
        <f>ventas_b_mes1255[[#This Row],[IMPORTE NETO]]*0.21</f>
        <v>0</v>
      </c>
      <c r="J645" s="141"/>
      <c r="K645" s="141"/>
      <c r="L645" s="141"/>
      <c r="M645" s="59"/>
    </row>
    <row r="646" spans="2:13">
      <c r="B646" s="135"/>
      <c r="C646" s="136"/>
      <c r="D646" s="137"/>
      <c r="E646" s="138"/>
      <c r="F646" s="139"/>
      <c r="G646" s="1" t="str">
        <f>IFERROR(IF(ventas_b_mes1255[[#This Row],[CUIT]]="","-",VLOOKUP(ventas_b_mes1255[[#This Row],[CUIT]],Lista_CUIT[#All],2,0)),"CUIT NO CARGADO")</f>
        <v>-</v>
      </c>
      <c r="H646" s="100">
        <f>ventas_b_mes1255[[#This Row],[TOTAL]]/1.21</f>
        <v>0</v>
      </c>
      <c r="I646" s="64">
        <f>ventas_b_mes1255[[#This Row],[IMPORTE NETO]]*0.21</f>
        <v>0</v>
      </c>
      <c r="J646" s="141"/>
      <c r="K646" s="141"/>
      <c r="L646" s="141"/>
      <c r="M646" s="59"/>
    </row>
    <row r="647" spans="2:13">
      <c r="B647" s="135"/>
      <c r="C647" s="136"/>
      <c r="D647" s="137"/>
      <c r="E647" s="138"/>
      <c r="F647" s="139"/>
      <c r="G647" s="1" t="str">
        <f>IFERROR(IF(ventas_b_mes1255[[#This Row],[CUIT]]="","-",VLOOKUP(ventas_b_mes1255[[#This Row],[CUIT]],Lista_CUIT[#All],2,0)),"CUIT NO CARGADO")</f>
        <v>-</v>
      </c>
      <c r="H647" s="100">
        <f>ventas_b_mes1255[[#This Row],[TOTAL]]/1.21</f>
        <v>0</v>
      </c>
      <c r="I647" s="64">
        <f>ventas_b_mes1255[[#This Row],[IMPORTE NETO]]*0.21</f>
        <v>0</v>
      </c>
      <c r="J647" s="141"/>
      <c r="K647" s="141"/>
      <c r="L647" s="141"/>
      <c r="M647" s="59"/>
    </row>
    <row r="648" spans="2:13">
      <c r="B648" s="135"/>
      <c r="C648" s="136"/>
      <c r="D648" s="137"/>
      <c r="E648" s="138"/>
      <c r="F648" s="139"/>
      <c r="G648" s="1" t="str">
        <f>IFERROR(IF(ventas_b_mes1255[[#This Row],[CUIT]]="","-",VLOOKUP(ventas_b_mes1255[[#This Row],[CUIT]],Lista_CUIT[#All],2,0)),"CUIT NO CARGADO")</f>
        <v>-</v>
      </c>
      <c r="H648" s="100">
        <f>ventas_b_mes1255[[#This Row],[TOTAL]]/1.21</f>
        <v>0</v>
      </c>
      <c r="I648" s="64">
        <f>ventas_b_mes1255[[#This Row],[IMPORTE NETO]]*0.21</f>
        <v>0</v>
      </c>
      <c r="J648" s="141"/>
      <c r="K648" s="141"/>
      <c r="L648" s="141"/>
      <c r="M648" s="59"/>
    </row>
    <row r="649" spans="2:13">
      <c r="B649" s="135"/>
      <c r="C649" s="136"/>
      <c r="D649" s="137"/>
      <c r="E649" s="138"/>
      <c r="F649" s="139"/>
      <c r="G649" s="1" t="str">
        <f>IFERROR(IF(ventas_b_mes1255[[#This Row],[CUIT]]="","-",VLOOKUP(ventas_b_mes1255[[#This Row],[CUIT]],Lista_CUIT[#All],2,0)),"CUIT NO CARGADO")</f>
        <v>-</v>
      </c>
      <c r="H649" s="100">
        <f>ventas_b_mes1255[[#This Row],[TOTAL]]/1.21</f>
        <v>0</v>
      </c>
      <c r="I649" s="64">
        <f>ventas_b_mes1255[[#This Row],[IMPORTE NETO]]*0.21</f>
        <v>0</v>
      </c>
      <c r="J649" s="141"/>
      <c r="K649" s="141"/>
      <c r="L649" s="141"/>
      <c r="M649" s="59"/>
    </row>
    <row r="650" spans="2:13">
      <c r="B650" s="135"/>
      <c r="C650" s="136"/>
      <c r="D650" s="137"/>
      <c r="E650" s="138"/>
      <c r="F650" s="139"/>
      <c r="G650" s="1" t="str">
        <f>IFERROR(IF(ventas_b_mes1255[[#This Row],[CUIT]]="","-",VLOOKUP(ventas_b_mes1255[[#This Row],[CUIT]],Lista_CUIT[#All],2,0)),"CUIT NO CARGADO")</f>
        <v>-</v>
      </c>
      <c r="H650" s="100">
        <f>ventas_b_mes1255[[#This Row],[TOTAL]]/1.21</f>
        <v>0</v>
      </c>
      <c r="I650" s="64">
        <f>ventas_b_mes1255[[#This Row],[IMPORTE NETO]]*0.21</f>
        <v>0</v>
      </c>
      <c r="J650" s="141"/>
      <c r="K650" s="141"/>
      <c r="L650" s="141"/>
      <c r="M650" s="59"/>
    </row>
    <row r="651" spans="2:13">
      <c r="B651" s="135"/>
      <c r="C651" s="136"/>
      <c r="D651" s="137"/>
      <c r="E651" s="138"/>
      <c r="F651" s="139"/>
      <c r="G651" s="1" t="str">
        <f>IFERROR(IF(ventas_b_mes1255[[#This Row],[CUIT]]="","-",VLOOKUP(ventas_b_mes1255[[#This Row],[CUIT]],Lista_CUIT[#All],2,0)),"CUIT NO CARGADO")</f>
        <v>-</v>
      </c>
      <c r="H651" s="100">
        <f>ventas_b_mes1255[[#This Row],[TOTAL]]/1.21</f>
        <v>0</v>
      </c>
      <c r="I651" s="64">
        <f>ventas_b_mes1255[[#This Row],[IMPORTE NETO]]*0.21</f>
        <v>0</v>
      </c>
      <c r="J651" s="141"/>
      <c r="K651" s="141"/>
      <c r="L651" s="141"/>
      <c r="M651" s="59"/>
    </row>
    <row r="652" spans="2:13">
      <c r="B652" s="135"/>
      <c r="C652" s="136"/>
      <c r="D652" s="137"/>
      <c r="E652" s="138"/>
      <c r="F652" s="139"/>
      <c r="G652" s="1" t="str">
        <f>IFERROR(IF(ventas_b_mes1255[[#This Row],[CUIT]]="","-",VLOOKUP(ventas_b_mes1255[[#This Row],[CUIT]],Lista_CUIT[#All],2,0)),"CUIT NO CARGADO")</f>
        <v>-</v>
      </c>
      <c r="H652" s="100">
        <f>ventas_b_mes1255[[#This Row],[TOTAL]]/1.21</f>
        <v>0</v>
      </c>
      <c r="I652" s="64">
        <f>ventas_b_mes1255[[#This Row],[IMPORTE NETO]]*0.21</f>
        <v>0</v>
      </c>
      <c r="J652" s="141"/>
      <c r="K652" s="141"/>
      <c r="L652" s="141"/>
      <c r="M652" s="59"/>
    </row>
    <row r="653" spans="2:13">
      <c r="B653" s="135"/>
      <c r="C653" s="136"/>
      <c r="D653" s="137"/>
      <c r="E653" s="138"/>
      <c r="F653" s="139"/>
      <c r="G653" s="1" t="str">
        <f>IFERROR(IF(ventas_b_mes1255[[#This Row],[CUIT]]="","-",VLOOKUP(ventas_b_mes1255[[#This Row],[CUIT]],Lista_CUIT[#All],2,0)),"CUIT NO CARGADO")</f>
        <v>-</v>
      </c>
      <c r="H653" s="100">
        <f>ventas_b_mes1255[[#This Row],[TOTAL]]/1.21</f>
        <v>0</v>
      </c>
      <c r="I653" s="64">
        <f>ventas_b_mes1255[[#This Row],[IMPORTE NETO]]*0.21</f>
        <v>0</v>
      </c>
      <c r="J653" s="141"/>
      <c r="K653" s="141"/>
      <c r="L653" s="141"/>
      <c r="M653" s="59"/>
    </row>
    <row r="654" spans="2:13">
      <c r="B654" s="135"/>
      <c r="C654" s="136"/>
      <c r="D654" s="137"/>
      <c r="E654" s="138"/>
      <c r="F654" s="139"/>
      <c r="G654" s="1" t="str">
        <f>IFERROR(IF(ventas_b_mes1255[[#This Row],[CUIT]]="","-",VLOOKUP(ventas_b_mes1255[[#This Row],[CUIT]],Lista_CUIT[#All],2,0)),"CUIT NO CARGADO")</f>
        <v>-</v>
      </c>
      <c r="H654" s="100">
        <f>ventas_b_mes1255[[#This Row],[TOTAL]]/1.21</f>
        <v>0</v>
      </c>
      <c r="I654" s="64">
        <f>ventas_b_mes1255[[#This Row],[IMPORTE NETO]]*0.21</f>
        <v>0</v>
      </c>
      <c r="J654" s="141"/>
      <c r="K654" s="141"/>
      <c r="L654" s="141"/>
      <c r="M654" s="59"/>
    </row>
    <row r="655" spans="2:13">
      <c r="B655" s="135"/>
      <c r="C655" s="136"/>
      <c r="D655" s="137"/>
      <c r="E655" s="138"/>
      <c r="F655" s="139"/>
      <c r="G655" s="1" t="str">
        <f>IFERROR(IF(ventas_b_mes1255[[#This Row],[CUIT]]="","-",VLOOKUP(ventas_b_mes1255[[#This Row],[CUIT]],Lista_CUIT[#All],2,0)),"CUIT NO CARGADO")</f>
        <v>-</v>
      </c>
      <c r="H655" s="100">
        <f>ventas_b_mes1255[[#This Row],[TOTAL]]/1.21</f>
        <v>0</v>
      </c>
      <c r="I655" s="64">
        <f>ventas_b_mes1255[[#This Row],[IMPORTE NETO]]*0.21</f>
        <v>0</v>
      </c>
      <c r="J655" s="141"/>
      <c r="K655" s="141"/>
      <c r="L655" s="141"/>
      <c r="M655" s="59"/>
    </row>
    <row r="656" spans="2:13">
      <c r="B656" s="135"/>
      <c r="C656" s="136"/>
      <c r="D656" s="137"/>
      <c r="E656" s="138"/>
      <c r="F656" s="139"/>
      <c r="G656" s="1" t="str">
        <f>IFERROR(IF(ventas_b_mes1255[[#This Row],[CUIT]]="","-",VLOOKUP(ventas_b_mes1255[[#This Row],[CUIT]],Lista_CUIT[#All],2,0)),"CUIT NO CARGADO")</f>
        <v>-</v>
      </c>
      <c r="H656" s="100">
        <f>ventas_b_mes1255[[#This Row],[TOTAL]]/1.21</f>
        <v>0</v>
      </c>
      <c r="I656" s="64">
        <f>ventas_b_mes1255[[#This Row],[IMPORTE NETO]]*0.21</f>
        <v>0</v>
      </c>
      <c r="J656" s="141"/>
      <c r="K656" s="141"/>
      <c r="L656" s="141"/>
      <c r="M656" s="59"/>
    </row>
    <row r="657" spans="2:13">
      <c r="B657" s="135"/>
      <c r="C657" s="136"/>
      <c r="D657" s="137"/>
      <c r="E657" s="138"/>
      <c r="F657" s="139"/>
      <c r="G657" s="1" t="str">
        <f>IFERROR(IF(ventas_b_mes1255[[#This Row],[CUIT]]="","-",VLOOKUP(ventas_b_mes1255[[#This Row],[CUIT]],Lista_CUIT[#All],2,0)),"CUIT NO CARGADO")</f>
        <v>-</v>
      </c>
      <c r="H657" s="100">
        <f>ventas_b_mes1255[[#This Row],[TOTAL]]/1.21</f>
        <v>0</v>
      </c>
      <c r="I657" s="64">
        <f>ventas_b_mes1255[[#This Row],[IMPORTE NETO]]*0.21</f>
        <v>0</v>
      </c>
      <c r="J657" s="141"/>
      <c r="K657" s="141"/>
      <c r="L657" s="141"/>
      <c r="M657" s="59"/>
    </row>
    <row r="658" spans="2:13">
      <c r="B658" s="135"/>
      <c r="C658" s="136"/>
      <c r="D658" s="137"/>
      <c r="E658" s="138"/>
      <c r="F658" s="139"/>
      <c r="G658" s="1" t="str">
        <f>IFERROR(IF(ventas_b_mes1255[[#This Row],[CUIT]]="","-",VLOOKUP(ventas_b_mes1255[[#This Row],[CUIT]],Lista_CUIT[#All],2,0)),"CUIT NO CARGADO")</f>
        <v>-</v>
      </c>
      <c r="H658" s="100">
        <f>ventas_b_mes1255[[#This Row],[TOTAL]]/1.21</f>
        <v>0</v>
      </c>
      <c r="I658" s="64">
        <f>ventas_b_mes1255[[#This Row],[IMPORTE NETO]]*0.21</f>
        <v>0</v>
      </c>
      <c r="J658" s="141"/>
      <c r="K658" s="141"/>
      <c r="L658" s="141"/>
      <c r="M658" s="59"/>
    </row>
    <row r="659" spans="2:13">
      <c r="B659" s="135"/>
      <c r="C659" s="136"/>
      <c r="D659" s="137"/>
      <c r="E659" s="138"/>
      <c r="F659" s="139"/>
      <c r="G659" s="1" t="str">
        <f>IFERROR(IF(ventas_b_mes1255[[#This Row],[CUIT]]="","-",VLOOKUP(ventas_b_mes1255[[#This Row],[CUIT]],Lista_CUIT[#All],2,0)),"CUIT NO CARGADO")</f>
        <v>-</v>
      </c>
      <c r="H659" s="100">
        <f>ventas_b_mes1255[[#This Row],[TOTAL]]/1.21</f>
        <v>0</v>
      </c>
      <c r="I659" s="64">
        <f>ventas_b_mes1255[[#This Row],[IMPORTE NETO]]*0.21</f>
        <v>0</v>
      </c>
      <c r="J659" s="141"/>
      <c r="K659" s="141"/>
      <c r="L659" s="141"/>
      <c r="M659" s="59"/>
    </row>
    <row r="660" spans="2:13">
      <c r="B660" s="135"/>
      <c r="C660" s="136"/>
      <c r="D660" s="137"/>
      <c r="E660" s="138"/>
      <c r="F660" s="139"/>
      <c r="G660" s="1" t="str">
        <f>IFERROR(IF(ventas_b_mes1255[[#This Row],[CUIT]]="","-",VLOOKUP(ventas_b_mes1255[[#This Row],[CUIT]],Lista_CUIT[#All],2,0)),"CUIT NO CARGADO")</f>
        <v>-</v>
      </c>
      <c r="H660" s="100">
        <f>ventas_b_mes1255[[#This Row],[TOTAL]]/1.21</f>
        <v>0</v>
      </c>
      <c r="I660" s="64">
        <f>ventas_b_mes1255[[#This Row],[IMPORTE NETO]]*0.21</f>
        <v>0</v>
      </c>
      <c r="J660" s="141"/>
      <c r="K660" s="141"/>
      <c r="L660" s="141"/>
      <c r="M660" s="59"/>
    </row>
    <row r="661" spans="2:13">
      <c r="B661" s="135"/>
      <c r="C661" s="136"/>
      <c r="D661" s="137"/>
      <c r="E661" s="138"/>
      <c r="F661" s="139"/>
      <c r="G661" s="1" t="str">
        <f>IFERROR(IF(ventas_b_mes1255[[#This Row],[CUIT]]="","-",VLOOKUP(ventas_b_mes1255[[#This Row],[CUIT]],Lista_CUIT[#All],2,0)),"CUIT NO CARGADO")</f>
        <v>-</v>
      </c>
      <c r="H661" s="100">
        <f>ventas_b_mes1255[[#This Row],[TOTAL]]/1.21</f>
        <v>0</v>
      </c>
      <c r="I661" s="64">
        <f>ventas_b_mes1255[[#This Row],[IMPORTE NETO]]*0.21</f>
        <v>0</v>
      </c>
      <c r="J661" s="141"/>
      <c r="K661" s="141"/>
      <c r="L661" s="141"/>
      <c r="M661" s="59"/>
    </row>
    <row r="662" spans="2:13">
      <c r="B662" s="135"/>
      <c r="C662" s="136"/>
      <c r="D662" s="137"/>
      <c r="E662" s="138"/>
      <c r="F662" s="139"/>
      <c r="G662" s="1" t="str">
        <f>IFERROR(IF(ventas_b_mes1255[[#This Row],[CUIT]]="","-",VLOOKUP(ventas_b_mes1255[[#This Row],[CUIT]],Lista_CUIT[#All],2,0)),"CUIT NO CARGADO")</f>
        <v>-</v>
      </c>
      <c r="H662" s="100">
        <f>ventas_b_mes1255[[#This Row],[TOTAL]]/1.21</f>
        <v>0</v>
      </c>
      <c r="I662" s="64">
        <f>ventas_b_mes1255[[#This Row],[IMPORTE NETO]]*0.21</f>
        <v>0</v>
      </c>
      <c r="J662" s="141"/>
      <c r="K662" s="141"/>
      <c r="L662" s="141"/>
      <c r="M662" s="59"/>
    </row>
    <row r="663" spans="2:13">
      <c r="B663" s="135"/>
      <c r="C663" s="136"/>
      <c r="D663" s="137"/>
      <c r="E663" s="138"/>
      <c r="F663" s="139"/>
      <c r="G663" s="1" t="str">
        <f>IFERROR(IF(ventas_b_mes1255[[#This Row],[CUIT]]="","-",VLOOKUP(ventas_b_mes1255[[#This Row],[CUIT]],Lista_CUIT[#All],2,0)),"CUIT NO CARGADO")</f>
        <v>-</v>
      </c>
      <c r="H663" s="100">
        <f>ventas_b_mes1255[[#This Row],[TOTAL]]/1.21</f>
        <v>0</v>
      </c>
      <c r="I663" s="64">
        <f>ventas_b_mes1255[[#This Row],[IMPORTE NETO]]*0.21</f>
        <v>0</v>
      </c>
      <c r="J663" s="141"/>
      <c r="K663" s="141"/>
      <c r="L663" s="141"/>
      <c r="M663" s="59"/>
    </row>
    <row r="664" spans="2:13">
      <c r="B664" s="135"/>
      <c r="C664" s="136"/>
      <c r="D664" s="137"/>
      <c r="E664" s="138"/>
      <c r="F664" s="139"/>
      <c r="G664" s="1" t="str">
        <f>IFERROR(IF(ventas_b_mes1255[[#This Row],[CUIT]]="","-",VLOOKUP(ventas_b_mes1255[[#This Row],[CUIT]],Lista_CUIT[#All],2,0)),"CUIT NO CARGADO")</f>
        <v>-</v>
      </c>
      <c r="H664" s="100">
        <f>ventas_b_mes1255[[#This Row],[TOTAL]]/1.21</f>
        <v>0</v>
      </c>
      <c r="I664" s="64">
        <f>ventas_b_mes1255[[#This Row],[IMPORTE NETO]]*0.21</f>
        <v>0</v>
      </c>
      <c r="J664" s="141"/>
      <c r="K664" s="141"/>
      <c r="L664" s="141"/>
      <c r="M664" s="59"/>
    </row>
    <row r="665" spans="2:13">
      <c r="B665" s="135"/>
      <c r="C665" s="136"/>
      <c r="D665" s="137"/>
      <c r="E665" s="138"/>
      <c r="F665" s="139"/>
      <c r="G665" s="1" t="str">
        <f>IFERROR(IF(ventas_b_mes1255[[#This Row],[CUIT]]="","-",VLOOKUP(ventas_b_mes1255[[#This Row],[CUIT]],Lista_CUIT[#All],2,0)),"CUIT NO CARGADO")</f>
        <v>-</v>
      </c>
      <c r="H665" s="100">
        <f>ventas_b_mes1255[[#This Row],[TOTAL]]/1.21</f>
        <v>0</v>
      </c>
      <c r="I665" s="64">
        <f>ventas_b_mes1255[[#This Row],[IMPORTE NETO]]*0.21</f>
        <v>0</v>
      </c>
      <c r="J665" s="141"/>
      <c r="K665" s="141"/>
      <c r="L665" s="141"/>
      <c r="M665" s="59"/>
    </row>
    <row r="666" spans="2:13">
      <c r="B666" s="135"/>
      <c r="C666" s="136"/>
      <c r="D666" s="137"/>
      <c r="E666" s="138"/>
      <c r="F666" s="139"/>
      <c r="G666" s="1" t="str">
        <f>IFERROR(IF(ventas_b_mes1255[[#This Row],[CUIT]]="","-",VLOOKUP(ventas_b_mes1255[[#This Row],[CUIT]],Lista_CUIT[#All],2,0)),"CUIT NO CARGADO")</f>
        <v>-</v>
      </c>
      <c r="H666" s="100">
        <f>ventas_b_mes1255[[#This Row],[TOTAL]]/1.21</f>
        <v>0</v>
      </c>
      <c r="I666" s="64">
        <f>ventas_b_mes1255[[#This Row],[IMPORTE NETO]]*0.21</f>
        <v>0</v>
      </c>
      <c r="J666" s="141"/>
      <c r="K666" s="141"/>
      <c r="L666" s="141"/>
      <c r="M666" s="59"/>
    </row>
    <row r="667" spans="2:13">
      <c r="B667" s="135"/>
      <c r="C667" s="136"/>
      <c r="D667" s="137"/>
      <c r="E667" s="138"/>
      <c r="F667" s="139"/>
      <c r="G667" s="1" t="str">
        <f>IFERROR(IF(ventas_b_mes1255[[#This Row],[CUIT]]="","-",VLOOKUP(ventas_b_mes1255[[#This Row],[CUIT]],Lista_CUIT[#All],2,0)),"CUIT NO CARGADO")</f>
        <v>-</v>
      </c>
      <c r="H667" s="100">
        <f>ventas_b_mes1255[[#This Row],[TOTAL]]/1.21</f>
        <v>0</v>
      </c>
      <c r="I667" s="64">
        <f>ventas_b_mes1255[[#This Row],[IMPORTE NETO]]*0.21</f>
        <v>0</v>
      </c>
      <c r="J667" s="141"/>
      <c r="K667" s="141"/>
      <c r="L667" s="141"/>
      <c r="M667" s="59"/>
    </row>
    <row r="668" spans="2:13">
      <c r="B668" s="135"/>
      <c r="C668" s="136"/>
      <c r="D668" s="137"/>
      <c r="E668" s="138"/>
      <c r="F668" s="139"/>
      <c r="G668" s="1" t="str">
        <f>IFERROR(IF(ventas_b_mes1255[[#This Row],[CUIT]]="","-",VLOOKUP(ventas_b_mes1255[[#This Row],[CUIT]],Lista_CUIT[#All],2,0)),"CUIT NO CARGADO")</f>
        <v>-</v>
      </c>
      <c r="H668" s="100">
        <f>ventas_b_mes1255[[#This Row],[TOTAL]]/1.21</f>
        <v>0</v>
      </c>
      <c r="I668" s="64">
        <f>ventas_b_mes1255[[#This Row],[IMPORTE NETO]]*0.21</f>
        <v>0</v>
      </c>
      <c r="J668" s="141"/>
      <c r="K668" s="141"/>
      <c r="L668" s="141"/>
      <c r="M668" s="59"/>
    </row>
    <row r="669" spans="2:13">
      <c r="B669" s="135"/>
      <c r="C669" s="136"/>
      <c r="D669" s="137"/>
      <c r="E669" s="138"/>
      <c r="F669" s="139"/>
      <c r="G669" s="1" t="str">
        <f>IFERROR(IF(ventas_b_mes1255[[#This Row],[CUIT]]="","-",VLOOKUP(ventas_b_mes1255[[#This Row],[CUIT]],Lista_CUIT[#All],2,0)),"CUIT NO CARGADO")</f>
        <v>-</v>
      </c>
      <c r="H669" s="100">
        <f>ventas_b_mes1255[[#This Row],[TOTAL]]/1.21</f>
        <v>0</v>
      </c>
      <c r="I669" s="64">
        <f>ventas_b_mes1255[[#This Row],[IMPORTE NETO]]*0.21</f>
        <v>0</v>
      </c>
      <c r="J669" s="141"/>
      <c r="K669" s="141"/>
      <c r="L669" s="141"/>
      <c r="M669" s="59"/>
    </row>
    <row r="670" spans="2:13">
      <c r="B670" s="135"/>
      <c r="C670" s="136"/>
      <c r="D670" s="137"/>
      <c r="E670" s="138"/>
      <c r="F670" s="139"/>
      <c r="G670" s="1" t="str">
        <f>IFERROR(IF(ventas_b_mes1255[[#This Row],[CUIT]]="","-",VLOOKUP(ventas_b_mes1255[[#This Row],[CUIT]],Lista_CUIT[#All],2,0)),"CUIT NO CARGADO")</f>
        <v>-</v>
      </c>
      <c r="H670" s="100">
        <f>ventas_b_mes1255[[#This Row],[TOTAL]]/1.21</f>
        <v>0</v>
      </c>
      <c r="I670" s="64">
        <f>ventas_b_mes1255[[#This Row],[IMPORTE NETO]]*0.21</f>
        <v>0</v>
      </c>
      <c r="J670" s="141"/>
      <c r="K670" s="141"/>
      <c r="L670" s="141"/>
      <c r="M670" s="59"/>
    </row>
    <row r="671" spans="2:13">
      <c r="B671" s="135"/>
      <c r="C671" s="136"/>
      <c r="D671" s="137"/>
      <c r="E671" s="138"/>
      <c r="F671" s="139"/>
      <c r="G671" s="1" t="str">
        <f>IFERROR(IF(ventas_b_mes1255[[#This Row],[CUIT]]="","-",VLOOKUP(ventas_b_mes1255[[#This Row],[CUIT]],Lista_CUIT[#All],2,0)),"CUIT NO CARGADO")</f>
        <v>-</v>
      </c>
      <c r="H671" s="100">
        <f>ventas_b_mes1255[[#This Row],[TOTAL]]/1.21</f>
        <v>0</v>
      </c>
      <c r="I671" s="64">
        <f>ventas_b_mes1255[[#This Row],[IMPORTE NETO]]*0.21</f>
        <v>0</v>
      </c>
      <c r="J671" s="141"/>
      <c r="K671" s="141"/>
      <c r="L671" s="141"/>
      <c r="M671" s="59"/>
    </row>
    <row r="672" spans="2:13">
      <c r="B672" s="135"/>
      <c r="C672" s="136"/>
      <c r="D672" s="137"/>
      <c r="E672" s="138"/>
      <c r="F672" s="139"/>
      <c r="G672" s="1" t="str">
        <f>IFERROR(IF(ventas_b_mes1255[[#This Row],[CUIT]]="","-",VLOOKUP(ventas_b_mes1255[[#This Row],[CUIT]],Lista_CUIT[#All],2,0)),"CUIT NO CARGADO")</f>
        <v>-</v>
      </c>
      <c r="H672" s="100">
        <f>ventas_b_mes1255[[#This Row],[TOTAL]]/1.21</f>
        <v>0</v>
      </c>
      <c r="I672" s="64">
        <f>ventas_b_mes1255[[#This Row],[IMPORTE NETO]]*0.21</f>
        <v>0</v>
      </c>
      <c r="J672" s="141"/>
      <c r="K672" s="141"/>
      <c r="L672" s="141"/>
      <c r="M672" s="59"/>
    </row>
    <row r="673" spans="2:13">
      <c r="B673" s="135"/>
      <c r="C673" s="136"/>
      <c r="D673" s="137"/>
      <c r="E673" s="138"/>
      <c r="F673" s="139"/>
      <c r="G673" s="1" t="str">
        <f>IFERROR(IF(ventas_b_mes1255[[#This Row],[CUIT]]="","-",VLOOKUP(ventas_b_mes1255[[#This Row],[CUIT]],Lista_CUIT[#All],2,0)),"CUIT NO CARGADO")</f>
        <v>-</v>
      </c>
      <c r="H673" s="100">
        <f>ventas_b_mes1255[[#This Row],[TOTAL]]/1.21</f>
        <v>0</v>
      </c>
      <c r="I673" s="64">
        <f>ventas_b_mes1255[[#This Row],[IMPORTE NETO]]*0.21</f>
        <v>0</v>
      </c>
      <c r="J673" s="141"/>
      <c r="K673" s="141"/>
      <c r="L673" s="141"/>
      <c r="M673" s="59"/>
    </row>
    <row r="674" spans="2:13">
      <c r="B674" s="135"/>
      <c r="C674" s="136"/>
      <c r="D674" s="137"/>
      <c r="E674" s="138"/>
      <c r="F674" s="139"/>
      <c r="G674" s="1" t="str">
        <f>IFERROR(IF(ventas_b_mes1255[[#This Row],[CUIT]]="","-",VLOOKUP(ventas_b_mes1255[[#This Row],[CUIT]],Lista_CUIT[#All],2,0)),"CUIT NO CARGADO")</f>
        <v>-</v>
      </c>
      <c r="H674" s="100">
        <f>ventas_b_mes1255[[#This Row],[TOTAL]]/1.21</f>
        <v>0</v>
      </c>
      <c r="I674" s="64">
        <f>ventas_b_mes1255[[#This Row],[IMPORTE NETO]]*0.21</f>
        <v>0</v>
      </c>
      <c r="J674" s="141"/>
      <c r="K674" s="141"/>
      <c r="L674" s="141"/>
      <c r="M674" s="59"/>
    </row>
    <row r="675" spans="2:13">
      <c r="B675" s="135"/>
      <c r="C675" s="136"/>
      <c r="D675" s="137"/>
      <c r="E675" s="138"/>
      <c r="F675" s="139"/>
      <c r="G675" s="1" t="str">
        <f>IFERROR(IF(ventas_b_mes1255[[#This Row],[CUIT]]="","-",VLOOKUP(ventas_b_mes1255[[#This Row],[CUIT]],Lista_CUIT[#All],2,0)),"CUIT NO CARGADO")</f>
        <v>-</v>
      </c>
      <c r="H675" s="100">
        <f>ventas_b_mes1255[[#This Row],[TOTAL]]/1.21</f>
        <v>0</v>
      </c>
      <c r="I675" s="64">
        <f>ventas_b_mes1255[[#This Row],[IMPORTE NETO]]*0.21</f>
        <v>0</v>
      </c>
      <c r="J675" s="141"/>
      <c r="K675" s="141"/>
      <c r="L675" s="141"/>
      <c r="M675" s="59"/>
    </row>
    <row r="676" spans="2:13">
      <c r="B676" s="135"/>
      <c r="C676" s="136"/>
      <c r="D676" s="137"/>
      <c r="E676" s="138"/>
      <c r="F676" s="139"/>
      <c r="G676" s="1" t="str">
        <f>IFERROR(IF(ventas_b_mes1255[[#This Row],[CUIT]]="","-",VLOOKUP(ventas_b_mes1255[[#This Row],[CUIT]],Lista_CUIT[#All],2,0)),"CUIT NO CARGADO")</f>
        <v>-</v>
      </c>
      <c r="H676" s="100">
        <f>ventas_b_mes1255[[#This Row],[TOTAL]]/1.21</f>
        <v>0</v>
      </c>
      <c r="I676" s="64">
        <f>ventas_b_mes1255[[#This Row],[IMPORTE NETO]]*0.21</f>
        <v>0</v>
      </c>
      <c r="J676" s="141"/>
      <c r="K676" s="141"/>
      <c r="L676" s="141"/>
      <c r="M676" s="59"/>
    </row>
    <row r="677" spans="2:13">
      <c r="B677" s="135"/>
      <c r="C677" s="136"/>
      <c r="D677" s="137"/>
      <c r="E677" s="138"/>
      <c r="F677" s="139"/>
      <c r="G677" s="1" t="str">
        <f>IFERROR(IF(ventas_b_mes1255[[#This Row],[CUIT]]="","-",VLOOKUP(ventas_b_mes1255[[#This Row],[CUIT]],Lista_CUIT[#All],2,0)),"CUIT NO CARGADO")</f>
        <v>-</v>
      </c>
      <c r="H677" s="100">
        <f>ventas_b_mes1255[[#This Row],[TOTAL]]/1.21</f>
        <v>0</v>
      </c>
      <c r="I677" s="64">
        <f>ventas_b_mes1255[[#This Row],[IMPORTE NETO]]*0.21</f>
        <v>0</v>
      </c>
      <c r="J677" s="141"/>
      <c r="K677" s="141"/>
      <c r="L677" s="141"/>
      <c r="M677" s="59"/>
    </row>
    <row r="678" spans="2:13">
      <c r="B678" s="135"/>
      <c r="C678" s="136"/>
      <c r="D678" s="137"/>
      <c r="E678" s="138"/>
      <c r="F678" s="139"/>
      <c r="G678" s="1" t="str">
        <f>IFERROR(IF(ventas_b_mes1255[[#This Row],[CUIT]]="","-",VLOOKUP(ventas_b_mes1255[[#This Row],[CUIT]],Lista_CUIT[#All],2,0)),"CUIT NO CARGADO")</f>
        <v>-</v>
      </c>
      <c r="H678" s="100">
        <f>ventas_b_mes1255[[#This Row],[TOTAL]]/1.21</f>
        <v>0</v>
      </c>
      <c r="I678" s="64">
        <f>ventas_b_mes1255[[#This Row],[IMPORTE NETO]]*0.21</f>
        <v>0</v>
      </c>
      <c r="J678" s="141"/>
      <c r="K678" s="141"/>
      <c r="L678" s="141"/>
      <c r="M678" s="59"/>
    </row>
    <row r="679" spans="2:13">
      <c r="B679" s="135"/>
      <c r="C679" s="136"/>
      <c r="D679" s="137"/>
      <c r="E679" s="138"/>
      <c r="F679" s="139"/>
      <c r="G679" s="1" t="str">
        <f>IFERROR(IF(ventas_b_mes1255[[#This Row],[CUIT]]="","-",VLOOKUP(ventas_b_mes1255[[#This Row],[CUIT]],Lista_CUIT[#All],2,0)),"CUIT NO CARGADO")</f>
        <v>-</v>
      </c>
      <c r="H679" s="100">
        <f>ventas_b_mes1255[[#This Row],[TOTAL]]/1.21</f>
        <v>0</v>
      </c>
      <c r="I679" s="64">
        <f>ventas_b_mes1255[[#This Row],[IMPORTE NETO]]*0.21</f>
        <v>0</v>
      </c>
      <c r="J679" s="141"/>
      <c r="K679" s="141"/>
      <c r="L679" s="141"/>
      <c r="M679" s="59"/>
    </row>
    <row r="680" spans="2:13">
      <c r="B680" s="135"/>
      <c r="C680" s="136"/>
      <c r="D680" s="137"/>
      <c r="E680" s="138"/>
      <c r="F680" s="139"/>
      <c r="G680" s="1" t="str">
        <f>IFERROR(IF(ventas_b_mes1255[[#This Row],[CUIT]]="","-",VLOOKUP(ventas_b_mes1255[[#This Row],[CUIT]],Lista_CUIT[#All],2,0)),"CUIT NO CARGADO")</f>
        <v>-</v>
      </c>
      <c r="H680" s="100">
        <f>ventas_b_mes1255[[#This Row],[TOTAL]]/1.21</f>
        <v>0</v>
      </c>
      <c r="I680" s="64">
        <f>ventas_b_mes1255[[#This Row],[IMPORTE NETO]]*0.21</f>
        <v>0</v>
      </c>
      <c r="J680" s="141"/>
      <c r="K680" s="141"/>
      <c r="L680" s="141"/>
      <c r="M680" s="59"/>
    </row>
    <row r="681" spans="2:13">
      <c r="B681" s="135"/>
      <c r="C681" s="136"/>
      <c r="D681" s="137"/>
      <c r="E681" s="138"/>
      <c r="F681" s="139"/>
      <c r="G681" s="1" t="str">
        <f>IFERROR(IF(ventas_b_mes1255[[#This Row],[CUIT]]="","-",VLOOKUP(ventas_b_mes1255[[#This Row],[CUIT]],Lista_CUIT[#All],2,0)),"CUIT NO CARGADO")</f>
        <v>-</v>
      </c>
      <c r="H681" s="100">
        <f>ventas_b_mes1255[[#This Row],[TOTAL]]/1.21</f>
        <v>0</v>
      </c>
      <c r="I681" s="64">
        <f>ventas_b_mes1255[[#This Row],[IMPORTE NETO]]*0.21</f>
        <v>0</v>
      </c>
      <c r="J681" s="141"/>
      <c r="K681" s="141"/>
      <c r="L681" s="141"/>
      <c r="M681" s="59"/>
    </row>
    <row r="682" spans="2:13">
      <c r="B682" s="135"/>
      <c r="C682" s="136"/>
      <c r="D682" s="137"/>
      <c r="E682" s="138"/>
      <c r="F682" s="139"/>
      <c r="G682" s="1" t="str">
        <f>IFERROR(IF(ventas_b_mes1255[[#This Row],[CUIT]]="","-",VLOOKUP(ventas_b_mes1255[[#This Row],[CUIT]],Lista_CUIT[#All],2,0)),"CUIT NO CARGADO")</f>
        <v>-</v>
      </c>
      <c r="H682" s="100">
        <f>ventas_b_mes1255[[#This Row],[TOTAL]]/1.21</f>
        <v>0</v>
      </c>
      <c r="I682" s="64">
        <f>ventas_b_mes1255[[#This Row],[IMPORTE NETO]]*0.21</f>
        <v>0</v>
      </c>
      <c r="J682" s="141"/>
      <c r="K682" s="141"/>
      <c r="L682" s="141"/>
      <c r="M682" s="59"/>
    </row>
    <row r="683" spans="2:13">
      <c r="B683" s="135"/>
      <c r="C683" s="136"/>
      <c r="D683" s="137"/>
      <c r="E683" s="138"/>
      <c r="F683" s="139"/>
      <c r="G683" s="1" t="str">
        <f>IFERROR(IF(ventas_b_mes1255[[#This Row],[CUIT]]="","-",VLOOKUP(ventas_b_mes1255[[#This Row],[CUIT]],Lista_CUIT[#All],2,0)),"CUIT NO CARGADO")</f>
        <v>-</v>
      </c>
      <c r="H683" s="100">
        <f>ventas_b_mes1255[[#This Row],[TOTAL]]/1.21</f>
        <v>0</v>
      </c>
      <c r="I683" s="64">
        <f>ventas_b_mes1255[[#This Row],[IMPORTE NETO]]*0.21</f>
        <v>0</v>
      </c>
      <c r="J683" s="141"/>
      <c r="K683" s="141"/>
      <c r="L683" s="141"/>
      <c r="M683" s="59"/>
    </row>
    <row r="684" spans="2:13">
      <c r="B684" s="135"/>
      <c r="C684" s="136"/>
      <c r="D684" s="137"/>
      <c r="E684" s="138"/>
      <c r="F684" s="139"/>
      <c r="G684" s="1" t="str">
        <f>IFERROR(IF(ventas_b_mes1255[[#This Row],[CUIT]]="","-",VLOOKUP(ventas_b_mes1255[[#This Row],[CUIT]],Lista_CUIT[#All],2,0)),"CUIT NO CARGADO")</f>
        <v>-</v>
      </c>
      <c r="H684" s="100">
        <f>ventas_b_mes1255[[#This Row],[TOTAL]]/1.21</f>
        <v>0</v>
      </c>
      <c r="I684" s="64">
        <f>ventas_b_mes1255[[#This Row],[IMPORTE NETO]]*0.21</f>
        <v>0</v>
      </c>
      <c r="J684" s="141"/>
      <c r="K684" s="141"/>
      <c r="L684" s="141"/>
      <c r="M684" s="59"/>
    </row>
    <row r="685" spans="2:13">
      <c r="B685" s="135"/>
      <c r="C685" s="136"/>
      <c r="D685" s="137"/>
      <c r="E685" s="138"/>
      <c r="F685" s="139"/>
      <c r="G685" s="1" t="str">
        <f>IFERROR(IF(ventas_b_mes1255[[#This Row],[CUIT]]="","-",VLOOKUP(ventas_b_mes1255[[#This Row],[CUIT]],Lista_CUIT[#All],2,0)),"CUIT NO CARGADO")</f>
        <v>-</v>
      </c>
      <c r="H685" s="100">
        <f>ventas_b_mes1255[[#This Row],[TOTAL]]/1.21</f>
        <v>0</v>
      </c>
      <c r="I685" s="64">
        <f>ventas_b_mes1255[[#This Row],[IMPORTE NETO]]*0.21</f>
        <v>0</v>
      </c>
      <c r="J685" s="141"/>
      <c r="K685" s="141"/>
      <c r="L685" s="141"/>
      <c r="M685" s="59"/>
    </row>
    <row r="686" spans="2:13">
      <c r="B686" s="135"/>
      <c r="C686" s="136"/>
      <c r="D686" s="137"/>
      <c r="E686" s="138"/>
      <c r="F686" s="139"/>
      <c r="G686" s="1" t="str">
        <f>IFERROR(IF(ventas_b_mes1255[[#This Row],[CUIT]]="","-",VLOOKUP(ventas_b_mes1255[[#This Row],[CUIT]],Lista_CUIT[#All],2,0)),"CUIT NO CARGADO")</f>
        <v>-</v>
      </c>
      <c r="H686" s="100">
        <f>ventas_b_mes1255[[#This Row],[TOTAL]]/1.21</f>
        <v>0</v>
      </c>
      <c r="I686" s="64">
        <f>ventas_b_mes1255[[#This Row],[IMPORTE NETO]]*0.21</f>
        <v>0</v>
      </c>
      <c r="J686" s="141"/>
      <c r="K686" s="141"/>
      <c r="L686" s="141"/>
      <c r="M686" s="59"/>
    </row>
    <row r="687" spans="2:13">
      <c r="B687" s="135"/>
      <c r="C687" s="136"/>
      <c r="D687" s="137"/>
      <c r="E687" s="138"/>
      <c r="F687" s="139"/>
      <c r="G687" s="1" t="str">
        <f>IFERROR(IF(ventas_b_mes1255[[#This Row],[CUIT]]="","-",VLOOKUP(ventas_b_mes1255[[#This Row],[CUIT]],Lista_CUIT[#All],2,0)),"CUIT NO CARGADO")</f>
        <v>-</v>
      </c>
      <c r="H687" s="100">
        <f>ventas_b_mes1255[[#This Row],[TOTAL]]/1.21</f>
        <v>0</v>
      </c>
      <c r="I687" s="64">
        <f>ventas_b_mes1255[[#This Row],[IMPORTE NETO]]*0.21</f>
        <v>0</v>
      </c>
      <c r="J687" s="141"/>
      <c r="K687" s="141"/>
      <c r="L687" s="141"/>
      <c r="M687" s="59"/>
    </row>
    <row r="688" spans="2:13">
      <c r="B688" s="135"/>
      <c r="C688" s="136"/>
      <c r="D688" s="137"/>
      <c r="E688" s="138"/>
      <c r="F688" s="139"/>
      <c r="G688" s="1" t="str">
        <f>IFERROR(IF(ventas_b_mes1255[[#This Row],[CUIT]]="","-",VLOOKUP(ventas_b_mes1255[[#This Row],[CUIT]],Lista_CUIT[#All],2,0)),"CUIT NO CARGADO")</f>
        <v>-</v>
      </c>
      <c r="H688" s="100">
        <f>ventas_b_mes1255[[#This Row],[TOTAL]]/1.21</f>
        <v>0</v>
      </c>
      <c r="I688" s="64">
        <f>ventas_b_mes1255[[#This Row],[IMPORTE NETO]]*0.21</f>
        <v>0</v>
      </c>
      <c r="J688" s="141"/>
      <c r="K688" s="141"/>
      <c r="L688" s="141"/>
      <c r="M688" s="59"/>
    </row>
    <row r="689" spans="2:13">
      <c r="B689" s="135"/>
      <c r="C689" s="136"/>
      <c r="D689" s="137"/>
      <c r="E689" s="138"/>
      <c r="F689" s="139"/>
      <c r="G689" s="1" t="str">
        <f>IFERROR(IF(ventas_b_mes1255[[#This Row],[CUIT]]="","-",VLOOKUP(ventas_b_mes1255[[#This Row],[CUIT]],Lista_CUIT[#All],2,0)),"CUIT NO CARGADO")</f>
        <v>-</v>
      </c>
      <c r="H689" s="100">
        <f>ventas_b_mes1255[[#This Row],[TOTAL]]/1.21</f>
        <v>0</v>
      </c>
      <c r="I689" s="64">
        <f>ventas_b_mes1255[[#This Row],[IMPORTE NETO]]*0.21</f>
        <v>0</v>
      </c>
      <c r="J689" s="141"/>
      <c r="K689" s="141"/>
      <c r="L689" s="141"/>
      <c r="M689" s="59"/>
    </row>
    <row r="690" spans="2:13">
      <c r="B690" s="135"/>
      <c r="C690" s="136"/>
      <c r="D690" s="137"/>
      <c r="E690" s="138"/>
      <c r="F690" s="139"/>
      <c r="G690" s="1" t="str">
        <f>IFERROR(IF(ventas_b_mes1255[[#This Row],[CUIT]]="","-",VLOOKUP(ventas_b_mes1255[[#This Row],[CUIT]],Lista_CUIT[#All],2,0)),"CUIT NO CARGADO")</f>
        <v>-</v>
      </c>
      <c r="H690" s="100">
        <f>ventas_b_mes1255[[#This Row],[TOTAL]]/1.21</f>
        <v>0</v>
      </c>
      <c r="I690" s="64">
        <f>ventas_b_mes1255[[#This Row],[IMPORTE NETO]]*0.21</f>
        <v>0</v>
      </c>
      <c r="J690" s="141"/>
      <c r="K690" s="141"/>
      <c r="L690" s="141"/>
      <c r="M690" s="59"/>
    </row>
    <row r="691" spans="2:13">
      <c r="B691" s="135"/>
      <c r="C691" s="136"/>
      <c r="D691" s="137"/>
      <c r="E691" s="138"/>
      <c r="F691" s="139"/>
      <c r="G691" s="1" t="str">
        <f>IFERROR(IF(ventas_b_mes1255[[#This Row],[CUIT]]="","-",VLOOKUP(ventas_b_mes1255[[#This Row],[CUIT]],Lista_CUIT[#All],2,0)),"CUIT NO CARGADO")</f>
        <v>-</v>
      </c>
      <c r="H691" s="100">
        <f>ventas_b_mes1255[[#This Row],[TOTAL]]/1.21</f>
        <v>0</v>
      </c>
      <c r="I691" s="64">
        <f>ventas_b_mes1255[[#This Row],[IMPORTE NETO]]*0.21</f>
        <v>0</v>
      </c>
      <c r="J691" s="141"/>
      <c r="K691" s="141"/>
      <c r="L691" s="141"/>
      <c r="M691" s="59"/>
    </row>
    <row r="692" spans="2:13">
      <c r="B692" s="135"/>
      <c r="C692" s="136"/>
      <c r="D692" s="137"/>
      <c r="E692" s="138"/>
      <c r="F692" s="139"/>
      <c r="G692" s="1" t="str">
        <f>IFERROR(IF(ventas_b_mes1255[[#This Row],[CUIT]]="","-",VLOOKUP(ventas_b_mes1255[[#This Row],[CUIT]],Lista_CUIT[#All],2,0)),"CUIT NO CARGADO")</f>
        <v>-</v>
      </c>
      <c r="H692" s="100">
        <f>ventas_b_mes1255[[#This Row],[TOTAL]]/1.21</f>
        <v>0</v>
      </c>
      <c r="I692" s="64">
        <f>ventas_b_mes1255[[#This Row],[IMPORTE NETO]]*0.21</f>
        <v>0</v>
      </c>
      <c r="J692" s="141"/>
      <c r="K692" s="141"/>
      <c r="L692" s="141"/>
      <c r="M692" s="59"/>
    </row>
    <row r="693" spans="2:13">
      <c r="B693" s="135"/>
      <c r="C693" s="136"/>
      <c r="D693" s="137"/>
      <c r="E693" s="138"/>
      <c r="F693" s="139"/>
      <c r="G693" s="1" t="str">
        <f>IFERROR(IF(ventas_b_mes1255[[#This Row],[CUIT]]="","-",VLOOKUP(ventas_b_mes1255[[#This Row],[CUIT]],Lista_CUIT[#All],2,0)),"CUIT NO CARGADO")</f>
        <v>-</v>
      </c>
      <c r="H693" s="100">
        <f>ventas_b_mes1255[[#This Row],[TOTAL]]/1.21</f>
        <v>0</v>
      </c>
      <c r="I693" s="64">
        <f>ventas_b_mes1255[[#This Row],[IMPORTE NETO]]*0.21</f>
        <v>0</v>
      </c>
      <c r="J693" s="141"/>
      <c r="K693" s="141"/>
      <c r="L693" s="141"/>
      <c r="M693" s="59"/>
    </row>
    <row r="694" spans="2:13">
      <c r="B694" s="135"/>
      <c r="C694" s="136"/>
      <c r="D694" s="137"/>
      <c r="E694" s="138"/>
      <c r="F694" s="139"/>
      <c r="G694" s="1" t="str">
        <f>IFERROR(IF(ventas_b_mes1255[[#This Row],[CUIT]]="","-",VLOOKUP(ventas_b_mes1255[[#This Row],[CUIT]],Lista_CUIT[#All],2,0)),"CUIT NO CARGADO")</f>
        <v>-</v>
      </c>
      <c r="H694" s="100">
        <f>ventas_b_mes1255[[#This Row],[TOTAL]]/1.21</f>
        <v>0</v>
      </c>
      <c r="I694" s="64">
        <f>ventas_b_mes1255[[#This Row],[IMPORTE NETO]]*0.21</f>
        <v>0</v>
      </c>
      <c r="J694" s="141"/>
      <c r="K694" s="141"/>
      <c r="L694" s="141"/>
      <c r="M694" s="59"/>
    </row>
    <row r="695" spans="2:13">
      <c r="B695" s="135"/>
      <c r="C695" s="136"/>
      <c r="D695" s="137"/>
      <c r="E695" s="138"/>
      <c r="F695" s="139"/>
      <c r="G695" s="1" t="str">
        <f>IFERROR(IF(ventas_b_mes1255[[#This Row],[CUIT]]="","-",VLOOKUP(ventas_b_mes1255[[#This Row],[CUIT]],Lista_CUIT[#All],2,0)),"CUIT NO CARGADO")</f>
        <v>-</v>
      </c>
      <c r="H695" s="100">
        <f>ventas_b_mes1255[[#This Row],[TOTAL]]/1.21</f>
        <v>0</v>
      </c>
      <c r="I695" s="64">
        <f>ventas_b_mes1255[[#This Row],[IMPORTE NETO]]*0.21</f>
        <v>0</v>
      </c>
      <c r="J695" s="141"/>
      <c r="K695" s="141"/>
      <c r="L695" s="141"/>
      <c r="M695" s="59"/>
    </row>
    <row r="696" spans="2:13">
      <c r="B696" s="135"/>
      <c r="C696" s="136"/>
      <c r="D696" s="137"/>
      <c r="E696" s="138"/>
      <c r="F696" s="139"/>
      <c r="G696" s="1" t="str">
        <f>IFERROR(IF(ventas_b_mes1255[[#This Row],[CUIT]]="","-",VLOOKUP(ventas_b_mes1255[[#This Row],[CUIT]],Lista_CUIT[#All],2,0)),"CUIT NO CARGADO")</f>
        <v>-</v>
      </c>
      <c r="H696" s="100">
        <f>ventas_b_mes1255[[#This Row],[TOTAL]]/1.21</f>
        <v>0</v>
      </c>
      <c r="I696" s="64">
        <f>ventas_b_mes1255[[#This Row],[IMPORTE NETO]]*0.21</f>
        <v>0</v>
      </c>
      <c r="J696" s="141"/>
      <c r="K696" s="141"/>
      <c r="L696" s="141"/>
      <c r="M696" s="59"/>
    </row>
    <row r="697" spans="2:13">
      <c r="B697" s="135"/>
      <c r="C697" s="136"/>
      <c r="D697" s="137"/>
      <c r="E697" s="138"/>
      <c r="F697" s="139"/>
      <c r="G697" s="1" t="str">
        <f>IFERROR(IF(ventas_b_mes1255[[#This Row],[CUIT]]="","-",VLOOKUP(ventas_b_mes1255[[#This Row],[CUIT]],Lista_CUIT[#All],2,0)),"CUIT NO CARGADO")</f>
        <v>-</v>
      </c>
      <c r="H697" s="100">
        <f>ventas_b_mes1255[[#This Row],[TOTAL]]/1.21</f>
        <v>0</v>
      </c>
      <c r="I697" s="64">
        <f>ventas_b_mes1255[[#This Row],[IMPORTE NETO]]*0.21</f>
        <v>0</v>
      </c>
      <c r="J697" s="141"/>
      <c r="K697" s="141"/>
      <c r="L697" s="141"/>
      <c r="M697" s="59"/>
    </row>
    <row r="698" spans="2:13">
      <c r="B698" s="135"/>
      <c r="C698" s="136"/>
      <c r="D698" s="137"/>
      <c r="E698" s="138"/>
      <c r="F698" s="139"/>
      <c r="G698" s="1" t="str">
        <f>IFERROR(IF(ventas_b_mes1255[[#This Row],[CUIT]]="","-",VLOOKUP(ventas_b_mes1255[[#This Row],[CUIT]],Lista_CUIT[#All],2,0)),"CUIT NO CARGADO")</f>
        <v>-</v>
      </c>
      <c r="H698" s="100">
        <f>ventas_b_mes1255[[#This Row],[TOTAL]]/1.21</f>
        <v>0</v>
      </c>
      <c r="I698" s="64">
        <f>ventas_b_mes1255[[#This Row],[IMPORTE NETO]]*0.21</f>
        <v>0</v>
      </c>
      <c r="J698" s="141"/>
      <c r="K698" s="141"/>
      <c r="L698" s="141"/>
      <c r="M698" s="59"/>
    </row>
    <row r="699" spans="2:13">
      <c r="B699" s="135"/>
      <c r="C699" s="136"/>
      <c r="D699" s="137"/>
      <c r="E699" s="138"/>
      <c r="F699" s="139"/>
      <c r="G699" s="1" t="str">
        <f>IFERROR(IF(ventas_b_mes1255[[#This Row],[CUIT]]="","-",VLOOKUP(ventas_b_mes1255[[#This Row],[CUIT]],Lista_CUIT[#All],2,0)),"CUIT NO CARGADO")</f>
        <v>-</v>
      </c>
      <c r="H699" s="100">
        <f>ventas_b_mes1255[[#This Row],[TOTAL]]/1.21</f>
        <v>0</v>
      </c>
      <c r="I699" s="64">
        <f>ventas_b_mes1255[[#This Row],[IMPORTE NETO]]*0.21</f>
        <v>0</v>
      </c>
      <c r="J699" s="141"/>
      <c r="K699" s="141"/>
      <c r="L699" s="141"/>
      <c r="M699" s="59"/>
    </row>
    <row r="700" spans="2:13">
      <c r="B700" s="135"/>
      <c r="C700" s="136"/>
      <c r="D700" s="137"/>
      <c r="E700" s="138"/>
      <c r="F700" s="139"/>
      <c r="G700" s="1" t="str">
        <f>IFERROR(IF(ventas_b_mes1255[[#This Row],[CUIT]]="","-",VLOOKUP(ventas_b_mes1255[[#This Row],[CUIT]],Lista_CUIT[#All],2,0)),"CUIT NO CARGADO")</f>
        <v>-</v>
      </c>
      <c r="H700" s="100">
        <f>ventas_b_mes1255[[#This Row],[TOTAL]]/1.21</f>
        <v>0</v>
      </c>
      <c r="I700" s="64">
        <f>ventas_b_mes1255[[#This Row],[IMPORTE NETO]]*0.21</f>
        <v>0</v>
      </c>
      <c r="J700" s="141"/>
      <c r="K700" s="141"/>
      <c r="L700" s="141"/>
      <c r="M700" s="59"/>
    </row>
    <row r="701" spans="2:13">
      <c r="B701" s="135"/>
      <c r="C701" s="136"/>
      <c r="D701" s="137"/>
      <c r="E701" s="138"/>
      <c r="F701" s="139"/>
      <c r="G701" s="1" t="str">
        <f>IFERROR(IF(ventas_b_mes1255[[#This Row],[CUIT]]="","-",VLOOKUP(ventas_b_mes1255[[#This Row],[CUIT]],Lista_CUIT[#All],2,0)),"CUIT NO CARGADO")</f>
        <v>-</v>
      </c>
      <c r="H701" s="100">
        <f>ventas_b_mes1255[[#This Row],[TOTAL]]/1.21</f>
        <v>0</v>
      </c>
      <c r="I701" s="64">
        <f>ventas_b_mes1255[[#This Row],[IMPORTE NETO]]*0.21</f>
        <v>0</v>
      </c>
      <c r="J701" s="141"/>
      <c r="K701" s="141"/>
      <c r="L701" s="141"/>
      <c r="M701" s="59"/>
    </row>
    <row r="702" spans="2:13">
      <c r="B702" s="135"/>
      <c r="C702" s="136"/>
      <c r="D702" s="137"/>
      <c r="E702" s="138"/>
      <c r="F702" s="139"/>
      <c r="G702" s="1" t="str">
        <f>IFERROR(IF(ventas_b_mes1255[[#This Row],[CUIT]]="","-",VLOOKUP(ventas_b_mes1255[[#This Row],[CUIT]],Lista_CUIT[#All],2,0)),"CUIT NO CARGADO")</f>
        <v>-</v>
      </c>
      <c r="H702" s="100">
        <f>ventas_b_mes1255[[#This Row],[TOTAL]]/1.21</f>
        <v>0</v>
      </c>
      <c r="I702" s="64">
        <f>ventas_b_mes1255[[#This Row],[IMPORTE NETO]]*0.21</f>
        <v>0</v>
      </c>
      <c r="J702" s="141"/>
      <c r="K702" s="141"/>
      <c r="L702" s="141"/>
      <c r="M702" s="59"/>
    </row>
    <row r="703" spans="2:13">
      <c r="B703" s="135"/>
      <c r="C703" s="136"/>
      <c r="D703" s="137"/>
      <c r="E703" s="138"/>
      <c r="F703" s="139"/>
      <c r="G703" s="1" t="str">
        <f>IFERROR(IF(ventas_b_mes1255[[#This Row],[CUIT]]="","-",VLOOKUP(ventas_b_mes1255[[#This Row],[CUIT]],Lista_CUIT[#All],2,0)),"CUIT NO CARGADO")</f>
        <v>-</v>
      </c>
      <c r="H703" s="100">
        <f>ventas_b_mes1255[[#This Row],[TOTAL]]/1.21</f>
        <v>0</v>
      </c>
      <c r="I703" s="64">
        <f>ventas_b_mes1255[[#This Row],[IMPORTE NETO]]*0.21</f>
        <v>0</v>
      </c>
      <c r="J703" s="141"/>
      <c r="K703" s="141"/>
      <c r="L703" s="141"/>
      <c r="M703" s="59"/>
    </row>
    <row r="704" spans="2:13">
      <c r="B704" s="135"/>
      <c r="C704" s="136"/>
      <c r="D704" s="137"/>
      <c r="E704" s="138"/>
      <c r="F704" s="139"/>
      <c r="G704" s="1" t="str">
        <f>IFERROR(IF(ventas_b_mes1255[[#This Row],[CUIT]]="","-",VLOOKUP(ventas_b_mes1255[[#This Row],[CUIT]],Lista_CUIT[#All],2,0)),"CUIT NO CARGADO")</f>
        <v>-</v>
      </c>
      <c r="H704" s="100">
        <f>ventas_b_mes1255[[#This Row],[TOTAL]]/1.21</f>
        <v>0</v>
      </c>
      <c r="I704" s="64">
        <f>ventas_b_mes1255[[#This Row],[IMPORTE NETO]]*0.21</f>
        <v>0</v>
      </c>
      <c r="J704" s="141"/>
      <c r="K704" s="141"/>
      <c r="L704" s="141"/>
      <c r="M704" s="59"/>
    </row>
    <row r="705" spans="2:13">
      <c r="B705" s="135"/>
      <c r="C705" s="136"/>
      <c r="D705" s="137"/>
      <c r="E705" s="138"/>
      <c r="F705" s="139"/>
      <c r="G705" s="1" t="str">
        <f>IFERROR(IF(ventas_b_mes1255[[#This Row],[CUIT]]="","-",VLOOKUP(ventas_b_mes1255[[#This Row],[CUIT]],Lista_CUIT[#All],2,0)),"CUIT NO CARGADO")</f>
        <v>-</v>
      </c>
      <c r="H705" s="100">
        <f>ventas_b_mes1255[[#This Row],[TOTAL]]/1.21</f>
        <v>0</v>
      </c>
      <c r="I705" s="64">
        <f>ventas_b_mes1255[[#This Row],[IMPORTE NETO]]*0.21</f>
        <v>0</v>
      </c>
      <c r="J705" s="141"/>
      <c r="K705" s="141"/>
      <c r="L705" s="141"/>
      <c r="M705" s="59"/>
    </row>
    <row r="706" spans="2:13">
      <c r="B706" s="135"/>
      <c r="C706" s="136"/>
      <c r="D706" s="137"/>
      <c r="E706" s="138"/>
      <c r="F706" s="139"/>
      <c r="G706" s="1" t="str">
        <f>IFERROR(IF(ventas_b_mes1255[[#This Row],[CUIT]]="","-",VLOOKUP(ventas_b_mes1255[[#This Row],[CUIT]],Lista_CUIT[#All],2,0)),"CUIT NO CARGADO")</f>
        <v>-</v>
      </c>
      <c r="H706" s="100">
        <f>ventas_b_mes1255[[#This Row],[TOTAL]]/1.21</f>
        <v>0</v>
      </c>
      <c r="I706" s="64">
        <f>ventas_b_mes1255[[#This Row],[IMPORTE NETO]]*0.21</f>
        <v>0</v>
      </c>
      <c r="J706" s="141"/>
      <c r="K706" s="141"/>
      <c r="L706" s="141"/>
      <c r="M706" s="59"/>
    </row>
    <row r="707" spans="2:13">
      <c r="B707" s="135"/>
      <c r="C707" s="136"/>
      <c r="D707" s="137"/>
      <c r="E707" s="138"/>
      <c r="F707" s="139"/>
      <c r="G707" s="1" t="str">
        <f>IFERROR(IF(ventas_b_mes1255[[#This Row],[CUIT]]="","-",VLOOKUP(ventas_b_mes1255[[#This Row],[CUIT]],Lista_CUIT[#All],2,0)),"CUIT NO CARGADO")</f>
        <v>-</v>
      </c>
      <c r="H707" s="100">
        <f>ventas_b_mes1255[[#This Row],[TOTAL]]/1.21</f>
        <v>0</v>
      </c>
      <c r="I707" s="64">
        <f>ventas_b_mes1255[[#This Row],[IMPORTE NETO]]*0.21</f>
        <v>0</v>
      </c>
      <c r="J707" s="141"/>
      <c r="K707" s="141"/>
      <c r="L707" s="141"/>
      <c r="M707" s="59"/>
    </row>
    <row r="708" spans="2:13">
      <c r="B708" s="135"/>
      <c r="C708" s="136"/>
      <c r="D708" s="137"/>
      <c r="E708" s="138"/>
      <c r="F708" s="139"/>
      <c r="G708" s="1" t="str">
        <f>IFERROR(IF(ventas_b_mes1255[[#This Row],[CUIT]]="","-",VLOOKUP(ventas_b_mes1255[[#This Row],[CUIT]],Lista_CUIT[#All],2,0)),"CUIT NO CARGADO")</f>
        <v>-</v>
      </c>
      <c r="H708" s="100">
        <f>ventas_b_mes1255[[#This Row],[TOTAL]]/1.21</f>
        <v>0</v>
      </c>
      <c r="I708" s="64">
        <f>ventas_b_mes1255[[#This Row],[IMPORTE NETO]]*0.21</f>
        <v>0</v>
      </c>
      <c r="J708" s="141"/>
      <c r="K708" s="141"/>
      <c r="L708" s="141"/>
      <c r="M708" s="59"/>
    </row>
    <row r="709" spans="2:13">
      <c r="B709" s="135"/>
      <c r="C709" s="136"/>
      <c r="D709" s="137"/>
      <c r="E709" s="138"/>
      <c r="F709" s="139"/>
      <c r="G709" s="1" t="str">
        <f>IFERROR(IF(ventas_b_mes1255[[#This Row],[CUIT]]="","-",VLOOKUP(ventas_b_mes1255[[#This Row],[CUIT]],Lista_CUIT[#All],2,0)),"CUIT NO CARGADO")</f>
        <v>-</v>
      </c>
      <c r="H709" s="100">
        <f>ventas_b_mes1255[[#This Row],[TOTAL]]/1.21</f>
        <v>0</v>
      </c>
      <c r="I709" s="64">
        <f>ventas_b_mes1255[[#This Row],[IMPORTE NETO]]*0.21</f>
        <v>0</v>
      </c>
      <c r="J709" s="141"/>
      <c r="K709" s="141"/>
      <c r="L709" s="141"/>
      <c r="M709" s="59"/>
    </row>
    <row r="710" spans="2:13">
      <c r="B710" s="135"/>
      <c r="C710" s="136"/>
      <c r="D710" s="137"/>
      <c r="E710" s="138"/>
      <c r="F710" s="139"/>
      <c r="G710" s="1" t="str">
        <f>IFERROR(IF(ventas_b_mes1255[[#This Row],[CUIT]]="","-",VLOOKUP(ventas_b_mes1255[[#This Row],[CUIT]],Lista_CUIT[#All],2,0)),"CUIT NO CARGADO")</f>
        <v>-</v>
      </c>
      <c r="H710" s="100">
        <f>ventas_b_mes1255[[#This Row],[TOTAL]]/1.21</f>
        <v>0</v>
      </c>
      <c r="I710" s="64">
        <f>ventas_b_mes1255[[#This Row],[IMPORTE NETO]]*0.21</f>
        <v>0</v>
      </c>
      <c r="J710" s="141"/>
      <c r="K710" s="141"/>
      <c r="L710" s="141"/>
      <c r="M710" s="59"/>
    </row>
    <row r="711" spans="2:13">
      <c r="B711" s="135"/>
      <c r="C711" s="136"/>
      <c r="D711" s="137"/>
      <c r="E711" s="138"/>
      <c r="F711" s="139"/>
      <c r="G711" s="1" t="str">
        <f>IFERROR(IF(ventas_b_mes1255[[#This Row],[CUIT]]="","-",VLOOKUP(ventas_b_mes1255[[#This Row],[CUIT]],Lista_CUIT[#All],2,0)),"CUIT NO CARGADO")</f>
        <v>-</v>
      </c>
      <c r="H711" s="100">
        <f>ventas_b_mes1255[[#This Row],[TOTAL]]/1.21</f>
        <v>0</v>
      </c>
      <c r="I711" s="64">
        <f>ventas_b_mes1255[[#This Row],[IMPORTE NETO]]*0.21</f>
        <v>0</v>
      </c>
      <c r="J711" s="141"/>
      <c r="K711" s="141"/>
      <c r="L711" s="141"/>
      <c r="M711" s="59"/>
    </row>
    <row r="712" spans="2:13">
      <c r="B712" s="135"/>
      <c r="C712" s="136"/>
      <c r="D712" s="137"/>
      <c r="E712" s="138"/>
      <c r="F712" s="139"/>
      <c r="G712" s="1" t="str">
        <f>IFERROR(IF(ventas_b_mes1255[[#This Row],[CUIT]]="","-",VLOOKUP(ventas_b_mes1255[[#This Row],[CUIT]],Lista_CUIT[#All],2,0)),"CUIT NO CARGADO")</f>
        <v>-</v>
      </c>
      <c r="H712" s="100">
        <f>ventas_b_mes1255[[#This Row],[TOTAL]]/1.21</f>
        <v>0</v>
      </c>
      <c r="I712" s="64">
        <f>ventas_b_mes1255[[#This Row],[IMPORTE NETO]]*0.21</f>
        <v>0</v>
      </c>
      <c r="J712" s="141"/>
      <c r="K712" s="141"/>
      <c r="L712" s="141"/>
      <c r="M712" s="59"/>
    </row>
    <row r="713" spans="2:13">
      <c r="B713" s="135"/>
      <c r="C713" s="136"/>
      <c r="D713" s="137"/>
      <c r="E713" s="138"/>
      <c r="F713" s="139"/>
      <c r="G713" s="1" t="str">
        <f>IFERROR(IF(ventas_b_mes1255[[#This Row],[CUIT]]="","-",VLOOKUP(ventas_b_mes1255[[#This Row],[CUIT]],Lista_CUIT[#All],2,0)),"CUIT NO CARGADO")</f>
        <v>-</v>
      </c>
      <c r="H713" s="100">
        <f>ventas_b_mes1255[[#This Row],[TOTAL]]/1.21</f>
        <v>0</v>
      </c>
      <c r="I713" s="64">
        <f>ventas_b_mes1255[[#This Row],[IMPORTE NETO]]*0.21</f>
        <v>0</v>
      </c>
      <c r="J713" s="141"/>
      <c r="K713" s="141"/>
      <c r="L713" s="141"/>
      <c r="M713" s="59"/>
    </row>
    <row r="714" spans="2:13">
      <c r="B714" s="135"/>
      <c r="C714" s="136"/>
      <c r="D714" s="137"/>
      <c r="E714" s="138"/>
      <c r="F714" s="139"/>
      <c r="G714" s="1" t="str">
        <f>IFERROR(IF(ventas_b_mes1255[[#This Row],[CUIT]]="","-",VLOOKUP(ventas_b_mes1255[[#This Row],[CUIT]],Lista_CUIT[#All],2,0)),"CUIT NO CARGADO")</f>
        <v>-</v>
      </c>
      <c r="H714" s="100">
        <f>ventas_b_mes1255[[#This Row],[TOTAL]]/1.21</f>
        <v>0</v>
      </c>
      <c r="I714" s="64">
        <f>ventas_b_mes1255[[#This Row],[IMPORTE NETO]]*0.21</f>
        <v>0</v>
      </c>
      <c r="J714" s="141"/>
      <c r="K714" s="141"/>
      <c r="L714" s="141"/>
      <c r="M714" s="59"/>
    </row>
    <row r="715" spans="2:13">
      <c r="B715" s="135"/>
      <c r="C715" s="136"/>
      <c r="D715" s="137"/>
      <c r="E715" s="138"/>
      <c r="F715" s="139"/>
      <c r="G715" s="1" t="str">
        <f>IFERROR(IF(ventas_b_mes1255[[#This Row],[CUIT]]="","-",VLOOKUP(ventas_b_mes1255[[#This Row],[CUIT]],Lista_CUIT[#All],2,0)),"CUIT NO CARGADO")</f>
        <v>-</v>
      </c>
      <c r="H715" s="100">
        <f>ventas_b_mes1255[[#This Row],[TOTAL]]/1.21</f>
        <v>0</v>
      </c>
      <c r="I715" s="64">
        <f>ventas_b_mes1255[[#This Row],[IMPORTE NETO]]*0.21</f>
        <v>0</v>
      </c>
      <c r="J715" s="141"/>
      <c r="K715" s="141"/>
      <c r="L715" s="141"/>
      <c r="M715" s="59"/>
    </row>
    <row r="716" spans="2:13">
      <c r="B716" s="135"/>
      <c r="C716" s="136"/>
      <c r="D716" s="137"/>
      <c r="E716" s="138"/>
      <c r="F716" s="139"/>
      <c r="G716" s="1" t="str">
        <f>IFERROR(IF(ventas_b_mes1255[[#This Row],[CUIT]]="","-",VLOOKUP(ventas_b_mes1255[[#This Row],[CUIT]],Lista_CUIT[#All],2,0)),"CUIT NO CARGADO")</f>
        <v>-</v>
      </c>
      <c r="H716" s="100">
        <f>ventas_b_mes1255[[#This Row],[TOTAL]]/1.21</f>
        <v>0</v>
      </c>
      <c r="I716" s="64">
        <f>ventas_b_mes1255[[#This Row],[IMPORTE NETO]]*0.21</f>
        <v>0</v>
      </c>
      <c r="J716" s="141"/>
      <c r="K716" s="141"/>
      <c r="L716" s="141"/>
      <c r="M716" s="59"/>
    </row>
    <row r="717" spans="2:13">
      <c r="B717" s="135"/>
      <c r="C717" s="136"/>
      <c r="D717" s="137"/>
      <c r="E717" s="138"/>
      <c r="F717" s="139"/>
      <c r="G717" s="1" t="str">
        <f>IFERROR(IF(ventas_b_mes1255[[#This Row],[CUIT]]="","-",VLOOKUP(ventas_b_mes1255[[#This Row],[CUIT]],Lista_CUIT[#All],2,0)),"CUIT NO CARGADO")</f>
        <v>-</v>
      </c>
      <c r="H717" s="100">
        <f>ventas_b_mes1255[[#This Row],[TOTAL]]/1.21</f>
        <v>0</v>
      </c>
      <c r="I717" s="64">
        <f>ventas_b_mes1255[[#This Row],[IMPORTE NETO]]*0.21</f>
        <v>0</v>
      </c>
      <c r="J717" s="141"/>
      <c r="K717" s="141"/>
      <c r="L717" s="141"/>
      <c r="M717" s="59"/>
    </row>
    <row r="718" spans="2:13">
      <c r="B718" s="135"/>
      <c r="C718" s="136"/>
      <c r="D718" s="137"/>
      <c r="E718" s="138"/>
      <c r="F718" s="139"/>
      <c r="G718" s="1" t="str">
        <f>IFERROR(IF(ventas_b_mes1255[[#This Row],[CUIT]]="","-",VLOOKUP(ventas_b_mes1255[[#This Row],[CUIT]],Lista_CUIT[#All],2,0)),"CUIT NO CARGADO")</f>
        <v>-</v>
      </c>
      <c r="H718" s="100">
        <f>ventas_b_mes1255[[#This Row],[TOTAL]]/1.21</f>
        <v>0</v>
      </c>
      <c r="I718" s="64">
        <f>ventas_b_mes1255[[#This Row],[IMPORTE NETO]]*0.21</f>
        <v>0</v>
      </c>
      <c r="J718" s="141"/>
      <c r="K718" s="141"/>
      <c r="L718" s="141"/>
      <c r="M718" s="59"/>
    </row>
    <row r="719" spans="2:13">
      <c r="B719" s="135"/>
      <c r="C719" s="136"/>
      <c r="D719" s="137"/>
      <c r="E719" s="138"/>
      <c r="F719" s="139"/>
      <c r="G719" s="1" t="str">
        <f>IFERROR(IF(ventas_b_mes1255[[#This Row],[CUIT]]="","-",VLOOKUP(ventas_b_mes1255[[#This Row],[CUIT]],Lista_CUIT[#All],2,0)),"CUIT NO CARGADO")</f>
        <v>-</v>
      </c>
      <c r="H719" s="100">
        <f>ventas_b_mes1255[[#This Row],[TOTAL]]/1.21</f>
        <v>0</v>
      </c>
      <c r="I719" s="64">
        <f>ventas_b_mes1255[[#This Row],[IMPORTE NETO]]*0.21</f>
        <v>0</v>
      </c>
      <c r="J719" s="141"/>
      <c r="K719" s="141"/>
      <c r="L719" s="141"/>
      <c r="M719" s="59"/>
    </row>
    <row r="720" spans="2:13">
      <c r="B720" s="135"/>
      <c r="C720" s="136"/>
      <c r="D720" s="137"/>
      <c r="E720" s="138"/>
      <c r="F720" s="139"/>
      <c r="G720" s="1" t="str">
        <f>IFERROR(IF(ventas_b_mes1255[[#This Row],[CUIT]]="","-",VLOOKUP(ventas_b_mes1255[[#This Row],[CUIT]],Lista_CUIT[#All],2,0)),"CUIT NO CARGADO")</f>
        <v>-</v>
      </c>
      <c r="H720" s="100">
        <f>ventas_b_mes1255[[#This Row],[TOTAL]]/1.21</f>
        <v>0</v>
      </c>
      <c r="I720" s="64">
        <f>ventas_b_mes1255[[#This Row],[IMPORTE NETO]]*0.21</f>
        <v>0</v>
      </c>
      <c r="J720" s="141"/>
      <c r="K720" s="141"/>
      <c r="L720" s="141"/>
      <c r="M720" s="59"/>
    </row>
    <row r="721" spans="2:13">
      <c r="B721" s="135"/>
      <c r="C721" s="136"/>
      <c r="D721" s="137"/>
      <c r="E721" s="138"/>
      <c r="F721" s="139"/>
      <c r="G721" s="1" t="str">
        <f>IFERROR(IF(ventas_b_mes1255[[#This Row],[CUIT]]="","-",VLOOKUP(ventas_b_mes1255[[#This Row],[CUIT]],Lista_CUIT[#All],2,0)),"CUIT NO CARGADO")</f>
        <v>-</v>
      </c>
      <c r="H721" s="100">
        <f>ventas_b_mes1255[[#This Row],[TOTAL]]/1.21</f>
        <v>0</v>
      </c>
      <c r="I721" s="64">
        <f>ventas_b_mes1255[[#This Row],[IMPORTE NETO]]*0.21</f>
        <v>0</v>
      </c>
      <c r="J721" s="141"/>
      <c r="K721" s="141"/>
      <c r="L721" s="141"/>
      <c r="M721" s="59"/>
    </row>
    <row r="722" spans="2:13">
      <c r="B722" s="135"/>
      <c r="C722" s="136"/>
      <c r="D722" s="137"/>
      <c r="E722" s="138"/>
      <c r="F722" s="139"/>
      <c r="G722" s="1" t="str">
        <f>IFERROR(IF(ventas_b_mes1255[[#This Row],[CUIT]]="","-",VLOOKUP(ventas_b_mes1255[[#This Row],[CUIT]],Lista_CUIT[#All],2,0)),"CUIT NO CARGADO")</f>
        <v>-</v>
      </c>
      <c r="H722" s="100">
        <f>ventas_b_mes1255[[#This Row],[TOTAL]]/1.21</f>
        <v>0</v>
      </c>
      <c r="I722" s="64">
        <f>ventas_b_mes1255[[#This Row],[IMPORTE NETO]]*0.21</f>
        <v>0</v>
      </c>
      <c r="J722" s="141"/>
      <c r="K722" s="141"/>
      <c r="L722" s="141"/>
      <c r="M722" s="59"/>
    </row>
    <row r="723" spans="2:13">
      <c r="B723" s="135"/>
      <c r="C723" s="136"/>
      <c r="D723" s="137"/>
      <c r="E723" s="138"/>
      <c r="F723" s="139"/>
      <c r="G723" s="1" t="str">
        <f>IFERROR(IF(ventas_b_mes1255[[#This Row],[CUIT]]="","-",VLOOKUP(ventas_b_mes1255[[#This Row],[CUIT]],Lista_CUIT[#All],2,0)),"CUIT NO CARGADO")</f>
        <v>-</v>
      </c>
      <c r="H723" s="100">
        <f>ventas_b_mes1255[[#This Row],[TOTAL]]/1.21</f>
        <v>0</v>
      </c>
      <c r="I723" s="64">
        <f>ventas_b_mes1255[[#This Row],[IMPORTE NETO]]*0.21</f>
        <v>0</v>
      </c>
      <c r="J723" s="141"/>
      <c r="K723" s="141"/>
      <c r="L723" s="141"/>
      <c r="M723" s="59"/>
    </row>
    <row r="724" spans="2:13">
      <c r="B724" s="135"/>
      <c r="C724" s="136"/>
      <c r="D724" s="137"/>
      <c r="E724" s="138"/>
      <c r="F724" s="139"/>
      <c r="G724" s="1" t="str">
        <f>IFERROR(IF(ventas_b_mes1255[[#This Row],[CUIT]]="","-",VLOOKUP(ventas_b_mes1255[[#This Row],[CUIT]],Lista_CUIT[#All],2,0)),"CUIT NO CARGADO")</f>
        <v>-</v>
      </c>
      <c r="H724" s="100">
        <f>ventas_b_mes1255[[#This Row],[TOTAL]]/1.21</f>
        <v>0</v>
      </c>
      <c r="I724" s="64">
        <f>ventas_b_mes1255[[#This Row],[IMPORTE NETO]]*0.21</f>
        <v>0</v>
      </c>
      <c r="J724" s="141"/>
      <c r="K724" s="141"/>
      <c r="L724" s="141"/>
      <c r="M724" s="59"/>
    </row>
    <row r="725" spans="2:13">
      <c r="B725" s="135"/>
      <c r="C725" s="136"/>
      <c r="D725" s="137"/>
      <c r="E725" s="138"/>
      <c r="F725" s="139"/>
      <c r="G725" s="1" t="str">
        <f>IFERROR(IF(ventas_b_mes1255[[#This Row],[CUIT]]="","-",VLOOKUP(ventas_b_mes1255[[#This Row],[CUIT]],Lista_CUIT[#All],2,0)),"CUIT NO CARGADO")</f>
        <v>-</v>
      </c>
      <c r="H725" s="100">
        <f>ventas_b_mes1255[[#This Row],[TOTAL]]/1.21</f>
        <v>0</v>
      </c>
      <c r="I725" s="64">
        <f>ventas_b_mes1255[[#This Row],[IMPORTE NETO]]*0.21</f>
        <v>0</v>
      </c>
      <c r="J725" s="141"/>
      <c r="K725" s="141"/>
      <c r="L725" s="141"/>
      <c r="M725" s="59"/>
    </row>
    <row r="726" spans="2:13">
      <c r="B726" s="135"/>
      <c r="C726" s="136"/>
      <c r="D726" s="137"/>
      <c r="E726" s="138"/>
      <c r="F726" s="139"/>
      <c r="G726" s="1" t="str">
        <f>IFERROR(IF(ventas_b_mes1255[[#This Row],[CUIT]]="","-",VLOOKUP(ventas_b_mes1255[[#This Row],[CUIT]],Lista_CUIT[#All],2,0)),"CUIT NO CARGADO")</f>
        <v>-</v>
      </c>
      <c r="H726" s="100">
        <f>ventas_b_mes1255[[#This Row],[TOTAL]]/1.21</f>
        <v>0</v>
      </c>
      <c r="I726" s="64">
        <f>ventas_b_mes1255[[#This Row],[IMPORTE NETO]]*0.21</f>
        <v>0</v>
      </c>
      <c r="J726" s="141"/>
      <c r="K726" s="141"/>
      <c r="L726" s="141"/>
      <c r="M726" s="59"/>
    </row>
    <row r="727" spans="2:13">
      <c r="B727" s="135"/>
      <c r="C727" s="136"/>
      <c r="D727" s="137"/>
      <c r="E727" s="138"/>
      <c r="F727" s="139"/>
      <c r="G727" s="1" t="str">
        <f>IFERROR(IF(ventas_b_mes1255[[#This Row],[CUIT]]="","-",VLOOKUP(ventas_b_mes1255[[#This Row],[CUIT]],Lista_CUIT[#All],2,0)),"CUIT NO CARGADO")</f>
        <v>-</v>
      </c>
      <c r="H727" s="100">
        <f>ventas_b_mes1255[[#This Row],[TOTAL]]/1.21</f>
        <v>0</v>
      </c>
      <c r="I727" s="64">
        <f>ventas_b_mes1255[[#This Row],[IMPORTE NETO]]*0.21</f>
        <v>0</v>
      </c>
      <c r="J727" s="141"/>
      <c r="K727" s="141"/>
      <c r="L727" s="141"/>
      <c r="M727" s="59"/>
    </row>
    <row r="728" spans="2:13">
      <c r="B728" s="135"/>
      <c r="C728" s="136"/>
      <c r="D728" s="137"/>
      <c r="E728" s="138"/>
      <c r="F728" s="139"/>
      <c r="G728" s="1" t="str">
        <f>IFERROR(IF(ventas_b_mes1255[[#This Row],[CUIT]]="","-",VLOOKUP(ventas_b_mes1255[[#This Row],[CUIT]],Lista_CUIT[#All],2,0)),"CUIT NO CARGADO")</f>
        <v>-</v>
      </c>
      <c r="H728" s="100">
        <f>ventas_b_mes1255[[#This Row],[TOTAL]]/1.21</f>
        <v>0</v>
      </c>
      <c r="I728" s="64">
        <f>ventas_b_mes1255[[#This Row],[IMPORTE NETO]]*0.21</f>
        <v>0</v>
      </c>
      <c r="J728" s="141"/>
      <c r="K728" s="141"/>
      <c r="L728" s="141"/>
      <c r="M728" s="59"/>
    </row>
    <row r="729" spans="2:13">
      <c r="B729" s="135"/>
      <c r="C729" s="136"/>
      <c r="D729" s="137"/>
      <c r="E729" s="138"/>
      <c r="F729" s="139"/>
      <c r="G729" s="1" t="str">
        <f>IFERROR(IF(ventas_b_mes1255[[#This Row],[CUIT]]="","-",VLOOKUP(ventas_b_mes1255[[#This Row],[CUIT]],Lista_CUIT[#All],2,0)),"CUIT NO CARGADO")</f>
        <v>-</v>
      </c>
      <c r="H729" s="100">
        <f>ventas_b_mes1255[[#This Row],[TOTAL]]/1.21</f>
        <v>0</v>
      </c>
      <c r="I729" s="64">
        <f>ventas_b_mes1255[[#This Row],[IMPORTE NETO]]*0.21</f>
        <v>0</v>
      </c>
      <c r="J729" s="141"/>
      <c r="K729" s="141"/>
      <c r="L729" s="141"/>
      <c r="M729" s="59"/>
    </row>
    <row r="730" spans="2:13">
      <c r="B730" s="135"/>
      <c r="C730" s="136"/>
      <c r="D730" s="137"/>
      <c r="E730" s="138"/>
      <c r="F730" s="139"/>
      <c r="G730" s="1" t="str">
        <f>IFERROR(IF(ventas_b_mes1255[[#This Row],[CUIT]]="","-",VLOOKUP(ventas_b_mes1255[[#This Row],[CUIT]],Lista_CUIT[#All],2,0)),"CUIT NO CARGADO")</f>
        <v>-</v>
      </c>
      <c r="H730" s="100">
        <f>ventas_b_mes1255[[#This Row],[TOTAL]]/1.21</f>
        <v>0</v>
      </c>
      <c r="I730" s="64">
        <f>ventas_b_mes1255[[#This Row],[IMPORTE NETO]]*0.21</f>
        <v>0</v>
      </c>
      <c r="J730" s="141"/>
      <c r="K730" s="141"/>
      <c r="L730" s="141"/>
      <c r="M730" s="59"/>
    </row>
    <row r="731" spans="2:13">
      <c r="B731" s="135"/>
      <c r="C731" s="136"/>
      <c r="D731" s="137"/>
      <c r="E731" s="138"/>
      <c r="F731" s="139"/>
      <c r="G731" s="1" t="str">
        <f>IFERROR(IF(ventas_b_mes1255[[#This Row],[CUIT]]="","-",VLOOKUP(ventas_b_mes1255[[#This Row],[CUIT]],Lista_CUIT[#All],2,0)),"CUIT NO CARGADO")</f>
        <v>-</v>
      </c>
      <c r="H731" s="100">
        <f>ventas_b_mes1255[[#This Row],[TOTAL]]/1.21</f>
        <v>0</v>
      </c>
      <c r="I731" s="64">
        <f>ventas_b_mes1255[[#This Row],[IMPORTE NETO]]*0.21</f>
        <v>0</v>
      </c>
      <c r="J731" s="141"/>
      <c r="K731" s="141"/>
      <c r="L731" s="141"/>
      <c r="M731" s="59"/>
    </row>
    <row r="732" spans="2:13">
      <c r="B732" s="135"/>
      <c r="C732" s="136"/>
      <c r="D732" s="137"/>
      <c r="E732" s="138"/>
      <c r="F732" s="139"/>
      <c r="G732" s="1" t="str">
        <f>IFERROR(IF(ventas_b_mes1255[[#This Row],[CUIT]]="","-",VLOOKUP(ventas_b_mes1255[[#This Row],[CUIT]],Lista_CUIT[#All],2,0)),"CUIT NO CARGADO")</f>
        <v>-</v>
      </c>
      <c r="H732" s="100">
        <f>ventas_b_mes1255[[#This Row],[TOTAL]]/1.21</f>
        <v>0</v>
      </c>
      <c r="I732" s="64">
        <f>ventas_b_mes1255[[#This Row],[IMPORTE NETO]]*0.21</f>
        <v>0</v>
      </c>
      <c r="J732" s="141"/>
      <c r="K732" s="141"/>
      <c r="L732" s="141"/>
      <c r="M732" s="59"/>
    </row>
    <row r="733" spans="2:13">
      <c r="B733" s="135"/>
      <c r="C733" s="136"/>
      <c r="D733" s="137"/>
      <c r="E733" s="138"/>
      <c r="F733" s="139"/>
      <c r="G733" s="1" t="str">
        <f>IFERROR(IF(ventas_b_mes1255[[#This Row],[CUIT]]="","-",VLOOKUP(ventas_b_mes1255[[#This Row],[CUIT]],Lista_CUIT[#All],2,0)),"CUIT NO CARGADO")</f>
        <v>-</v>
      </c>
      <c r="H733" s="100">
        <f>ventas_b_mes1255[[#This Row],[TOTAL]]/1.21</f>
        <v>0</v>
      </c>
      <c r="I733" s="64">
        <f>ventas_b_mes1255[[#This Row],[IMPORTE NETO]]*0.21</f>
        <v>0</v>
      </c>
      <c r="J733" s="141"/>
      <c r="K733" s="141"/>
      <c r="L733" s="141"/>
      <c r="M733" s="59"/>
    </row>
    <row r="734" spans="2:13">
      <c r="B734" s="135"/>
      <c r="C734" s="136"/>
      <c r="D734" s="137"/>
      <c r="E734" s="138"/>
      <c r="F734" s="139"/>
      <c r="G734" s="1" t="str">
        <f>IFERROR(IF(ventas_b_mes1255[[#This Row],[CUIT]]="","-",VLOOKUP(ventas_b_mes1255[[#This Row],[CUIT]],Lista_CUIT[#All],2,0)),"CUIT NO CARGADO")</f>
        <v>-</v>
      </c>
      <c r="H734" s="100">
        <f>ventas_b_mes1255[[#This Row],[TOTAL]]/1.21</f>
        <v>0</v>
      </c>
      <c r="I734" s="64">
        <f>ventas_b_mes1255[[#This Row],[IMPORTE NETO]]*0.21</f>
        <v>0</v>
      </c>
      <c r="J734" s="141"/>
      <c r="K734" s="141"/>
      <c r="L734" s="141"/>
      <c r="M734" s="59"/>
    </row>
    <row r="735" spans="2:13">
      <c r="B735" s="135"/>
      <c r="C735" s="136"/>
      <c r="D735" s="137"/>
      <c r="E735" s="138"/>
      <c r="F735" s="139"/>
      <c r="G735" s="1" t="str">
        <f>IFERROR(IF(ventas_b_mes1255[[#This Row],[CUIT]]="","-",VLOOKUP(ventas_b_mes1255[[#This Row],[CUIT]],Lista_CUIT[#All],2,0)),"CUIT NO CARGADO")</f>
        <v>-</v>
      </c>
      <c r="H735" s="100">
        <f>ventas_b_mes1255[[#This Row],[TOTAL]]/1.21</f>
        <v>0</v>
      </c>
      <c r="I735" s="64">
        <f>ventas_b_mes1255[[#This Row],[IMPORTE NETO]]*0.21</f>
        <v>0</v>
      </c>
      <c r="J735" s="141"/>
      <c r="K735" s="141"/>
      <c r="L735" s="141"/>
      <c r="M735" s="59"/>
    </row>
    <row r="736" spans="2:13">
      <c r="B736" s="135"/>
      <c r="C736" s="136"/>
      <c r="D736" s="137"/>
      <c r="E736" s="138"/>
      <c r="F736" s="139"/>
      <c r="G736" s="1" t="str">
        <f>IFERROR(IF(ventas_b_mes1255[[#This Row],[CUIT]]="","-",VLOOKUP(ventas_b_mes1255[[#This Row],[CUIT]],Lista_CUIT[#All],2,0)),"CUIT NO CARGADO")</f>
        <v>-</v>
      </c>
      <c r="H736" s="100">
        <f>ventas_b_mes1255[[#This Row],[TOTAL]]/1.21</f>
        <v>0</v>
      </c>
      <c r="I736" s="64">
        <f>ventas_b_mes1255[[#This Row],[IMPORTE NETO]]*0.21</f>
        <v>0</v>
      </c>
      <c r="J736" s="141"/>
      <c r="K736" s="141"/>
      <c r="L736" s="141"/>
      <c r="M736" s="59"/>
    </row>
    <row r="737" spans="2:13">
      <c r="B737" s="135"/>
      <c r="C737" s="136"/>
      <c r="D737" s="137"/>
      <c r="E737" s="138"/>
      <c r="F737" s="139"/>
      <c r="G737" s="1" t="str">
        <f>IFERROR(IF(ventas_b_mes1255[[#This Row],[CUIT]]="","-",VLOOKUP(ventas_b_mes1255[[#This Row],[CUIT]],Lista_CUIT[#All],2,0)),"CUIT NO CARGADO")</f>
        <v>-</v>
      </c>
      <c r="H737" s="100">
        <f>ventas_b_mes1255[[#This Row],[TOTAL]]/1.21</f>
        <v>0</v>
      </c>
      <c r="I737" s="64">
        <f>ventas_b_mes1255[[#This Row],[IMPORTE NETO]]*0.21</f>
        <v>0</v>
      </c>
      <c r="J737" s="141"/>
      <c r="K737" s="141"/>
      <c r="L737" s="141"/>
      <c r="M737" s="59"/>
    </row>
    <row r="738" spans="2:13">
      <c r="B738" s="135"/>
      <c r="C738" s="136"/>
      <c r="D738" s="137"/>
      <c r="E738" s="138"/>
      <c r="F738" s="139"/>
      <c r="G738" s="1" t="str">
        <f>IFERROR(IF(ventas_b_mes1255[[#This Row],[CUIT]]="","-",VLOOKUP(ventas_b_mes1255[[#This Row],[CUIT]],Lista_CUIT[#All],2,0)),"CUIT NO CARGADO")</f>
        <v>-</v>
      </c>
      <c r="H738" s="100">
        <f>ventas_b_mes1255[[#This Row],[TOTAL]]/1.21</f>
        <v>0</v>
      </c>
      <c r="I738" s="64">
        <f>ventas_b_mes1255[[#This Row],[IMPORTE NETO]]*0.21</f>
        <v>0</v>
      </c>
      <c r="J738" s="141"/>
      <c r="K738" s="141"/>
      <c r="L738" s="141"/>
      <c r="M738" s="59"/>
    </row>
    <row r="739" spans="2:13">
      <c r="B739" s="135"/>
      <c r="C739" s="136"/>
      <c r="D739" s="137"/>
      <c r="E739" s="138"/>
      <c r="F739" s="139"/>
      <c r="G739" s="1" t="str">
        <f>IFERROR(IF(ventas_b_mes1255[[#This Row],[CUIT]]="","-",VLOOKUP(ventas_b_mes1255[[#This Row],[CUIT]],Lista_CUIT[#All],2,0)),"CUIT NO CARGADO")</f>
        <v>-</v>
      </c>
      <c r="H739" s="100">
        <f>ventas_b_mes1255[[#This Row],[TOTAL]]/1.21</f>
        <v>0</v>
      </c>
      <c r="I739" s="64">
        <f>ventas_b_mes1255[[#This Row],[IMPORTE NETO]]*0.21</f>
        <v>0</v>
      </c>
      <c r="J739" s="141"/>
      <c r="K739" s="141"/>
      <c r="L739" s="141"/>
      <c r="M739" s="59"/>
    </row>
    <row r="740" spans="2:13">
      <c r="B740" s="135"/>
      <c r="C740" s="136"/>
      <c r="D740" s="137"/>
      <c r="E740" s="138"/>
      <c r="F740" s="139"/>
      <c r="G740" s="1" t="str">
        <f>IFERROR(IF(ventas_b_mes1255[[#This Row],[CUIT]]="","-",VLOOKUP(ventas_b_mes1255[[#This Row],[CUIT]],Lista_CUIT[#All],2,0)),"CUIT NO CARGADO")</f>
        <v>-</v>
      </c>
      <c r="H740" s="100">
        <f>ventas_b_mes1255[[#This Row],[TOTAL]]/1.21</f>
        <v>0</v>
      </c>
      <c r="I740" s="64">
        <f>ventas_b_mes1255[[#This Row],[IMPORTE NETO]]*0.21</f>
        <v>0</v>
      </c>
      <c r="J740" s="141"/>
      <c r="K740" s="141"/>
      <c r="L740" s="141"/>
      <c r="M740" s="59"/>
    </row>
    <row r="741" spans="2:13">
      <c r="B741" s="135"/>
      <c r="C741" s="136"/>
      <c r="D741" s="137"/>
      <c r="E741" s="138"/>
      <c r="F741" s="139"/>
      <c r="G741" s="1" t="str">
        <f>IFERROR(IF(ventas_b_mes1255[[#This Row],[CUIT]]="","-",VLOOKUP(ventas_b_mes1255[[#This Row],[CUIT]],Lista_CUIT[#All],2,0)),"CUIT NO CARGADO")</f>
        <v>-</v>
      </c>
      <c r="H741" s="100">
        <f>ventas_b_mes1255[[#This Row],[TOTAL]]/1.21</f>
        <v>0</v>
      </c>
      <c r="I741" s="64">
        <f>ventas_b_mes1255[[#This Row],[IMPORTE NETO]]*0.21</f>
        <v>0</v>
      </c>
      <c r="J741" s="141"/>
      <c r="K741" s="141"/>
      <c r="L741" s="141"/>
      <c r="M741" s="59"/>
    </row>
    <row r="742" spans="2:13">
      <c r="B742" s="135"/>
      <c r="C742" s="136"/>
      <c r="D742" s="137"/>
      <c r="E742" s="138"/>
      <c r="F742" s="139"/>
      <c r="G742" s="1" t="str">
        <f>IFERROR(IF(ventas_b_mes1255[[#This Row],[CUIT]]="","-",VLOOKUP(ventas_b_mes1255[[#This Row],[CUIT]],Lista_CUIT[#All],2,0)),"CUIT NO CARGADO")</f>
        <v>-</v>
      </c>
      <c r="H742" s="100">
        <f>ventas_b_mes1255[[#This Row],[TOTAL]]/1.21</f>
        <v>0</v>
      </c>
      <c r="I742" s="64">
        <f>ventas_b_mes1255[[#This Row],[IMPORTE NETO]]*0.21</f>
        <v>0</v>
      </c>
      <c r="J742" s="141"/>
      <c r="K742" s="141"/>
      <c r="L742" s="141"/>
      <c r="M742" s="59"/>
    </row>
    <row r="743" spans="2:13">
      <c r="B743" s="135"/>
      <c r="C743" s="136"/>
      <c r="D743" s="137"/>
      <c r="E743" s="138"/>
      <c r="F743" s="139"/>
      <c r="G743" s="1" t="str">
        <f>IFERROR(IF(ventas_b_mes1255[[#This Row],[CUIT]]="","-",VLOOKUP(ventas_b_mes1255[[#This Row],[CUIT]],Lista_CUIT[#All],2,0)),"CUIT NO CARGADO")</f>
        <v>-</v>
      </c>
      <c r="H743" s="100">
        <f>ventas_b_mes1255[[#This Row],[TOTAL]]/1.21</f>
        <v>0</v>
      </c>
      <c r="I743" s="64">
        <f>ventas_b_mes1255[[#This Row],[IMPORTE NETO]]*0.21</f>
        <v>0</v>
      </c>
      <c r="J743" s="141"/>
      <c r="K743" s="141"/>
      <c r="L743" s="141"/>
      <c r="M743" s="59"/>
    </row>
    <row r="744" spans="2:13">
      <c r="B744" s="135"/>
      <c r="C744" s="136"/>
      <c r="D744" s="137"/>
      <c r="E744" s="138"/>
      <c r="F744" s="139"/>
      <c r="G744" s="1" t="str">
        <f>IFERROR(IF(ventas_b_mes1255[[#This Row],[CUIT]]="","-",VLOOKUP(ventas_b_mes1255[[#This Row],[CUIT]],Lista_CUIT[#All],2,0)),"CUIT NO CARGADO")</f>
        <v>-</v>
      </c>
      <c r="H744" s="100">
        <f>ventas_b_mes1255[[#This Row],[TOTAL]]/1.21</f>
        <v>0</v>
      </c>
      <c r="I744" s="64">
        <f>ventas_b_mes1255[[#This Row],[IMPORTE NETO]]*0.21</f>
        <v>0</v>
      </c>
      <c r="J744" s="141"/>
      <c r="K744" s="141"/>
      <c r="L744" s="141"/>
      <c r="M744" s="59"/>
    </row>
    <row r="745" spans="2:13">
      <c r="B745" s="135"/>
      <c r="C745" s="136"/>
      <c r="D745" s="137"/>
      <c r="E745" s="138"/>
      <c r="F745" s="139"/>
      <c r="G745" s="1" t="str">
        <f>IFERROR(IF(ventas_b_mes1255[[#This Row],[CUIT]]="","-",VLOOKUP(ventas_b_mes1255[[#This Row],[CUIT]],Lista_CUIT[#All],2,0)),"CUIT NO CARGADO")</f>
        <v>-</v>
      </c>
      <c r="H745" s="100">
        <f>ventas_b_mes1255[[#This Row],[TOTAL]]/1.21</f>
        <v>0</v>
      </c>
      <c r="I745" s="64">
        <f>ventas_b_mes1255[[#This Row],[IMPORTE NETO]]*0.21</f>
        <v>0</v>
      </c>
      <c r="J745" s="141"/>
      <c r="K745" s="141"/>
      <c r="L745" s="141"/>
      <c r="M745" s="59"/>
    </row>
    <row r="746" spans="2:13">
      <c r="B746" s="135"/>
      <c r="C746" s="136"/>
      <c r="D746" s="137"/>
      <c r="E746" s="138"/>
      <c r="F746" s="139"/>
      <c r="G746" s="1" t="str">
        <f>IFERROR(IF(ventas_b_mes1255[[#This Row],[CUIT]]="","-",VLOOKUP(ventas_b_mes1255[[#This Row],[CUIT]],Lista_CUIT[#All],2,0)),"CUIT NO CARGADO")</f>
        <v>-</v>
      </c>
      <c r="H746" s="100">
        <f>ventas_b_mes1255[[#This Row],[TOTAL]]/1.21</f>
        <v>0</v>
      </c>
      <c r="I746" s="64">
        <f>ventas_b_mes1255[[#This Row],[IMPORTE NETO]]*0.21</f>
        <v>0</v>
      </c>
      <c r="J746" s="141"/>
      <c r="K746" s="141"/>
      <c r="L746" s="141"/>
      <c r="M746" s="59"/>
    </row>
    <row r="747" spans="2:13">
      <c r="B747" s="135"/>
      <c r="C747" s="136"/>
      <c r="D747" s="137"/>
      <c r="E747" s="138"/>
      <c r="F747" s="139"/>
      <c r="G747" s="1" t="str">
        <f>IFERROR(IF(ventas_b_mes1255[[#This Row],[CUIT]]="","-",VLOOKUP(ventas_b_mes1255[[#This Row],[CUIT]],Lista_CUIT[#All],2,0)),"CUIT NO CARGADO")</f>
        <v>-</v>
      </c>
      <c r="H747" s="100">
        <f>ventas_b_mes1255[[#This Row],[TOTAL]]/1.21</f>
        <v>0</v>
      </c>
      <c r="I747" s="64">
        <f>ventas_b_mes1255[[#This Row],[IMPORTE NETO]]*0.21</f>
        <v>0</v>
      </c>
      <c r="J747" s="141"/>
      <c r="K747" s="141"/>
      <c r="L747" s="141"/>
      <c r="M747" s="59"/>
    </row>
    <row r="748" spans="2:13">
      <c r="B748" s="142"/>
      <c r="C748" s="136"/>
      <c r="D748" s="143"/>
      <c r="E748" s="144"/>
      <c r="F748" s="113"/>
      <c r="G748" s="145" t="str">
        <f>IFERROR(IF(ventas_b_mes1255[[#This Row],[CUIT]]="","-",VLOOKUP(ventas_b_mes1255[[#This Row],[CUIT]],Lista_CUIT[#All],2,0)),"CUIT NO CARGADO")</f>
        <v>-</v>
      </c>
      <c r="H748" s="100">
        <f>ventas_b_mes1255[[#This Row],[TOTAL]]/1.21</f>
        <v>0</v>
      </c>
      <c r="I748" s="64">
        <f>ventas_b_mes1255[[#This Row],[IMPORTE NETO]]*0.21</f>
        <v>0</v>
      </c>
      <c r="J748" s="146"/>
      <c r="K748" s="146"/>
      <c r="L748" s="146"/>
      <c r="M748" s="63"/>
    </row>
    <row r="749" spans="2:13">
      <c r="B749" s="142"/>
      <c r="C749" s="136"/>
      <c r="D749" s="143"/>
      <c r="E749" s="144"/>
      <c r="F749" s="113"/>
      <c r="G749" s="145" t="str">
        <f>IFERROR(IF(ventas_b_mes1255[[#This Row],[CUIT]]="","-",VLOOKUP(ventas_b_mes1255[[#This Row],[CUIT]],Lista_CUIT[#All],2,0)),"CUIT NO CARGADO")</f>
        <v>-</v>
      </c>
      <c r="H749" s="100">
        <f>ventas_b_mes1255[[#This Row],[TOTAL]]/1.21</f>
        <v>0</v>
      </c>
      <c r="I749" s="64">
        <f>ventas_b_mes1255[[#This Row],[IMPORTE NETO]]*0.21</f>
        <v>0</v>
      </c>
      <c r="J749" s="146"/>
      <c r="K749" s="146"/>
      <c r="L749" s="146"/>
      <c r="M749" s="63"/>
    </row>
    <row r="750" spans="2:13">
      <c r="B750" s="142"/>
      <c r="C750" s="136"/>
      <c r="D750" s="143"/>
      <c r="E750" s="144"/>
      <c r="F750" s="113"/>
      <c r="G750" s="145" t="str">
        <f>IFERROR(IF(ventas_b_mes1255[[#This Row],[CUIT]]="","-",VLOOKUP(ventas_b_mes1255[[#This Row],[CUIT]],Lista_CUIT[#All],2,0)),"CUIT NO CARGADO")</f>
        <v>-</v>
      </c>
      <c r="H750" s="100">
        <f>ventas_b_mes1255[[#This Row],[TOTAL]]/1.21</f>
        <v>0</v>
      </c>
      <c r="I750" s="64">
        <f>ventas_b_mes1255[[#This Row],[IMPORTE NETO]]*0.21</f>
        <v>0</v>
      </c>
      <c r="J750" s="146"/>
      <c r="K750" s="146"/>
      <c r="L750" s="146"/>
      <c r="M750" s="63"/>
    </row>
    <row r="751" spans="2:13">
      <c r="B751" s="142"/>
      <c r="C751" s="136"/>
      <c r="D751" s="143"/>
      <c r="E751" s="144"/>
      <c r="F751" s="113"/>
      <c r="G751" s="145" t="str">
        <f>IFERROR(IF(ventas_b_mes1255[[#This Row],[CUIT]]="","-",VLOOKUP(ventas_b_mes1255[[#This Row],[CUIT]],Lista_CUIT[#All],2,0)),"CUIT NO CARGADO")</f>
        <v>-</v>
      </c>
      <c r="H751" s="100">
        <f>ventas_b_mes1255[[#This Row],[TOTAL]]/1.21</f>
        <v>0</v>
      </c>
      <c r="I751" s="64">
        <f>ventas_b_mes1255[[#This Row],[IMPORTE NETO]]*0.21</f>
        <v>0</v>
      </c>
      <c r="J751" s="146"/>
      <c r="K751" s="146"/>
      <c r="L751" s="146"/>
      <c r="M751" s="63"/>
    </row>
    <row r="752" spans="2:13">
      <c r="B752" s="142"/>
      <c r="C752" s="136"/>
      <c r="D752" s="143"/>
      <c r="E752" s="144"/>
      <c r="F752" s="113"/>
      <c r="G752" s="145" t="str">
        <f>IFERROR(IF(ventas_b_mes1255[[#This Row],[CUIT]]="","-",VLOOKUP(ventas_b_mes1255[[#This Row],[CUIT]],Lista_CUIT[#All],2,0)),"CUIT NO CARGADO")</f>
        <v>-</v>
      </c>
      <c r="H752" s="100">
        <f>ventas_b_mes1255[[#This Row],[TOTAL]]/1.21</f>
        <v>0</v>
      </c>
      <c r="I752" s="64">
        <f>ventas_b_mes1255[[#This Row],[IMPORTE NETO]]*0.21</f>
        <v>0</v>
      </c>
      <c r="J752" s="146"/>
      <c r="K752" s="146"/>
      <c r="L752" s="146"/>
      <c r="M752" s="63"/>
    </row>
    <row r="753" spans="2:13">
      <c r="B753" s="142"/>
      <c r="C753" s="136"/>
      <c r="D753" s="143"/>
      <c r="E753" s="144"/>
      <c r="F753" s="113"/>
      <c r="G753" s="145" t="str">
        <f>IFERROR(IF(ventas_b_mes1255[[#This Row],[CUIT]]="","-",VLOOKUP(ventas_b_mes1255[[#This Row],[CUIT]],Lista_CUIT[#All],2,0)),"CUIT NO CARGADO")</f>
        <v>-</v>
      </c>
      <c r="H753" s="100">
        <f>ventas_b_mes1255[[#This Row],[TOTAL]]/1.21</f>
        <v>0</v>
      </c>
      <c r="I753" s="64">
        <f>ventas_b_mes1255[[#This Row],[IMPORTE NETO]]*0.21</f>
        <v>0</v>
      </c>
      <c r="J753" s="146"/>
      <c r="K753" s="146"/>
      <c r="L753" s="146"/>
      <c r="M753" s="63"/>
    </row>
    <row r="754" spans="2:13">
      <c r="B754" s="142"/>
      <c r="C754" s="136"/>
      <c r="D754" s="143"/>
      <c r="E754" s="144"/>
      <c r="F754" s="113"/>
      <c r="G754" s="145" t="str">
        <f>IFERROR(IF(ventas_b_mes1255[[#This Row],[CUIT]]="","-",VLOOKUP(ventas_b_mes1255[[#This Row],[CUIT]],Lista_CUIT[#All],2,0)),"CUIT NO CARGADO")</f>
        <v>-</v>
      </c>
      <c r="H754" s="100">
        <f>ventas_b_mes1255[[#This Row],[TOTAL]]/1.21</f>
        <v>0</v>
      </c>
      <c r="I754" s="64">
        <f>ventas_b_mes1255[[#This Row],[IMPORTE NETO]]*0.21</f>
        <v>0</v>
      </c>
      <c r="J754" s="146"/>
      <c r="K754" s="146"/>
      <c r="L754" s="146"/>
      <c r="M754" s="63"/>
    </row>
    <row r="755" spans="2:13">
      <c r="B755" s="135"/>
      <c r="C755" s="136"/>
      <c r="D755" s="137"/>
      <c r="E755" s="138"/>
      <c r="F755" s="113"/>
      <c r="G755" s="1" t="str">
        <f>IFERROR(IF(ventas_b_mes1255[[#This Row],[CUIT]]="","-",VLOOKUP(ventas_b_mes1255[[#This Row],[CUIT]],Lista_CUIT[#All],2,0)),"CUIT NO CARGADO")</f>
        <v>-</v>
      </c>
      <c r="H755" s="100">
        <f>ventas_b_mes1255[[#This Row],[TOTAL]]/1.21</f>
        <v>0</v>
      </c>
      <c r="I755" s="64">
        <f>ventas_b_mes1255[[#This Row],[IMPORTE NETO]]*0.21</f>
        <v>0</v>
      </c>
      <c r="J755" s="141"/>
      <c r="K755" s="141"/>
      <c r="L755" s="141"/>
      <c r="M755" s="59"/>
    </row>
    <row r="756" spans="2:13">
      <c r="B756" s="135"/>
      <c r="C756" s="136"/>
      <c r="D756" s="137"/>
      <c r="E756" s="138"/>
      <c r="F756" s="113"/>
      <c r="G756" s="1" t="str">
        <f>IFERROR(IF(ventas_b_mes1255[[#This Row],[CUIT]]="","-",VLOOKUP(ventas_b_mes1255[[#This Row],[CUIT]],Lista_CUIT[#All],2,0)),"CUIT NO CARGADO")</f>
        <v>-</v>
      </c>
      <c r="H756" s="100">
        <f>ventas_b_mes1255[[#This Row],[TOTAL]]/1.21</f>
        <v>0</v>
      </c>
      <c r="I756" s="64">
        <f>ventas_b_mes1255[[#This Row],[IMPORTE NETO]]*0.21</f>
        <v>0</v>
      </c>
      <c r="J756" s="141"/>
      <c r="K756" s="141"/>
      <c r="L756" s="141"/>
      <c r="M756" s="59"/>
    </row>
    <row r="757" spans="2:13">
      <c r="B757" s="135"/>
      <c r="C757" s="136"/>
      <c r="D757" s="137"/>
      <c r="E757" s="138"/>
      <c r="F757" s="113"/>
      <c r="G757" s="1" t="str">
        <f>IFERROR(IF(ventas_b_mes1255[[#This Row],[CUIT]]="","-",VLOOKUP(ventas_b_mes1255[[#This Row],[CUIT]],Lista_CUIT[#All],2,0)),"CUIT NO CARGADO")</f>
        <v>-</v>
      </c>
      <c r="H757" s="100">
        <f>ventas_b_mes1255[[#This Row],[TOTAL]]/1.21</f>
        <v>0</v>
      </c>
      <c r="I757" s="64">
        <f>ventas_b_mes1255[[#This Row],[IMPORTE NETO]]*0.21</f>
        <v>0</v>
      </c>
      <c r="J757" s="141"/>
      <c r="K757" s="141"/>
      <c r="L757" s="141"/>
      <c r="M757" s="59"/>
    </row>
    <row r="758" spans="2:13">
      <c r="B758" s="135"/>
      <c r="C758" s="136"/>
      <c r="D758" s="137"/>
      <c r="E758" s="138"/>
      <c r="F758" s="113"/>
      <c r="G758" s="1" t="str">
        <f>IFERROR(IF(ventas_b_mes1255[[#This Row],[CUIT]]="","-",VLOOKUP(ventas_b_mes1255[[#This Row],[CUIT]],Lista_CUIT[#All],2,0)),"CUIT NO CARGADO")</f>
        <v>-</v>
      </c>
      <c r="H758" s="100">
        <f>ventas_b_mes1255[[#This Row],[TOTAL]]/1.21</f>
        <v>0</v>
      </c>
      <c r="I758" s="64">
        <f>ventas_b_mes1255[[#This Row],[IMPORTE NETO]]*0.21</f>
        <v>0</v>
      </c>
      <c r="J758" s="141"/>
      <c r="K758" s="141"/>
      <c r="L758" s="141"/>
      <c r="M758" s="59"/>
    </row>
    <row r="759" spans="2:13">
      <c r="B759" s="135"/>
      <c r="C759" s="136"/>
      <c r="D759" s="137"/>
      <c r="E759" s="138"/>
      <c r="F759" s="113"/>
      <c r="G759" s="1" t="str">
        <f>IFERROR(IF(ventas_b_mes1255[[#This Row],[CUIT]]="","-",VLOOKUP(ventas_b_mes1255[[#This Row],[CUIT]],Lista_CUIT[#All],2,0)),"CUIT NO CARGADO")</f>
        <v>-</v>
      </c>
      <c r="H759" s="100">
        <f>ventas_b_mes1255[[#This Row],[TOTAL]]/1.21</f>
        <v>0</v>
      </c>
      <c r="I759" s="64">
        <f>ventas_b_mes1255[[#This Row],[IMPORTE NETO]]*0.21</f>
        <v>0</v>
      </c>
      <c r="J759" s="141"/>
      <c r="K759" s="141"/>
      <c r="L759" s="141"/>
      <c r="M759" s="59"/>
    </row>
    <row r="760" spans="2:13">
      <c r="B760" s="135"/>
      <c r="C760" s="136"/>
      <c r="D760" s="137"/>
      <c r="E760" s="138"/>
      <c r="F760" s="113"/>
      <c r="G760" s="1" t="str">
        <f>IFERROR(IF(ventas_b_mes1255[[#This Row],[CUIT]]="","-",VLOOKUP(ventas_b_mes1255[[#This Row],[CUIT]],Lista_CUIT[#All],2,0)),"CUIT NO CARGADO")</f>
        <v>-</v>
      </c>
      <c r="H760" s="100">
        <f>ventas_b_mes1255[[#This Row],[TOTAL]]/1.21</f>
        <v>0</v>
      </c>
      <c r="I760" s="64">
        <f>ventas_b_mes1255[[#This Row],[IMPORTE NETO]]*0.21</f>
        <v>0</v>
      </c>
      <c r="J760" s="141"/>
      <c r="K760" s="141"/>
      <c r="L760" s="141"/>
      <c r="M760" s="59"/>
    </row>
    <row r="761" spans="2:13">
      <c r="B761" s="135"/>
      <c r="C761" s="136"/>
      <c r="D761" s="137"/>
      <c r="E761" s="138"/>
      <c r="F761" s="113"/>
      <c r="G761" s="1" t="str">
        <f>IFERROR(IF(ventas_b_mes1255[[#This Row],[CUIT]]="","-",VLOOKUP(ventas_b_mes1255[[#This Row],[CUIT]],Lista_CUIT[#All],2,0)),"CUIT NO CARGADO")</f>
        <v>-</v>
      </c>
      <c r="H761" s="100">
        <f>ventas_b_mes1255[[#This Row],[TOTAL]]/1.21</f>
        <v>0</v>
      </c>
      <c r="I761" s="64">
        <f>ventas_b_mes1255[[#This Row],[IMPORTE NETO]]*0.21</f>
        <v>0</v>
      </c>
      <c r="J761" s="141"/>
      <c r="K761" s="141"/>
      <c r="L761" s="141"/>
      <c r="M761" s="59"/>
    </row>
    <row r="762" spans="2:13">
      <c r="B762" s="135"/>
      <c r="C762" s="136"/>
      <c r="D762" s="137"/>
      <c r="E762" s="138"/>
      <c r="F762" s="113"/>
      <c r="G762" s="1" t="str">
        <f>IFERROR(IF(ventas_b_mes1255[[#This Row],[CUIT]]="","-",VLOOKUP(ventas_b_mes1255[[#This Row],[CUIT]],Lista_CUIT[#All],2,0)),"CUIT NO CARGADO")</f>
        <v>-</v>
      </c>
      <c r="H762" s="100">
        <f>ventas_b_mes1255[[#This Row],[TOTAL]]/1.21</f>
        <v>0</v>
      </c>
      <c r="I762" s="64">
        <f>ventas_b_mes1255[[#This Row],[IMPORTE NETO]]*0.21</f>
        <v>0</v>
      </c>
      <c r="J762" s="141"/>
      <c r="K762" s="141"/>
      <c r="L762" s="141"/>
      <c r="M762" s="59"/>
    </row>
    <row r="763" spans="2:13">
      <c r="B763" s="135"/>
      <c r="C763" s="136"/>
      <c r="D763" s="137"/>
      <c r="E763" s="138"/>
      <c r="F763" s="113"/>
      <c r="G763" s="1" t="str">
        <f>IFERROR(IF(ventas_b_mes1255[[#This Row],[CUIT]]="","-",VLOOKUP(ventas_b_mes1255[[#This Row],[CUIT]],Lista_CUIT[#All],2,0)),"CUIT NO CARGADO")</f>
        <v>-</v>
      </c>
      <c r="H763" s="100">
        <f>ventas_b_mes1255[[#This Row],[TOTAL]]/1.21</f>
        <v>0</v>
      </c>
      <c r="I763" s="64">
        <f>ventas_b_mes1255[[#This Row],[IMPORTE NETO]]*0.21</f>
        <v>0</v>
      </c>
      <c r="J763" s="141"/>
      <c r="K763" s="141"/>
      <c r="L763" s="141"/>
      <c r="M763" s="59"/>
    </row>
    <row r="764" spans="2:13">
      <c r="B764" s="135"/>
      <c r="C764" s="136"/>
      <c r="D764" s="137"/>
      <c r="E764" s="138"/>
      <c r="F764" s="113"/>
      <c r="G764" s="1" t="str">
        <f>IFERROR(IF(ventas_b_mes1255[[#This Row],[CUIT]]="","-",VLOOKUP(ventas_b_mes1255[[#This Row],[CUIT]],Lista_CUIT[#All],2,0)),"CUIT NO CARGADO")</f>
        <v>-</v>
      </c>
      <c r="H764" s="100">
        <f>ventas_b_mes1255[[#This Row],[TOTAL]]/1.21</f>
        <v>0</v>
      </c>
      <c r="I764" s="64">
        <f>ventas_b_mes1255[[#This Row],[IMPORTE NETO]]*0.21</f>
        <v>0</v>
      </c>
      <c r="J764" s="141"/>
      <c r="K764" s="141"/>
      <c r="L764" s="141"/>
      <c r="M764" s="59"/>
    </row>
    <row r="765" spans="2:13">
      <c r="B765" s="135"/>
      <c r="C765" s="136"/>
      <c r="D765" s="137"/>
      <c r="E765" s="138"/>
      <c r="F765" s="113"/>
      <c r="G765" s="1" t="str">
        <f>IFERROR(IF(ventas_b_mes1255[[#This Row],[CUIT]]="","-",VLOOKUP(ventas_b_mes1255[[#This Row],[CUIT]],Lista_CUIT[#All],2,0)),"CUIT NO CARGADO")</f>
        <v>-</v>
      </c>
      <c r="H765" s="100">
        <f>ventas_b_mes1255[[#This Row],[TOTAL]]/1.21</f>
        <v>0</v>
      </c>
      <c r="I765" s="64">
        <f>ventas_b_mes1255[[#This Row],[IMPORTE NETO]]*0.21</f>
        <v>0</v>
      </c>
      <c r="J765" s="141"/>
      <c r="K765" s="141"/>
      <c r="L765" s="141"/>
      <c r="M765" s="59"/>
    </row>
    <row r="766" spans="2:13">
      <c r="B766" s="135"/>
      <c r="C766" s="136"/>
      <c r="D766" s="137"/>
      <c r="E766" s="138"/>
      <c r="F766" s="113"/>
      <c r="G766" s="1" t="str">
        <f>IFERROR(IF(ventas_b_mes1255[[#This Row],[CUIT]]="","-",VLOOKUP(ventas_b_mes1255[[#This Row],[CUIT]],Lista_CUIT[#All],2,0)),"CUIT NO CARGADO")</f>
        <v>-</v>
      </c>
      <c r="H766" s="100">
        <f>ventas_b_mes1255[[#This Row],[TOTAL]]/1.21</f>
        <v>0</v>
      </c>
      <c r="I766" s="64">
        <f>ventas_b_mes1255[[#This Row],[IMPORTE NETO]]*0.21</f>
        <v>0</v>
      </c>
      <c r="J766" s="141"/>
      <c r="K766" s="141"/>
      <c r="L766" s="141"/>
      <c r="M766" s="59"/>
    </row>
    <row r="767" spans="2:13">
      <c r="B767" s="135"/>
      <c r="C767" s="136"/>
      <c r="D767" s="137"/>
      <c r="E767" s="138"/>
      <c r="F767" s="113"/>
      <c r="G767" s="1" t="str">
        <f>IFERROR(IF(ventas_b_mes1255[[#This Row],[CUIT]]="","-",VLOOKUP(ventas_b_mes1255[[#This Row],[CUIT]],Lista_CUIT[#All],2,0)),"CUIT NO CARGADO")</f>
        <v>-</v>
      </c>
      <c r="H767" s="100">
        <f>ventas_b_mes1255[[#This Row],[TOTAL]]/1.21</f>
        <v>0</v>
      </c>
      <c r="I767" s="64">
        <f>ventas_b_mes1255[[#This Row],[IMPORTE NETO]]*0.21</f>
        <v>0</v>
      </c>
      <c r="J767" s="141"/>
      <c r="K767" s="141"/>
      <c r="L767" s="141"/>
      <c r="M767" s="59"/>
    </row>
    <row r="768" spans="2:13">
      <c r="B768" s="135"/>
      <c r="C768" s="136"/>
      <c r="D768" s="137"/>
      <c r="E768" s="138"/>
      <c r="F768" s="113"/>
      <c r="G768" s="1" t="str">
        <f>IFERROR(IF(ventas_b_mes1255[[#This Row],[CUIT]]="","-",VLOOKUP(ventas_b_mes1255[[#This Row],[CUIT]],Lista_CUIT[#All],2,0)),"CUIT NO CARGADO")</f>
        <v>-</v>
      </c>
      <c r="H768" s="100">
        <f>ventas_b_mes1255[[#This Row],[TOTAL]]/1.21</f>
        <v>0</v>
      </c>
      <c r="I768" s="64">
        <f>ventas_b_mes1255[[#This Row],[IMPORTE NETO]]*0.21</f>
        <v>0</v>
      </c>
      <c r="J768" s="141"/>
      <c r="K768" s="141"/>
      <c r="L768" s="141"/>
      <c r="M768" s="59"/>
    </row>
    <row r="769" spans="2:13">
      <c r="B769" s="135"/>
      <c r="C769" s="136"/>
      <c r="D769" s="137"/>
      <c r="E769" s="138"/>
      <c r="F769" s="113"/>
      <c r="G769" s="1" t="str">
        <f>IFERROR(IF(ventas_b_mes1255[[#This Row],[CUIT]]="","-",VLOOKUP(ventas_b_mes1255[[#This Row],[CUIT]],Lista_CUIT[#All],2,0)),"CUIT NO CARGADO")</f>
        <v>-</v>
      </c>
      <c r="H769" s="100">
        <f>ventas_b_mes1255[[#This Row],[TOTAL]]/1.21</f>
        <v>0</v>
      </c>
      <c r="I769" s="64">
        <f>ventas_b_mes1255[[#This Row],[IMPORTE NETO]]*0.21</f>
        <v>0</v>
      </c>
      <c r="J769" s="141"/>
      <c r="K769" s="141"/>
      <c r="L769" s="141"/>
      <c r="M769" s="59"/>
    </row>
    <row r="770" spans="2:13">
      <c r="B770" s="135"/>
      <c r="C770" s="136"/>
      <c r="D770" s="137"/>
      <c r="E770" s="138"/>
      <c r="F770" s="113"/>
      <c r="G770" s="1" t="str">
        <f>IFERROR(IF(ventas_b_mes1255[[#This Row],[CUIT]]="","-",VLOOKUP(ventas_b_mes1255[[#This Row],[CUIT]],Lista_CUIT[#All],2,0)),"CUIT NO CARGADO")</f>
        <v>-</v>
      </c>
      <c r="H770" s="100">
        <f>ventas_b_mes1255[[#This Row],[TOTAL]]/1.21</f>
        <v>0</v>
      </c>
      <c r="I770" s="64">
        <f>ventas_b_mes1255[[#This Row],[IMPORTE NETO]]*0.21</f>
        <v>0</v>
      </c>
      <c r="J770" s="141"/>
      <c r="K770" s="141"/>
      <c r="L770" s="141"/>
      <c r="M770" s="59"/>
    </row>
    <row r="771" spans="2:13">
      <c r="B771" s="135"/>
      <c r="C771" s="136"/>
      <c r="D771" s="137"/>
      <c r="E771" s="138"/>
      <c r="F771" s="113"/>
      <c r="G771" s="1" t="str">
        <f>IFERROR(IF(ventas_b_mes1255[[#This Row],[CUIT]]="","-",VLOOKUP(ventas_b_mes1255[[#This Row],[CUIT]],Lista_CUIT[#All],2,0)),"CUIT NO CARGADO")</f>
        <v>-</v>
      </c>
      <c r="H771" s="100">
        <f>ventas_b_mes1255[[#This Row],[TOTAL]]/1.21</f>
        <v>0</v>
      </c>
      <c r="I771" s="64">
        <f>ventas_b_mes1255[[#This Row],[IMPORTE NETO]]*0.21</f>
        <v>0</v>
      </c>
      <c r="J771" s="141"/>
      <c r="K771" s="141"/>
      <c r="L771" s="141"/>
      <c r="M771" s="59"/>
    </row>
    <row r="772" spans="2:13">
      <c r="B772" s="135"/>
      <c r="C772" s="136"/>
      <c r="D772" s="137"/>
      <c r="E772" s="138"/>
      <c r="F772" s="113"/>
      <c r="G772" s="1" t="str">
        <f>IFERROR(IF(ventas_b_mes1255[[#This Row],[CUIT]]="","-",VLOOKUP(ventas_b_mes1255[[#This Row],[CUIT]],Lista_CUIT[#All],2,0)),"CUIT NO CARGADO")</f>
        <v>-</v>
      </c>
      <c r="H772" s="100">
        <f>ventas_b_mes1255[[#This Row],[TOTAL]]/1.21</f>
        <v>0</v>
      </c>
      <c r="I772" s="64">
        <f>ventas_b_mes1255[[#This Row],[IMPORTE NETO]]*0.21</f>
        <v>0</v>
      </c>
      <c r="J772" s="141"/>
      <c r="K772" s="141"/>
      <c r="L772" s="141"/>
      <c r="M772" s="59"/>
    </row>
    <row r="773" spans="2:13">
      <c r="B773" s="135"/>
      <c r="C773" s="136"/>
      <c r="D773" s="137"/>
      <c r="E773" s="138"/>
      <c r="F773" s="113"/>
      <c r="G773" s="1" t="str">
        <f>IFERROR(IF(ventas_b_mes1255[[#This Row],[CUIT]]="","-",VLOOKUP(ventas_b_mes1255[[#This Row],[CUIT]],Lista_CUIT[#All],2,0)),"CUIT NO CARGADO")</f>
        <v>-</v>
      </c>
      <c r="H773" s="100">
        <f>ventas_b_mes1255[[#This Row],[TOTAL]]/1.21</f>
        <v>0</v>
      </c>
      <c r="I773" s="64">
        <f>ventas_b_mes1255[[#This Row],[IMPORTE NETO]]*0.21</f>
        <v>0</v>
      </c>
      <c r="J773" s="141"/>
      <c r="K773" s="141"/>
      <c r="L773" s="141"/>
      <c r="M773" s="59"/>
    </row>
    <row r="774" spans="2:13">
      <c r="B774" s="135"/>
      <c r="C774" s="136"/>
      <c r="D774" s="137"/>
      <c r="E774" s="138"/>
      <c r="F774" s="113"/>
      <c r="G774" s="1" t="str">
        <f>IFERROR(IF(ventas_b_mes1255[[#This Row],[CUIT]]="","-",VLOOKUP(ventas_b_mes1255[[#This Row],[CUIT]],Lista_CUIT[#All],2,0)),"CUIT NO CARGADO")</f>
        <v>-</v>
      </c>
      <c r="H774" s="100">
        <f>ventas_b_mes1255[[#This Row],[TOTAL]]/1.21</f>
        <v>0</v>
      </c>
      <c r="I774" s="64">
        <f>ventas_b_mes1255[[#This Row],[IMPORTE NETO]]*0.21</f>
        <v>0</v>
      </c>
      <c r="J774" s="141"/>
      <c r="K774" s="141"/>
      <c r="L774" s="141"/>
      <c r="M774" s="59"/>
    </row>
    <row r="775" spans="2:13">
      <c r="B775" s="135"/>
      <c r="C775" s="136"/>
      <c r="D775" s="137"/>
      <c r="E775" s="138"/>
      <c r="F775" s="113"/>
      <c r="G775" s="1" t="str">
        <f>IFERROR(IF(ventas_b_mes1255[[#This Row],[CUIT]]="","-",VLOOKUP(ventas_b_mes1255[[#This Row],[CUIT]],Lista_CUIT[#All],2,0)),"CUIT NO CARGADO")</f>
        <v>-</v>
      </c>
      <c r="H775" s="100">
        <f>ventas_b_mes1255[[#This Row],[TOTAL]]/1.21</f>
        <v>0</v>
      </c>
      <c r="I775" s="64">
        <f>ventas_b_mes1255[[#This Row],[IMPORTE NETO]]*0.21</f>
        <v>0</v>
      </c>
      <c r="J775" s="141"/>
      <c r="K775" s="141"/>
      <c r="L775" s="141"/>
      <c r="M775" s="59"/>
    </row>
    <row r="776" spans="2:13">
      <c r="B776" s="135"/>
      <c r="C776" s="136"/>
      <c r="D776" s="137"/>
      <c r="E776" s="138"/>
      <c r="F776" s="113"/>
      <c r="G776" s="1" t="str">
        <f>IFERROR(IF(ventas_b_mes1255[[#This Row],[CUIT]]="","-",VLOOKUP(ventas_b_mes1255[[#This Row],[CUIT]],Lista_CUIT[#All],2,0)),"CUIT NO CARGADO")</f>
        <v>-</v>
      </c>
      <c r="H776" s="100">
        <f>ventas_b_mes1255[[#This Row],[TOTAL]]/1.21</f>
        <v>0</v>
      </c>
      <c r="I776" s="64">
        <f>ventas_b_mes1255[[#This Row],[IMPORTE NETO]]*0.21</f>
        <v>0</v>
      </c>
      <c r="J776" s="141"/>
      <c r="K776" s="141"/>
      <c r="L776" s="141"/>
      <c r="M776" s="59"/>
    </row>
    <row r="777" spans="2:13">
      <c r="B777" s="135"/>
      <c r="C777" s="136"/>
      <c r="D777" s="137"/>
      <c r="E777" s="138"/>
      <c r="F777" s="113"/>
      <c r="G777" s="1" t="str">
        <f>IFERROR(IF(ventas_b_mes1255[[#This Row],[CUIT]]="","-",VLOOKUP(ventas_b_mes1255[[#This Row],[CUIT]],Lista_CUIT[#All],2,0)),"CUIT NO CARGADO")</f>
        <v>-</v>
      </c>
      <c r="H777" s="100">
        <f>ventas_b_mes1255[[#This Row],[TOTAL]]/1.21</f>
        <v>0</v>
      </c>
      <c r="I777" s="64">
        <f>ventas_b_mes1255[[#This Row],[IMPORTE NETO]]*0.21</f>
        <v>0</v>
      </c>
      <c r="J777" s="141"/>
      <c r="K777" s="141"/>
      <c r="L777" s="141"/>
      <c r="M777" s="59"/>
    </row>
    <row r="778" spans="2:13">
      <c r="B778" s="135"/>
      <c r="C778" s="136"/>
      <c r="D778" s="137"/>
      <c r="E778" s="138"/>
      <c r="F778" s="113"/>
      <c r="G778" s="1" t="str">
        <f>IFERROR(IF(ventas_b_mes1255[[#This Row],[CUIT]]="","-",VLOOKUP(ventas_b_mes1255[[#This Row],[CUIT]],Lista_CUIT[#All],2,0)),"CUIT NO CARGADO")</f>
        <v>-</v>
      </c>
      <c r="H778" s="100">
        <f>ventas_b_mes1255[[#This Row],[TOTAL]]/1.21</f>
        <v>0</v>
      </c>
      <c r="I778" s="64">
        <f>ventas_b_mes1255[[#This Row],[IMPORTE NETO]]*0.21</f>
        <v>0</v>
      </c>
      <c r="J778" s="141"/>
      <c r="K778" s="141"/>
      <c r="L778" s="141"/>
      <c r="M778" s="59"/>
    </row>
    <row r="779" spans="2:13">
      <c r="B779" s="135"/>
      <c r="C779" s="136"/>
      <c r="D779" s="137"/>
      <c r="E779" s="138"/>
      <c r="F779" s="113"/>
      <c r="G779" s="1" t="str">
        <f>IFERROR(IF(ventas_b_mes1255[[#This Row],[CUIT]]="","-",VLOOKUP(ventas_b_mes1255[[#This Row],[CUIT]],Lista_CUIT[#All],2,0)),"CUIT NO CARGADO")</f>
        <v>-</v>
      </c>
      <c r="H779" s="100">
        <f>ventas_b_mes1255[[#This Row],[TOTAL]]/1.21</f>
        <v>0</v>
      </c>
      <c r="I779" s="64">
        <f>ventas_b_mes1255[[#This Row],[IMPORTE NETO]]*0.21</f>
        <v>0</v>
      </c>
      <c r="J779" s="141"/>
      <c r="K779" s="141"/>
      <c r="L779" s="141"/>
      <c r="M779" s="59"/>
    </row>
    <row r="780" spans="2:13">
      <c r="B780" s="135"/>
      <c r="C780" s="136"/>
      <c r="D780" s="137"/>
      <c r="E780" s="138"/>
      <c r="F780" s="113"/>
      <c r="G780" s="1" t="str">
        <f>IFERROR(IF(ventas_b_mes1255[[#This Row],[CUIT]]="","-",VLOOKUP(ventas_b_mes1255[[#This Row],[CUIT]],Lista_CUIT[#All],2,0)),"CUIT NO CARGADO")</f>
        <v>-</v>
      </c>
      <c r="H780" s="100">
        <f>ventas_b_mes1255[[#This Row],[TOTAL]]/1.21</f>
        <v>0</v>
      </c>
      <c r="I780" s="64">
        <f>ventas_b_mes1255[[#This Row],[IMPORTE NETO]]*0.21</f>
        <v>0</v>
      </c>
      <c r="J780" s="141"/>
      <c r="K780" s="141"/>
      <c r="L780" s="141"/>
      <c r="M780" s="59"/>
    </row>
    <row r="781" spans="2:13">
      <c r="B781" s="135"/>
      <c r="C781" s="136"/>
      <c r="D781" s="137"/>
      <c r="E781" s="138"/>
      <c r="F781" s="113"/>
      <c r="G781" s="1" t="str">
        <f>IFERROR(IF(ventas_b_mes1255[[#This Row],[CUIT]]="","-",VLOOKUP(ventas_b_mes1255[[#This Row],[CUIT]],Lista_CUIT[#All],2,0)),"CUIT NO CARGADO")</f>
        <v>-</v>
      </c>
      <c r="H781" s="100">
        <f>ventas_b_mes1255[[#This Row],[TOTAL]]/1.21</f>
        <v>0</v>
      </c>
      <c r="I781" s="64">
        <f>ventas_b_mes1255[[#This Row],[IMPORTE NETO]]*0.21</f>
        <v>0</v>
      </c>
      <c r="J781" s="141"/>
      <c r="K781" s="141"/>
      <c r="L781" s="141"/>
      <c r="M781" s="59"/>
    </row>
    <row r="782" spans="2:13">
      <c r="B782" s="135"/>
      <c r="C782" s="136"/>
      <c r="D782" s="137"/>
      <c r="E782" s="138"/>
      <c r="F782" s="113"/>
      <c r="G782" s="1" t="str">
        <f>IFERROR(IF(ventas_b_mes1255[[#This Row],[CUIT]]="","-",VLOOKUP(ventas_b_mes1255[[#This Row],[CUIT]],Lista_CUIT[#All],2,0)),"CUIT NO CARGADO")</f>
        <v>-</v>
      </c>
      <c r="H782" s="100">
        <f>ventas_b_mes1255[[#This Row],[TOTAL]]/1.21</f>
        <v>0</v>
      </c>
      <c r="I782" s="64">
        <f>ventas_b_mes1255[[#This Row],[IMPORTE NETO]]*0.21</f>
        <v>0</v>
      </c>
      <c r="J782" s="141"/>
      <c r="K782" s="141"/>
      <c r="L782" s="141"/>
      <c r="M782" s="59"/>
    </row>
    <row r="783" spans="2:13">
      <c r="B783" s="135"/>
      <c r="C783" s="136"/>
      <c r="D783" s="137"/>
      <c r="E783" s="138"/>
      <c r="F783" s="113"/>
      <c r="G783" s="1" t="str">
        <f>IFERROR(IF(ventas_b_mes1255[[#This Row],[CUIT]]="","-",VLOOKUP(ventas_b_mes1255[[#This Row],[CUIT]],Lista_CUIT[#All],2,0)),"CUIT NO CARGADO")</f>
        <v>-</v>
      </c>
      <c r="H783" s="100">
        <f>ventas_b_mes1255[[#This Row],[TOTAL]]/1.21</f>
        <v>0</v>
      </c>
      <c r="I783" s="64">
        <f>ventas_b_mes1255[[#This Row],[IMPORTE NETO]]*0.21</f>
        <v>0</v>
      </c>
      <c r="J783" s="141"/>
      <c r="K783" s="141"/>
      <c r="L783" s="141"/>
      <c r="M783" s="59"/>
    </row>
    <row r="784" spans="2:13">
      <c r="B784" s="135"/>
      <c r="C784" s="136"/>
      <c r="D784" s="137"/>
      <c r="E784" s="138"/>
      <c r="F784" s="113"/>
      <c r="G784" s="1" t="str">
        <f>IFERROR(IF(ventas_b_mes1255[[#This Row],[CUIT]]="","-",VLOOKUP(ventas_b_mes1255[[#This Row],[CUIT]],Lista_CUIT[#All],2,0)),"CUIT NO CARGADO")</f>
        <v>-</v>
      </c>
      <c r="H784" s="100">
        <f>ventas_b_mes1255[[#This Row],[TOTAL]]/1.21</f>
        <v>0</v>
      </c>
      <c r="I784" s="64">
        <f>ventas_b_mes1255[[#This Row],[IMPORTE NETO]]*0.21</f>
        <v>0</v>
      </c>
      <c r="J784" s="141"/>
      <c r="K784" s="141"/>
      <c r="L784" s="141"/>
      <c r="M784" s="59"/>
    </row>
    <row r="785" spans="2:13">
      <c r="B785" s="135"/>
      <c r="C785" s="136"/>
      <c r="D785" s="137"/>
      <c r="E785" s="138"/>
      <c r="F785" s="113"/>
      <c r="G785" s="1" t="str">
        <f>IFERROR(IF(ventas_b_mes1255[[#This Row],[CUIT]]="","-",VLOOKUP(ventas_b_mes1255[[#This Row],[CUIT]],Lista_CUIT[#All],2,0)),"CUIT NO CARGADO")</f>
        <v>-</v>
      </c>
      <c r="H785" s="100">
        <f>ventas_b_mes1255[[#This Row],[TOTAL]]/1.21</f>
        <v>0</v>
      </c>
      <c r="I785" s="64">
        <f>ventas_b_mes1255[[#This Row],[IMPORTE NETO]]*0.21</f>
        <v>0</v>
      </c>
      <c r="J785" s="141"/>
      <c r="K785" s="141"/>
      <c r="L785" s="141"/>
      <c r="M785" s="59"/>
    </row>
    <row r="786" spans="2:13">
      <c r="B786" s="135"/>
      <c r="C786" s="136"/>
      <c r="D786" s="137"/>
      <c r="E786" s="138"/>
      <c r="F786" s="113"/>
      <c r="G786" s="1" t="str">
        <f>IFERROR(IF(ventas_b_mes1255[[#This Row],[CUIT]]="","-",VLOOKUP(ventas_b_mes1255[[#This Row],[CUIT]],Lista_CUIT[#All],2,0)),"CUIT NO CARGADO")</f>
        <v>-</v>
      </c>
      <c r="H786" s="100">
        <f>ventas_b_mes1255[[#This Row],[TOTAL]]/1.21</f>
        <v>0</v>
      </c>
      <c r="I786" s="64">
        <f>ventas_b_mes1255[[#This Row],[IMPORTE NETO]]*0.21</f>
        <v>0</v>
      </c>
      <c r="J786" s="141"/>
      <c r="K786" s="141"/>
      <c r="L786" s="141"/>
      <c r="M786" s="59"/>
    </row>
    <row r="787" spans="2:13">
      <c r="B787" s="135"/>
      <c r="C787" s="136"/>
      <c r="D787" s="137"/>
      <c r="E787" s="138"/>
      <c r="F787" s="113"/>
      <c r="G787" s="1" t="str">
        <f>IFERROR(IF(ventas_b_mes1255[[#This Row],[CUIT]]="","-",VLOOKUP(ventas_b_mes1255[[#This Row],[CUIT]],Lista_CUIT[#All],2,0)),"CUIT NO CARGADO")</f>
        <v>-</v>
      </c>
      <c r="H787" s="100">
        <f>ventas_b_mes1255[[#This Row],[TOTAL]]/1.21</f>
        <v>0</v>
      </c>
      <c r="I787" s="64">
        <f>ventas_b_mes1255[[#This Row],[IMPORTE NETO]]*0.21</f>
        <v>0</v>
      </c>
      <c r="J787" s="141"/>
      <c r="K787" s="141"/>
      <c r="L787" s="141"/>
      <c r="M787" s="59"/>
    </row>
    <row r="788" spans="2:13">
      <c r="B788" s="135"/>
      <c r="C788" s="136"/>
      <c r="D788" s="137"/>
      <c r="E788" s="138"/>
      <c r="F788" s="113"/>
      <c r="G788" s="1" t="str">
        <f>IFERROR(IF(ventas_b_mes1255[[#This Row],[CUIT]]="","-",VLOOKUP(ventas_b_mes1255[[#This Row],[CUIT]],Lista_CUIT[#All],2,0)),"CUIT NO CARGADO")</f>
        <v>-</v>
      </c>
      <c r="H788" s="100">
        <f>ventas_b_mes1255[[#This Row],[TOTAL]]/1.21</f>
        <v>0</v>
      </c>
      <c r="I788" s="64">
        <f>ventas_b_mes1255[[#This Row],[IMPORTE NETO]]*0.21</f>
        <v>0</v>
      </c>
      <c r="J788" s="141"/>
      <c r="K788" s="141"/>
      <c r="L788" s="141"/>
      <c r="M788" s="59"/>
    </row>
    <row r="789" spans="2:13">
      <c r="B789" s="135"/>
      <c r="C789" s="136"/>
      <c r="D789" s="137"/>
      <c r="E789" s="138"/>
      <c r="F789" s="113"/>
      <c r="G789" s="1" t="str">
        <f>IFERROR(IF(ventas_b_mes1255[[#This Row],[CUIT]]="","-",VLOOKUP(ventas_b_mes1255[[#This Row],[CUIT]],Lista_CUIT[#All],2,0)),"CUIT NO CARGADO")</f>
        <v>-</v>
      </c>
      <c r="H789" s="100">
        <f>ventas_b_mes1255[[#This Row],[TOTAL]]/1.21</f>
        <v>0</v>
      </c>
      <c r="I789" s="64">
        <f>ventas_b_mes1255[[#This Row],[IMPORTE NETO]]*0.21</f>
        <v>0</v>
      </c>
      <c r="J789" s="141"/>
      <c r="K789" s="141"/>
      <c r="L789" s="141"/>
      <c r="M789" s="59"/>
    </row>
    <row r="790" spans="2:13">
      <c r="B790" s="135"/>
      <c r="C790" s="136"/>
      <c r="D790" s="137"/>
      <c r="E790" s="138"/>
      <c r="F790" s="113"/>
      <c r="G790" s="1" t="str">
        <f>IFERROR(IF(ventas_b_mes1255[[#This Row],[CUIT]]="","-",VLOOKUP(ventas_b_mes1255[[#This Row],[CUIT]],Lista_CUIT[#All],2,0)),"CUIT NO CARGADO")</f>
        <v>-</v>
      </c>
      <c r="H790" s="100">
        <f>ventas_b_mes1255[[#This Row],[TOTAL]]/1.21</f>
        <v>0</v>
      </c>
      <c r="I790" s="64">
        <f>ventas_b_mes1255[[#This Row],[IMPORTE NETO]]*0.21</f>
        <v>0</v>
      </c>
      <c r="J790" s="141"/>
      <c r="K790" s="141"/>
      <c r="L790" s="141"/>
      <c r="M790" s="59"/>
    </row>
    <row r="791" spans="2:13">
      <c r="B791" s="135"/>
      <c r="C791" s="136"/>
      <c r="D791" s="137"/>
      <c r="E791" s="138"/>
      <c r="F791" s="113"/>
      <c r="G791" s="1" t="str">
        <f>IFERROR(IF(ventas_b_mes1255[[#This Row],[CUIT]]="","-",VLOOKUP(ventas_b_mes1255[[#This Row],[CUIT]],Lista_CUIT[#All],2,0)),"CUIT NO CARGADO")</f>
        <v>-</v>
      </c>
      <c r="H791" s="100">
        <f>ventas_b_mes1255[[#This Row],[TOTAL]]/1.21</f>
        <v>0</v>
      </c>
      <c r="I791" s="64">
        <f>ventas_b_mes1255[[#This Row],[IMPORTE NETO]]*0.21</f>
        <v>0</v>
      </c>
      <c r="J791" s="141"/>
      <c r="K791" s="141"/>
      <c r="L791" s="141"/>
      <c r="M791" s="59"/>
    </row>
    <row r="792" spans="2:13">
      <c r="B792" s="135"/>
      <c r="C792" s="136"/>
      <c r="D792" s="137"/>
      <c r="E792" s="138"/>
      <c r="F792" s="113"/>
      <c r="G792" s="1" t="str">
        <f>IFERROR(IF(ventas_b_mes1255[[#This Row],[CUIT]]="","-",VLOOKUP(ventas_b_mes1255[[#This Row],[CUIT]],Lista_CUIT[#All],2,0)),"CUIT NO CARGADO")</f>
        <v>-</v>
      </c>
      <c r="H792" s="100">
        <f>ventas_b_mes1255[[#This Row],[TOTAL]]/1.21</f>
        <v>0</v>
      </c>
      <c r="I792" s="64">
        <f>ventas_b_mes1255[[#This Row],[IMPORTE NETO]]*0.21</f>
        <v>0</v>
      </c>
      <c r="J792" s="141"/>
      <c r="K792" s="141"/>
      <c r="L792" s="141"/>
      <c r="M792" s="59"/>
    </row>
    <row r="793" spans="2:13">
      <c r="B793" s="135"/>
      <c r="C793" s="136"/>
      <c r="D793" s="137"/>
      <c r="E793" s="138"/>
      <c r="F793" s="113"/>
      <c r="G793" s="1" t="str">
        <f>IFERROR(IF(ventas_b_mes1255[[#This Row],[CUIT]]="","-",VLOOKUP(ventas_b_mes1255[[#This Row],[CUIT]],Lista_CUIT[#All],2,0)),"CUIT NO CARGADO")</f>
        <v>-</v>
      </c>
      <c r="H793" s="100">
        <f>ventas_b_mes1255[[#This Row],[TOTAL]]/1.21</f>
        <v>0</v>
      </c>
      <c r="I793" s="64">
        <f>ventas_b_mes1255[[#This Row],[IMPORTE NETO]]*0.21</f>
        <v>0</v>
      </c>
      <c r="J793" s="141"/>
      <c r="K793" s="141"/>
      <c r="L793" s="141"/>
      <c r="M793" s="59"/>
    </row>
    <row r="794" spans="2:13">
      <c r="B794" s="135"/>
      <c r="C794" s="136"/>
      <c r="D794" s="137"/>
      <c r="E794" s="138"/>
      <c r="F794" s="113"/>
      <c r="G794" s="1" t="str">
        <f>IFERROR(IF(ventas_b_mes1255[[#This Row],[CUIT]]="","-",VLOOKUP(ventas_b_mes1255[[#This Row],[CUIT]],Lista_CUIT[#All],2,0)),"CUIT NO CARGADO")</f>
        <v>-</v>
      </c>
      <c r="H794" s="100">
        <f>ventas_b_mes1255[[#This Row],[TOTAL]]/1.21</f>
        <v>0</v>
      </c>
      <c r="I794" s="64">
        <f>ventas_b_mes1255[[#This Row],[IMPORTE NETO]]*0.21</f>
        <v>0</v>
      </c>
      <c r="J794" s="141"/>
      <c r="K794" s="141"/>
      <c r="L794" s="141"/>
      <c r="M794" s="59"/>
    </row>
    <row r="795" spans="2:13">
      <c r="B795" s="135"/>
      <c r="C795" s="136"/>
      <c r="D795" s="137"/>
      <c r="E795" s="138"/>
      <c r="F795" s="113"/>
      <c r="G795" s="1" t="str">
        <f>IFERROR(IF(ventas_b_mes1255[[#This Row],[CUIT]]="","-",VLOOKUP(ventas_b_mes1255[[#This Row],[CUIT]],Lista_CUIT[#All],2,0)),"CUIT NO CARGADO")</f>
        <v>-</v>
      </c>
      <c r="H795" s="100">
        <f>ventas_b_mes1255[[#This Row],[TOTAL]]/1.21</f>
        <v>0</v>
      </c>
      <c r="I795" s="64">
        <f>ventas_b_mes1255[[#This Row],[IMPORTE NETO]]*0.21</f>
        <v>0</v>
      </c>
      <c r="J795" s="141"/>
      <c r="K795" s="141"/>
      <c r="L795" s="141"/>
      <c r="M795" s="59"/>
    </row>
    <row r="796" spans="2:13">
      <c r="B796" s="135"/>
      <c r="C796" s="136"/>
      <c r="D796" s="137"/>
      <c r="E796" s="138"/>
      <c r="F796" s="113"/>
      <c r="G796" s="1" t="str">
        <f>IFERROR(IF(ventas_b_mes1255[[#This Row],[CUIT]]="","-",VLOOKUP(ventas_b_mes1255[[#This Row],[CUIT]],Lista_CUIT[#All],2,0)),"CUIT NO CARGADO")</f>
        <v>-</v>
      </c>
      <c r="H796" s="100">
        <f>ventas_b_mes1255[[#This Row],[TOTAL]]/1.21</f>
        <v>0</v>
      </c>
      <c r="I796" s="64">
        <f>ventas_b_mes1255[[#This Row],[IMPORTE NETO]]*0.21</f>
        <v>0</v>
      </c>
      <c r="J796" s="141"/>
      <c r="K796" s="141"/>
      <c r="L796" s="141"/>
      <c r="M796" s="59"/>
    </row>
    <row r="797" spans="2:13">
      <c r="B797" s="135"/>
      <c r="C797" s="136"/>
      <c r="D797" s="137"/>
      <c r="E797" s="138"/>
      <c r="F797" s="113"/>
      <c r="G797" s="1" t="str">
        <f>IFERROR(IF(ventas_b_mes1255[[#This Row],[CUIT]]="","-",VLOOKUP(ventas_b_mes1255[[#This Row],[CUIT]],Lista_CUIT[#All],2,0)),"CUIT NO CARGADO")</f>
        <v>-</v>
      </c>
      <c r="H797" s="100">
        <f>ventas_b_mes1255[[#This Row],[TOTAL]]/1.21</f>
        <v>0</v>
      </c>
      <c r="I797" s="64">
        <f>ventas_b_mes1255[[#This Row],[IMPORTE NETO]]*0.21</f>
        <v>0</v>
      </c>
      <c r="J797" s="141"/>
      <c r="K797" s="141"/>
      <c r="L797" s="141"/>
      <c r="M797" s="59"/>
    </row>
    <row r="798" spans="2:13">
      <c r="B798" s="135"/>
      <c r="C798" s="136"/>
      <c r="D798" s="137"/>
      <c r="E798" s="138"/>
      <c r="F798" s="113"/>
      <c r="G798" s="1" t="str">
        <f>IFERROR(IF(ventas_b_mes1255[[#This Row],[CUIT]]="","-",VLOOKUP(ventas_b_mes1255[[#This Row],[CUIT]],Lista_CUIT[#All],2,0)),"CUIT NO CARGADO")</f>
        <v>-</v>
      </c>
      <c r="H798" s="100">
        <f>ventas_b_mes1255[[#This Row],[TOTAL]]/1.21</f>
        <v>0</v>
      </c>
      <c r="I798" s="64">
        <f>ventas_b_mes1255[[#This Row],[IMPORTE NETO]]*0.21</f>
        <v>0</v>
      </c>
      <c r="J798" s="141"/>
      <c r="K798" s="141"/>
      <c r="L798" s="141"/>
      <c r="M798" s="59"/>
    </row>
    <row r="799" spans="2:13">
      <c r="B799" s="135"/>
      <c r="C799" s="136"/>
      <c r="D799" s="137"/>
      <c r="E799" s="138"/>
      <c r="F799" s="113"/>
      <c r="G799" s="1" t="str">
        <f>IFERROR(IF(ventas_b_mes1255[[#This Row],[CUIT]]="","-",VLOOKUP(ventas_b_mes1255[[#This Row],[CUIT]],Lista_CUIT[#All],2,0)),"CUIT NO CARGADO")</f>
        <v>-</v>
      </c>
      <c r="H799" s="100">
        <f>ventas_b_mes1255[[#This Row],[TOTAL]]/1.21</f>
        <v>0</v>
      </c>
      <c r="I799" s="64">
        <f>ventas_b_mes1255[[#This Row],[IMPORTE NETO]]*0.21</f>
        <v>0</v>
      </c>
      <c r="J799" s="141"/>
      <c r="K799" s="141"/>
      <c r="L799" s="141"/>
      <c r="M799" s="59"/>
    </row>
    <row r="800" spans="2:13">
      <c r="B800" s="135"/>
      <c r="C800" s="136"/>
      <c r="D800" s="137"/>
      <c r="E800" s="138"/>
      <c r="F800" s="113"/>
      <c r="G800" s="1" t="str">
        <f>IFERROR(IF(ventas_b_mes1255[[#This Row],[CUIT]]="","-",VLOOKUP(ventas_b_mes1255[[#This Row],[CUIT]],Lista_CUIT[#All],2,0)),"CUIT NO CARGADO")</f>
        <v>-</v>
      </c>
      <c r="H800" s="100">
        <f>ventas_b_mes1255[[#This Row],[TOTAL]]/1.21</f>
        <v>0</v>
      </c>
      <c r="I800" s="64">
        <f>ventas_b_mes1255[[#This Row],[IMPORTE NETO]]*0.21</f>
        <v>0</v>
      </c>
      <c r="J800" s="141"/>
      <c r="K800" s="141"/>
      <c r="L800" s="141"/>
      <c r="M800" s="59"/>
    </row>
    <row r="801" spans="2:13">
      <c r="B801" s="135"/>
      <c r="C801" s="136"/>
      <c r="D801" s="137"/>
      <c r="E801" s="138"/>
      <c r="F801" s="113"/>
      <c r="G801" s="1" t="str">
        <f>IFERROR(IF(ventas_b_mes1255[[#This Row],[CUIT]]="","-",VLOOKUP(ventas_b_mes1255[[#This Row],[CUIT]],Lista_CUIT[#All],2,0)),"CUIT NO CARGADO")</f>
        <v>-</v>
      </c>
      <c r="H801" s="100">
        <f>ventas_b_mes1255[[#This Row],[TOTAL]]/1.21</f>
        <v>0</v>
      </c>
      <c r="I801" s="64">
        <f>ventas_b_mes1255[[#This Row],[IMPORTE NETO]]*0.21</f>
        <v>0</v>
      </c>
      <c r="J801" s="141"/>
      <c r="K801" s="141"/>
      <c r="L801" s="141"/>
      <c r="M801" s="59"/>
    </row>
    <row r="802" spans="2:13">
      <c r="B802" s="135"/>
      <c r="C802" s="136"/>
      <c r="D802" s="137"/>
      <c r="E802" s="138"/>
      <c r="F802" s="113"/>
      <c r="G802" s="1" t="str">
        <f>IFERROR(IF(ventas_b_mes1255[[#This Row],[CUIT]]="","-",VLOOKUP(ventas_b_mes1255[[#This Row],[CUIT]],Lista_CUIT[#All],2,0)),"CUIT NO CARGADO")</f>
        <v>-</v>
      </c>
      <c r="H802" s="100">
        <f>ventas_b_mes1255[[#This Row],[TOTAL]]/1.21</f>
        <v>0</v>
      </c>
      <c r="I802" s="64">
        <f>ventas_b_mes1255[[#This Row],[IMPORTE NETO]]*0.21</f>
        <v>0</v>
      </c>
      <c r="J802" s="141"/>
      <c r="K802" s="141"/>
      <c r="L802" s="141"/>
      <c r="M802" s="59"/>
    </row>
    <row r="803" spans="2:13">
      <c r="B803" s="135"/>
      <c r="C803" s="136"/>
      <c r="D803" s="137"/>
      <c r="E803" s="138"/>
      <c r="F803" s="113"/>
      <c r="G803" s="1" t="str">
        <f>IFERROR(IF(ventas_b_mes1255[[#This Row],[CUIT]]="","-",VLOOKUP(ventas_b_mes1255[[#This Row],[CUIT]],Lista_CUIT[#All],2,0)),"CUIT NO CARGADO")</f>
        <v>-</v>
      </c>
      <c r="H803" s="100">
        <f>ventas_b_mes1255[[#This Row],[TOTAL]]/1.21</f>
        <v>0</v>
      </c>
      <c r="I803" s="64">
        <f>ventas_b_mes1255[[#This Row],[IMPORTE NETO]]*0.21</f>
        <v>0</v>
      </c>
      <c r="J803" s="141"/>
      <c r="K803" s="141"/>
      <c r="L803" s="141"/>
      <c r="M803" s="59"/>
    </row>
    <row r="804" spans="2:13">
      <c r="B804" s="135"/>
      <c r="C804" s="136"/>
      <c r="D804" s="137"/>
      <c r="E804" s="138"/>
      <c r="F804" s="113"/>
      <c r="G804" s="1" t="str">
        <f>IFERROR(IF(ventas_b_mes1255[[#This Row],[CUIT]]="","-",VLOOKUP(ventas_b_mes1255[[#This Row],[CUIT]],Lista_CUIT[#All],2,0)),"CUIT NO CARGADO")</f>
        <v>-</v>
      </c>
      <c r="H804" s="100">
        <f>ventas_b_mes1255[[#This Row],[TOTAL]]/1.21</f>
        <v>0</v>
      </c>
      <c r="I804" s="64">
        <f>ventas_b_mes1255[[#This Row],[IMPORTE NETO]]*0.21</f>
        <v>0</v>
      </c>
      <c r="J804" s="141"/>
      <c r="K804" s="141"/>
      <c r="L804" s="141"/>
      <c r="M804" s="59"/>
    </row>
    <row r="805" spans="2:13">
      <c r="B805" s="135"/>
      <c r="C805" s="136"/>
      <c r="D805" s="137"/>
      <c r="E805" s="138"/>
      <c r="F805" s="113"/>
      <c r="G805" s="1" t="str">
        <f>IFERROR(IF(ventas_b_mes1255[[#This Row],[CUIT]]="","-",VLOOKUP(ventas_b_mes1255[[#This Row],[CUIT]],Lista_CUIT[#All],2,0)),"CUIT NO CARGADO")</f>
        <v>-</v>
      </c>
      <c r="H805" s="100">
        <f>ventas_b_mes1255[[#This Row],[TOTAL]]/1.21</f>
        <v>0</v>
      </c>
      <c r="I805" s="64">
        <f>ventas_b_mes1255[[#This Row],[IMPORTE NETO]]*0.21</f>
        <v>0</v>
      </c>
      <c r="J805" s="141"/>
      <c r="K805" s="141"/>
      <c r="L805" s="141"/>
      <c r="M805" s="59"/>
    </row>
    <row r="806" spans="2:13">
      <c r="B806" s="135"/>
      <c r="C806" s="136"/>
      <c r="D806" s="137"/>
      <c r="E806" s="138"/>
      <c r="F806" s="113"/>
      <c r="G806" s="1" t="str">
        <f>IFERROR(IF(ventas_b_mes1255[[#This Row],[CUIT]]="","-",VLOOKUP(ventas_b_mes1255[[#This Row],[CUIT]],Lista_CUIT[#All],2,0)),"CUIT NO CARGADO")</f>
        <v>-</v>
      </c>
      <c r="H806" s="100">
        <f>ventas_b_mes1255[[#This Row],[TOTAL]]/1.21</f>
        <v>0</v>
      </c>
      <c r="I806" s="64">
        <f>ventas_b_mes1255[[#This Row],[IMPORTE NETO]]*0.21</f>
        <v>0</v>
      </c>
      <c r="J806" s="141"/>
      <c r="K806" s="141"/>
      <c r="L806" s="141"/>
      <c r="M806" s="59"/>
    </row>
    <row r="807" spans="2:13">
      <c r="B807" s="135"/>
      <c r="C807" s="136"/>
      <c r="D807" s="137"/>
      <c r="E807" s="138"/>
      <c r="F807" s="113"/>
      <c r="G807" s="1" t="str">
        <f>IFERROR(IF(ventas_b_mes1255[[#This Row],[CUIT]]="","-",VLOOKUP(ventas_b_mes1255[[#This Row],[CUIT]],Lista_CUIT[#All],2,0)),"CUIT NO CARGADO")</f>
        <v>-</v>
      </c>
      <c r="H807" s="100">
        <f>ventas_b_mes1255[[#This Row],[TOTAL]]/1.21</f>
        <v>0</v>
      </c>
      <c r="I807" s="64">
        <f>ventas_b_mes1255[[#This Row],[IMPORTE NETO]]*0.21</f>
        <v>0</v>
      </c>
      <c r="J807" s="141"/>
      <c r="K807" s="141"/>
      <c r="L807" s="141"/>
      <c r="M807" s="59"/>
    </row>
    <row r="808" spans="2:13">
      <c r="B808" s="135"/>
      <c r="C808" s="136"/>
      <c r="D808" s="137"/>
      <c r="E808" s="138"/>
      <c r="F808" s="113"/>
      <c r="G808" s="1" t="str">
        <f>IFERROR(IF(ventas_b_mes1255[[#This Row],[CUIT]]="","-",VLOOKUP(ventas_b_mes1255[[#This Row],[CUIT]],Lista_CUIT[#All],2,0)),"CUIT NO CARGADO")</f>
        <v>-</v>
      </c>
      <c r="H808" s="100">
        <f>ventas_b_mes1255[[#This Row],[TOTAL]]/1.21</f>
        <v>0</v>
      </c>
      <c r="I808" s="64">
        <f>ventas_b_mes1255[[#This Row],[IMPORTE NETO]]*0.21</f>
        <v>0</v>
      </c>
      <c r="J808" s="141"/>
      <c r="K808" s="141"/>
      <c r="L808" s="141"/>
      <c r="M808" s="59"/>
    </row>
    <row r="809" spans="2:13">
      <c r="B809" s="135"/>
      <c r="C809" s="136"/>
      <c r="D809" s="137"/>
      <c r="E809" s="138"/>
      <c r="F809" s="113"/>
      <c r="G809" s="1" t="str">
        <f>IFERROR(IF(ventas_b_mes1255[[#This Row],[CUIT]]="","-",VLOOKUP(ventas_b_mes1255[[#This Row],[CUIT]],Lista_CUIT[#All],2,0)),"CUIT NO CARGADO")</f>
        <v>-</v>
      </c>
      <c r="H809" s="100">
        <f>ventas_b_mes1255[[#This Row],[TOTAL]]/1.21</f>
        <v>0</v>
      </c>
      <c r="I809" s="64">
        <f>ventas_b_mes1255[[#This Row],[IMPORTE NETO]]*0.21</f>
        <v>0</v>
      </c>
      <c r="J809" s="141"/>
      <c r="K809" s="141"/>
      <c r="L809" s="141"/>
      <c r="M809" s="59"/>
    </row>
    <row r="810" spans="2:13">
      <c r="B810" s="135"/>
      <c r="C810" s="136"/>
      <c r="D810" s="137"/>
      <c r="E810" s="138"/>
      <c r="F810" s="113"/>
      <c r="G810" s="1" t="str">
        <f>IFERROR(IF(ventas_b_mes1255[[#This Row],[CUIT]]="","-",VLOOKUP(ventas_b_mes1255[[#This Row],[CUIT]],Lista_CUIT[#All],2,0)),"CUIT NO CARGADO")</f>
        <v>-</v>
      </c>
      <c r="H810" s="100">
        <f>ventas_b_mes1255[[#This Row],[TOTAL]]/1.21</f>
        <v>0</v>
      </c>
      <c r="I810" s="64">
        <f>ventas_b_mes1255[[#This Row],[IMPORTE NETO]]*0.21</f>
        <v>0</v>
      </c>
      <c r="J810" s="141"/>
      <c r="K810" s="141"/>
      <c r="L810" s="141"/>
      <c r="M810" s="59"/>
    </row>
    <row r="811" spans="2:13">
      <c r="B811" s="135"/>
      <c r="C811" s="136"/>
      <c r="D811" s="137"/>
      <c r="E811" s="138"/>
      <c r="F811" s="113"/>
      <c r="G811" s="1" t="str">
        <f>IFERROR(IF(ventas_b_mes1255[[#This Row],[CUIT]]="","-",VLOOKUP(ventas_b_mes1255[[#This Row],[CUIT]],Lista_CUIT[#All],2,0)),"CUIT NO CARGADO")</f>
        <v>-</v>
      </c>
      <c r="H811" s="100">
        <f>ventas_b_mes1255[[#This Row],[TOTAL]]/1.21</f>
        <v>0</v>
      </c>
      <c r="I811" s="64">
        <f>ventas_b_mes1255[[#This Row],[IMPORTE NETO]]*0.21</f>
        <v>0</v>
      </c>
      <c r="J811" s="141"/>
      <c r="K811" s="141"/>
      <c r="L811" s="141"/>
      <c r="M811" s="59"/>
    </row>
    <row r="812" spans="2:13">
      <c r="B812" s="135"/>
      <c r="C812" s="136"/>
      <c r="D812" s="137"/>
      <c r="E812" s="138"/>
      <c r="F812" s="113"/>
      <c r="G812" s="1" t="str">
        <f>IFERROR(IF(ventas_b_mes1255[[#This Row],[CUIT]]="","-",VLOOKUP(ventas_b_mes1255[[#This Row],[CUIT]],Lista_CUIT[#All],2,0)),"CUIT NO CARGADO")</f>
        <v>-</v>
      </c>
      <c r="H812" s="100">
        <f>ventas_b_mes1255[[#This Row],[TOTAL]]/1.21</f>
        <v>0</v>
      </c>
      <c r="I812" s="64">
        <f>ventas_b_mes1255[[#This Row],[IMPORTE NETO]]*0.21</f>
        <v>0</v>
      </c>
      <c r="J812" s="141"/>
      <c r="K812" s="141"/>
      <c r="L812" s="141"/>
      <c r="M812" s="59"/>
    </row>
    <row r="813" spans="2:13">
      <c r="B813" s="135"/>
      <c r="C813" s="136"/>
      <c r="D813" s="137"/>
      <c r="E813" s="138"/>
      <c r="F813" s="113"/>
      <c r="G813" s="1" t="str">
        <f>IFERROR(IF(ventas_b_mes1255[[#This Row],[CUIT]]="","-",VLOOKUP(ventas_b_mes1255[[#This Row],[CUIT]],Lista_CUIT[#All],2,0)),"CUIT NO CARGADO")</f>
        <v>-</v>
      </c>
      <c r="H813" s="100">
        <f>ventas_b_mes1255[[#This Row],[TOTAL]]/1.21</f>
        <v>0</v>
      </c>
      <c r="I813" s="64">
        <f>ventas_b_mes1255[[#This Row],[IMPORTE NETO]]*0.21</f>
        <v>0</v>
      </c>
      <c r="J813" s="141"/>
      <c r="K813" s="141"/>
      <c r="L813" s="141"/>
      <c r="M813" s="59"/>
    </row>
    <row r="814" spans="2:13">
      <c r="B814" s="135"/>
      <c r="C814" s="136"/>
      <c r="D814" s="137"/>
      <c r="E814" s="138"/>
      <c r="F814" s="113"/>
      <c r="G814" s="1" t="str">
        <f>IFERROR(IF(ventas_b_mes1255[[#This Row],[CUIT]]="","-",VLOOKUP(ventas_b_mes1255[[#This Row],[CUIT]],Lista_CUIT[#All],2,0)),"CUIT NO CARGADO")</f>
        <v>-</v>
      </c>
      <c r="H814" s="100">
        <f>ventas_b_mes1255[[#This Row],[TOTAL]]/1.21</f>
        <v>0</v>
      </c>
      <c r="I814" s="64">
        <f>ventas_b_mes1255[[#This Row],[IMPORTE NETO]]*0.21</f>
        <v>0</v>
      </c>
      <c r="J814" s="141"/>
      <c r="K814" s="141"/>
      <c r="L814" s="141"/>
      <c r="M814" s="59"/>
    </row>
    <row r="815" spans="2:13">
      <c r="B815" s="135"/>
      <c r="C815" s="136"/>
      <c r="D815" s="137"/>
      <c r="E815" s="138"/>
      <c r="F815" s="113"/>
      <c r="G815" s="1" t="str">
        <f>IFERROR(IF(ventas_b_mes1255[[#This Row],[CUIT]]="","-",VLOOKUP(ventas_b_mes1255[[#This Row],[CUIT]],Lista_CUIT[#All],2,0)),"CUIT NO CARGADO")</f>
        <v>-</v>
      </c>
      <c r="H815" s="100">
        <f>ventas_b_mes1255[[#This Row],[TOTAL]]/1.21</f>
        <v>0</v>
      </c>
      <c r="I815" s="64">
        <f>ventas_b_mes1255[[#This Row],[IMPORTE NETO]]*0.21</f>
        <v>0</v>
      </c>
      <c r="J815" s="141"/>
      <c r="K815" s="141"/>
      <c r="L815" s="141"/>
      <c r="M815" s="59"/>
    </row>
    <row r="816" spans="2:13">
      <c r="B816" s="135"/>
      <c r="C816" s="136"/>
      <c r="D816" s="137"/>
      <c r="E816" s="138"/>
      <c r="F816" s="113"/>
      <c r="G816" s="1" t="str">
        <f>IFERROR(IF(ventas_b_mes1255[[#This Row],[CUIT]]="","-",VLOOKUP(ventas_b_mes1255[[#This Row],[CUIT]],Lista_CUIT[#All],2,0)),"CUIT NO CARGADO")</f>
        <v>-</v>
      </c>
      <c r="H816" s="100">
        <f>ventas_b_mes1255[[#This Row],[TOTAL]]/1.21</f>
        <v>0</v>
      </c>
      <c r="I816" s="64">
        <f>ventas_b_mes1255[[#This Row],[IMPORTE NETO]]*0.21</f>
        <v>0</v>
      </c>
      <c r="J816" s="141"/>
      <c r="K816" s="141"/>
      <c r="L816" s="141"/>
      <c r="M816" s="59"/>
    </row>
    <row r="817" spans="2:13">
      <c r="B817" s="135"/>
      <c r="C817" s="136"/>
      <c r="D817" s="137"/>
      <c r="E817" s="138"/>
      <c r="F817" s="113"/>
      <c r="G817" s="1" t="str">
        <f>IFERROR(IF(ventas_b_mes1255[[#This Row],[CUIT]]="","-",VLOOKUP(ventas_b_mes1255[[#This Row],[CUIT]],Lista_CUIT[#All],2,0)),"CUIT NO CARGADO")</f>
        <v>-</v>
      </c>
      <c r="H817" s="100">
        <f>ventas_b_mes1255[[#This Row],[TOTAL]]/1.21</f>
        <v>0</v>
      </c>
      <c r="I817" s="64">
        <f>ventas_b_mes1255[[#This Row],[IMPORTE NETO]]*0.21</f>
        <v>0</v>
      </c>
      <c r="J817" s="141"/>
      <c r="K817" s="141"/>
      <c r="L817" s="141"/>
      <c r="M817" s="59"/>
    </row>
    <row r="818" spans="2:13">
      <c r="B818" s="135"/>
      <c r="C818" s="136"/>
      <c r="D818" s="137"/>
      <c r="E818" s="138"/>
      <c r="F818" s="113"/>
      <c r="G818" s="1" t="str">
        <f>IFERROR(IF(ventas_b_mes1255[[#This Row],[CUIT]]="","-",VLOOKUP(ventas_b_mes1255[[#This Row],[CUIT]],Lista_CUIT[#All],2,0)),"CUIT NO CARGADO")</f>
        <v>-</v>
      </c>
      <c r="H818" s="100">
        <f>ventas_b_mes1255[[#This Row],[TOTAL]]/1.21</f>
        <v>0</v>
      </c>
      <c r="I818" s="64">
        <f>ventas_b_mes1255[[#This Row],[IMPORTE NETO]]*0.21</f>
        <v>0</v>
      </c>
      <c r="J818" s="141"/>
      <c r="K818" s="141"/>
      <c r="L818" s="141"/>
      <c r="M818" s="59"/>
    </row>
    <row r="819" spans="2:13">
      <c r="B819" s="135"/>
      <c r="C819" s="136"/>
      <c r="D819" s="137"/>
      <c r="E819" s="138"/>
      <c r="F819" s="113"/>
      <c r="G819" s="1" t="str">
        <f>IFERROR(IF(ventas_b_mes1255[[#This Row],[CUIT]]="","-",VLOOKUP(ventas_b_mes1255[[#This Row],[CUIT]],Lista_CUIT[#All],2,0)),"CUIT NO CARGADO")</f>
        <v>-</v>
      </c>
      <c r="H819" s="100">
        <f>ventas_b_mes1255[[#This Row],[TOTAL]]/1.21</f>
        <v>0</v>
      </c>
      <c r="I819" s="64">
        <f>ventas_b_mes1255[[#This Row],[IMPORTE NETO]]*0.21</f>
        <v>0</v>
      </c>
      <c r="J819" s="141"/>
      <c r="K819" s="141"/>
      <c r="L819" s="141"/>
      <c r="M819" s="59"/>
    </row>
    <row r="820" spans="2:13">
      <c r="B820" s="135"/>
      <c r="C820" s="136"/>
      <c r="D820" s="137"/>
      <c r="E820" s="138"/>
      <c r="F820" s="113"/>
      <c r="G820" s="1" t="str">
        <f>IFERROR(IF(ventas_b_mes1255[[#This Row],[CUIT]]="","-",VLOOKUP(ventas_b_mes1255[[#This Row],[CUIT]],Lista_CUIT[#All],2,0)),"CUIT NO CARGADO")</f>
        <v>-</v>
      </c>
      <c r="H820" s="100">
        <f>ventas_b_mes1255[[#This Row],[TOTAL]]/1.21</f>
        <v>0</v>
      </c>
      <c r="I820" s="64">
        <f>ventas_b_mes1255[[#This Row],[IMPORTE NETO]]*0.21</f>
        <v>0</v>
      </c>
      <c r="J820" s="141"/>
      <c r="K820" s="141"/>
      <c r="L820" s="141"/>
      <c r="M820" s="59"/>
    </row>
    <row r="821" spans="2:13">
      <c r="B821" s="135"/>
      <c r="C821" s="136"/>
      <c r="D821" s="137"/>
      <c r="E821" s="138"/>
      <c r="F821" s="113"/>
      <c r="G821" s="1" t="str">
        <f>IFERROR(IF(ventas_b_mes1255[[#This Row],[CUIT]]="","-",VLOOKUP(ventas_b_mes1255[[#This Row],[CUIT]],Lista_CUIT[#All],2,0)),"CUIT NO CARGADO")</f>
        <v>-</v>
      </c>
      <c r="H821" s="100">
        <f>ventas_b_mes1255[[#This Row],[TOTAL]]/1.21</f>
        <v>0</v>
      </c>
      <c r="I821" s="64">
        <f>ventas_b_mes1255[[#This Row],[IMPORTE NETO]]*0.21</f>
        <v>0</v>
      </c>
      <c r="J821" s="141"/>
      <c r="K821" s="141"/>
      <c r="L821" s="141"/>
      <c r="M821" s="59"/>
    </row>
    <row r="822" spans="2:13">
      <c r="B822" s="135"/>
      <c r="C822" s="136"/>
      <c r="D822" s="137"/>
      <c r="E822" s="138"/>
      <c r="F822" s="113"/>
      <c r="G822" s="1" t="str">
        <f>IFERROR(IF(ventas_b_mes1255[[#This Row],[CUIT]]="","-",VLOOKUP(ventas_b_mes1255[[#This Row],[CUIT]],Lista_CUIT[#All],2,0)),"CUIT NO CARGADO")</f>
        <v>-</v>
      </c>
      <c r="H822" s="100">
        <f>ventas_b_mes1255[[#This Row],[TOTAL]]/1.21</f>
        <v>0</v>
      </c>
      <c r="I822" s="64">
        <f>ventas_b_mes1255[[#This Row],[IMPORTE NETO]]*0.21</f>
        <v>0</v>
      </c>
      <c r="J822" s="141"/>
      <c r="K822" s="141"/>
      <c r="L822" s="141"/>
      <c r="M822" s="59"/>
    </row>
    <row r="823" spans="2:13">
      <c r="B823" s="135"/>
      <c r="C823" s="136"/>
      <c r="D823" s="137"/>
      <c r="E823" s="138"/>
      <c r="F823" s="113"/>
      <c r="G823" s="1" t="str">
        <f>IFERROR(IF(ventas_b_mes1255[[#This Row],[CUIT]]="","-",VLOOKUP(ventas_b_mes1255[[#This Row],[CUIT]],Lista_CUIT[#All],2,0)),"CUIT NO CARGADO")</f>
        <v>-</v>
      </c>
      <c r="H823" s="100">
        <f>ventas_b_mes1255[[#This Row],[TOTAL]]/1.21</f>
        <v>0</v>
      </c>
      <c r="I823" s="64">
        <f>ventas_b_mes1255[[#This Row],[IMPORTE NETO]]*0.21</f>
        <v>0</v>
      </c>
      <c r="J823" s="141"/>
      <c r="K823" s="141"/>
      <c r="L823" s="141"/>
      <c r="M823" s="59"/>
    </row>
    <row r="824" spans="2:13">
      <c r="B824" s="135"/>
      <c r="C824" s="136"/>
      <c r="D824" s="137"/>
      <c r="E824" s="138"/>
      <c r="F824" s="113"/>
      <c r="G824" s="1" t="str">
        <f>IFERROR(IF(ventas_b_mes1255[[#This Row],[CUIT]]="","-",VLOOKUP(ventas_b_mes1255[[#This Row],[CUIT]],Lista_CUIT[#All],2,0)),"CUIT NO CARGADO")</f>
        <v>-</v>
      </c>
      <c r="H824" s="100">
        <f>ventas_b_mes1255[[#This Row],[TOTAL]]/1.21</f>
        <v>0</v>
      </c>
      <c r="I824" s="64">
        <f>ventas_b_mes1255[[#This Row],[IMPORTE NETO]]*0.21</f>
        <v>0</v>
      </c>
      <c r="J824" s="141"/>
      <c r="K824" s="141"/>
      <c r="L824" s="141"/>
      <c r="M824" s="59"/>
    </row>
    <row r="825" spans="2:13">
      <c r="B825" s="135"/>
      <c r="C825" s="136"/>
      <c r="D825" s="137"/>
      <c r="E825" s="138"/>
      <c r="F825" s="113"/>
      <c r="G825" s="1" t="str">
        <f>IFERROR(IF(ventas_b_mes1255[[#This Row],[CUIT]]="","-",VLOOKUP(ventas_b_mes1255[[#This Row],[CUIT]],Lista_CUIT[#All],2,0)),"CUIT NO CARGADO")</f>
        <v>-</v>
      </c>
      <c r="H825" s="100">
        <f>ventas_b_mes1255[[#This Row],[TOTAL]]/1.21</f>
        <v>0</v>
      </c>
      <c r="I825" s="64">
        <f>ventas_b_mes1255[[#This Row],[IMPORTE NETO]]*0.21</f>
        <v>0</v>
      </c>
      <c r="J825" s="141"/>
      <c r="K825" s="141"/>
      <c r="L825" s="141"/>
      <c r="M825" s="59"/>
    </row>
    <row r="826" spans="2:13">
      <c r="B826" s="135"/>
      <c r="C826" s="136"/>
      <c r="D826" s="137"/>
      <c r="E826" s="138"/>
      <c r="F826" s="113"/>
      <c r="G826" s="1" t="str">
        <f>IFERROR(IF(ventas_b_mes1255[[#This Row],[CUIT]]="","-",VLOOKUP(ventas_b_mes1255[[#This Row],[CUIT]],Lista_CUIT[#All],2,0)),"CUIT NO CARGADO")</f>
        <v>-</v>
      </c>
      <c r="H826" s="100">
        <f>ventas_b_mes1255[[#This Row],[TOTAL]]/1.21</f>
        <v>0</v>
      </c>
      <c r="I826" s="64">
        <f>ventas_b_mes1255[[#This Row],[IMPORTE NETO]]*0.21</f>
        <v>0</v>
      </c>
      <c r="J826" s="141"/>
      <c r="K826" s="141"/>
      <c r="L826" s="141"/>
      <c r="M826" s="59"/>
    </row>
    <row r="827" spans="2:13">
      <c r="B827" s="135"/>
      <c r="C827" s="136"/>
      <c r="D827" s="137"/>
      <c r="E827" s="138"/>
      <c r="F827" s="113"/>
      <c r="G827" s="1" t="str">
        <f>IFERROR(IF(ventas_b_mes1255[[#This Row],[CUIT]]="","-",VLOOKUP(ventas_b_mes1255[[#This Row],[CUIT]],Lista_CUIT[#All],2,0)),"CUIT NO CARGADO")</f>
        <v>-</v>
      </c>
      <c r="H827" s="100">
        <f>ventas_b_mes1255[[#This Row],[TOTAL]]/1.21</f>
        <v>0</v>
      </c>
      <c r="I827" s="64">
        <f>ventas_b_mes1255[[#This Row],[IMPORTE NETO]]*0.21</f>
        <v>0</v>
      </c>
      <c r="J827" s="141"/>
      <c r="K827" s="141"/>
      <c r="L827" s="141"/>
      <c r="M827" s="59"/>
    </row>
    <row r="828" spans="2:13">
      <c r="B828" s="135"/>
      <c r="C828" s="136"/>
      <c r="D828" s="137"/>
      <c r="E828" s="138"/>
      <c r="F828" s="113"/>
      <c r="G828" s="1" t="str">
        <f>IFERROR(IF(ventas_b_mes1255[[#This Row],[CUIT]]="","-",VLOOKUP(ventas_b_mes1255[[#This Row],[CUIT]],Lista_CUIT[#All],2,0)),"CUIT NO CARGADO")</f>
        <v>-</v>
      </c>
      <c r="H828" s="100">
        <f>ventas_b_mes1255[[#This Row],[TOTAL]]/1.21</f>
        <v>0</v>
      </c>
      <c r="I828" s="64">
        <f>ventas_b_mes1255[[#This Row],[IMPORTE NETO]]*0.21</f>
        <v>0</v>
      </c>
      <c r="J828" s="141"/>
      <c r="K828" s="141"/>
      <c r="L828" s="141"/>
      <c r="M828" s="59"/>
    </row>
    <row r="829" spans="2:13">
      <c r="B829" s="135"/>
      <c r="C829" s="136"/>
      <c r="D829" s="137"/>
      <c r="E829" s="138"/>
      <c r="F829" s="113"/>
      <c r="G829" s="1" t="str">
        <f>IFERROR(IF(ventas_b_mes1255[[#This Row],[CUIT]]="","-",VLOOKUP(ventas_b_mes1255[[#This Row],[CUIT]],Lista_CUIT[#All],2,0)),"CUIT NO CARGADO")</f>
        <v>-</v>
      </c>
      <c r="H829" s="100">
        <f>ventas_b_mes1255[[#This Row],[TOTAL]]/1.21</f>
        <v>0</v>
      </c>
      <c r="I829" s="64">
        <f>ventas_b_mes1255[[#This Row],[IMPORTE NETO]]*0.21</f>
        <v>0</v>
      </c>
      <c r="J829" s="141"/>
      <c r="K829" s="141"/>
      <c r="L829" s="141"/>
      <c r="M829" s="59"/>
    </row>
    <row r="830" spans="2:13">
      <c r="B830" s="135"/>
      <c r="C830" s="136"/>
      <c r="D830" s="137"/>
      <c r="E830" s="138"/>
      <c r="F830" s="113"/>
      <c r="G830" s="1" t="str">
        <f>IFERROR(IF(ventas_b_mes1255[[#This Row],[CUIT]]="","-",VLOOKUP(ventas_b_mes1255[[#This Row],[CUIT]],Lista_CUIT[#All],2,0)),"CUIT NO CARGADO")</f>
        <v>-</v>
      </c>
      <c r="H830" s="100">
        <f>ventas_b_mes1255[[#This Row],[TOTAL]]/1.21</f>
        <v>0</v>
      </c>
      <c r="I830" s="64">
        <f>ventas_b_mes1255[[#This Row],[IMPORTE NETO]]*0.21</f>
        <v>0</v>
      </c>
      <c r="J830" s="141"/>
      <c r="K830" s="141"/>
      <c r="L830" s="141"/>
      <c r="M830" s="59"/>
    </row>
    <row r="831" spans="2:13">
      <c r="B831" s="135"/>
      <c r="C831" s="136"/>
      <c r="D831" s="137"/>
      <c r="E831" s="138"/>
      <c r="F831" s="113"/>
      <c r="G831" s="1" t="str">
        <f>IFERROR(IF(ventas_b_mes1255[[#This Row],[CUIT]]="","-",VLOOKUP(ventas_b_mes1255[[#This Row],[CUIT]],Lista_CUIT[#All],2,0)),"CUIT NO CARGADO")</f>
        <v>-</v>
      </c>
      <c r="H831" s="100">
        <f>ventas_b_mes1255[[#This Row],[TOTAL]]/1.21</f>
        <v>0</v>
      </c>
      <c r="I831" s="64">
        <f>ventas_b_mes1255[[#This Row],[IMPORTE NETO]]*0.21</f>
        <v>0</v>
      </c>
      <c r="J831" s="141"/>
      <c r="K831" s="141"/>
      <c r="L831" s="141"/>
      <c r="M831" s="59"/>
    </row>
    <row r="832" spans="2:13">
      <c r="B832" s="135"/>
      <c r="C832" s="136"/>
      <c r="D832" s="137"/>
      <c r="E832" s="138"/>
      <c r="F832" s="113"/>
      <c r="G832" s="1" t="str">
        <f>IFERROR(IF(ventas_b_mes1255[[#This Row],[CUIT]]="","-",VLOOKUP(ventas_b_mes1255[[#This Row],[CUIT]],Lista_CUIT[#All],2,0)),"CUIT NO CARGADO")</f>
        <v>-</v>
      </c>
      <c r="H832" s="100">
        <f>ventas_b_mes1255[[#This Row],[TOTAL]]/1.21</f>
        <v>0</v>
      </c>
      <c r="I832" s="64">
        <f>ventas_b_mes1255[[#This Row],[IMPORTE NETO]]*0.21</f>
        <v>0</v>
      </c>
      <c r="J832" s="141"/>
      <c r="K832" s="141"/>
      <c r="L832" s="141"/>
      <c r="M832" s="59"/>
    </row>
    <row r="833" spans="2:13">
      <c r="B833" s="135"/>
      <c r="C833" s="136"/>
      <c r="D833" s="137"/>
      <c r="E833" s="138"/>
      <c r="F833" s="113"/>
      <c r="G833" s="1" t="str">
        <f>IFERROR(IF(ventas_b_mes1255[[#This Row],[CUIT]]="","-",VLOOKUP(ventas_b_mes1255[[#This Row],[CUIT]],Lista_CUIT[#All],2,0)),"CUIT NO CARGADO")</f>
        <v>-</v>
      </c>
      <c r="H833" s="100">
        <f>ventas_b_mes1255[[#This Row],[TOTAL]]/1.21</f>
        <v>0</v>
      </c>
      <c r="I833" s="64">
        <f>ventas_b_mes1255[[#This Row],[IMPORTE NETO]]*0.21</f>
        <v>0</v>
      </c>
      <c r="J833" s="141"/>
      <c r="K833" s="141"/>
      <c r="L833" s="141"/>
      <c r="M833" s="59"/>
    </row>
    <row r="834" spans="2:13">
      <c r="B834" s="135"/>
      <c r="C834" s="136"/>
      <c r="D834" s="137"/>
      <c r="E834" s="138"/>
      <c r="F834" s="113"/>
      <c r="G834" s="1" t="str">
        <f>IFERROR(IF(ventas_b_mes1255[[#This Row],[CUIT]]="","-",VLOOKUP(ventas_b_mes1255[[#This Row],[CUIT]],Lista_CUIT[#All],2,0)),"CUIT NO CARGADO")</f>
        <v>-</v>
      </c>
      <c r="H834" s="100">
        <f>ventas_b_mes1255[[#This Row],[TOTAL]]/1.21</f>
        <v>0</v>
      </c>
      <c r="I834" s="64">
        <f>ventas_b_mes1255[[#This Row],[IMPORTE NETO]]*0.21</f>
        <v>0</v>
      </c>
      <c r="J834" s="141"/>
      <c r="K834" s="141"/>
      <c r="L834" s="141"/>
      <c r="M834" s="59"/>
    </row>
    <row r="835" spans="2:13">
      <c r="B835" s="135"/>
      <c r="C835" s="136"/>
      <c r="D835" s="137"/>
      <c r="E835" s="138"/>
      <c r="F835" s="113"/>
      <c r="G835" s="1" t="str">
        <f>IFERROR(IF(ventas_b_mes1255[[#This Row],[CUIT]]="","-",VLOOKUP(ventas_b_mes1255[[#This Row],[CUIT]],Lista_CUIT[#All],2,0)),"CUIT NO CARGADO")</f>
        <v>-</v>
      </c>
      <c r="H835" s="100">
        <f>ventas_b_mes1255[[#This Row],[TOTAL]]/1.21</f>
        <v>0</v>
      </c>
      <c r="I835" s="64">
        <f>ventas_b_mes1255[[#This Row],[IMPORTE NETO]]*0.21</f>
        <v>0</v>
      </c>
      <c r="J835" s="141"/>
      <c r="K835" s="141"/>
      <c r="L835" s="141"/>
      <c r="M835" s="59"/>
    </row>
    <row r="836" spans="2:13">
      <c r="B836" s="135"/>
      <c r="C836" s="136"/>
      <c r="D836" s="137"/>
      <c r="E836" s="138"/>
      <c r="F836" s="113"/>
      <c r="G836" s="1" t="str">
        <f>IFERROR(IF(ventas_b_mes1255[[#This Row],[CUIT]]="","-",VLOOKUP(ventas_b_mes1255[[#This Row],[CUIT]],Lista_CUIT[#All],2,0)),"CUIT NO CARGADO")</f>
        <v>-</v>
      </c>
      <c r="H836" s="100">
        <f>ventas_b_mes1255[[#This Row],[TOTAL]]/1.21</f>
        <v>0</v>
      </c>
      <c r="I836" s="64">
        <f>ventas_b_mes1255[[#This Row],[IMPORTE NETO]]*0.21</f>
        <v>0</v>
      </c>
      <c r="J836" s="141"/>
      <c r="K836" s="141"/>
      <c r="L836" s="141"/>
      <c r="M836" s="59"/>
    </row>
    <row r="837" spans="2:13">
      <c r="B837" s="135"/>
      <c r="C837" s="136"/>
      <c r="D837" s="137"/>
      <c r="E837" s="138"/>
      <c r="F837" s="113"/>
      <c r="G837" s="1" t="str">
        <f>IFERROR(IF(ventas_b_mes1255[[#This Row],[CUIT]]="","-",VLOOKUP(ventas_b_mes1255[[#This Row],[CUIT]],Lista_CUIT[#All],2,0)),"CUIT NO CARGADO")</f>
        <v>-</v>
      </c>
      <c r="H837" s="100">
        <f>ventas_b_mes1255[[#This Row],[TOTAL]]/1.21</f>
        <v>0</v>
      </c>
      <c r="I837" s="64">
        <f>ventas_b_mes1255[[#This Row],[IMPORTE NETO]]*0.21</f>
        <v>0</v>
      </c>
      <c r="J837" s="141"/>
      <c r="K837" s="141"/>
      <c r="L837" s="141"/>
      <c r="M837" s="59"/>
    </row>
    <row r="838" spans="2:13">
      <c r="B838" s="135"/>
      <c r="C838" s="136"/>
      <c r="D838" s="137"/>
      <c r="E838" s="138"/>
      <c r="F838" s="113"/>
      <c r="G838" s="1" t="str">
        <f>IFERROR(IF(ventas_b_mes1255[[#This Row],[CUIT]]="","-",VLOOKUP(ventas_b_mes1255[[#This Row],[CUIT]],Lista_CUIT[#All],2,0)),"CUIT NO CARGADO")</f>
        <v>-</v>
      </c>
      <c r="H838" s="100">
        <f>ventas_b_mes1255[[#This Row],[TOTAL]]/1.21</f>
        <v>0</v>
      </c>
      <c r="I838" s="64">
        <f>ventas_b_mes1255[[#This Row],[IMPORTE NETO]]*0.21</f>
        <v>0</v>
      </c>
      <c r="J838" s="141"/>
      <c r="K838" s="141"/>
      <c r="L838" s="141"/>
      <c r="M838" s="59"/>
    </row>
    <row r="839" spans="2:13">
      <c r="B839" s="135"/>
      <c r="C839" s="136"/>
      <c r="D839" s="137"/>
      <c r="E839" s="138"/>
      <c r="F839" s="113"/>
      <c r="G839" s="1" t="str">
        <f>IFERROR(IF(ventas_b_mes1255[[#This Row],[CUIT]]="","-",VLOOKUP(ventas_b_mes1255[[#This Row],[CUIT]],Lista_CUIT[#All],2,0)),"CUIT NO CARGADO")</f>
        <v>-</v>
      </c>
      <c r="H839" s="100">
        <f>ventas_b_mes1255[[#This Row],[TOTAL]]/1.21</f>
        <v>0</v>
      </c>
      <c r="I839" s="64">
        <f>ventas_b_mes1255[[#This Row],[IMPORTE NETO]]*0.21</f>
        <v>0</v>
      </c>
      <c r="J839" s="141"/>
      <c r="K839" s="141"/>
      <c r="L839" s="141"/>
      <c r="M839" s="59"/>
    </row>
    <row r="840" spans="2:13">
      <c r="B840" s="135"/>
      <c r="C840" s="136"/>
      <c r="D840" s="137"/>
      <c r="E840" s="138"/>
      <c r="F840" s="113"/>
      <c r="G840" s="1" t="str">
        <f>IFERROR(IF(ventas_b_mes1255[[#This Row],[CUIT]]="","-",VLOOKUP(ventas_b_mes1255[[#This Row],[CUIT]],Lista_CUIT[#All],2,0)),"CUIT NO CARGADO")</f>
        <v>-</v>
      </c>
      <c r="H840" s="100">
        <f>ventas_b_mes1255[[#This Row],[TOTAL]]/1.21</f>
        <v>0</v>
      </c>
      <c r="I840" s="64">
        <f>ventas_b_mes1255[[#This Row],[IMPORTE NETO]]*0.21</f>
        <v>0</v>
      </c>
      <c r="J840" s="141"/>
      <c r="K840" s="141"/>
      <c r="L840" s="141"/>
      <c r="M840" s="59"/>
    </row>
    <row r="841" spans="2:13">
      <c r="B841" s="135"/>
      <c r="C841" s="136"/>
      <c r="D841" s="137"/>
      <c r="E841" s="138"/>
      <c r="F841" s="113"/>
      <c r="G841" s="1" t="str">
        <f>IFERROR(IF(ventas_b_mes1255[[#This Row],[CUIT]]="","-",VLOOKUP(ventas_b_mes1255[[#This Row],[CUIT]],Lista_CUIT[#All],2,0)),"CUIT NO CARGADO")</f>
        <v>-</v>
      </c>
      <c r="H841" s="100">
        <f>ventas_b_mes1255[[#This Row],[TOTAL]]/1.21</f>
        <v>0</v>
      </c>
      <c r="I841" s="64">
        <f>ventas_b_mes1255[[#This Row],[IMPORTE NETO]]*0.21</f>
        <v>0</v>
      </c>
      <c r="J841" s="141"/>
      <c r="K841" s="141"/>
      <c r="L841" s="141"/>
      <c r="M841" s="59"/>
    </row>
    <row r="842" spans="2:13">
      <c r="B842" s="135"/>
      <c r="C842" s="136"/>
      <c r="D842" s="137"/>
      <c r="E842" s="138"/>
      <c r="F842" s="113"/>
      <c r="G842" s="1" t="str">
        <f>IFERROR(IF(ventas_b_mes1255[[#This Row],[CUIT]]="","-",VLOOKUP(ventas_b_mes1255[[#This Row],[CUIT]],Lista_CUIT[#All],2,0)),"CUIT NO CARGADO")</f>
        <v>-</v>
      </c>
      <c r="H842" s="100">
        <f>ventas_b_mes1255[[#This Row],[TOTAL]]/1.21</f>
        <v>0</v>
      </c>
      <c r="I842" s="64">
        <f>ventas_b_mes1255[[#This Row],[IMPORTE NETO]]*0.21</f>
        <v>0</v>
      </c>
      <c r="J842" s="141"/>
      <c r="K842" s="141"/>
      <c r="L842" s="141"/>
      <c r="M842" s="59"/>
    </row>
    <row r="843" spans="2:13">
      <c r="B843" s="135"/>
      <c r="C843" s="136"/>
      <c r="D843" s="137"/>
      <c r="E843" s="138"/>
      <c r="F843" s="113"/>
      <c r="G843" s="1" t="str">
        <f>IFERROR(IF(ventas_b_mes1255[[#This Row],[CUIT]]="","-",VLOOKUP(ventas_b_mes1255[[#This Row],[CUIT]],Lista_CUIT[#All],2,0)),"CUIT NO CARGADO")</f>
        <v>-</v>
      </c>
      <c r="H843" s="100">
        <f>ventas_b_mes1255[[#This Row],[TOTAL]]/1.21</f>
        <v>0</v>
      </c>
      <c r="I843" s="64">
        <f>ventas_b_mes1255[[#This Row],[IMPORTE NETO]]*0.21</f>
        <v>0</v>
      </c>
      <c r="J843" s="141"/>
      <c r="K843" s="141"/>
      <c r="L843" s="141"/>
      <c r="M843" s="59"/>
    </row>
    <row r="844" spans="2:13">
      <c r="B844" s="135"/>
      <c r="C844" s="136"/>
      <c r="D844" s="137"/>
      <c r="E844" s="138"/>
      <c r="F844" s="113"/>
      <c r="G844" s="1" t="str">
        <f>IFERROR(IF(ventas_b_mes1255[[#This Row],[CUIT]]="","-",VLOOKUP(ventas_b_mes1255[[#This Row],[CUIT]],Lista_CUIT[#All],2,0)),"CUIT NO CARGADO")</f>
        <v>-</v>
      </c>
      <c r="H844" s="100">
        <f>ventas_b_mes1255[[#This Row],[TOTAL]]/1.21</f>
        <v>0</v>
      </c>
      <c r="I844" s="64">
        <f>ventas_b_mes1255[[#This Row],[IMPORTE NETO]]*0.21</f>
        <v>0</v>
      </c>
      <c r="J844" s="141"/>
      <c r="K844" s="141"/>
      <c r="L844" s="141"/>
      <c r="M844" s="59"/>
    </row>
    <row r="845" spans="2:13">
      <c r="B845" s="135"/>
      <c r="C845" s="136"/>
      <c r="D845" s="137"/>
      <c r="E845" s="138"/>
      <c r="F845" s="113"/>
      <c r="G845" s="1" t="str">
        <f>IFERROR(IF(ventas_b_mes1255[[#This Row],[CUIT]]="","-",VLOOKUP(ventas_b_mes1255[[#This Row],[CUIT]],Lista_CUIT[#All],2,0)),"CUIT NO CARGADO")</f>
        <v>-</v>
      </c>
      <c r="H845" s="100">
        <f>ventas_b_mes1255[[#This Row],[TOTAL]]/1.21</f>
        <v>0</v>
      </c>
      <c r="I845" s="64">
        <f>ventas_b_mes1255[[#This Row],[IMPORTE NETO]]*0.21</f>
        <v>0</v>
      </c>
      <c r="J845" s="141"/>
      <c r="K845" s="141"/>
      <c r="L845" s="141"/>
      <c r="M845" s="59"/>
    </row>
    <row r="846" spans="2:13">
      <c r="B846" s="135"/>
      <c r="C846" s="136"/>
      <c r="D846" s="137"/>
      <c r="E846" s="138"/>
      <c r="F846" s="113"/>
      <c r="G846" s="1" t="str">
        <f>IFERROR(IF(ventas_b_mes1255[[#This Row],[CUIT]]="","-",VLOOKUP(ventas_b_mes1255[[#This Row],[CUIT]],Lista_CUIT[#All],2,0)),"CUIT NO CARGADO")</f>
        <v>-</v>
      </c>
      <c r="H846" s="100">
        <f>ventas_b_mes1255[[#This Row],[TOTAL]]/1.21</f>
        <v>0</v>
      </c>
      <c r="I846" s="64">
        <f>ventas_b_mes1255[[#This Row],[IMPORTE NETO]]*0.21</f>
        <v>0</v>
      </c>
      <c r="J846" s="141"/>
      <c r="K846" s="141"/>
      <c r="L846" s="141"/>
      <c r="M846" s="59"/>
    </row>
    <row r="847" spans="2:13">
      <c r="B847" s="135"/>
      <c r="C847" s="136"/>
      <c r="D847" s="137"/>
      <c r="E847" s="138"/>
      <c r="F847" s="113"/>
      <c r="G847" s="1" t="str">
        <f>IFERROR(IF(ventas_b_mes1255[[#This Row],[CUIT]]="","-",VLOOKUP(ventas_b_mes1255[[#This Row],[CUIT]],Lista_CUIT[#All],2,0)),"CUIT NO CARGADO")</f>
        <v>-</v>
      </c>
      <c r="H847" s="100">
        <f>ventas_b_mes1255[[#This Row],[TOTAL]]/1.21</f>
        <v>0</v>
      </c>
      <c r="I847" s="64">
        <f>ventas_b_mes1255[[#This Row],[IMPORTE NETO]]*0.21</f>
        <v>0</v>
      </c>
      <c r="J847" s="141"/>
      <c r="K847" s="141"/>
      <c r="L847" s="141"/>
      <c r="M847" s="59"/>
    </row>
    <row r="848" spans="2:13">
      <c r="B848" s="135"/>
      <c r="C848" s="136"/>
      <c r="D848" s="137"/>
      <c r="E848" s="138"/>
      <c r="F848" s="113"/>
      <c r="G848" s="1" t="str">
        <f>IFERROR(IF(ventas_b_mes1255[[#This Row],[CUIT]]="","-",VLOOKUP(ventas_b_mes1255[[#This Row],[CUIT]],Lista_CUIT[#All],2,0)),"CUIT NO CARGADO")</f>
        <v>-</v>
      </c>
      <c r="H848" s="100">
        <f>ventas_b_mes1255[[#This Row],[TOTAL]]/1.21</f>
        <v>0</v>
      </c>
      <c r="I848" s="64">
        <f>ventas_b_mes1255[[#This Row],[IMPORTE NETO]]*0.21</f>
        <v>0</v>
      </c>
      <c r="J848" s="141"/>
      <c r="K848" s="141"/>
      <c r="L848" s="141"/>
      <c r="M848" s="59"/>
    </row>
    <row r="849" spans="2:13">
      <c r="B849" s="135"/>
      <c r="C849" s="136"/>
      <c r="D849" s="137"/>
      <c r="E849" s="138"/>
      <c r="F849" s="113"/>
      <c r="G849" s="1" t="str">
        <f>IFERROR(IF(ventas_b_mes1255[[#This Row],[CUIT]]="","-",VLOOKUP(ventas_b_mes1255[[#This Row],[CUIT]],Lista_CUIT[#All],2,0)),"CUIT NO CARGADO")</f>
        <v>-</v>
      </c>
      <c r="H849" s="100">
        <f>ventas_b_mes1255[[#This Row],[TOTAL]]/1.21</f>
        <v>0</v>
      </c>
      <c r="I849" s="64">
        <f>ventas_b_mes1255[[#This Row],[IMPORTE NETO]]*0.21</f>
        <v>0</v>
      </c>
      <c r="J849" s="141"/>
      <c r="K849" s="141"/>
      <c r="L849" s="141"/>
      <c r="M849" s="59"/>
    </row>
    <row r="850" spans="2:13">
      <c r="B850" s="135"/>
      <c r="C850" s="136"/>
      <c r="D850" s="137"/>
      <c r="E850" s="138"/>
      <c r="F850" s="113"/>
      <c r="G850" s="1" t="str">
        <f>IFERROR(IF(ventas_b_mes1255[[#This Row],[CUIT]]="","-",VLOOKUP(ventas_b_mes1255[[#This Row],[CUIT]],Lista_CUIT[#All],2,0)),"CUIT NO CARGADO")</f>
        <v>-</v>
      </c>
      <c r="H850" s="100">
        <f>ventas_b_mes1255[[#This Row],[TOTAL]]/1.21</f>
        <v>0</v>
      </c>
      <c r="I850" s="64">
        <f>ventas_b_mes1255[[#This Row],[IMPORTE NETO]]*0.21</f>
        <v>0</v>
      </c>
      <c r="J850" s="141"/>
      <c r="K850" s="141"/>
      <c r="L850" s="141"/>
      <c r="M850" s="59"/>
    </row>
    <row r="851" spans="2:13">
      <c r="B851" s="135"/>
      <c r="C851" s="136"/>
      <c r="D851" s="137"/>
      <c r="E851" s="138"/>
      <c r="F851" s="113"/>
      <c r="G851" s="1" t="str">
        <f>IFERROR(IF(ventas_b_mes1255[[#This Row],[CUIT]]="","-",VLOOKUP(ventas_b_mes1255[[#This Row],[CUIT]],Lista_CUIT[#All],2,0)),"CUIT NO CARGADO")</f>
        <v>-</v>
      </c>
      <c r="H851" s="100">
        <f>ventas_b_mes1255[[#This Row],[TOTAL]]/1.21</f>
        <v>0</v>
      </c>
      <c r="I851" s="64">
        <f>ventas_b_mes1255[[#This Row],[IMPORTE NETO]]*0.21</f>
        <v>0</v>
      </c>
      <c r="J851" s="141"/>
      <c r="K851" s="141"/>
      <c r="L851" s="141"/>
      <c r="M851" s="59"/>
    </row>
    <row r="852" spans="2:13">
      <c r="B852" s="135"/>
      <c r="C852" s="136"/>
      <c r="D852" s="137"/>
      <c r="E852" s="138"/>
      <c r="F852" s="113"/>
      <c r="G852" s="1" t="str">
        <f>IFERROR(IF(ventas_b_mes1255[[#This Row],[CUIT]]="","-",VLOOKUP(ventas_b_mes1255[[#This Row],[CUIT]],Lista_CUIT[#All],2,0)),"CUIT NO CARGADO")</f>
        <v>-</v>
      </c>
      <c r="H852" s="100">
        <f>ventas_b_mes1255[[#This Row],[TOTAL]]/1.21</f>
        <v>0</v>
      </c>
      <c r="I852" s="64">
        <f>ventas_b_mes1255[[#This Row],[IMPORTE NETO]]*0.21</f>
        <v>0</v>
      </c>
      <c r="J852" s="141"/>
      <c r="K852" s="141"/>
      <c r="L852" s="141"/>
      <c r="M852" s="59"/>
    </row>
    <row r="853" spans="2:13">
      <c r="B853" s="135"/>
      <c r="C853" s="136"/>
      <c r="D853" s="137"/>
      <c r="E853" s="138"/>
      <c r="F853" s="113"/>
      <c r="G853" s="1" t="str">
        <f>IFERROR(IF(ventas_b_mes1255[[#This Row],[CUIT]]="","-",VLOOKUP(ventas_b_mes1255[[#This Row],[CUIT]],Lista_CUIT[#All],2,0)),"CUIT NO CARGADO")</f>
        <v>-</v>
      </c>
      <c r="H853" s="100">
        <f>ventas_b_mes1255[[#This Row],[TOTAL]]/1.21</f>
        <v>0</v>
      </c>
      <c r="I853" s="64">
        <f>ventas_b_mes1255[[#This Row],[IMPORTE NETO]]*0.21</f>
        <v>0</v>
      </c>
      <c r="J853" s="141"/>
      <c r="K853" s="141"/>
      <c r="L853" s="141"/>
      <c r="M853" s="59"/>
    </row>
    <row r="854" spans="2:13">
      <c r="B854" s="135"/>
      <c r="C854" s="136"/>
      <c r="D854" s="137"/>
      <c r="E854" s="138"/>
      <c r="F854" s="113"/>
      <c r="G854" s="1" t="str">
        <f>IFERROR(IF(ventas_b_mes1255[[#This Row],[CUIT]]="","-",VLOOKUP(ventas_b_mes1255[[#This Row],[CUIT]],Lista_CUIT[#All],2,0)),"CUIT NO CARGADO")</f>
        <v>-</v>
      </c>
      <c r="H854" s="100">
        <f>ventas_b_mes1255[[#This Row],[TOTAL]]/1.21</f>
        <v>0</v>
      </c>
      <c r="I854" s="64">
        <f>ventas_b_mes1255[[#This Row],[IMPORTE NETO]]*0.21</f>
        <v>0</v>
      </c>
      <c r="J854" s="141"/>
      <c r="K854" s="141"/>
      <c r="L854" s="141"/>
      <c r="M854" s="59"/>
    </row>
    <row r="855" spans="2:13">
      <c r="B855" s="135"/>
      <c r="C855" s="136"/>
      <c r="D855" s="137"/>
      <c r="E855" s="138"/>
      <c r="F855" s="113"/>
      <c r="G855" s="1" t="str">
        <f>IFERROR(IF(ventas_b_mes1255[[#This Row],[CUIT]]="","-",VLOOKUP(ventas_b_mes1255[[#This Row],[CUIT]],Lista_CUIT[#All],2,0)),"CUIT NO CARGADO")</f>
        <v>-</v>
      </c>
      <c r="H855" s="100">
        <f>ventas_b_mes1255[[#This Row],[TOTAL]]/1.21</f>
        <v>0</v>
      </c>
      <c r="I855" s="64">
        <f>ventas_b_mes1255[[#This Row],[IMPORTE NETO]]*0.21</f>
        <v>0</v>
      </c>
      <c r="J855" s="141"/>
      <c r="K855" s="141"/>
      <c r="L855" s="141"/>
      <c r="M855" s="59"/>
    </row>
    <row r="856" spans="2:13">
      <c r="B856" s="135"/>
      <c r="C856" s="136"/>
      <c r="D856" s="137"/>
      <c r="E856" s="138"/>
      <c r="F856" s="113"/>
      <c r="G856" s="1" t="str">
        <f>IFERROR(IF(ventas_b_mes1255[[#This Row],[CUIT]]="","-",VLOOKUP(ventas_b_mes1255[[#This Row],[CUIT]],Lista_CUIT[#All],2,0)),"CUIT NO CARGADO")</f>
        <v>-</v>
      </c>
      <c r="H856" s="100">
        <f>ventas_b_mes1255[[#This Row],[TOTAL]]/1.21</f>
        <v>0</v>
      </c>
      <c r="I856" s="64">
        <f>ventas_b_mes1255[[#This Row],[IMPORTE NETO]]*0.21</f>
        <v>0</v>
      </c>
      <c r="J856" s="141"/>
      <c r="K856" s="141"/>
      <c r="L856" s="141"/>
      <c r="M856" s="59"/>
    </row>
    <row r="857" spans="2:13">
      <c r="B857" s="135"/>
      <c r="C857" s="136"/>
      <c r="D857" s="137"/>
      <c r="E857" s="138"/>
      <c r="F857" s="113"/>
      <c r="G857" s="1" t="str">
        <f>IFERROR(IF(ventas_b_mes1255[[#This Row],[CUIT]]="","-",VLOOKUP(ventas_b_mes1255[[#This Row],[CUIT]],Lista_CUIT[#All],2,0)),"CUIT NO CARGADO")</f>
        <v>-</v>
      </c>
      <c r="H857" s="100">
        <f>ventas_b_mes1255[[#This Row],[TOTAL]]/1.21</f>
        <v>0</v>
      </c>
      <c r="I857" s="64">
        <f>ventas_b_mes1255[[#This Row],[IMPORTE NETO]]*0.21</f>
        <v>0</v>
      </c>
      <c r="J857" s="141"/>
      <c r="K857" s="141"/>
      <c r="L857" s="141"/>
      <c r="M857" s="59"/>
    </row>
    <row r="858" spans="2:13">
      <c r="B858" s="135"/>
      <c r="C858" s="136"/>
      <c r="D858" s="137"/>
      <c r="E858" s="138"/>
      <c r="F858" s="113"/>
      <c r="G858" s="1" t="str">
        <f>IFERROR(IF(ventas_b_mes1255[[#This Row],[CUIT]]="","-",VLOOKUP(ventas_b_mes1255[[#This Row],[CUIT]],Lista_CUIT[#All],2,0)),"CUIT NO CARGADO")</f>
        <v>-</v>
      </c>
      <c r="H858" s="100">
        <f>ventas_b_mes1255[[#This Row],[TOTAL]]/1.21</f>
        <v>0</v>
      </c>
      <c r="I858" s="64">
        <f>ventas_b_mes1255[[#This Row],[IMPORTE NETO]]*0.21</f>
        <v>0</v>
      </c>
      <c r="J858" s="141"/>
      <c r="K858" s="141"/>
      <c r="L858" s="141"/>
      <c r="M858" s="59"/>
    </row>
    <row r="859" spans="2:13">
      <c r="B859" s="135"/>
      <c r="C859" s="136"/>
      <c r="D859" s="137"/>
      <c r="E859" s="138"/>
      <c r="F859" s="113"/>
      <c r="G859" s="1" t="str">
        <f>IFERROR(IF(ventas_b_mes1255[[#This Row],[CUIT]]="","-",VLOOKUP(ventas_b_mes1255[[#This Row],[CUIT]],Lista_CUIT[#All],2,0)),"CUIT NO CARGADO")</f>
        <v>-</v>
      </c>
      <c r="H859" s="100">
        <f>ventas_b_mes1255[[#This Row],[TOTAL]]/1.21</f>
        <v>0</v>
      </c>
      <c r="I859" s="64">
        <f>ventas_b_mes1255[[#This Row],[IMPORTE NETO]]*0.21</f>
        <v>0</v>
      </c>
      <c r="J859" s="141"/>
      <c r="K859" s="141"/>
      <c r="L859" s="141"/>
      <c r="M859" s="59"/>
    </row>
    <row r="860" spans="2:13">
      <c r="B860" s="135"/>
      <c r="C860" s="136"/>
      <c r="D860" s="137"/>
      <c r="E860" s="138"/>
      <c r="F860" s="113"/>
      <c r="G860" s="1" t="str">
        <f>IFERROR(IF(ventas_b_mes1255[[#This Row],[CUIT]]="","-",VLOOKUP(ventas_b_mes1255[[#This Row],[CUIT]],Lista_CUIT[#All],2,0)),"CUIT NO CARGADO")</f>
        <v>-</v>
      </c>
      <c r="H860" s="100">
        <f>ventas_b_mes1255[[#This Row],[TOTAL]]/1.21</f>
        <v>0</v>
      </c>
      <c r="I860" s="64">
        <f>ventas_b_mes1255[[#This Row],[IMPORTE NETO]]*0.21</f>
        <v>0</v>
      </c>
      <c r="J860" s="141"/>
      <c r="K860" s="141"/>
      <c r="L860" s="141"/>
      <c r="M860" s="59"/>
    </row>
    <row r="861" spans="2:13">
      <c r="B861" s="135"/>
      <c r="C861" s="136"/>
      <c r="D861" s="137"/>
      <c r="E861" s="138"/>
      <c r="F861" s="113"/>
      <c r="G861" s="1" t="str">
        <f>IFERROR(IF(ventas_b_mes1255[[#This Row],[CUIT]]="","-",VLOOKUP(ventas_b_mes1255[[#This Row],[CUIT]],Lista_CUIT[#All],2,0)),"CUIT NO CARGADO")</f>
        <v>-</v>
      </c>
      <c r="H861" s="100">
        <f>ventas_b_mes1255[[#This Row],[TOTAL]]/1.21</f>
        <v>0</v>
      </c>
      <c r="I861" s="64">
        <f>ventas_b_mes1255[[#This Row],[IMPORTE NETO]]*0.21</f>
        <v>0</v>
      </c>
      <c r="J861" s="141"/>
      <c r="K861" s="141"/>
      <c r="L861" s="141"/>
      <c r="M861" s="59"/>
    </row>
    <row r="862" spans="2:13">
      <c r="B862" s="135"/>
      <c r="C862" s="136"/>
      <c r="D862" s="137"/>
      <c r="E862" s="138"/>
      <c r="F862" s="113"/>
      <c r="G862" s="1" t="str">
        <f>IFERROR(IF(ventas_b_mes1255[[#This Row],[CUIT]]="","-",VLOOKUP(ventas_b_mes1255[[#This Row],[CUIT]],Lista_CUIT[#All],2,0)),"CUIT NO CARGADO")</f>
        <v>-</v>
      </c>
      <c r="H862" s="100">
        <f>ventas_b_mes1255[[#This Row],[TOTAL]]/1.21</f>
        <v>0</v>
      </c>
      <c r="I862" s="64">
        <f>ventas_b_mes1255[[#This Row],[IMPORTE NETO]]*0.21</f>
        <v>0</v>
      </c>
      <c r="J862" s="141"/>
      <c r="K862" s="141"/>
      <c r="L862" s="141"/>
      <c r="M862" s="59"/>
    </row>
    <row r="863" spans="2:13">
      <c r="B863" s="135"/>
      <c r="C863" s="136"/>
      <c r="D863" s="137"/>
      <c r="E863" s="138"/>
      <c r="F863" s="113"/>
      <c r="G863" s="1" t="str">
        <f>IFERROR(IF(ventas_b_mes1255[[#This Row],[CUIT]]="","-",VLOOKUP(ventas_b_mes1255[[#This Row],[CUIT]],Lista_CUIT[#All],2,0)),"CUIT NO CARGADO")</f>
        <v>-</v>
      </c>
      <c r="H863" s="100">
        <f>ventas_b_mes1255[[#This Row],[TOTAL]]/1.21</f>
        <v>0</v>
      </c>
      <c r="I863" s="64">
        <f>ventas_b_mes1255[[#This Row],[IMPORTE NETO]]*0.21</f>
        <v>0</v>
      </c>
      <c r="J863" s="141"/>
      <c r="K863" s="141"/>
      <c r="L863" s="141"/>
      <c r="M863" s="59"/>
    </row>
    <row r="864" spans="2:13">
      <c r="B864" s="135"/>
      <c r="C864" s="136"/>
      <c r="D864" s="137"/>
      <c r="E864" s="138"/>
      <c r="F864" s="113"/>
      <c r="G864" s="1" t="str">
        <f>IFERROR(IF(ventas_b_mes1255[[#This Row],[CUIT]]="","-",VLOOKUP(ventas_b_mes1255[[#This Row],[CUIT]],Lista_CUIT[#All],2,0)),"CUIT NO CARGADO")</f>
        <v>-</v>
      </c>
      <c r="H864" s="100">
        <f>ventas_b_mes1255[[#This Row],[TOTAL]]/1.21</f>
        <v>0</v>
      </c>
      <c r="I864" s="64">
        <f>ventas_b_mes1255[[#This Row],[IMPORTE NETO]]*0.21</f>
        <v>0</v>
      </c>
      <c r="J864" s="141"/>
      <c r="K864" s="141"/>
      <c r="L864" s="141"/>
      <c r="M864" s="59"/>
    </row>
    <row r="865" spans="2:13">
      <c r="B865" s="135"/>
      <c r="C865" s="136"/>
      <c r="D865" s="137"/>
      <c r="E865" s="138"/>
      <c r="F865" s="113"/>
      <c r="G865" s="1" t="str">
        <f>IFERROR(IF(ventas_b_mes1255[[#This Row],[CUIT]]="","-",VLOOKUP(ventas_b_mes1255[[#This Row],[CUIT]],Lista_CUIT[#All],2,0)),"CUIT NO CARGADO")</f>
        <v>-</v>
      </c>
      <c r="H865" s="100">
        <f>ventas_b_mes1255[[#This Row],[TOTAL]]/1.21</f>
        <v>0</v>
      </c>
      <c r="I865" s="64">
        <f>ventas_b_mes1255[[#This Row],[IMPORTE NETO]]*0.21</f>
        <v>0</v>
      </c>
      <c r="J865" s="141"/>
      <c r="K865" s="141"/>
      <c r="L865" s="141"/>
      <c r="M865" s="59"/>
    </row>
    <row r="866" spans="2:13">
      <c r="B866" s="135"/>
      <c r="C866" s="136"/>
      <c r="D866" s="137"/>
      <c r="E866" s="138"/>
      <c r="F866" s="113"/>
      <c r="G866" s="1" t="str">
        <f>IFERROR(IF(ventas_b_mes1255[[#This Row],[CUIT]]="","-",VLOOKUP(ventas_b_mes1255[[#This Row],[CUIT]],Lista_CUIT[#All],2,0)),"CUIT NO CARGADO")</f>
        <v>-</v>
      </c>
      <c r="H866" s="100">
        <f>ventas_b_mes1255[[#This Row],[TOTAL]]/1.21</f>
        <v>0</v>
      </c>
      <c r="I866" s="64">
        <f>ventas_b_mes1255[[#This Row],[IMPORTE NETO]]*0.21</f>
        <v>0</v>
      </c>
      <c r="J866" s="141"/>
      <c r="K866" s="141"/>
      <c r="L866" s="141"/>
      <c r="M866" s="59"/>
    </row>
    <row r="867" spans="2:13">
      <c r="B867" s="135"/>
      <c r="C867" s="136"/>
      <c r="D867" s="137"/>
      <c r="E867" s="138"/>
      <c r="F867" s="113"/>
      <c r="G867" s="1" t="str">
        <f>IFERROR(IF(ventas_b_mes1255[[#This Row],[CUIT]]="","-",VLOOKUP(ventas_b_mes1255[[#This Row],[CUIT]],Lista_CUIT[#All],2,0)),"CUIT NO CARGADO")</f>
        <v>-</v>
      </c>
      <c r="H867" s="100">
        <f>ventas_b_mes1255[[#This Row],[TOTAL]]/1.21</f>
        <v>0</v>
      </c>
      <c r="I867" s="64">
        <f>ventas_b_mes1255[[#This Row],[IMPORTE NETO]]*0.21</f>
        <v>0</v>
      </c>
      <c r="J867" s="141"/>
      <c r="K867" s="141"/>
      <c r="L867" s="141"/>
      <c r="M867" s="59"/>
    </row>
    <row r="868" spans="2:13">
      <c r="B868" s="135"/>
      <c r="C868" s="136"/>
      <c r="D868" s="137"/>
      <c r="E868" s="138"/>
      <c r="F868" s="113"/>
      <c r="G868" s="1" t="str">
        <f>IFERROR(IF(ventas_b_mes1255[[#This Row],[CUIT]]="","-",VLOOKUP(ventas_b_mes1255[[#This Row],[CUIT]],Lista_CUIT[#All],2,0)),"CUIT NO CARGADO")</f>
        <v>-</v>
      </c>
      <c r="H868" s="100">
        <f>ventas_b_mes1255[[#This Row],[TOTAL]]/1.21</f>
        <v>0</v>
      </c>
      <c r="I868" s="64">
        <f>ventas_b_mes1255[[#This Row],[IMPORTE NETO]]*0.21</f>
        <v>0</v>
      </c>
      <c r="J868" s="141"/>
      <c r="K868" s="141"/>
      <c r="L868" s="141"/>
      <c r="M868" s="59"/>
    </row>
    <row r="869" spans="2:13">
      <c r="B869" s="135"/>
      <c r="C869" s="136"/>
      <c r="D869" s="137"/>
      <c r="E869" s="138"/>
      <c r="F869" s="113"/>
      <c r="G869" s="1" t="str">
        <f>IFERROR(IF(ventas_b_mes1255[[#This Row],[CUIT]]="","-",VLOOKUP(ventas_b_mes1255[[#This Row],[CUIT]],Lista_CUIT[#All],2,0)),"CUIT NO CARGADO")</f>
        <v>-</v>
      </c>
      <c r="H869" s="100">
        <f>ventas_b_mes1255[[#This Row],[TOTAL]]/1.21</f>
        <v>0</v>
      </c>
      <c r="I869" s="64">
        <f>ventas_b_mes1255[[#This Row],[IMPORTE NETO]]*0.21</f>
        <v>0</v>
      </c>
      <c r="J869" s="141"/>
      <c r="K869" s="141"/>
      <c r="L869" s="141"/>
      <c r="M869" s="59"/>
    </row>
    <row r="870" spans="2:13">
      <c r="B870" s="135"/>
      <c r="C870" s="136"/>
      <c r="D870" s="137"/>
      <c r="E870" s="138"/>
      <c r="F870" s="113"/>
      <c r="G870" s="1" t="str">
        <f>IFERROR(IF(ventas_b_mes1255[[#This Row],[CUIT]]="","-",VLOOKUP(ventas_b_mes1255[[#This Row],[CUIT]],Lista_CUIT[#All],2,0)),"CUIT NO CARGADO")</f>
        <v>-</v>
      </c>
      <c r="H870" s="100">
        <f>ventas_b_mes1255[[#This Row],[TOTAL]]/1.21</f>
        <v>0</v>
      </c>
      <c r="I870" s="64">
        <f>ventas_b_mes1255[[#This Row],[IMPORTE NETO]]*0.21</f>
        <v>0</v>
      </c>
      <c r="J870" s="141"/>
      <c r="K870" s="141"/>
      <c r="L870" s="141"/>
      <c r="M870" s="59"/>
    </row>
    <row r="871" spans="2:13">
      <c r="B871" s="135"/>
      <c r="C871" s="136"/>
      <c r="D871" s="137"/>
      <c r="E871" s="138"/>
      <c r="F871" s="113"/>
      <c r="G871" s="1" t="str">
        <f>IFERROR(IF(ventas_b_mes1255[[#This Row],[CUIT]]="","-",VLOOKUP(ventas_b_mes1255[[#This Row],[CUIT]],Lista_CUIT[#All],2,0)),"CUIT NO CARGADO")</f>
        <v>-</v>
      </c>
      <c r="H871" s="100">
        <f>ventas_b_mes1255[[#This Row],[TOTAL]]/1.21</f>
        <v>0</v>
      </c>
      <c r="I871" s="64">
        <f>ventas_b_mes1255[[#This Row],[IMPORTE NETO]]*0.21</f>
        <v>0</v>
      </c>
      <c r="J871" s="141"/>
      <c r="K871" s="141"/>
      <c r="L871" s="141"/>
      <c r="M871" s="59"/>
    </row>
    <row r="872" spans="2:13">
      <c r="B872" s="135"/>
      <c r="C872" s="136"/>
      <c r="D872" s="137"/>
      <c r="E872" s="138"/>
      <c r="F872" s="113"/>
      <c r="G872" s="1" t="str">
        <f>IFERROR(IF(ventas_b_mes1255[[#This Row],[CUIT]]="","-",VLOOKUP(ventas_b_mes1255[[#This Row],[CUIT]],Lista_CUIT[#All],2,0)),"CUIT NO CARGADO")</f>
        <v>-</v>
      </c>
      <c r="H872" s="100">
        <f>ventas_b_mes1255[[#This Row],[TOTAL]]/1.21</f>
        <v>0</v>
      </c>
      <c r="I872" s="64">
        <f>ventas_b_mes1255[[#This Row],[IMPORTE NETO]]*0.21</f>
        <v>0</v>
      </c>
      <c r="J872" s="141"/>
      <c r="K872" s="141"/>
      <c r="L872" s="141"/>
      <c r="M872" s="59"/>
    </row>
    <row r="873" spans="2:13">
      <c r="B873" s="135"/>
      <c r="C873" s="136"/>
      <c r="D873" s="137"/>
      <c r="E873" s="138"/>
      <c r="F873" s="113"/>
      <c r="G873" s="1" t="str">
        <f>IFERROR(IF(ventas_b_mes1255[[#This Row],[CUIT]]="","-",VLOOKUP(ventas_b_mes1255[[#This Row],[CUIT]],Lista_CUIT[#All],2,0)),"CUIT NO CARGADO")</f>
        <v>-</v>
      </c>
      <c r="H873" s="100">
        <f>ventas_b_mes1255[[#This Row],[TOTAL]]/1.21</f>
        <v>0</v>
      </c>
      <c r="I873" s="64">
        <f>ventas_b_mes1255[[#This Row],[IMPORTE NETO]]*0.21</f>
        <v>0</v>
      </c>
      <c r="J873" s="141"/>
      <c r="K873" s="141"/>
      <c r="L873" s="141"/>
      <c r="M873" s="59"/>
    </row>
    <row r="874" spans="2:13">
      <c r="B874" s="135"/>
      <c r="C874" s="136"/>
      <c r="D874" s="137"/>
      <c r="E874" s="138"/>
      <c r="F874" s="113"/>
      <c r="G874" s="1" t="str">
        <f>IFERROR(IF(ventas_b_mes1255[[#This Row],[CUIT]]="","-",VLOOKUP(ventas_b_mes1255[[#This Row],[CUIT]],Lista_CUIT[#All],2,0)),"CUIT NO CARGADO")</f>
        <v>-</v>
      </c>
      <c r="H874" s="100">
        <f>ventas_b_mes1255[[#This Row],[TOTAL]]/1.21</f>
        <v>0</v>
      </c>
      <c r="I874" s="64">
        <f>ventas_b_mes1255[[#This Row],[IMPORTE NETO]]*0.21</f>
        <v>0</v>
      </c>
      <c r="J874" s="141"/>
      <c r="K874" s="141"/>
      <c r="L874" s="141"/>
      <c r="M874" s="59"/>
    </row>
    <row r="875" spans="2:13">
      <c r="B875" s="135"/>
      <c r="C875" s="136"/>
      <c r="D875" s="137"/>
      <c r="E875" s="138"/>
      <c r="F875" s="113"/>
      <c r="G875" s="1" t="str">
        <f>IFERROR(IF(ventas_b_mes1255[[#This Row],[CUIT]]="","-",VLOOKUP(ventas_b_mes1255[[#This Row],[CUIT]],Lista_CUIT[#All],2,0)),"CUIT NO CARGADO")</f>
        <v>-</v>
      </c>
      <c r="H875" s="100">
        <f>ventas_b_mes1255[[#This Row],[TOTAL]]/1.21</f>
        <v>0</v>
      </c>
      <c r="I875" s="64">
        <f>ventas_b_mes1255[[#This Row],[IMPORTE NETO]]*0.21</f>
        <v>0</v>
      </c>
      <c r="J875" s="141"/>
      <c r="K875" s="141"/>
      <c r="L875" s="141"/>
      <c r="M875" s="59"/>
    </row>
    <row r="876" spans="2:13">
      <c r="B876" s="135"/>
      <c r="C876" s="136"/>
      <c r="D876" s="137"/>
      <c r="E876" s="138"/>
      <c r="F876" s="113"/>
      <c r="G876" s="1" t="str">
        <f>IFERROR(IF(ventas_b_mes1255[[#This Row],[CUIT]]="","-",VLOOKUP(ventas_b_mes1255[[#This Row],[CUIT]],Lista_CUIT[#All],2,0)),"CUIT NO CARGADO")</f>
        <v>-</v>
      </c>
      <c r="H876" s="100">
        <f>ventas_b_mes1255[[#This Row],[TOTAL]]/1.21</f>
        <v>0</v>
      </c>
      <c r="I876" s="64">
        <f>ventas_b_mes1255[[#This Row],[IMPORTE NETO]]*0.21</f>
        <v>0</v>
      </c>
      <c r="J876" s="141"/>
      <c r="K876" s="141"/>
      <c r="L876" s="141"/>
      <c r="M876" s="59"/>
    </row>
    <row r="877" spans="2:13">
      <c r="B877" s="135"/>
      <c r="C877" s="136"/>
      <c r="D877" s="137"/>
      <c r="E877" s="138"/>
      <c r="F877" s="113"/>
      <c r="G877" s="1" t="str">
        <f>IFERROR(IF(ventas_b_mes1255[[#This Row],[CUIT]]="","-",VLOOKUP(ventas_b_mes1255[[#This Row],[CUIT]],Lista_CUIT[#All],2,0)),"CUIT NO CARGADO")</f>
        <v>-</v>
      </c>
      <c r="H877" s="100">
        <f>ventas_b_mes1255[[#This Row],[TOTAL]]/1.21</f>
        <v>0</v>
      </c>
      <c r="I877" s="64">
        <f>ventas_b_mes1255[[#This Row],[IMPORTE NETO]]*0.21</f>
        <v>0</v>
      </c>
      <c r="J877" s="141"/>
      <c r="K877" s="141"/>
      <c r="L877" s="141"/>
      <c r="M877" s="59"/>
    </row>
    <row r="878" spans="2:13">
      <c r="B878" s="135"/>
      <c r="C878" s="136"/>
      <c r="D878" s="137"/>
      <c r="E878" s="138"/>
      <c r="F878" s="113"/>
      <c r="G878" s="1" t="str">
        <f>IFERROR(IF(ventas_b_mes1255[[#This Row],[CUIT]]="","-",VLOOKUP(ventas_b_mes1255[[#This Row],[CUIT]],Lista_CUIT[#All],2,0)),"CUIT NO CARGADO")</f>
        <v>-</v>
      </c>
      <c r="H878" s="100">
        <f>ventas_b_mes1255[[#This Row],[TOTAL]]/1.21</f>
        <v>0</v>
      </c>
      <c r="I878" s="64">
        <f>ventas_b_mes1255[[#This Row],[IMPORTE NETO]]*0.21</f>
        <v>0</v>
      </c>
      <c r="J878" s="141"/>
      <c r="K878" s="141"/>
      <c r="L878" s="141"/>
      <c r="M878" s="59"/>
    </row>
    <row r="879" spans="2:13">
      <c r="B879" s="135"/>
      <c r="C879" s="136"/>
      <c r="D879" s="137"/>
      <c r="E879" s="138"/>
      <c r="F879" s="113"/>
      <c r="G879" s="1" t="str">
        <f>IFERROR(IF(ventas_b_mes1255[[#This Row],[CUIT]]="","-",VLOOKUP(ventas_b_mes1255[[#This Row],[CUIT]],Lista_CUIT[#All],2,0)),"CUIT NO CARGADO")</f>
        <v>-</v>
      </c>
      <c r="H879" s="100">
        <f>ventas_b_mes1255[[#This Row],[TOTAL]]/1.21</f>
        <v>0</v>
      </c>
      <c r="I879" s="64">
        <f>ventas_b_mes1255[[#This Row],[IMPORTE NETO]]*0.21</f>
        <v>0</v>
      </c>
      <c r="J879" s="141"/>
      <c r="K879" s="141"/>
      <c r="L879" s="141"/>
      <c r="M879" s="59"/>
    </row>
    <row r="880" spans="2:13">
      <c r="B880" s="135"/>
      <c r="C880" s="136"/>
      <c r="D880" s="137"/>
      <c r="E880" s="138"/>
      <c r="F880" s="113"/>
      <c r="G880" s="1" t="str">
        <f>IFERROR(IF(ventas_b_mes1255[[#This Row],[CUIT]]="","-",VLOOKUP(ventas_b_mes1255[[#This Row],[CUIT]],Lista_CUIT[#All],2,0)),"CUIT NO CARGADO")</f>
        <v>-</v>
      </c>
      <c r="H880" s="100">
        <f>ventas_b_mes1255[[#This Row],[TOTAL]]/1.21</f>
        <v>0</v>
      </c>
      <c r="I880" s="64">
        <f>ventas_b_mes1255[[#This Row],[IMPORTE NETO]]*0.21</f>
        <v>0</v>
      </c>
      <c r="J880" s="141"/>
      <c r="K880" s="141"/>
      <c r="L880" s="141"/>
      <c r="M880" s="59"/>
    </row>
    <row r="881" spans="2:13">
      <c r="B881" s="135"/>
      <c r="C881" s="136"/>
      <c r="D881" s="137"/>
      <c r="E881" s="138"/>
      <c r="F881" s="113"/>
      <c r="G881" s="1" t="str">
        <f>IFERROR(IF(ventas_b_mes1255[[#This Row],[CUIT]]="","-",VLOOKUP(ventas_b_mes1255[[#This Row],[CUIT]],Lista_CUIT[#All],2,0)),"CUIT NO CARGADO")</f>
        <v>-</v>
      </c>
      <c r="H881" s="100">
        <f>ventas_b_mes1255[[#This Row],[TOTAL]]/1.21</f>
        <v>0</v>
      </c>
      <c r="I881" s="64">
        <f>ventas_b_mes1255[[#This Row],[IMPORTE NETO]]*0.21</f>
        <v>0</v>
      </c>
      <c r="J881" s="141"/>
      <c r="K881" s="141"/>
      <c r="L881" s="141"/>
      <c r="M881" s="59"/>
    </row>
    <row r="882" spans="2:13">
      <c r="B882" s="135"/>
      <c r="C882" s="136"/>
      <c r="D882" s="137"/>
      <c r="E882" s="138"/>
      <c r="F882" s="113"/>
      <c r="G882" s="1" t="str">
        <f>IFERROR(IF(ventas_b_mes1255[[#This Row],[CUIT]]="","-",VLOOKUP(ventas_b_mes1255[[#This Row],[CUIT]],Lista_CUIT[#All],2,0)),"CUIT NO CARGADO")</f>
        <v>-</v>
      </c>
      <c r="H882" s="100">
        <f>ventas_b_mes1255[[#This Row],[TOTAL]]/1.21</f>
        <v>0</v>
      </c>
      <c r="I882" s="64">
        <f>ventas_b_mes1255[[#This Row],[IMPORTE NETO]]*0.21</f>
        <v>0</v>
      </c>
      <c r="J882" s="141"/>
      <c r="K882" s="141"/>
      <c r="L882" s="141"/>
      <c r="M882" s="59"/>
    </row>
    <row r="883" spans="2:13">
      <c r="B883" s="135"/>
      <c r="C883" s="136"/>
      <c r="D883" s="137"/>
      <c r="E883" s="138"/>
      <c r="F883" s="113"/>
      <c r="G883" s="1" t="str">
        <f>IFERROR(IF(ventas_b_mes1255[[#This Row],[CUIT]]="","-",VLOOKUP(ventas_b_mes1255[[#This Row],[CUIT]],Lista_CUIT[#All],2,0)),"CUIT NO CARGADO")</f>
        <v>-</v>
      </c>
      <c r="H883" s="100">
        <f>ventas_b_mes1255[[#This Row],[TOTAL]]/1.21</f>
        <v>0</v>
      </c>
      <c r="I883" s="64">
        <f>ventas_b_mes1255[[#This Row],[IMPORTE NETO]]*0.21</f>
        <v>0</v>
      </c>
      <c r="J883" s="141"/>
      <c r="K883" s="141"/>
      <c r="L883" s="141"/>
      <c r="M883" s="59"/>
    </row>
    <row r="884" spans="2:13">
      <c r="B884" s="135"/>
      <c r="C884" s="136"/>
      <c r="D884" s="137"/>
      <c r="E884" s="138"/>
      <c r="F884" s="113"/>
      <c r="G884" s="1" t="str">
        <f>IFERROR(IF(ventas_b_mes1255[[#This Row],[CUIT]]="","-",VLOOKUP(ventas_b_mes1255[[#This Row],[CUIT]],Lista_CUIT[#All],2,0)),"CUIT NO CARGADO")</f>
        <v>-</v>
      </c>
      <c r="H884" s="100">
        <f>ventas_b_mes1255[[#This Row],[TOTAL]]/1.21</f>
        <v>0</v>
      </c>
      <c r="I884" s="64">
        <f>ventas_b_mes1255[[#This Row],[IMPORTE NETO]]*0.21</f>
        <v>0</v>
      </c>
      <c r="J884" s="141"/>
      <c r="K884" s="141"/>
      <c r="L884" s="141"/>
      <c r="M884" s="59"/>
    </row>
    <row r="885" spans="2:13">
      <c r="B885" s="135"/>
      <c r="C885" s="136"/>
      <c r="D885" s="137"/>
      <c r="E885" s="138"/>
      <c r="F885" s="113"/>
      <c r="G885" s="1" t="str">
        <f>IFERROR(IF(ventas_b_mes1255[[#This Row],[CUIT]]="","-",VLOOKUP(ventas_b_mes1255[[#This Row],[CUIT]],Lista_CUIT[#All],2,0)),"CUIT NO CARGADO")</f>
        <v>-</v>
      </c>
      <c r="H885" s="100">
        <f>ventas_b_mes1255[[#This Row],[TOTAL]]/1.21</f>
        <v>0</v>
      </c>
      <c r="I885" s="64">
        <f>ventas_b_mes1255[[#This Row],[IMPORTE NETO]]*0.21</f>
        <v>0</v>
      </c>
      <c r="J885" s="141"/>
      <c r="K885" s="141"/>
      <c r="L885" s="141"/>
      <c r="M885" s="59"/>
    </row>
    <row r="886" spans="2:13">
      <c r="B886" s="135"/>
      <c r="C886" s="136"/>
      <c r="D886" s="137"/>
      <c r="E886" s="138"/>
      <c r="F886" s="113"/>
      <c r="G886" s="1" t="str">
        <f>IFERROR(IF(ventas_b_mes1255[[#This Row],[CUIT]]="","-",VLOOKUP(ventas_b_mes1255[[#This Row],[CUIT]],Lista_CUIT[#All],2,0)),"CUIT NO CARGADO")</f>
        <v>-</v>
      </c>
      <c r="H886" s="100">
        <f>ventas_b_mes1255[[#This Row],[TOTAL]]/1.21</f>
        <v>0</v>
      </c>
      <c r="I886" s="64">
        <f>ventas_b_mes1255[[#This Row],[IMPORTE NETO]]*0.21</f>
        <v>0</v>
      </c>
      <c r="J886" s="141"/>
      <c r="K886" s="141"/>
      <c r="L886" s="141"/>
      <c r="M886" s="59"/>
    </row>
    <row r="887" spans="2:13">
      <c r="B887" s="135"/>
      <c r="C887" s="136"/>
      <c r="D887" s="137"/>
      <c r="E887" s="138"/>
      <c r="F887" s="113"/>
      <c r="G887" s="1" t="str">
        <f>IFERROR(IF(ventas_b_mes1255[[#This Row],[CUIT]]="","-",VLOOKUP(ventas_b_mes1255[[#This Row],[CUIT]],Lista_CUIT[#All],2,0)),"CUIT NO CARGADO")</f>
        <v>-</v>
      </c>
      <c r="H887" s="100">
        <f>ventas_b_mes1255[[#This Row],[TOTAL]]/1.21</f>
        <v>0</v>
      </c>
      <c r="I887" s="64">
        <f>ventas_b_mes1255[[#This Row],[IMPORTE NETO]]*0.21</f>
        <v>0</v>
      </c>
      <c r="J887" s="141"/>
      <c r="K887" s="141"/>
      <c r="L887" s="141"/>
      <c r="M887" s="59"/>
    </row>
    <row r="888" spans="2:13">
      <c r="B888" s="135"/>
      <c r="C888" s="136"/>
      <c r="D888" s="137"/>
      <c r="E888" s="138"/>
      <c r="F888" s="113"/>
      <c r="G888" s="1" t="str">
        <f>IFERROR(IF(ventas_b_mes1255[[#This Row],[CUIT]]="","-",VLOOKUP(ventas_b_mes1255[[#This Row],[CUIT]],Lista_CUIT[#All],2,0)),"CUIT NO CARGADO")</f>
        <v>-</v>
      </c>
      <c r="H888" s="100">
        <f>ventas_b_mes1255[[#This Row],[TOTAL]]/1.21</f>
        <v>0</v>
      </c>
      <c r="I888" s="64">
        <f>ventas_b_mes1255[[#This Row],[IMPORTE NETO]]*0.21</f>
        <v>0</v>
      </c>
      <c r="J888" s="141"/>
      <c r="K888" s="141"/>
      <c r="L888" s="141"/>
      <c r="M888" s="59"/>
    </row>
    <row r="889" spans="2:13">
      <c r="B889" s="135"/>
      <c r="C889" s="136"/>
      <c r="D889" s="137"/>
      <c r="E889" s="138"/>
      <c r="F889" s="113"/>
      <c r="G889" s="1" t="str">
        <f>IFERROR(IF(ventas_b_mes1255[[#This Row],[CUIT]]="","-",VLOOKUP(ventas_b_mes1255[[#This Row],[CUIT]],Lista_CUIT[#All],2,0)),"CUIT NO CARGADO")</f>
        <v>-</v>
      </c>
      <c r="H889" s="100">
        <f>ventas_b_mes1255[[#This Row],[TOTAL]]/1.21</f>
        <v>0</v>
      </c>
      <c r="I889" s="64">
        <f>ventas_b_mes1255[[#This Row],[IMPORTE NETO]]*0.21</f>
        <v>0</v>
      </c>
      <c r="J889" s="141"/>
      <c r="K889" s="141"/>
      <c r="L889" s="141"/>
      <c r="M889" s="59"/>
    </row>
    <row r="890" spans="2:13">
      <c r="B890" s="135"/>
      <c r="C890" s="136"/>
      <c r="D890" s="137"/>
      <c r="E890" s="138"/>
      <c r="F890" s="113"/>
      <c r="G890" s="1" t="str">
        <f>IFERROR(IF(ventas_b_mes1255[[#This Row],[CUIT]]="","-",VLOOKUP(ventas_b_mes1255[[#This Row],[CUIT]],Lista_CUIT[#All],2,0)),"CUIT NO CARGADO")</f>
        <v>-</v>
      </c>
      <c r="H890" s="100">
        <f>ventas_b_mes1255[[#This Row],[TOTAL]]/1.21</f>
        <v>0</v>
      </c>
      <c r="I890" s="64">
        <f>ventas_b_mes1255[[#This Row],[IMPORTE NETO]]*0.21</f>
        <v>0</v>
      </c>
      <c r="J890" s="141"/>
      <c r="K890" s="141"/>
      <c r="L890" s="141"/>
      <c r="M890" s="59"/>
    </row>
    <row r="891" spans="2:13">
      <c r="B891" s="135"/>
      <c r="C891" s="136"/>
      <c r="D891" s="137"/>
      <c r="E891" s="138"/>
      <c r="F891" s="113"/>
      <c r="G891" s="1" t="str">
        <f>IFERROR(IF(ventas_b_mes1255[[#This Row],[CUIT]]="","-",VLOOKUP(ventas_b_mes1255[[#This Row],[CUIT]],Lista_CUIT[#All],2,0)),"CUIT NO CARGADO")</f>
        <v>-</v>
      </c>
      <c r="H891" s="100">
        <f>ventas_b_mes1255[[#This Row],[TOTAL]]/1.21</f>
        <v>0</v>
      </c>
      <c r="I891" s="64">
        <f>ventas_b_mes1255[[#This Row],[IMPORTE NETO]]*0.21</f>
        <v>0</v>
      </c>
      <c r="J891" s="141"/>
      <c r="K891" s="141"/>
      <c r="L891" s="141"/>
      <c r="M891" s="59"/>
    </row>
    <row r="892" spans="2:13">
      <c r="B892" s="135"/>
      <c r="C892" s="136"/>
      <c r="D892" s="137"/>
      <c r="E892" s="138"/>
      <c r="F892" s="113"/>
      <c r="G892" s="1" t="str">
        <f>IFERROR(IF(ventas_b_mes1255[[#This Row],[CUIT]]="","-",VLOOKUP(ventas_b_mes1255[[#This Row],[CUIT]],Lista_CUIT[#All],2,0)),"CUIT NO CARGADO")</f>
        <v>-</v>
      </c>
      <c r="H892" s="100">
        <f>ventas_b_mes1255[[#This Row],[TOTAL]]/1.21</f>
        <v>0</v>
      </c>
      <c r="I892" s="64">
        <f>ventas_b_mes1255[[#This Row],[IMPORTE NETO]]*0.21</f>
        <v>0</v>
      </c>
      <c r="J892" s="141"/>
      <c r="K892" s="141"/>
      <c r="L892" s="141"/>
      <c r="M892" s="59"/>
    </row>
    <row r="893" spans="2:13">
      <c r="B893" s="135"/>
      <c r="C893" s="136"/>
      <c r="D893" s="137"/>
      <c r="E893" s="138"/>
      <c r="F893" s="113"/>
      <c r="G893" s="1" t="str">
        <f>IFERROR(IF(ventas_b_mes1255[[#This Row],[CUIT]]="","-",VLOOKUP(ventas_b_mes1255[[#This Row],[CUIT]],Lista_CUIT[#All],2,0)),"CUIT NO CARGADO")</f>
        <v>-</v>
      </c>
      <c r="H893" s="100">
        <f>ventas_b_mes1255[[#This Row],[TOTAL]]/1.21</f>
        <v>0</v>
      </c>
      <c r="I893" s="64">
        <f>ventas_b_mes1255[[#This Row],[IMPORTE NETO]]*0.21</f>
        <v>0</v>
      </c>
      <c r="J893" s="141"/>
      <c r="K893" s="141"/>
      <c r="L893" s="141"/>
      <c r="M893" s="59"/>
    </row>
    <row r="894" spans="2:13">
      <c r="B894" s="135"/>
      <c r="C894" s="136"/>
      <c r="D894" s="137"/>
      <c r="E894" s="138"/>
      <c r="F894" s="113"/>
      <c r="G894" s="1" t="str">
        <f>IFERROR(IF(ventas_b_mes1255[[#This Row],[CUIT]]="","-",VLOOKUP(ventas_b_mes1255[[#This Row],[CUIT]],Lista_CUIT[#All],2,0)),"CUIT NO CARGADO")</f>
        <v>-</v>
      </c>
      <c r="H894" s="100">
        <f>ventas_b_mes1255[[#This Row],[TOTAL]]/1.21</f>
        <v>0</v>
      </c>
      <c r="I894" s="64">
        <f>ventas_b_mes1255[[#This Row],[IMPORTE NETO]]*0.21</f>
        <v>0</v>
      </c>
      <c r="J894" s="141"/>
      <c r="K894" s="141"/>
      <c r="L894" s="141"/>
      <c r="M894" s="59"/>
    </row>
    <row r="895" spans="2:13">
      <c r="B895" s="135"/>
      <c r="C895" s="136"/>
      <c r="D895" s="137"/>
      <c r="E895" s="138"/>
      <c r="F895" s="113"/>
      <c r="G895" s="1" t="str">
        <f>IFERROR(IF(ventas_b_mes1255[[#This Row],[CUIT]]="","-",VLOOKUP(ventas_b_mes1255[[#This Row],[CUIT]],Lista_CUIT[#All],2,0)),"CUIT NO CARGADO")</f>
        <v>-</v>
      </c>
      <c r="H895" s="100">
        <f>ventas_b_mes1255[[#This Row],[TOTAL]]/1.21</f>
        <v>0</v>
      </c>
      <c r="I895" s="64">
        <f>ventas_b_mes1255[[#This Row],[IMPORTE NETO]]*0.21</f>
        <v>0</v>
      </c>
      <c r="J895" s="141"/>
      <c r="K895" s="141"/>
      <c r="L895" s="141"/>
      <c r="M895" s="59"/>
    </row>
    <row r="896" spans="2:13">
      <c r="B896" s="135"/>
      <c r="C896" s="136"/>
      <c r="D896" s="137"/>
      <c r="E896" s="138"/>
      <c r="F896" s="113"/>
      <c r="G896" s="1" t="str">
        <f>IFERROR(IF(ventas_b_mes1255[[#This Row],[CUIT]]="","-",VLOOKUP(ventas_b_mes1255[[#This Row],[CUIT]],Lista_CUIT[#All],2,0)),"CUIT NO CARGADO")</f>
        <v>-</v>
      </c>
      <c r="H896" s="100">
        <f>ventas_b_mes1255[[#This Row],[TOTAL]]/1.21</f>
        <v>0</v>
      </c>
      <c r="I896" s="64">
        <f>ventas_b_mes1255[[#This Row],[IMPORTE NETO]]*0.21</f>
        <v>0</v>
      </c>
      <c r="J896" s="141"/>
      <c r="K896" s="141"/>
      <c r="L896" s="141"/>
      <c r="M896" s="59"/>
    </row>
    <row r="897" spans="2:13">
      <c r="B897" s="135"/>
      <c r="C897" s="136"/>
      <c r="D897" s="137"/>
      <c r="E897" s="138"/>
      <c r="F897" s="113"/>
      <c r="G897" s="1" t="str">
        <f>IFERROR(IF(ventas_b_mes1255[[#This Row],[CUIT]]="","-",VLOOKUP(ventas_b_mes1255[[#This Row],[CUIT]],Lista_CUIT[#All],2,0)),"CUIT NO CARGADO")</f>
        <v>-</v>
      </c>
      <c r="H897" s="100">
        <f>ventas_b_mes1255[[#This Row],[TOTAL]]/1.21</f>
        <v>0</v>
      </c>
      <c r="I897" s="64">
        <f>ventas_b_mes1255[[#This Row],[IMPORTE NETO]]*0.21</f>
        <v>0</v>
      </c>
      <c r="J897" s="141"/>
      <c r="K897" s="141"/>
      <c r="L897" s="141"/>
      <c r="M897" s="59"/>
    </row>
    <row r="898" spans="2:13">
      <c r="B898" s="135"/>
      <c r="C898" s="136"/>
      <c r="D898" s="137"/>
      <c r="E898" s="138"/>
      <c r="F898" s="113"/>
      <c r="G898" s="1" t="str">
        <f>IFERROR(IF(ventas_b_mes1255[[#This Row],[CUIT]]="","-",VLOOKUP(ventas_b_mes1255[[#This Row],[CUIT]],Lista_CUIT[#All],2,0)),"CUIT NO CARGADO")</f>
        <v>-</v>
      </c>
      <c r="H898" s="100">
        <f>ventas_b_mes1255[[#This Row],[TOTAL]]/1.21</f>
        <v>0</v>
      </c>
      <c r="I898" s="64">
        <f>ventas_b_mes1255[[#This Row],[IMPORTE NETO]]*0.21</f>
        <v>0</v>
      </c>
      <c r="J898" s="141"/>
      <c r="K898" s="141"/>
      <c r="L898" s="141"/>
      <c r="M898" s="59"/>
    </row>
    <row r="899" spans="2:13">
      <c r="B899" s="135"/>
      <c r="C899" s="136"/>
      <c r="D899" s="137"/>
      <c r="E899" s="138"/>
      <c r="F899" s="113"/>
      <c r="G899" s="1" t="str">
        <f>IFERROR(IF(ventas_b_mes1255[[#This Row],[CUIT]]="","-",VLOOKUP(ventas_b_mes1255[[#This Row],[CUIT]],Lista_CUIT[#All],2,0)),"CUIT NO CARGADO")</f>
        <v>-</v>
      </c>
      <c r="H899" s="100">
        <f>ventas_b_mes1255[[#This Row],[TOTAL]]/1.21</f>
        <v>0</v>
      </c>
      <c r="I899" s="64">
        <f>ventas_b_mes1255[[#This Row],[IMPORTE NETO]]*0.21</f>
        <v>0</v>
      </c>
      <c r="J899" s="141"/>
      <c r="K899" s="141"/>
      <c r="L899" s="141"/>
      <c r="M899" s="59"/>
    </row>
    <row r="900" spans="2:13">
      <c r="B900" s="135"/>
      <c r="C900" s="136"/>
      <c r="D900" s="137"/>
      <c r="E900" s="138"/>
      <c r="F900" s="113"/>
      <c r="G900" s="1" t="str">
        <f>IFERROR(IF(ventas_b_mes1255[[#This Row],[CUIT]]="","-",VLOOKUP(ventas_b_mes1255[[#This Row],[CUIT]],Lista_CUIT[#All],2,0)),"CUIT NO CARGADO")</f>
        <v>-</v>
      </c>
      <c r="H900" s="100">
        <f>ventas_b_mes1255[[#This Row],[TOTAL]]/1.21</f>
        <v>0</v>
      </c>
      <c r="I900" s="64">
        <f>ventas_b_mes1255[[#This Row],[IMPORTE NETO]]*0.21</f>
        <v>0</v>
      </c>
      <c r="J900" s="141"/>
      <c r="K900" s="141"/>
      <c r="L900" s="141"/>
      <c r="M900" s="59"/>
    </row>
    <row r="901" spans="2:13">
      <c r="B901" s="135"/>
      <c r="C901" s="136"/>
      <c r="D901" s="137"/>
      <c r="E901" s="138"/>
      <c r="F901" s="113"/>
      <c r="G901" s="1" t="str">
        <f>IFERROR(IF(ventas_b_mes1255[[#This Row],[CUIT]]="","-",VLOOKUP(ventas_b_mes1255[[#This Row],[CUIT]],Lista_CUIT[#All],2,0)),"CUIT NO CARGADO")</f>
        <v>-</v>
      </c>
      <c r="H901" s="100">
        <f>ventas_b_mes1255[[#This Row],[TOTAL]]/1.21</f>
        <v>0</v>
      </c>
      <c r="I901" s="64">
        <f>ventas_b_mes1255[[#This Row],[IMPORTE NETO]]*0.21</f>
        <v>0</v>
      </c>
      <c r="J901" s="141"/>
      <c r="K901" s="141"/>
      <c r="L901" s="141"/>
      <c r="M901" s="59"/>
    </row>
    <row r="902" spans="2:13">
      <c r="B902" s="135"/>
      <c r="C902" s="136"/>
      <c r="D902" s="137"/>
      <c r="E902" s="138"/>
      <c r="F902" s="113"/>
      <c r="G902" s="1" t="str">
        <f>IFERROR(IF(ventas_b_mes1255[[#This Row],[CUIT]]="","-",VLOOKUP(ventas_b_mes1255[[#This Row],[CUIT]],Lista_CUIT[#All],2,0)),"CUIT NO CARGADO")</f>
        <v>-</v>
      </c>
      <c r="H902" s="100">
        <f>ventas_b_mes1255[[#This Row],[TOTAL]]/1.21</f>
        <v>0</v>
      </c>
      <c r="I902" s="64">
        <f>ventas_b_mes1255[[#This Row],[IMPORTE NETO]]*0.21</f>
        <v>0</v>
      </c>
      <c r="J902" s="141"/>
      <c r="K902" s="141"/>
      <c r="L902" s="141"/>
      <c r="M902" s="59"/>
    </row>
    <row r="903" spans="2:13">
      <c r="B903" s="135"/>
      <c r="C903" s="136"/>
      <c r="D903" s="137"/>
      <c r="E903" s="138"/>
      <c r="F903" s="113"/>
      <c r="G903" s="1" t="str">
        <f>IFERROR(IF(ventas_b_mes1255[[#This Row],[CUIT]]="","-",VLOOKUP(ventas_b_mes1255[[#This Row],[CUIT]],Lista_CUIT[#All],2,0)),"CUIT NO CARGADO")</f>
        <v>-</v>
      </c>
      <c r="H903" s="100">
        <f>ventas_b_mes1255[[#This Row],[TOTAL]]/1.21</f>
        <v>0</v>
      </c>
      <c r="I903" s="64">
        <f>ventas_b_mes1255[[#This Row],[IMPORTE NETO]]*0.21</f>
        <v>0</v>
      </c>
      <c r="J903" s="141"/>
      <c r="K903" s="141"/>
      <c r="L903" s="141"/>
      <c r="M903" s="59"/>
    </row>
    <row r="904" spans="2:13">
      <c r="B904" s="135"/>
      <c r="C904" s="136"/>
      <c r="D904" s="137"/>
      <c r="E904" s="138"/>
      <c r="F904" s="113"/>
      <c r="G904" s="1" t="str">
        <f>IFERROR(IF(ventas_b_mes1255[[#This Row],[CUIT]]="","-",VLOOKUP(ventas_b_mes1255[[#This Row],[CUIT]],Lista_CUIT[#All],2,0)),"CUIT NO CARGADO")</f>
        <v>-</v>
      </c>
      <c r="H904" s="100">
        <f>ventas_b_mes1255[[#This Row],[TOTAL]]/1.21</f>
        <v>0</v>
      </c>
      <c r="I904" s="64">
        <f>ventas_b_mes1255[[#This Row],[IMPORTE NETO]]*0.21</f>
        <v>0</v>
      </c>
      <c r="J904" s="141"/>
      <c r="K904" s="141"/>
      <c r="L904" s="141"/>
      <c r="M904" s="59"/>
    </row>
    <row r="905" spans="2:13">
      <c r="B905" s="135"/>
      <c r="C905" s="136"/>
      <c r="D905" s="137"/>
      <c r="E905" s="138"/>
      <c r="F905" s="113"/>
      <c r="G905" s="1" t="str">
        <f>IFERROR(IF(ventas_b_mes1255[[#This Row],[CUIT]]="","-",VLOOKUP(ventas_b_mes1255[[#This Row],[CUIT]],Lista_CUIT[#All],2,0)),"CUIT NO CARGADO")</f>
        <v>-</v>
      </c>
      <c r="H905" s="100">
        <f>ventas_b_mes1255[[#This Row],[TOTAL]]/1.21</f>
        <v>0</v>
      </c>
      <c r="I905" s="64">
        <f>ventas_b_mes1255[[#This Row],[IMPORTE NETO]]*0.21</f>
        <v>0</v>
      </c>
      <c r="J905" s="141"/>
      <c r="K905" s="141"/>
      <c r="L905" s="141"/>
      <c r="M905" s="59"/>
    </row>
    <row r="906" spans="2:13">
      <c r="B906" s="135"/>
      <c r="C906" s="136"/>
      <c r="D906" s="137"/>
      <c r="E906" s="138"/>
      <c r="F906" s="113"/>
      <c r="G906" s="1" t="str">
        <f>IFERROR(IF(ventas_b_mes1255[[#This Row],[CUIT]]="","-",VLOOKUP(ventas_b_mes1255[[#This Row],[CUIT]],Lista_CUIT[#All],2,0)),"CUIT NO CARGADO")</f>
        <v>-</v>
      </c>
      <c r="H906" s="100">
        <f>ventas_b_mes1255[[#This Row],[TOTAL]]/1.21</f>
        <v>0</v>
      </c>
      <c r="I906" s="64">
        <f>ventas_b_mes1255[[#This Row],[IMPORTE NETO]]*0.21</f>
        <v>0</v>
      </c>
      <c r="J906" s="141"/>
      <c r="K906" s="141"/>
      <c r="L906" s="141"/>
      <c r="M906" s="59"/>
    </row>
    <row r="907" spans="2:13">
      <c r="B907" s="135"/>
      <c r="C907" s="136"/>
      <c r="D907" s="137"/>
      <c r="E907" s="138"/>
      <c r="F907" s="113"/>
      <c r="G907" s="1" t="str">
        <f>IFERROR(IF(ventas_b_mes1255[[#This Row],[CUIT]]="","-",VLOOKUP(ventas_b_mes1255[[#This Row],[CUIT]],Lista_CUIT[#All],2,0)),"CUIT NO CARGADO")</f>
        <v>-</v>
      </c>
      <c r="H907" s="100">
        <f>ventas_b_mes1255[[#This Row],[TOTAL]]/1.21</f>
        <v>0</v>
      </c>
      <c r="I907" s="64">
        <f>ventas_b_mes1255[[#This Row],[IMPORTE NETO]]*0.21</f>
        <v>0</v>
      </c>
      <c r="J907" s="141"/>
      <c r="K907" s="141"/>
      <c r="L907" s="141"/>
      <c r="M907" s="59"/>
    </row>
    <row r="908" spans="2:13">
      <c r="B908" s="135"/>
      <c r="C908" s="136"/>
      <c r="D908" s="137"/>
      <c r="E908" s="138"/>
      <c r="F908" s="113"/>
      <c r="G908" s="1" t="str">
        <f>IFERROR(IF(ventas_b_mes1255[[#This Row],[CUIT]]="","-",VLOOKUP(ventas_b_mes1255[[#This Row],[CUIT]],Lista_CUIT[#All],2,0)),"CUIT NO CARGADO")</f>
        <v>-</v>
      </c>
      <c r="H908" s="100">
        <f>ventas_b_mes1255[[#This Row],[TOTAL]]/1.21</f>
        <v>0</v>
      </c>
      <c r="I908" s="64">
        <f>ventas_b_mes1255[[#This Row],[IMPORTE NETO]]*0.21</f>
        <v>0</v>
      </c>
      <c r="J908" s="141"/>
      <c r="K908" s="141"/>
      <c r="L908" s="141"/>
      <c r="M908" s="59"/>
    </row>
    <row r="909" spans="2:13">
      <c r="B909" s="135"/>
      <c r="C909" s="136"/>
      <c r="D909" s="137"/>
      <c r="E909" s="138"/>
      <c r="F909" s="113"/>
      <c r="G909" s="1" t="str">
        <f>IFERROR(IF(ventas_b_mes1255[[#This Row],[CUIT]]="","-",VLOOKUP(ventas_b_mes1255[[#This Row],[CUIT]],Lista_CUIT[#All],2,0)),"CUIT NO CARGADO")</f>
        <v>-</v>
      </c>
      <c r="H909" s="100">
        <f>ventas_b_mes1255[[#This Row],[TOTAL]]/1.21</f>
        <v>0</v>
      </c>
      <c r="I909" s="64">
        <f>ventas_b_mes1255[[#This Row],[IMPORTE NETO]]*0.21</f>
        <v>0</v>
      </c>
      <c r="J909" s="141"/>
      <c r="K909" s="141"/>
      <c r="L909" s="141"/>
      <c r="M909" s="59"/>
    </row>
    <row r="910" spans="2:13">
      <c r="B910" s="135"/>
      <c r="C910" s="136"/>
      <c r="D910" s="137"/>
      <c r="E910" s="138"/>
      <c r="F910" s="113"/>
      <c r="G910" s="1" t="str">
        <f>IFERROR(IF(ventas_b_mes1255[[#This Row],[CUIT]]="","-",VLOOKUP(ventas_b_mes1255[[#This Row],[CUIT]],Lista_CUIT[#All],2,0)),"CUIT NO CARGADO")</f>
        <v>-</v>
      </c>
      <c r="H910" s="100">
        <f>ventas_b_mes1255[[#This Row],[TOTAL]]/1.21</f>
        <v>0</v>
      </c>
      <c r="I910" s="64">
        <f>ventas_b_mes1255[[#This Row],[IMPORTE NETO]]*0.21</f>
        <v>0</v>
      </c>
      <c r="J910" s="141"/>
      <c r="K910" s="141"/>
      <c r="L910" s="141"/>
      <c r="M910" s="59"/>
    </row>
    <row r="911" spans="2:13">
      <c r="B911" s="135"/>
      <c r="C911" s="136"/>
      <c r="D911" s="137"/>
      <c r="E911" s="138"/>
      <c r="F911" s="113"/>
      <c r="G911" s="1" t="str">
        <f>IFERROR(IF(ventas_b_mes1255[[#This Row],[CUIT]]="","-",VLOOKUP(ventas_b_mes1255[[#This Row],[CUIT]],Lista_CUIT[#All],2,0)),"CUIT NO CARGADO")</f>
        <v>-</v>
      </c>
      <c r="H911" s="100">
        <f>ventas_b_mes1255[[#This Row],[TOTAL]]/1.21</f>
        <v>0</v>
      </c>
      <c r="I911" s="64">
        <f>ventas_b_mes1255[[#This Row],[IMPORTE NETO]]*0.21</f>
        <v>0</v>
      </c>
      <c r="J911" s="141"/>
      <c r="K911" s="141"/>
      <c r="L911" s="141"/>
      <c r="M911" s="59"/>
    </row>
    <row r="912" spans="2:13">
      <c r="B912" s="135"/>
      <c r="C912" s="136"/>
      <c r="D912" s="137"/>
      <c r="E912" s="138"/>
      <c r="F912" s="113"/>
      <c r="G912" s="1" t="str">
        <f>IFERROR(IF(ventas_b_mes1255[[#This Row],[CUIT]]="","-",VLOOKUP(ventas_b_mes1255[[#This Row],[CUIT]],Lista_CUIT[#All],2,0)),"CUIT NO CARGADO")</f>
        <v>-</v>
      </c>
      <c r="H912" s="100">
        <f>ventas_b_mes1255[[#This Row],[TOTAL]]/1.21</f>
        <v>0</v>
      </c>
      <c r="I912" s="64">
        <f>ventas_b_mes1255[[#This Row],[IMPORTE NETO]]*0.21</f>
        <v>0</v>
      </c>
      <c r="J912" s="141"/>
      <c r="K912" s="141"/>
      <c r="L912" s="141"/>
      <c r="M912" s="59"/>
    </row>
    <row r="913" spans="2:13">
      <c r="B913" s="135"/>
      <c r="C913" s="136"/>
      <c r="D913" s="137"/>
      <c r="E913" s="138"/>
      <c r="F913" s="113"/>
      <c r="G913" s="1" t="str">
        <f>IFERROR(IF(ventas_b_mes1255[[#This Row],[CUIT]]="","-",VLOOKUP(ventas_b_mes1255[[#This Row],[CUIT]],Lista_CUIT[#All],2,0)),"CUIT NO CARGADO")</f>
        <v>-</v>
      </c>
      <c r="H913" s="100">
        <f>ventas_b_mes1255[[#This Row],[TOTAL]]/1.21</f>
        <v>0</v>
      </c>
      <c r="I913" s="64">
        <f>ventas_b_mes1255[[#This Row],[IMPORTE NETO]]*0.21</f>
        <v>0</v>
      </c>
      <c r="J913" s="141"/>
      <c r="K913" s="141"/>
      <c r="L913" s="141"/>
      <c r="M913" s="59"/>
    </row>
    <row r="914" spans="2:13">
      <c r="B914" s="135"/>
      <c r="C914" s="136"/>
      <c r="D914" s="137"/>
      <c r="E914" s="138"/>
      <c r="F914" s="113"/>
      <c r="G914" s="1" t="str">
        <f>IFERROR(IF(ventas_b_mes1255[[#This Row],[CUIT]]="","-",VLOOKUP(ventas_b_mes1255[[#This Row],[CUIT]],Lista_CUIT[#All],2,0)),"CUIT NO CARGADO")</f>
        <v>-</v>
      </c>
      <c r="H914" s="100">
        <f>ventas_b_mes1255[[#This Row],[TOTAL]]/1.21</f>
        <v>0</v>
      </c>
      <c r="I914" s="64">
        <f>ventas_b_mes1255[[#This Row],[IMPORTE NETO]]*0.21</f>
        <v>0</v>
      </c>
      <c r="J914" s="141"/>
      <c r="K914" s="141"/>
      <c r="L914" s="141"/>
      <c r="M914" s="59"/>
    </row>
    <row r="915" spans="2:13">
      <c r="B915" s="135"/>
      <c r="C915" s="136"/>
      <c r="D915" s="137"/>
      <c r="E915" s="138"/>
      <c r="F915" s="113"/>
      <c r="G915" s="1" t="str">
        <f>IFERROR(IF(ventas_b_mes1255[[#This Row],[CUIT]]="","-",VLOOKUP(ventas_b_mes1255[[#This Row],[CUIT]],Lista_CUIT[#All],2,0)),"CUIT NO CARGADO")</f>
        <v>-</v>
      </c>
      <c r="H915" s="100">
        <f>ventas_b_mes1255[[#This Row],[TOTAL]]/1.21</f>
        <v>0</v>
      </c>
      <c r="I915" s="64">
        <f>ventas_b_mes1255[[#This Row],[IMPORTE NETO]]*0.21</f>
        <v>0</v>
      </c>
      <c r="J915" s="141"/>
      <c r="K915" s="141"/>
      <c r="L915" s="141"/>
      <c r="M915" s="59"/>
    </row>
    <row r="916" spans="2:13">
      <c r="B916" s="135"/>
      <c r="C916" s="136"/>
      <c r="D916" s="137"/>
      <c r="E916" s="138"/>
      <c r="F916" s="113"/>
      <c r="G916" s="1" t="str">
        <f>IFERROR(IF(ventas_b_mes1255[[#This Row],[CUIT]]="","-",VLOOKUP(ventas_b_mes1255[[#This Row],[CUIT]],Lista_CUIT[#All],2,0)),"CUIT NO CARGADO")</f>
        <v>-</v>
      </c>
      <c r="H916" s="100">
        <f>ventas_b_mes1255[[#This Row],[TOTAL]]/1.21</f>
        <v>0</v>
      </c>
      <c r="I916" s="64">
        <f>ventas_b_mes1255[[#This Row],[IMPORTE NETO]]*0.21</f>
        <v>0</v>
      </c>
      <c r="J916" s="141"/>
      <c r="K916" s="141"/>
      <c r="L916" s="141"/>
      <c r="M916" s="59"/>
    </row>
    <row r="917" spans="2:13">
      <c r="B917" s="135"/>
      <c r="C917" s="136"/>
      <c r="D917" s="137"/>
      <c r="E917" s="138"/>
      <c r="F917" s="113"/>
      <c r="G917" s="1" t="str">
        <f>IFERROR(IF(ventas_b_mes1255[[#This Row],[CUIT]]="","-",VLOOKUP(ventas_b_mes1255[[#This Row],[CUIT]],Lista_CUIT[#All],2,0)),"CUIT NO CARGADO")</f>
        <v>-</v>
      </c>
      <c r="H917" s="100">
        <f>ventas_b_mes1255[[#This Row],[TOTAL]]/1.21</f>
        <v>0</v>
      </c>
      <c r="I917" s="64">
        <f>ventas_b_mes1255[[#This Row],[IMPORTE NETO]]*0.21</f>
        <v>0</v>
      </c>
      <c r="J917" s="141"/>
      <c r="K917" s="141"/>
      <c r="L917" s="141"/>
      <c r="M917" s="59"/>
    </row>
    <row r="918" spans="2:13">
      <c r="B918" s="135"/>
      <c r="C918" s="136"/>
      <c r="D918" s="137"/>
      <c r="E918" s="138"/>
      <c r="F918" s="113"/>
      <c r="G918" s="1" t="str">
        <f>IFERROR(IF(ventas_b_mes1255[[#This Row],[CUIT]]="","-",VLOOKUP(ventas_b_mes1255[[#This Row],[CUIT]],Lista_CUIT[#All],2,0)),"CUIT NO CARGADO")</f>
        <v>-</v>
      </c>
      <c r="H918" s="100">
        <f>ventas_b_mes1255[[#This Row],[TOTAL]]/1.21</f>
        <v>0</v>
      </c>
      <c r="I918" s="64">
        <f>ventas_b_mes1255[[#This Row],[IMPORTE NETO]]*0.21</f>
        <v>0</v>
      </c>
      <c r="J918" s="141"/>
      <c r="K918" s="141"/>
      <c r="L918" s="141"/>
      <c r="M918" s="59"/>
    </row>
    <row r="919" spans="2:13">
      <c r="B919" s="135"/>
      <c r="C919" s="41"/>
      <c r="D919" s="137"/>
      <c r="E919" s="138"/>
      <c r="F919" s="113"/>
      <c r="G919" s="1" t="str">
        <f>IFERROR(IF(ventas_b_mes1255[[#This Row],[CUIT]]="","-",VLOOKUP(ventas_b_mes1255[[#This Row],[CUIT]],Lista_CUIT[#All],2,0)),"CUIT NO CARGADO")</f>
        <v>-</v>
      </c>
      <c r="H919" s="100">
        <f>ventas_b_mes1255[[#This Row],[TOTAL]]/1.21</f>
        <v>0</v>
      </c>
      <c r="I919" s="64">
        <f>ventas_b_mes1255[[#This Row],[IMPORTE NETO]]*0.21</f>
        <v>0</v>
      </c>
      <c r="J919" s="141"/>
      <c r="K919" s="141"/>
      <c r="L919" s="141"/>
      <c r="M919" s="59"/>
    </row>
    <row r="920" spans="2:13">
      <c r="B920" s="135"/>
      <c r="C920" s="41"/>
      <c r="D920" s="137"/>
      <c r="E920" s="138"/>
      <c r="F920" s="113"/>
      <c r="G920" s="1" t="str">
        <f>IFERROR(IF(ventas_b_mes1255[[#This Row],[CUIT]]="","-",VLOOKUP(ventas_b_mes1255[[#This Row],[CUIT]],Lista_CUIT[#All],2,0)),"CUIT NO CARGADO")</f>
        <v>-</v>
      </c>
      <c r="H920" s="100">
        <f>ventas_b_mes1255[[#This Row],[TOTAL]]/1.21</f>
        <v>0</v>
      </c>
      <c r="I920" s="64">
        <f>ventas_b_mes1255[[#This Row],[IMPORTE NETO]]*0.21</f>
        <v>0</v>
      </c>
      <c r="J920" s="141"/>
      <c r="K920" s="141"/>
      <c r="L920" s="141"/>
      <c r="M920" s="59"/>
    </row>
    <row r="921" spans="2:13">
      <c r="B921" s="135"/>
      <c r="C921" s="41"/>
      <c r="D921" s="137"/>
      <c r="E921" s="138"/>
      <c r="F921" s="113"/>
      <c r="G921" s="1" t="str">
        <f>IFERROR(IF(ventas_b_mes1255[[#This Row],[CUIT]]="","-",VLOOKUP(ventas_b_mes1255[[#This Row],[CUIT]],Lista_CUIT[#All],2,0)),"CUIT NO CARGADO")</f>
        <v>-</v>
      </c>
      <c r="H921" s="100">
        <f>ventas_b_mes1255[[#This Row],[TOTAL]]/1.21</f>
        <v>0</v>
      </c>
      <c r="I921" s="64">
        <f>ventas_b_mes1255[[#This Row],[IMPORTE NETO]]*0.21</f>
        <v>0</v>
      </c>
      <c r="J921" s="141"/>
      <c r="K921" s="141"/>
      <c r="L921" s="141"/>
      <c r="M921" s="59"/>
    </row>
    <row r="922" spans="2:13">
      <c r="B922" s="135"/>
      <c r="C922" s="41"/>
      <c r="D922" s="137"/>
      <c r="E922" s="138"/>
      <c r="F922" s="113"/>
      <c r="G922" s="1" t="str">
        <f>IFERROR(IF(ventas_b_mes1255[[#This Row],[CUIT]]="","-",VLOOKUP(ventas_b_mes1255[[#This Row],[CUIT]],Lista_CUIT[#All],2,0)),"CUIT NO CARGADO")</f>
        <v>-</v>
      </c>
      <c r="H922" s="100">
        <f>ventas_b_mes1255[[#This Row],[TOTAL]]/1.21</f>
        <v>0</v>
      </c>
      <c r="I922" s="64">
        <f>ventas_b_mes1255[[#This Row],[IMPORTE NETO]]*0.21</f>
        <v>0</v>
      </c>
      <c r="J922" s="141"/>
      <c r="K922" s="141"/>
      <c r="L922" s="141"/>
      <c r="M922" s="59"/>
    </row>
    <row r="923" spans="2:13">
      <c r="B923" s="135"/>
      <c r="C923" s="41"/>
      <c r="D923" s="137"/>
      <c r="E923" s="138"/>
      <c r="F923" s="113"/>
      <c r="G923" s="1" t="str">
        <f>IFERROR(IF(ventas_b_mes1255[[#This Row],[CUIT]]="","-",VLOOKUP(ventas_b_mes1255[[#This Row],[CUIT]],Lista_CUIT[#All],2,0)),"CUIT NO CARGADO")</f>
        <v>-</v>
      </c>
      <c r="H923" s="100">
        <f>ventas_b_mes1255[[#This Row],[TOTAL]]/1.21</f>
        <v>0</v>
      </c>
      <c r="I923" s="64">
        <f>ventas_b_mes1255[[#This Row],[IMPORTE NETO]]*0.21</f>
        <v>0</v>
      </c>
      <c r="J923" s="141"/>
      <c r="K923" s="141"/>
      <c r="L923" s="141"/>
      <c r="M923" s="59"/>
    </row>
    <row r="924" spans="2:13">
      <c r="B924" s="135"/>
      <c r="C924" s="41"/>
      <c r="D924" s="137"/>
      <c r="E924" s="138"/>
      <c r="F924" s="113"/>
      <c r="G924" s="1" t="str">
        <f>IFERROR(IF(ventas_b_mes1255[[#This Row],[CUIT]]="","-",VLOOKUP(ventas_b_mes1255[[#This Row],[CUIT]],Lista_CUIT[#All],2,0)),"CUIT NO CARGADO")</f>
        <v>-</v>
      </c>
      <c r="H924" s="100">
        <f>ventas_b_mes1255[[#This Row],[TOTAL]]/1.21</f>
        <v>0</v>
      </c>
      <c r="I924" s="64">
        <f>ventas_b_mes1255[[#This Row],[IMPORTE NETO]]*0.21</f>
        <v>0</v>
      </c>
      <c r="J924" s="141"/>
      <c r="K924" s="141"/>
      <c r="L924" s="141"/>
      <c r="M924" s="59"/>
    </row>
    <row r="925" spans="2:13">
      <c r="B925" s="135"/>
      <c r="C925" s="41"/>
      <c r="D925" s="137"/>
      <c r="E925" s="138"/>
      <c r="F925" s="113"/>
      <c r="G925" s="1" t="str">
        <f>IFERROR(IF(ventas_b_mes1255[[#This Row],[CUIT]]="","-",VLOOKUP(ventas_b_mes1255[[#This Row],[CUIT]],Lista_CUIT[#All],2,0)),"CUIT NO CARGADO")</f>
        <v>-</v>
      </c>
      <c r="H925" s="100">
        <f>ventas_b_mes1255[[#This Row],[TOTAL]]/1.21</f>
        <v>0</v>
      </c>
      <c r="I925" s="64">
        <f>ventas_b_mes1255[[#This Row],[IMPORTE NETO]]*0.21</f>
        <v>0</v>
      </c>
      <c r="J925" s="141"/>
      <c r="K925" s="141"/>
      <c r="L925" s="141"/>
      <c r="M925" s="59"/>
    </row>
    <row r="926" spans="2:13">
      <c r="B926" s="135"/>
      <c r="C926" s="41"/>
      <c r="D926" s="137"/>
      <c r="E926" s="138"/>
      <c r="F926" s="113"/>
      <c r="G926" s="1" t="str">
        <f>IFERROR(IF(ventas_b_mes1255[[#This Row],[CUIT]]="","-",VLOOKUP(ventas_b_mes1255[[#This Row],[CUIT]],Lista_CUIT[#All],2,0)),"CUIT NO CARGADO")</f>
        <v>-</v>
      </c>
      <c r="H926" s="100">
        <f>ventas_b_mes1255[[#This Row],[TOTAL]]/1.21</f>
        <v>0</v>
      </c>
      <c r="I926" s="64">
        <f>ventas_b_mes1255[[#This Row],[IMPORTE NETO]]*0.21</f>
        <v>0</v>
      </c>
      <c r="J926" s="141"/>
      <c r="K926" s="141"/>
      <c r="L926" s="141"/>
      <c r="M926" s="59"/>
    </row>
    <row r="927" spans="2:13">
      <c r="B927" s="135"/>
      <c r="C927" s="41"/>
      <c r="D927" s="137"/>
      <c r="E927" s="138"/>
      <c r="F927" s="113"/>
      <c r="G927" s="1" t="str">
        <f>IFERROR(IF(ventas_b_mes1255[[#This Row],[CUIT]]="","-",VLOOKUP(ventas_b_mes1255[[#This Row],[CUIT]],Lista_CUIT[#All],2,0)),"CUIT NO CARGADO")</f>
        <v>-</v>
      </c>
      <c r="H927" s="100">
        <f>ventas_b_mes1255[[#This Row],[TOTAL]]/1.21</f>
        <v>0</v>
      </c>
      <c r="I927" s="64">
        <f>ventas_b_mes1255[[#This Row],[IMPORTE NETO]]*0.21</f>
        <v>0</v>
      </c>
      <c r="J927" s="141"/>
      <c r="K927" s="141"/>
      <c r="L927" s="141"/>
      <c r="M927" s="59"/>
    </row>
    <row r="928" spans="2:13">
      <c r="B928" s="135"/>
      <c r="C928" s="41"/>
      <c r="D928" s="137"/>
      <c r="E928" s="138"/>
      <c r="F928" s="113"/>
      <c r="G928" s="1" t="str">
        <f>IFERROR(IF(ventas_b_mes1255[[#This Row],[CUIT]]="","-",VLOOKUP(ventas_b_mes1255[[#This Row],[CUIT]],Lista_CUIT[#All],2,0)),"CUIT NO CARGADO")</f>
        <v>-</v>
      </c>
      <c r="H928" s="100">
        <f>ventas_b_mes1255[[#This Row],[TOTAL]]/1.21</f>
        <v>0</v>
      </c>
      <c r="I928" s="64">
        <f>ventas_b_mes1255[[#This Row],[IMPORTE NETO]]*0.21</f>
        <v>0</v>
      </c>
      <c r="J928" s="141"/>
      <c r="K928" s="141"/>
      <c r="L928" s="141"/>
      <c r="M928" s="59"/>
    </row>
    <row r="929" spans="2:13">
      <c r="B929" s="135"/>
      <c r="C929" s="41"/>
      <c r="D929" s="137"/>
      <c r="E929" s="138"/>
      <c r="F929" s="113"/>
      <c r="G929" s="1" t="str">
        <f>IFERROR(IF(ventas_b_mes1255[[#This Row],[CUIT]]="","-",VLOOKUP(ventas_b_mes1255[[#This Row],[CUIT]],Lista_CUIT[#All],2,0)),"CUIT NO CARGADO")</f>
        <v>-</v>
      </c>
      <c r="H929" s="100">
        <f>ventas_b_mes1255[[#This Row],[TOTAL]]/1.21</f>
        <v>0</v>
      </c>
      <c r="I929" s="64">
        <f>ventas_b_mes1255[[#This Row],[IMPORTE NETO]]*0.21</f>
        <v>0</v>
      </c>
      <c r="J929" s="141"/>
      <c r="K929" s="141"/>
      <c r="L929" s="141"/>
      <c r="M929" s="59"/>
    </row>
    <row r="930" spans="2:13">
      <c r="B930" s="135"/>
      <c r="C930" s="41"/>
      <c r="D930" s="137"/>
      <c r="E930" s="138"/>
      <c r="F930" s="113"/>
      <c r="G930" s="1" t="str">
        <f>IFERROR(IF(ventas_b_mes1255[[#This Row],[CUIT]]="","-",VLOOKUP(ventas_b_mes1255[[#This Row],[CUIT]],Lista_CUIT[#All],2,0)),"CUIT NO CARGADO")</f>
        <v>-</v>
      </c>
      <c r="H930" s="100">
        <f>ventas_b_mes1255[[#This Row],[TOTAL]]/1.21</f>
        <v>0</v>
      </c>
      <c r="I930" s="64">
        <f>ventas_b_mes1255[[#This Row],[IMPORTE NETO]]*0.21</f>
        <v>0</v>
      </c>
      <c r="J930" s="141"/>
      <c r="K930" s="141"/>
      <c r="L930" s="141"/>
      <c r="M930" s="59"/>
    </row>
    <row r="931" spans="2:13">
      <c r="B931" s="135"/>
      <c r="C931" s="41"/>
      <c r="D931" s="137"/>
      <c r="E931" s="138"/>
      <c r="F931" s="113"/>
      <c r="G931" s="1" t="str">
        <f>IFERROR(IF(ventas_b_mes1255[[#This Row],[CUIT]]="","-",VLOOKUP(ventas_b_mes1255[[#This Row],[CUIT]],Lista_CUIT[#All],2,0)),"CUIT NO CARGADO")</f>
        <v>-</v>
      </c>
      <c r="H931" s="100">
        <f>ventas_b_mes1255[[#This Row],[TOTAL]]/1.21</f>
        <v>0</v>
      </c>
      <c r="I931" s="64">
        <f>ventas_b_mes1255[[#This Row],[IMPORTE NETO]]*0.21</f>
        <v>0</v>
      </c>
      <c r="J931" s="141"/>
      <c r="K931" s="141"/>
      <c r="L931" s="141"/>
      <c r="M931" s="59"/>
    </row>
    <row r="932" spans="2:13">
      <c r="B932" s="135"/>
      <c r="C932" s="41"/>
      <c r="D932" s="137"/>
      <c r="E932" s="138"/>
      <c r="F932" s="113"/>
      <c r="G932" s="1" t="str">
        <f>IFERROR(IF(ventas_b_mes1255[[#This Row],[CUIT]]="","-",VLOOKUP(ventas_b_mes1255[[#This Row],[CUIT]],Lista_CUIT[#All],2,0)),"CUIT NO CARGADO")</f>
        <v>-</v>
      </c>
      <c r="H932" s="100">
        <f>ventas_b_mes1255[[#This Row],[TOTAL]]/1.21</f>
        <v>0</v>
      </c>
      <c r="I932" s="64">
        <f>ventas_b_mes1255[[#This Row],[IMPORTE NETO]]*0.21</f>
        <v>0</v>
      </c>
      <c r="J932" s="141"/>
      <c r="K932" s="141"/>
      <c r="L932" s="141"/>
      <c r="M932" s="59"/>
    </row>
    <row r="933" spans="2:13">
      <c r="B933" s="135"/>
      <c r="C933" s="41"/>
      <c r="D933" s="137"/>
      <c r="E933" s="138"/>
      <c r="F933" s="113"/>
      <c r="G933" s="1" t="str">
        <f>IFERROR(IF(ventas_b_mes1255[[#This Row],[CUIT]]="","-",VLOOKUP(ventas_b_mes1255[[#This Row],[CUIT]],Lista_CUIT[#All],2,0)),"CUIT NO CARGADO")</f>
        <v>-</v>
      </c>
      <c r="H933" s="100">
        <f>ventas_b_mes1255[[#This Row],[TOTAL]]/1.21</f>
        <v>0</v>
      </c>
      <c r="I933" s="64">
        <f>ventas_b_mes1255[[#This Row],[IMPORTE NETO]]*0.21</f>
        <v>0</v>
      </c>
      <c r="J933" s="141"/>
      <c r="K933" s="141"/>
      <c r="L933" s="141"/>
      <c r="M933" s="59"/>
    </row>
    <row r="934" spans="2:13">
      <c r="B934" s="135"/>
      <c r="C934" s="41"/>
      <c r="D934" s="137"/>
      <c r="E934" s="138"/>
      <c r="F934" s="113"/>
      <c r="G934" s="1" t="str">
        <f>IFERROR(IF(ventas_b_mes1255[[#This Row],[CUIT]]="","-",VLOOKUP(ventas_b_mes1255[[#This Row],[CUIT]],Lista_CUIT[#All],2,0)),"CUIT NO CARGADO")</f>
        <v>-</v>
      </c>
      <c r="H934" s="100">
        <f>ventas_b_mes1255[[#This Row],[TOTAL]]/1.21</f>
        <v>0</v>
      </c>
      <c r="I934" s="64">
        <f>ventas_b_mes1255[[#This Row],[IMPORTE NETO]]*0.21</f>
        <v>0</v>
      </c>
      <c r="J934" s="141"/>
      <c r="K934" s="141"/>
      <c r="L934" s="141"/>
      <c r="M934" s="59"/>
    </row>
    <row r="935" spans="2:13">
      <c r="B935" s="135"/>
      <c r="C935" s="41"/>
      <c r="D935" s="137"/>
      <c r="E935" s="138"/>
      <c r="F935" s="113"/>
      <c r="G935" s="1" t="str">
        <f>IFERROR(IF(ventas_b_mes1255[[#This Row],[CUIT]]="","-",VLOOKUP(ventas_b_mes1255[[#This Row],[CUIT]],Lista_CUIT[#All],2,0)),"CUIT NO CARGADO")</f>
        <v>-</v>
      </c>
      <c r="H935" s="100">
        <f>ventas_b_mes1255[[#This Row],[TOTAL]]/1.21</f>
        <v>0</v>
      </c>
      <c r="I935" s="64">
        <f>ventas_b_mes1255[[#This Row],[IMPORTE NETO]]*0.21</f>
        <v>0</v>
      </c>
      <c r="J935" s="141"/>
      <c r="K935" s="141"/>
      <c r="L935" s="141"/>
      <c r="M935" s="59"/>
    </row>
    <row r="936" spans="2:13">
      <c r="B936" s="135"/>
      <c r="C936" s="41"/>
      <c r="D936" s="137"/>
      <c r="E936" s="138"/>
      <c r="F936" s="113"/>
      <c r="G936" s="1" t="str">
        <f>IFERROR(IF(ventas_b_mes1255[[#This Row],[CUIT]]="","-",VLOOKUP(ventas_b_mes1255[[#This Row],[CUIT]],Lista_CUIT[#All],2,0)),"CUIT NO CARGADO")</f>
        <v>-</v>
      </c>
      <c r="H936" s="100">
        <f>ventas_b_mes1255[[#This Row],[TOTAL]]/1.21</f>
        <v>0</v>
      </c>
      <c r="I936" s="64">
        <f>ventas_b_mes1255[[#This Row],[IMPORTE NETO]]*0.21</f>
        <v>0</v>
      </c>
      <c r="J936" s="141"/>
      <c r="K936" s="141"/>
      <c r="L936" s="141"/>
      <c r="M936" s="59"/>
    </row>
    <row r="937" spans="2:13">
      <c r="B937" s="135"/>
      <c r="C937" s="41"/>
      <c r="D937" s="137"/>
      <c r="E937" s="138"/>
      <c r="F937" s="113"/>
      <c r="G937" s="1" t="str">
        <f>IFERROR(IF(ventas_b_mes1255[[#This Row],[CUIT]]="","-",VLOOKUP(ventas_b_mes1255[[#This Row],[CUIT]],Lista_CUIT[#All],2,0)),"CUIT NO CARGADO")</f>
        <v>-</v>
      </c>
      <c r="H937" s="100">
        <f>ventas_b_mes1255[[#This Row],[TOTAL]]/1.21</f>
        <v>0</v>
      </c>
      <c r="I937" s="64">
        <f>ventas_b_mes1255[[#This Row],[IMPORTE NETO]]*0.21</f>
        <v>0</v>
      </c>
      <c r="J937" s="141"/>
      <c r="K937" s="141"/>
      <c r="L937" s="141"/>
      <c r="M937" s="59"/>
    </row>
    <row r="938" spans="2:13">
      <c r="B938" s="135"/>
      <c r="C938" s="41"/>
      <c r="D938" s="137"/>
      <c r="E938" s="138"/>
      <c r="F938" s="113"/>
      <c r="G938" s="1" t="str">
        <f>IFERROR(IF(ventas_b_mes1255[[#This Row],[CUIT]]="","-",VLOOKUP(ventas_b_mes1255[[#This Row],[CUIT]],Lista_CUIT[#All],2,0)),"CUIT NO CARGADO")</f>
        <v>-</v>
      </c>
      <c r="H938" s="100">
        <f>ventas_b_mes1255[[#This Row],[TOTAL]]/1.21</f>
        <v>0</v>
      </c>
      <c r="I938" s="64">
        <f>ventas_b_mes1255[[#This Row],[IMPORTE NETO]]*0.21</f>
        <v>0</v>
      </c>
      <c r="J938" s="141"/>
      <c r="K938" s="141"/>
      <c r="L938" s="141"/>
      <c r="M938" s="59"/>
    </row>
    <row r="939" spans="2:13">
      <c r="B939" s="135"/>
      <c r="C939" s="41"/>
      <c r="D939" s="137"/>
      <c r="E939" s="138"/>
      <c r="F939" s="113"/>
      <c r="G939" s="1" t="str">
        <f>IFERROR(IF(ventas_b_mes1255[[#This Row],[CUIT]]="","-",VLOOKUP(ventas_b_mes1255[[#This Row],[CUIT]],Lista_CUIT[#All],2,0)),"CUIT NO CARGADO")</f>
        <v>-</v>
      </c>
      <c r="H939" s="100">
        <f>ventas_b_mes1255[[#This Row],[TOTAL]]/1.21</f>
        <v>0</v>
      </c>
      <c r="I939" s="64">
        <f>ventas_b_mes1255[[#This Row],[IMPORTE NETO]]*0.21</f>
        <v>0</v>
      </c>
      <c r="J939" s="141"/>
      <c r="K939" s="141"/>
      <c r="L939" s="141"/>
      <c r="M939" s="59"/>
    </row>
    <row r="940" spans="2:13">
      <c r="B940" s="135"/>
      <c r="C940" s="41"/>
      <c r="D940" s="137"/>
      <c r="E940" s="138"/>
      <c r="F940" s="113"/>
      <c r="G940" s="1" t="str">
        <f>IFERROR(IF(ventas_b_mes1255[[#This Row],[CUIT]]="","-",VLOOKUP(ventas_b_mes1255[[#This Row],[CUIT]],Lista_CUIT[#All],2,0)),"CUIT NO CARGADO")</f>
        <v>-</v>
      </c>
      <c r="H940" s="100">
        <f>ventas_b_mes1255[[#This Row],[TOTAL]]/1.21</f>
        <v>0</v>
      </c>
      <c r="I940" s="64">
        <f>ventas_b_mes1255[[#This Row],[IMPORTE NETO]]*0.21</f>
        <v>0</v>
      </c>
      <c r="J940" s="141"/>
      <c r="K940" s="141"/>
      <c r="L940" s="141"/>
      <c r="M940" s="59"/>
    </row>
    <row r="941" spans="2:13">
      <c r="B941" s="135"/>
      <c r="C941" s="41"/>
      <c r="D941" s="137"/>
      <c r="E941" s="138"/>
      <c r="F941" s="113"/>
      <c r="G941" s="1" t="str">
        <f>IFERROR(IF(ventas_b_mes1255[[#This Row],[CUIT]]="","-",VLOOKUP(ventas_b_mes1255[[#This Row],[CUIT]],Lista_CUIT[#All],2,0)),"CUIT NO CARGADO")</f>
        <v>-</v>
      </c>
      <c r="H941" s="100">
        <f>ventas_b_mes1255[[#This Row],[TOTAL]]/1.21</f>
        <v>0</v>
      </c>
      <c r="I941" s="64">
        <f>ventas_b_mes1255[[#This Row],[IMPORTE NETO]]*0.21</f>
        <v>0</v>
      </c>
      <c r="J941" s="141"/>
      <c r="K941" s="141"/>
      <c r="L941" s="141"/>
      <c r="M941" s="59"/>
    </row>
    <row r="942" spans="2:13">
      <c r="B942" s="135"/>
      <c r="C942" s="41"/>
      <c r="D942" s="137"/>
      <c r="E942" s="138"/>
      <c r="F942" s="113"/>
      <c r="G942" s="1" t="str">
        <f>IFERROR(IF(ventas_b_mes1255[[#This Row],[CUIT]]="","-",VLOOKUP(ventas_b_mes1255[[#This Row],[CUIT]],Lista_CUIT[#All],2,0)),"CUIT NO CARGADO")</f>
        <v>-</v>
      </c>
      <c r="H942" s="100">
        <f>ventas_b_mes1255[[#This Row],[TOTAL]]/1.21</f>
        <v>0</v>
      </c>
      <c r="I942" s="64">
        <f>ventas_b_mes1255[[#This Row],[IMPORTE NETO]]*0.21</f>
        <v>0</v>
      </c>
      <c r="J942" s="141"/>
      <c r="K942" s="141"/>
      <c r="L942" s="141"/>
      <c r="M942" s="59"/>
    </row>
    <row r="943" spans="2:13">
      <c r="B943" s="135"/>
      <c r="C943" s="41"/>
      <c r="D943" s="137"/>
      <c r="E943" s="138"/>
      <c r="F943" s="113"/>
      <c r="G943" s="1" t="str">
        <f>IFERROR(IF(ventas_b_mes1255[[#This Row],[CUIT]]="","-",VLOOKUP(ventas_b_mes1255[[#This Row],[CUIT]],Lista_CUIT[#All],2,0)),"CUIT NO CARGADO")</f>
        <v>-</v>
      </c>
      <c r="H943" s="100">
        <f>ventas_b_mes1255[[#This Row],[TOTAL]]/1.21</f>
        <v>0</v>
      </c>
      <c r="I943" s="64">
        <f>ventas_b_mes1255[[#This Row],[IMPORTE NETO]]*0.21</f>
        <v>0</v>
      </c>
      <c r="J943" s="141"/>
      <c r="K943" s="141"/>
      <c r="L943" s="141"/>
      <c r="M943" s="59"/>
    </row>
    <row r="944" spans="2:13">
      <c r="B944" s="135"/>
      <c r="C944" s="41"/>
      <c r="D944" s="137"/>
      <c r="E944" s="138"/>
      <c r="F944" s="113"/>
      <c r="G944" s="1" t="str">
        <f>IFERROR(IF(ventas_b_mes1255[[#This Row],[CUIT]]="","-",VLOOKUP(ventas_b_mes1255[[#This Row],[CUIT]],Lista_CUIT[#All],2,0)),"CUIT NO CARGADO")</f>
        <v>-</v>
      </c>
      <c r="H944" s="100">
        <f>ventas_b_mes1255[[#This Row],[TOTAL]]/1.21</f>
        <v>0</v>
      </c>
      <c r="I944" s="64">
        <f>ventas_b_mes1255[[#This Row],[IMPORTE NETO]]*0.21</f>
        <v>0</v>
      </c>
      <c r="J944" s="141"/>
      <c r="K944" s="141"/>
      <c r="L944" s="141"/>
      <c r="M944" s="59"/>
    </row>
    <row r="945" spans="2:13">
      <c r="B945" s="135"/>
      <c r="C945" s="41"/>
      <c r="D945" s="137"/>
      <c r="E945" s="138"/>
      <c r="F945" s="113"/>
      <c r="G945" s="1" t="str">
        <f>IFERROR(IF(ventas_b_mes1255[[#This Row],[CUIT]]="","-",VLOOKUP(ventas_b_mes1255[[#This Row],[CUIT]],Lista_CUIT[#All],2,0)),"CUIT NO CARGADO")</f>
        <v>-</v>
      </c>
      <c r="H945" s="100">
        <f>ventas_b_mes1255[[#This Row],[TOTAL]]/1.21</f>
        <v>0</v>
      </c>
      <c r="I945" s="64">
        <f>ventas_b_mes1255[[#This Row],[IMPORTE NETO]]*0.21</f>
        <v>0</v>
      </c>
      <c r="J945" s="141"/>
      <c r="K945" s="141"/>
      <c r="L945" s="141"/>
      <c r="M945" s="59"/>
    </row>
    <row r="946" spans="2:13">
      <c r="B946" s="135"/>
      <c r="C946" s="41"/>
      <c r="D946" s="137"/>
      <c r="E946" s="138"/>
      <c r="F946" s="113"/>
      <c r="G946" s="1" t="str">
        <f>IFERROR(IF(ventas_b_mes1255[[#This Row],[CUIT]]="","-",VLOOKUP(ventas_b_mes1255[[#This Row],[CUIT]],Lista_CUIT[#All],2,0)),"CUIT NO CARGADO")</f>
        <v>-</v>
      </c>
      <c r="H946" s="100">
        <f>ventas_b_mes1255[[#This Row],[TOTAL]]/1.21</f>
        <v>0</v>
      </c>
      <c r="I946" s="64">
        <f>ventas_b_mes1255[[#This Row],[IMPORTE NETO]]*0.21</f>
        <v>0</v>
      </c>
      <c r="J946" s="141"/>
      <c r="K946" s="141"/>
      <c r="L946" s="141"/>
      <c r="M946" s="59"/>
    </row>
    <row r="947" spans="2:13">
      <c r="B947" s="135"/>
      <c r="C947" s="41"/>
      <c r="D947" s="137"/>
      <c r="E947" s="138"/>
      <c r="F947" s="113"/>
      <c r="G947" s="1" t="str">
        <f>IFERROR(IF(ventas_b_mes1255[[#This Row],[CUIT]]="","-",VLOOKUP(ventas_b_mes1255[[#This Row],[CUIT]],Lista_CUIT[#All],2,0)),"CUIT NO CARGADO")</f>
        <v>-</v>
      </c>
      <c r="H947" s="100">
        <f>ventas_b_mes1255[[#This Row],[TOTAL]]/1.21</f>
        <v>0</v>
      </c>
      <c r="I947" s="64">
        <f>ventas_b_mes1255[[#This Row],[IMPORTE NETO]]*0.21</f>
        <v>0</v>
      </c>
      <c r="J947" s="141"/>
      <c r="K947" s="141"/>
      <c r="L947" s="141"/>
      <c r="M947" s="59"/>
    </row>
    <row r="948" spans="2:13">
      <c r="B948" s="135"/>
      <c r="C948" s="41"/>
      <c r="D948" s="137"/>
      <c r="E948" s="138"/>
      <c r="F948" s="113"/>
      <c r="G948" s="1" t="str">
        <f>IFERROR(IF(ventas_b_mes1255[[#This Row],[CUIT]]="","-",VLOOKUP(ventas_b_mes1255[[#This Row],[CUIT]],Lista_CUIT[#All],2,0)),"CUIT NO CARGADO")</f>
        <v>-</v>
      </c>
      <c r="H948" s="100">
        <f>ventas_b_mes1255[[#This Row],[TOTAL]]/1.21</f>
        <v>0</v>
      </c>
      <c r="I948" s="64">
        <f>ventas_b_mes1255[[#This Row],[IMPORTE NETO]]*0.21</f>
        <v>0</v>
      </c>
      <c r="J948" s="141"/>
      <c r="K948" s="141"/>
      <c r="L948" s="141"/>
      <c r="M948" s="59"/>
    </row>
    <row r="949" spans="2:13">
      <c r="B949" s="135"/>
      <c r="C949" s="41"/>
      <c r="D949" s="137"/>
      <c r="E949" s="138"/>
      <c r="F949" s="113"/>
      <c r="G949" s="1" t="str">
        <f>IFERROR(IF(ventas_b_mes1255[[#This Row],[CUIT]]="","-",VLOOKUP(ventas_b_mes1255[[#This Row],[CUIT]],Lista_CUIT[#All],2,0)),"CUIT NO CARGADO")</f>
        <v>-</v>
      </c>
      <c r="H949" s="100">
        <f>ventas_b_mes1255[[#This Row],[TOTAL]]/1.21</f>
        <v>0</v>
      </c>
      <c r="I949" s="64">
        <f>ventas_b_mes1255[[#This Row],[IMPORTE NETO]]*0.21</f>
        <v>0</v>
      </c>
      <c r="J949" s="141"/>
      <c r="K949" s="141"/>
      <c r="L949" s="141"/>
      <c r="M949" s="59"/>
    </row>
    <row r="950" spans="2:13">
      <c r="B950" s="135"/>
      <c r="C950" s="41"/>
      <c r="D950" s="137"/>
      <c r="E950" s="138"/>
      <c r="F950" s="113"/>
      <c r="G950" s="1" t="str">
        <f>IFERROR(IF(ventas_b_mes1255[[#This Row],[CUIT]]="","-",VLOOKUP(ventas_b_mes1255[[#This Row],[CUIT]],Lista_CUIT[#All],2,0)),"CUIT NO CARGADO")</f>
        <v>-</v>
      </c>
      <c r="H950" s="100">
        <f>ventas_b_mes1255[[#This Row],[TOTAL]]/1.21</f>
        <v>0</v>
      </c>
      <c r="I950" s="64">
        <f>ventas_b_mes1255[[#This Row],[IMPORTE NETO]]*0.21</f>
        <v>0</v>
      </c>
      <c r="J950" s="141"/>
      <c r="K950" s="141"/>
      <c r="L950" s="141"/>
      <c r="M950" s="59"/>
    </row>
    <row r="951" spans="2:13">
      <c r="B951" s="135"/>
      <c r="C951" s="41"/>
      <c r="D951" s="137"/>
      <c r="E951" s="138"/>
      <c r="F951" s="113"/>
      <c r="G951" s="1" t="str">
        <f>IFERROR(IF(ventas_b_mes1255[[#This Row],[CUIT]]="","-",VLOOKUP(ventas_b_mes1255[[#This Row],[CUIT]],Lista_CUIT[#All],2,0)),"CUIT NO CARGADO")</f>
        <v>-</v>
      </c>
      <c r="H951" s="100">
        <f>ventas_b_mes1255[[#This Row],[TOTAL]]/1.21</f>
        <v>0</v>
      </c>
      <c r="I951" s="64">
        <f>ventas_b_mes1255[[#This Row],[IMPORTE NETO]]*0.21</f>
        <v>0</v>
      </c>
      <c r="J951" s="141"/>
      <c r="K951" s="141"/>
      <c r="L951" s="141"/>
      <c r="M951" s="59"/>
    </row>
    <row r="952" spans="2:13">
      <c r="B952" s="135"/>
      <c r="C952" s="41"/>
      <c r="D952" s="137"/>
      <c r="E952" s="138"/>
      <c r="F952" s="113"/>
      <c r="G952" s="1" t="str">
        <f>IFERROR(IF(ventas_b_mes1255[[#This Row],[CUIT]]="","-",VLOOKUP(ventas_b_mes1255[[#This Row],[CUIT]],Lista_CUIT[#All],2,0)),"CUIT NO CARGADO")</f>
        <v>-</v>
      </c>
      <c r="H952" s="100">
        <f>ventas_b_mes1255[[#This Row],[TOTAL]]/1.21</f>
        <v>0</v>
      </c>
      <c r="I952" s="64">
        <f>ventas_b_mes1255[[#This Row],[IMPORTE NETO]]*0.21</f>
        <v>0</v>
      </c>
      <c r="J952" s="141"/>
      <c r="K952" s="141"/>
      <c r="L952" s="141"/>
      <c r="M952" s="59"/>
    </row>
    <row r="953" spans="2:13">
      <c r="B953" s="135"/>
      <c r="C953" s="41"/>
      <c r="D953" s="137"/>
      <c r="E953" s="138"/>
      <c r="F953" s="113"/>
      <c r="G953" s="1" t="str">
        <f>IFERROR(IF(ventas_b_mes1255[[#This Row],[CUIT]]="","-",VLOOKUP(ventas_b_mes1255[[#This Row],[CUIT]],Lista_CUIT[#All],2,0)),"CUIT NO CARGADO")</f>
        <v>-</v>
      </c>
      <c r="H953" s="100">
        <f>ventas_b_mes1255[[#This Row],[TOTAL]]/1.21</f>
        <v>0</v>
      </c>
      <c r="I953" s="64">
        <f>ventas_b_mes1255[[#This Row],[IMPORTE NETO]]*0.21</f>
        <v>0</v>
      </c>
      <c r="J953" s="141"/>
      <c r="K953" s="141"/>
      <c r="L953" s="141"/>
      <c r="M953" s="59"/>
    </row>
    <row r="954" spans="2:13">
      <c r="B954" s="135"/>
      <c r="C954" s="41"/>
      <c r="D954" s="137"/>
      <c r="E954" s="138"/>
      <c r="F954" s="113"/>
      <c r="G954" s="1" t="str">
        <f>IFERROR(IF(ventas_b_mes1255[[#This Row],[CUIT]]="","-",VLOOKUP(ventas_b_mes1255[[#This Row],[CUIT]],Lista_CUIT[#All],2,0)),"CUIT NO CARGADO")</f>
        <v>-</v>
      </c>
      <c r="H954" s="100">
        <f>ventas_b_mes1255[[#This Row],[TOTAL]]/1.21</f>
        <v>0</v>
      </c>
      <c r="I954" s="64">
        <f>ventas_b_mes1255[[#This Row],[IMPORTE NETO]]*0.21</f>
        <v>0</v>
      </c>
      <c r="J954" s="141"/>
      <c r="K954" s="141"/>
      <c r="L954" s="141"/>
      <c r="M954" s="59"/>
    </row>
    <row r="955" spans="2:13">
      <c r="B955" s="135"/>
      <c r="C955" s="41"/>
      <c r="D955" s="137"/>
      <c r="E955" s="138"/>
      <c r="F955" s="113"/>
      <c r="G955" s="1" t="str">
        <f>IFERROR(IF(ventas_b_mes1255[[#This Row],[CUIT]]="","-",VLOOKUP(ventas_b_mes1255[[#This Row],[CUIT]],Lista_CUIT[#All],2,0)),"CUIT NO CARGADO")</f>
        <v>-</v>
      </c>
      <c r="H955" s="100">
        <f>ventas_b_mes1255[[#This Row],[TOTAL]]/1.21</f>
        <v>0</v>
      </c>
      <c r="I955" s="64">
        <f>ventas_b_mes1255[[#This Row],[IMPORTE NETO]]*0.21</f>
        <v>0</v>
      </c>
      <c r="J955" s="141"/>
      <c r="K955" s="141"/>
      <c r="L955" s="141"/>
      <c r="M955" s="59"/>
    </row>
    <row r="956" spans="2:13">
      <c r="B956" s="135"/>
      <c r="C956" s="41"/>
      <c r="D956" s="137"/>
      <c r="E956" s="138"/>
      <c r="F956" s="113"/>
      <c r="G956" s="1" t="str">
        <f>IFERROR(IF(ventas_b_mes1255[[#This Row],[CUIT]]="","-",VLOOKUP(ventas_b_mes1255[[#This Row],[CUIT]],Lista_CUIT[#All],2,0)),"CUIT NO CARGADO")</f>
        <v>-</v>
      </c>
      <c r="H956" s="100">
        <f>ventas_b_mes1255[[#This Row],[TOTAL]]/1.21</f>
        <v>0</v>
      </c>
      <c r="I956" s="64">
        <f>ventas_b_mes1255[[#This Row],[IMPORTE NETO]]*0.21</f>
        <v>0</v>
      </c>
      <c r="J956" s="141"/>
      <c r="K956" s="141"/>
      <c r="L956" s="141"/>
      <c r="M956" s="59"/>
    </row>
    <row r="957" spans="2:13">
      <c r="B957" s="135"/>
      <c r="C957" s="41"/>
      <c r="D957" s="137"/>
      <c r="E957" s="138"/>
      <c r="F957" s="113"/>
      <c r="G957" s="1" t="str">
        <f>IFERROR(IF(ventas_b_mes1255[[#This Row],[CUIT]]="","-",VLOOKUP(ventas_b_mes1255[[#This Row],[CUIT]],Lista_CUIT[#All],2,0)),"CUIT NO CARGADO")</f>
        <v>-</v>
      </c>
      <c r="H957" s="100">
        <f>ventas_b_mes1255[[#This Row],[TOTAL]]/1.21</f>
        <v>0</v>
      </c>
      <c r="I957" s="64">
        <f>ventas_b_mes1255[[#This Row],[IMPORTE NETO]]*0.21</f>
        <v>0</v>
      </c>
      <c r="J957" s="141"/>
      <c r="K957" s="141"/>
      <c r="L957" s="141"/>
      <c r="M957" s="59"/>
    </row>
    <row r="958" spans="2:13">
      <c r="B958" s="135"/>
      <c r="C958" s="41"/>
      <c r="D958" s="137"/>
      <c r="E958" s="138"/>
      <c r="F958" s="113"/>
      <c r="G958" s="1" t="str">
        <f>IFERROR(IF(ventas_b_mes1255[[#This Row],[CUIT]]="","-",VLOOKUP(ventas_b_mes1255[[#This Row],[CUIT]],Lista_CUIT[#All],2,0)),"CUIT NO CARGADO")</f>
        <v>-</v>
      </c>
      <c r="H958" s="100">
        <f>ventas_b_mes1255[[#This Row],[TOTAL]]/1.21</f>
        <v>0</v>
      </c>
      <c r="I958" s="64">
        <f>ventas_b_mes1255[[#This Row],[IMPORTE NETO]]*0.21</f>
        <v>0</v>
      </c>
      <c r="J958" s="141"/>
      <c r="K958" s="141"/>
      <c r="L958" s="141"/>
      <c r="M958" s="59"/>
    </row>
    <row r="959" spans="2:13">
      <c r="B959" s="135"/>
      <c r="C959" s="41"/>
      <c r="D959" s="137"/>
      <c r="E959" s="138"/>
      <c r="F959" s="113"/>
      <c r="G959" s="1" t="str">
        <f>IFERROR(IF(ventas_b_mes1255[[#This Row],[CUIT]]="","-",VLOOKUP(ventas_b_mes1255[[#This Row],[CUIT]],Lista_CUIT[#All],2,0)),"CUIT NO CARGADO")</f>
        <v>-</v>
      </c>
      <c r="H959" s="100">
        <f>ventas_b_mes1255[[#This Row],[TOTAL]]/1.21</f>
        <v>0</v>
      </c>
      <c r="I959" s="64">
        <f>ventas_b_mes1255[[#This Row],[IMPORTE NETO]]*0.21</f>
        <v>0</v>
      </c>
      <c r="J959" s="141"/>
      <c r="K959" s="141"/>
      <c r="L959" s="141"/>
      <c r="M959" s="59"/>
    </row>
    <row r="960" spans="2:13">
      <c r="B960" s="135"/>
      <c r="C960" s="41"/>
      <c r="D960" s="137"/>
      <c r="E960" s="138"/>
      <c r="F960" s="113"/>
      <c r="G960" s="1" t="str">
        <f>IFERROR(IF(ventas_b_mes1255[[#This Row],[CUIT]]="","-",VLOOKUP(ventas_b_mes1255[[#This Row],[CUIT]],Lista_CUIT[#All],2,0)),"CUIT NO CARGADO")</f>
        <v>-</v>
      </c>
      <c r="H960" s="100">
        <f>ventas_b_mes1255[[#This Row],[TOTAL]]/1.21</f>
        <v>0</v>
      </c>
      <c r="I960" s="64">
        <f>ventas_b_mes1255[[#This Row],[IMPORTE NETO]]*0.21</f>
        <v>0</v>
      </c>
      <c r="J960" s="141"/>
      <c r="K960" s="141"/>
      <c r="L960" s="141"/>
      <c r="M960" s="59"/>
    </row>
    <row r="961" spans="2:13">
      <c r="B961" s="135"/>
      <c r="C961" s="41"/>
      <c r="D961" s="137"/>
      <c r="E961" s="138"/>
      <c r="F961" s="113"/>
      <c r="G961" s="1" t="str">
        <f>IFERROR(IF(ventas_b_mes1255[[#This Row],[CUIT]]="","-",VLOOKUP(ventas_b_mes1255[[#This Row],[CUIT]],Lista_CUIT[#All],2,0)),"CUIT NO CARGADO")</f>
        <v>-</v>
      </c>
      <c r="H961" s="100">
        <f>ventas_b_mes1255[[#This Row],[TOTAL]]/1.21</f>
        <v>0</v>
      </c>
      <c r="I961" s="64">
        <f>ventas_b_mes1255[[#This Row],[IMPORTE NETO]]*0.21</f>
        <v>0</v>
      </c>
      <c r="J961" s="141"/>
      <c r="K961" s="141"/>
      <c r="L961" s="141"/>
      <c r="M961" s="59"/>
    </row>
    <row r="962" spans="2:13">
      <c r="B962" s="135"/>
      <c r="C962" s="41"/>
      <c r="D962" s="137"/>
      <c r="E962" s="138"/>
      <c r="F962" s="113"/>
      <c r="G962" s="1" t="str">
        <f>IFERROR(IF(ventas_b_mes1255[[#This Row],[CUIT]]="","-",VLOOKUP(ventas_b_mes1255[[#This Row],[CUIT]],Lista_CUIT[#All],2,0)),"CUIT NO CARGADO")</f>
        <v>-</v>
      </c>
      <c r="H962" s="100">
        <f>ventas_b_mes1255[[#This Row],[TOTAL]]/1.21</f>
        <v>0</v>
      </c>
      <c r="I962" s="64">
        <f>ventas_b_mes1255[[#This Row],[IMPORTE NETO]]*0.21</f>
        <v>0</v>
      </c>
      <c r="J962" s="141"/>
      <c r="K962" s="141"/>
      <c r="L962" s="141"/>
      <c r="M962" s="59"/>
    </row>
    <row r="963" spans="2:13">
      <c r="B963" s="135"/>
      <c r="C963" s="41"/>
      <c r="D963" s="137"/>
      <c r="E963" s="138"/>
      <c r="F963" s="113"/>
      <c r="G963" s="1" t="str">
        <f>IFERROR(IF(ventas_b_mes1255[[#This Row],[CUIT]]="","-",VLOOKUP(ventas_b_mes1255[[#This Row],[CUIT]],Lista_CUIT[#All],2,0)),"CUIT NO CARGADO")</f>
        <v>-</v>
      </c>
      <c r="H963" s="100">
        <f>ventas_b_mes1255[[#This Row],[TOTAL]]/1.21</f>
        <v>0</v>
      </c>
      <c r="I963" s="64">
        <f>ventas_b_mes1255[[#This Row],[IMPORTE NETO]]*0.21</f>
        <v>0</v>
      </c>
      <c r="J963" s="141"/>
      <c r="K963" s="141"/>
      <c r="L963" s="141"/>
      <c r="M963" s="59"/>
    </row>
    <row r="964" spans="2:13">
      <c r="B964" s="135"/>
      <c r="C964" s="41"/>
      <c r="D964" s="137"/>
      <c r="E964" s="138"/>
      <c r="F964" s="113"/>
      <c r="G964" s="1" t="str">
        <f>IFERROR(IF(ventas_b_mes1255[[#This Row],[CUIT]]="","-",VLOOKUP(ventas_b_mes1255[[#This Row],[CUIT]],Lista_CUIT[#All],2,0)),"CUIT NO CARGADO")</f>
        <v>-</v>
      </c>
      <c r="H964" s="100">
        <f>ventas_b_mes1255[[#This Row],[TOTAL]]/1.21</f>
        <v>0</v>
      </c>
      <c r="I964" s="64">
        <f>ventas_b_mes1255[[#This Row],[IMPORTE NETO]]*0.21</f>
        <v>0</v>
      </c>
      <c r="J964" s="141"/>
      <c r="K964" s="141"/>
      <c r="L964" s="141"/>
      <c r="M964" s="59"/>
    </row>
    <row r="965" spans="2:13">
      <c r="B965" s="135"/>
      <c r="C965" s="41"/>
      <c r="D965" s="137"/>
      <c r="E965" s="138"/>
      <c r="F965" s="113"/>
      <c r="G965" s="1" t="str">
        <f>IFERROR(IF(ventas_b_mes1255[[#This Row],[CUIT]]="","-",VLOOKUP(ventas_b_mes1255[[#This Row],[CUIT]],Lista_CUIT[#All],2,0)),"CUIT NO CARGADO")</f>
        <v>-</v>
      </c>
      <c r="H965" s="100">
        <f>ventas_b_mes1255[[#This Row],[TOTAL]]/1.21</f>
        <v>0</v>
      </c>
      <c r="I965" s="64">
        <f>ventas_b_mes1255[[#This Row],[IMPORTE NETO]]*0.21</f>
        <v>0</v>
      </c>
      <c r="J965" s="141"/>
      <c r="K965" s="141"/>
      <c r="L965" s="141"/>
      <c r="M965" s="59"/>
    </row>
    <row r="966" spans="2:13">
      <c r="B966" s="135"/>
      <c r="C966" s="41"/>
      <c r="D966" s="137"/>
      <c r="E966" s="138"/>
      <c r="F966" s="113"/>
      <c r="G966" s="1" t="str">
        <f>IFERROR(IF(ventas_b_mes1255[[#This Row],[CUIT]]="","-",VLOOKUP(ventas_b_mes1255[[#This Row],[CUIT]],Lista_CUIT[#All],2,0)),"CUIT NO CARGADO")</f>
        <v>-</v>
      </c>
      <c r="H966" s="100">
        <f>ventas_b_mes1255[[#This Row],[TOTAL]]/1.21</f>
        <v>0</v>
      </c>
      <c r="I966" s="64">
        <f>ventas_b_mes1255[[#This Row],[IMPORTE NETO]]*0.21</f>
        <v>0</v>
      </c>
      <c r="J966" s="141"/>
      <c r="K966" s="141"/>
      <c r="L966" s="141"/>
      <c r="M966" s="59"/>
    </row>
    <row r="967" spans="2:13">
      <c r="B967" s="135"/>
      <c r="C967" s="41"/>
      <c r="D967" s="137"/>
      <c r="E967" s="138"/>
      <c r="F967" s="113"/>
      <c r="G967" s="1" t="str">
        <f>IFERROR(IF(ventas_b_mes1255[[#This Row],[CUIT]]="","-",VLOOKUP(ventas_b_mes1255[[#This Row],[CUIT]],Lista_CUIT[#All],2,0)),"CUIT NO CARGADO")</f>
        <v>-</v>
      </c>
      <c r="H967" s="100">
        <f>ventas_b_mes1255[[#This Row],[TOTAL]]/1.21</f>
        <v>0</v>
      </c>
      <c r="I967" s="64">
        <f>ventas_b_mes1255[[#This Row],[IMPORTE NETO]]*0.21</f>
        <v>0</v>
      </c>
      <c r="J967" s="141"/>
      <c r="K967" s="141"/>
      <c r="L967" s="141"/>
      <c r="M967" s="59"/>
    </row>
    <row r="968" spans="2:13">
      <c r="B968" s="135"/>
      <c r="C968" s="41"/>
      <c r="D968" s="137"/>
      <c r="E968" s="138"/>
      <c r="F968" s="113"/>
      <c r="G968" s="1" t="str">
        <f>IFERROR(IF(ventas_b_mes1255[[#This Row],[CUIT]]="","-",VLOOKUP(ventas_b_mes1255[[#This Row],[CUIT]],Lista_CUIT[#All],2,0)),"CUIT NO CARGADO")</f>
        <v>-</v>
      </c>
      <c r="H968" s="100">
        <f>ventas_b_mes1255[[#This Row],[TOTAL]]/1.21</f>
        <v>0</v>
      </c>
      <c r="I968" s="64">
        <f>ventas_b_mes1255[[#This Row],[IMPORTE NETO]]*0.21</f>
        <v>0</v>
      </c>
      <c r="J968" s="141"/>
      <c r="K968" s="141"/>
      <c r="L968" s="141"/>
      <c r="M968" s="59"/>
    </row>
    <row r="969" spans="2:13">
      <c r="B969" s="135"/>
      <c r="C969" s="41"/>
      <c r="D969" s="137"/>
      <c r="E969" s="138"/>
      <c r="F969" s="113"/>
      <c r="G969" s="1" t="str">
        <f>IFERROR(IF(ventas_b_mes1255[[#This Row],[CUIT]]="","-",VLOOKUP(ventas_b_mes1255[[#This Row],[CUIT]],Lista_CUIT[#All],2,0)),"CUIT NO CARGADO")</f>
        <v>-</v>
      </c>
      <c r="H969" s="100">
        <f>ventas_b_mes1255[[#This Row],[TOTAL]]/1.21</f>
        <v>0</v>
      </c>
      <c r="I969" s="64">
        <f>ventas_b_mes1255[[#This Row],[IMPORTE NETO]]*0.21</f>
        <v>0</v>
      </c>
      <c r="J969" s="141"/>
      <c r="K969" s="141"/>
      <c r="L969" s="141"/>
      <c r="M969" s="59"/>
    </row>
    <row r="970" spans="2:13">
      <c r="B970" s="135"/>
      <c r="C970" s="41"/>
      <c r="D970" s="137"/>
      <c r="E970" s="138"/>
      <c r="F970" s="113"/>
      <c r="G970" s="1" t="str">
        <f>IFERROR(IF(ventas_b_mes1255[[#This Row],[CUIT]]="","-",VLOOKUP(ventas_b_mes1255[[#This Row],[CUIT]],Lista_CUIT[#All],2,0)),"CUIT NO CARGADO")</f>
        <v>-</v>
      </c>
      <c r="H970" s="100">
        <f>ventas_b_mes1255[[#This Row],[TOTAL]]/1.21</f>
        <v>0</v>
      </c>
      <c r="I970" s="64">
        <f>ventas_b_mes1255[[#This Row],[IMPORTE NETO]]*0.21</f>
        <v>0</v>
      </c>
      <c r="J970" s="141"/>
      <c r="K970" s="141"/>
      <c r="L970" s="141"/>
      <c r="M970" s="59"/>
    </row>
    <row r="971" spans="2:13">
      <c r="B971" s="135"/>
      <c r="C971" s="41"/>
      <c r="D971" s="137"/>
      <c r="E971" s="138"/>
      <c r="F971" s="113"/>
      <c r="G971" s="1" t="str">
        <f>IFERROR(IF(ventas_b_mes1255[[#This Row],[CUIT]]="","-",VLOOKUP(ventas_b_mes1255[[#This Row],[CUIT]],Lista_CUIT[#All],2,0)),"CUIT NO CARGADO")</f>
        <v>-</v>
      </c>
      <c r="H971" s="100">
        <f>ventas_b_mes1255[[#This Row],[TOTAL]]/1.21</f>
        <v>0</v>
      </c>
      <c r="I971" s="64">
        <f>ventas_b_mes1255[[#This Row],[IMPORTE NETO]]*0.21</f>
        <v>0</v>
      </c>
      <c r="J971" s="141"/>
      <c r="K971" s="141"/>
      <c r="L971" s="141"/>
      <c r="M971" s="59"/>
    </row>
    <row r="972" spans="2:13">
      <c r="B972" s="135"/>
      <c r="C972" s="41"/>
      <c r="D972" s="137"/>
      <c r="E972" s="138"/>
      <c r="F972" s="113"/>
      <c r="G972" s="1" t="str">
        <f>IFERROR(IF(ventas_b_mes1255[[#This Row],[CUIT]]="","-",VLOOKUP(ventas_b_mes1255[[#This Row],[CUIT]],Lista_CUIT[#All],2,0)),"CUIT NO CARGADO")</f>
        <v>-</v>
      </c>
      <c r="H972" s="100">
        <f>ventas_b_mes1255[[#This Row],[TOTAL]]/1.21</f>
        <v>0</v>
      </c>
      <c r="I972" s="64">
        <f>ventas_b_mes1255[[#This Row],[IMPORTE NETO]]*0.21</f>
        <v>0</v>
      </c>
      <c r="J972" s="141"/>
      <c r="K972" s="141"/>
      <c r="L972" s="141"/>
      <c r="M972" s="59"/>
    </row>
    <row r="973" spans="2:13">
      <c r="B973" s="135"/>
      <c r="C973" s="41"/>
      <c r="D973" s="137"/>
      <c r="E973" s="138"/>
      <c r="F973" s="113"/>
      <c r="G973" s="1" t="str">
        <f>IFERROR(IF(ventas_b_mes1255[[#This Row],[CUIT]]="","-",VLOOKUP(ventas_b_mes1255[[#This Row],[CUIT]],Lista_CUIT[#All],2,0)),"CUIT NO CARGADO")</f>
        <v>-</v>
      </c>
      <c r="H973" s="100">
        <f>ventas_b_mes1255[[#This Row],[TOTAL]]/1.21</f>
        <v>0</v>
      </c>
      <c r="I973" s="64">
        <f>ventas_b_mes1255[[#This Row],[IMPORTE NETO]]*0.21</f>
        <v>0</v>
      </c>
      <c r="J973" s="141"/>
      <c r="K973" s="141"/>
      <c r="L973" s="141"/>
      <c r="M973" s="59"/>
    </row>
    <row r="974" spans="2:13">
      <c r="B974" s="135"/>
      <c r="C974" s="41"/>
      <c r="D974" s="137"/>
      <c r="E974" s="138"/>
      <c r="F974" s="113"/>
      <c r="G974" s="1" t="str">
        <f>IFERROR(IF(ventas_b_mes1255[[#This Row],[CUIT]]="","-",VLOOKUP(ventas_b_mes1255[[#This Row],[CUIT]],Lista_CUIT[#All],2,0)),"CUIT NO CARGADO")</f>
        <v>-</v>
      </c>
      <c r="H974" s="100">
        <f>ventas_b_mes1255[[#This Row],[TOTAL]]/1.21</f>
        <v>0</v>
      </c>
      <c r="I974" s="64">
        <f>ventas_b_mes1255[[#This Row],[IMPORTE NETO]]*0.21</f>
        <v>0</v>
      </c>
      <c r="J974" s="141"/>
      <c r="K974" s="141"/>
      <c r="L974" s="141"/>
      <c r="M974" s="59"/>
    </row>
    <row r="975" spans="2:13">
      <c r="B975" s="135"/>
      <c r="C975" s="41"/>
      <c r="D975" s="137"/>
      <c r="E975" s="138"/>
      <c r="F975" s="113"/>
      <c r="G975" s="1" t="str">
        <f>IFERROR(IF(ventas_b_mes1255[[#This Row],[CUIT]]="","-",VLOOKUP(ventas_b_mes1255[[#This Row],[CUIT]],Lista_CUIT[#All],2,0)),"CUIT NO CARGADO")</f>
        <v>-</v>
      </c>
      <c r="H975" s="100">
        <f>ventas_b_mes1255[[#This Row],[TOTAL]]/1.21</f>
        <v>0</v>
      </c>
      <c r="I975" s="64">
        <f>ventas_b_mes1255[[#This Row],[IMPORTE NETO]]*0.21</f>
        <v>0</v>
      </c>
      <c r="J975" s="141"/>
      <c r="K975" s="141"/>
      <c r="L975" s="141"/>
      <c r="M975" s="59"/>
    </row>
    <row r="976" spans="2:13">
      <c r="B976" s="135"/>
      <c r="C976" s="41"/>
      <c r="D976" s="137"/>
      <c r="E976" s="138"/>
      <c r="F976" s="113"/>
      <c r="G976" s="1" t="str">
        <f>IFERROR(IF(ventas_b_mes1255[[#This Row],[CUIT]]="","-",VLOOKUP(ventas_b_mes1255[[#This Row],[CUIT]],Lista_CUIT[#All],2,0)),"CUIT NO CARGADO")</f>
        <v>-</v>
      </c>
      <c r="H976" s="100">
        <f>ventas_b_mes1255[[#This Row],[TOTAL]]/1.21</f>
        <v>0</v>
      </c>
      <c r="I976" s="64">
        <f>ventas_b_mes1255[[#This Row],[IMPORTE NETO]]*0.21</f>
        <v>0</v>
      </c>
      <c r="J976" s="141"/>
      <c r="K976" s="141"/>
      <c r="L976" s="141"/>
      <c r="M976" s="59"/>
    </row>
    <row r="977" spans="2:13">
      <c r="B977" s="135"/>
      <c r="C977" s="41"/>
      <c r="D977" s="137"/>
      <c r="E977" s="138"/>
      <c r="F977" s="113"/>
      <c r="G977" s="1" t="str">
        <f>IFERROR(IF(ventas_b_mes1255[[#This Row],[CUIT]]="","-",VLOOKUP(ventas_b_mes1255[[#This Row],[CUIT]],Lista_CUIT[#All],2,0)),"CUIT NO CARGADO")</f>
        <v>-</v>
      </c>
      <c r="H977" s="100">
        <f>ventas_b_mes1255[[#This Row],[TOTAL]]/1.21</f>
        <v>0</v>
      </c>
      <c r="I977" s="64">
        <f>ventas_b_mes1255[[#This Row],[IMPORTE NETO]]*0.21</f>
        <v>0</v>
      </c>
      <c r="J977" s="141"/>
      <c r="K977" s="141"/>
      <c r="L977" s="141"/>
      <c r="M977" s="59"/>
    </row>
    <row r="978" spans="2:13">
      <c r="B978" s="135"/>
      <c r="C978" s="41"/>
      <c r="D978" s="137"/>
      <c r="E978" s="138"/>
      <c r="F978" s="113"/>
      <c r="G978" s="1" t="str">
        <f>IFERROR(IF(ventas_b_mes1255[[#This Row],[CUIT]]="","-",VLOOKUP(ventas_b_mes1255[[#This Row],[CUIT]],Lista_CUIT[#All],2,0)),"CUIT NO CARGADO")</f>
        <v>-</v>
      </c>
      <c r="H978" s="100">
        <f>ventas_b_mes1255[[#This Row],[TOTAL]]/1.21</f>
        <v>0</v>
      </c>
      <c r="I978" s="64">
        <f>ventas_b_mes1255[[#This Row],[IMPORTE NETO]]*0.21</f>
        <v>0</v>
      </c>
      <c r="J978" s="141"/>
      <c r="K978" s="141"/>
      <c r="L978" s="141"/>
      <c r="M978" s="59"/>
    </row>
    <row r="979" spans="2:13">
      <c r="B979" s="135"/>
      <c r="C979" s="41"/>
      <c r="D979" s="137"/>
      <c r="E979" s="138"/>
      <c r="F979" s="113"/>
      <c r="G979" s="1" t="str">
        <f>IFERROR(IF(ventas_b_mes1255[[#This Row],[CUIT]]="","-",VLOOKUP(ventas_b_mes1255[[#This Row],[CUIT]],Lista_CUIT[#All],2,0)),"CUIT NO CARGADO")</f>
        <v>-</v>
      </c>
      <c r="H979" s="100">
        <f>ventas_b_mes1255[[#This Row],[TOTAL]]/1.21</f>
        <v>0</v>
      </c>
      <c r="I979" s="64">
        <f>ventas_b_mes1255[[#This Row],[IMPORTE NETO]]*0.21</f>
        <v>0</v>
      </c>
      <c r="J979" s="141"/>
      <c r="K979" s="141"/>
      <c r="L979" s="141"/>
      <c r="M979" s="59"/>
    </row>
    <row r="980" spans="2:13">
      <c r="B980" s="135"/>
      <c r="C980" s="41"/>
      <c r="D980" s="137"/>
      <c r="E980" s="138"/>
      <c r="F980" s="113"/>
      <c r="G980" s="1" t="str">
        <f>IFERROR(IF(ventas_b_mes1255[[#This Row],[CUIT]]="","-",VLOOKUP(ventas_b_mes1255[[#This Row],[CUIT]],Lista_CUIT[#All],2,0)),"CUIT NO CARGADO")</f>
        <v>-</v>
      </c>
      <c r="H980" s="100">
        <f>ventas_b_mes1255[[#This Row],[TOTAL]]/1.21</f>
        <v>0</v>
      </c>
      <c r="I980" s="64">
        <f>ventas_b_mes1255[[#This Row],[IMPORTE NETO]]*0.21</f>
        <v>0</v>
      </c>
      <c r="J980" s="141"/>
      <c r="K980" s="141"/>
      <c r="L980" s="141"/>
      <c r="M980" s="59"/>
    </row>
    <row r="981" spans="2:13">
      <c r="B981" s="135"/>
      <c r="C981" s="41"/>
      <c r="D981" s="137"/>
      <c r="E981" s="138"/>
      <c r="F981" s="113"/>
      <c r="G981" s="1" t="str">
        <f>IFERROR(IF(ventas_b_mes1255[[#This Row],[CUIT]]="","-",VLOOKUP(ventas_b_mes1255[[#This Row],[CUIT]],Lista_CUIT[#All],2,0)),"CUIT NO CARGADO")</f>
        <v>-</v>
      </c>
      <c r="H981" s="100">
        <f>ventas_b_mes1255[[#This Row],[TOTAL]]/1.21</f>
        <v>0</v>
      </c>
      <c r="I981" s="64">
        <f>ventas_b_mes1255[[#This Row],[IMPORTE NETO]]*0.21</f>
        <v>0</v>
      </c>
      <c r="J981" s="141"/>
      <c r="K981" s="141"/>
      <c r="L981" s="141"/>
      <c r="M981" s="59"/>
    </row>
    <row r="982" spans="2:13">
      <c r="B982" s="135"/>
      <c r="C982" s="41"/>
      <c r="D982" s="137"/>
      <c r="E982" s="138"/>
      <c r="F982" s="113"/>
      <c r="G982" s="1" t="str">
        <f>IFERROR(IF(ventas_b_mes1255[[#This Row],[CUIT]]="","-",VLOOKUP(ventas_b_mes1255[[#This Row],[CUIT]],Lista_CUIT[#All],2,0)),"CUIT NO CARGADO")</f>
        <v>-</v>
      </c>
      <c r="H982" s="100">
        <f>ventas_b_mes1255[[#This Row],[TOTAL]]/1.21</f>
        <v>0</v>
      </c>
      <c r="I982" s="64">
        <f>ventas_b_mes1255[[#This Row],[IMPORTE NETO]]*0.21</f>
        <v>0</v>
      </c>
      <c r="J982" s="141"/>
      <c r="K982" s="141"/>
      <c r="L982" s="141"/>
      <c r="M982" s="59"/>
    </row>
    <row r="983" spans="2:13">
      <c r="B983" s="135"/>
      <c r="C983" s="41"/>
      <c r="D983" s="137"/>
      <c r="E983" s="138"/>
      <c r="F983" s="113"/>
      <c r="G983" s="1" t="str">
        <f>IFERROR(IF(ventas_b_mes1255[[#This Row],[CUIT]]="","-",VLOOKUP(ventas_b_mes1255[[#This Row],[CUIT]],Lista_CUIT[#All],2,0)),"CUIT NO CARGADO")</f>
        <v>-</v>
      </c>
      <c r="H983" s="100">
        <f>ventas_b_mes1255[[#This Row],[TOTAL]]/1.21</f>
        <v>0</v>
      </c>
      <c r="I983" s="64">
        <f>ventas_b_mes1255[[#This Row],[IMPORTE NETO]]*0.21</f>
        <v>0</v>
      </c>
      <c r="J983" s="141"/>
      <c r="K983" s="141"/>
      <c r="L983" s="141"/>
      <c r="M983" s="59"/>
    </row>
    <row r="984" spans="2:13">
      <c r="B984" s="135"/>
      <c r="C984" s="41"/>
      <c r="D984" s="137"/>
      <c r="E984" s="138"/>
      <c r="F984" s="113"/>
      <c r="G984" s="1" t="str">
        <f>IFERROR(IF(ventas_b_mes1255[[#This Row],[CUIT]]="","-",VLOOKUP(ventas_b_mes1255[[#This Row],[CUIT]],Lista_CUIT[#All],2,0)),"CUIT NO CARGADO")</f>
        <v>-</v>
      </c>
      <c r="H984" s="100">
        <f>ventas_b_mes1255[[#This Row],[TOTAL]]/1.21</f>
        <v>0</v>
      </c>
      <c r="I984" s="64">
        <f>ventas_b_mes1255[[#This Row],[IMPORTE NETO]]*0.21</f>
        <v>0</v>
      </c>
      <c r="J984" s="141"/>
      <c r="K984" s="141"/>
      <c r="L984" s="141"/>
      <c r="M984" s="59"/>
    </row>
    <row r="985" spans="2:13">
      <c r="B985" s="135"/>
      <c r="C985" s="41"/>
      <c r="D985" s="137"/>
      <c r="E985" s="138"/>
      <c r="F985" s="113"/>
      <c r="G985" s="1" t="str">
        <f>IFERROR(IF(ventas_b_mes1255[[#This Row],[CUIT]]="","-",VLOOKUP(ventas_b_mes1255[[#This Row],[CUIT]],Lista_CUIT[#All],2,0)),"CUIT NO CARGADO")</f>
        <v>-</v>
      </c>
      <c r="H985" s="100">
        <f>ventas_b_mes1255[[#This Row],[TOTAL]]/1.21</f>
        <v>0</v>
      </c>
      <c r="I985" s="64">
        <f>ventas_b_mes1255[[#This Row],[IMPORTE NETO]]*0.21</f>
        <v>0</v>
      </c>
      <c r="J985" s="141"/>
      <c r="K985" s="141"/>
      <c r="L985" s="141"/>
      <c r="M985" s="59"/>
    </row>
    <row r="986" spans="2:13">
      <c r="B986" s="135"/>
      <c r="C986" s="41"/>
      <c r="D986" s="137"/>
      <c r="E986" s="138"/>
      <c r="F986" s="113"/>
      <c r="G986" s="1" t="str">
        <f>IFERROR(IF(ventas_b_mes1255[[#This Row],[CUIT]]="","-",VLOOKUP(ventas_b_mes1255[[#This Row],[CUIT]],Lista_CUIT[#All],2,0)),"CUIT NO CARGADO")</f>
        <v>-</v>
      </c>
      <c r="H986" s="100">
        <f>ventas_b_mes1255[[#This Row],[TOTAL]]/1.21</f>
        <v>0</v>
      </c>
      <c r="I986" s="64">
        <f>ventas_b_mes1255[[#This Row],[IMPORTE NETO]]*0.21</f>
        <v>0</v>
      </c>
      <c r="J986" s="141"/>
      <c r="K986" s="141"/>
      <c r="L986" s="141"/>
      <c r="M986" s="59"/>
    </row>
    <row r="987" spans="2:13">
      <c r="B987" s="135"/>
      <c r="C987" s="41"/>
      <c r="D987" s="137"/>
      <c r="E987" s="138"/>
      <c r="F987" s="139"/>
      <c r="G987" s="1" t="str">
        <f>IFERROR(IF(ventas_b_mes1255[[#This Row],[CUIT]]="","-",VLOOKUP(ventas_b_mes1255[[#This Row],[CUIT]],Lista_CUIT[#All],2,0)),"CUIT NO CARGADO")</f>
        <v>-</v>
      </c>
      <c r="H987" s="100">
        <f>ventas_b_mes1255[[#This Row],[TOTAL]]/1.21</f>
        <v>0</v>
      </c>
      <c r="I987" s="64">
        <f>ventas_b_mes1255[[#This Row],[IMPORTE NETO]]*0.21</f>
        <v>0</v>
      </c>
      <c r="J987" s="141"/>
      <c r="K987" s="141"/>
      <c r="L987" s="141"/>
      <c r="M987" s="59"/>
    </row>
    <row r="988" spans="2:13">
      <c r="B988" s="135"/>
      <c r="C988" s="41"/>
      <c r="D988" s="137"/>
      <c r="E988" s="138"/>
      <c r="F988" s="139"/>
      <c r="G988" s="1" t="str">
        <f>IFERROR(IF(ventas_b_mes1255[[#This Row],[CUIT]]="","-",VLOOKUP(ventas_b_mes1255[[#This Row],[CUIT]],Lista_CUIT[#All],2,0)),"CUIT NO CARGADO")</f>
        <v>-</v>
      </c>
      <c r="H988" s="100">
        <f>ventas_b_mes1255[[#This Row],[TOTAL]]/1.21</f>
        <v>0</v>
      </c>
      <c r="I988" s="64">
        <f>ventas_b_mes1255[[#This Row],[IMPORTE NETO]]*0.21</f>
        <v>0</v>
      </c>
      <c r="J988" s="141"/>
      <c r="K988" s="141"/>
      <c r="L988" s="141"/>
      <c r="M988" s="59"/>
    </row>
    <row r="989" spans="2:13">
      <c r="B989" s="135"/>
      <c r="C989" s="41"/>
      <c r="D989" s="137"/>
      <c r="E989" s="138"/>
      <c r="F989" s="139"/>
      <c r="G989" s="1" t="str">
        <f>IFERROR(IF(ventas_b_mes1255[[#This Row],[CUIT]]="","-",VLOOKUP(ventas_b_mes1255[[#This Row],[CUIT]],Lista_CUIT[#All],2,0)),"CUIT NO CARGADO")</f>
        <v>-</v>
      </c>
      <c r="H989" s="100">
        <f>ventas_b_mes1255[[#This Row],[TOTAL]]/1.21</f>
        <v>0</v>
      </c>
      <c r="I989" s="64">
        <f>ventas_b_mes1255[[#This Row],[IMPORTE NETO]]*0.21</f>
        <v>0</v>
      </c>
      <c r="J989" s="141"/>
      <c r="K989" s="141"/>
      <c r="L989" s="141"/>
      <c r="M989" s="59"/>
    </row>
    <row r="990" spans="2:13">
      <c r="B990" s="135"/>
      <c r="C990" s="41"/>
      <c r="D990" s="137"/>
      <c r="E990" s="138"/>
      <c r="F990" s="139"/>
      <c r="G990" s="1" t="str">
        <f>IFERROR(IF(ventas_b_mes1255[[#This Row],[CUIT]]="","-",VLOOKUP(ventas_b_mes1255[[#This Row],[CUIT]],Lista_CUIT[#All],2,0)),"CUIT NO CARGADO")</f>
        <v>-</v>
      </c>
      <c r="H990" s="100">
        <f>ventas_b_mes1255[[#This Row],[TOTAL]]/1.21</f>
        <v>0</v>
      </c>
      <c r="I990" s="64">
        <f>ventas_b_mes1255[[#This Row],[IMPORTE NETO]]*0.21</f>
        <v>0</v>
      </c>
      <c r="J990" s="141"/>
      <c r="K990" s="141"/>
      <c r="L990" s="141"/>
      <c r="M990" s="59"/>
    </row>
    <row r="991" spans="2:13">
      <c r="B991" s="135"/>
      <c r="C991" s="41"/>
      <c r="D991" s="137"/>
      <c r="E991" s="138"/>
      <c r="F991" s="139"/>
      <c r="G991" s="1" t="str">
        <f>IFERROR(IF(ventas_b_mes1255[[#This Row],[CUIT]]="","-",VLOOKUP(ventas_b_mes1255[[#This Row],[CUIT]],Lista_CUIT[#All],2,0)),"CUIT NO CARGADO")</f>
        <v>-</v>
      </c>
      <c r="H991" s="100">
        <f>ventas_b_mes1255[[#This Row],[TOTAL]]/1.21</f>
        <v>0</v>
      </c>
      <c r="I991" s="64">
        <f>ventas_b_mes1255[[#This Row],[IMPORTE NETO]]*0.21</f>
        <v>0</v>
      </c>
      <c r="J991" s="141"/>
      <c r="K991" s="141"/>
      <c r="L991" s="141"/>
      <c r="M991" s="59"/>
    </row>
    <row r="992" spans="2:13">
      <c r="B992" s="135"/>
      <c r="C992" s="41"/>
      <c r="D992" s="137"/>
      <c r="E992" s="138"/>
      <c r="F992" s="139"/>
      <c r="G992" s="1" t="str">
        <f>IFERROR(IF(ventas_b_mes1255[[#This Row],[CUIT]]="","-",VLOOKUP(ventas_b_mes1255[[#This Row],[CUIT]],Lista_CUIT[#All],2,0)),"CUIT NO CARGADO")</f>
        <v>-</v>
      </c>
      <c r="H992" s="100">
        <f>ventas_b_mes1255[[#This Row],[TOTAL]]/1.21</f>
        <v>0</v>
      </c>
      <c r="I992" s="64">
        <f>ventas_b_mes1255[[#This Row],[IMPORTE NETO]]*0.21</f>
        <v>0</v>
      </c>
      <c r="J992" s="141"/>
      <c r="K992" s="141"/>
      <c r="L992" s="141"/>
      <c r="M992" s="59"/>
    </row>
    <row r="993" spans="2:13">
      <c r="B993" s="135"/>
      <c r="C993" s="41"/>
      <c r="D993" s="137"/>
      <c r="E993" s="138"/>
      <c r="F993" s="139"/>
      <c r="G993" s="1" t="str">
        <f>IFERROR(IF(ventas_b_mes1255[[#This Row],[CUIT]]="","-",VLOOKUP(ventas_b_mes1255[[#This Row],[CUIT]],Lista_CUIT[#All],2,0)),"CUIT NO CARGADO")</f>
        <v>-</v>
      </c>
      <c r="H993" s="100">
        <f>ventas_b_mes1255[[#This Row],[TOTAL]]/1.21</f>
        <v>0</v>
      </c>
      <c r="I993" s="64">
        <f>ventas_b_mes1255[[#This Row],[IMPORTE NETO]]*0.21</f>
        <v>0</v>
      </c>
      <c r="J993" s="141"/>
      <c r="K993" s="141"/>
      <c r="L993" s="141"/>
      <c r="M993" s="59"/>
    </row>
    <row r="994" spans="2:13">
      <c r="B994" s="135"/>
      <c r="C994" s="41"/>
      <c r="D994" s="137"/>
      <c r="E994" s="138"/>
      <c r="F994" s="139"/>
      <c r="G994" s="1" t="str">
        <f>IFERROR(IF(ventas_b_mes1255[[#This Row],[CUIT]]="","-",VLOOKUP(ventas_b_mes1255[[#This Row],[CUIT]],Lista_CUIT[#All],2,0)),"CUIT NO CARGADO")</f>
        <v>-</v>
      </c>
      <c r="H994" s="100">
        <f>ventas_b_mes1255[[#This Row],[TOTAL]]/1.21</f>
        <v>0</v>
      </c>
      <c r="I994" s="64">
        <f>ventas_b_mes1255[[#This Row],[IMPORTE NETO]]*0.21</f>
        <v>0</v>
      </c>
      <c r="J994" s="141"/>
      <c r="K994" s="141"/>
      <c r="L994" s="141"/>
      <c r="M994" s="59"/>
    </row>
    <row r="995" spans="2:13">
      <c r="B995" s="135"/>
      <c r="C995" s="41"/>
      <c r="D995" s="137"/>
      <c r="E995" s="138"/>
      <c r="F995" s="139"/>
      <c r="G995" s="1" t="str">
        <f>IFERROR(IF(ventas_b_mes1255[[#This Row],[CUIT]]="","-",VLOOKUP(ventas_b_mes1255[[#This Row],[CUIT]],Lista_CUIT[#All],2,0)),"CUIT NO CARGADO")</f>
        <v>-</v>
      </c>
      <c r="H995" s="100">
        <f>ventas_b_mes1255[[#This Row],[TOTAL]]/1.21</f>
        <v>0</v>
      </c>
      <c r="I995" s="64">
        <f>ventas_b_mes1255[[#This Row],[IMPORTE NETO]]*0.21</f>
        <v>0</v>
      </c>
      <c r="J995" s="141"/>
      <c r="K995" s="141"/>
      <c r="L995" s="141"/>
      <c r="M995" s="59"/>
    </row>
    <row r="996" spans="2:13">
      <c r="B996" s="135"/>
      <c r="C996" s="41"/>
      <c r="D996" s="137"/>
      <c r="E996" s="138"/>
      <c r="F996" s="139"/>
      <c r="G996" s="1" t="str">
        <f>IFERROR(IF(ventas_b_mes1255[[#This Row],[CUIT]]="","-",VLOOKUP(ventas_b_mes1255[[#This Row],[CUIT]],Lista_CUIT[#All],2,0)),"CUIT NO CARGADO")</f>
        <v>-</v>
      </c>
      <c r="H996" s="100">
        <f>ventas_b_mes1255[[#This Row],[TOTAL]]/1.21</f>
        <v>0</v>
      </c>
      <c r="I996" s="64">
        <f>ventas_b_mes1255[[#This Row],[IMPORTE NETO]]*0.21</f>
        <v>0</v>
      </c>
      <c r="J996" s="141"/>
      <c r="K996" s="141"/>
      <c r="L996" s="141"/>
      <c r="M996" s="59"/>
    </row>
    <row r="997" spans="2:13">
      <c r="B997" s="135"/>
      <c r="C997" s="41"/>
      <c r="D997" s="137"/>
      <c r="E997" s="138"/>
      <c r="F997" s="139"/>
      <c r="G997" s="1" t="str">
        <f>IFERROR(IF(ventas_b_mes1255[[#This Row],[CUIT]]="","-",VLOOKUP(ventas_b_mes1255[[#This Row],[CUIT]],Lista_CUIT[#All],2,0)),"CUIT NO CARGADO")</f>
        <v>-</v>
      </c>
      <c r="H997" s="100">
        <f>ventas_b_mes1255[[#This Row],[TOTAL]]/1.21</f>
        <v>0</v>
      </c>
      <c r="I997" s="64">
        <f>ventas_b_mes1255[[#This Row],[IMPORTE NETO]]*0.21</f>
        <v>0</v>
      </c>
      <c r="J997" s="141"/>
      <c r="K997" s="141"/>
      <c r="L997" s="141"/>
      <c r="M997" s="59"/>
    </row>
    <row r="998" spans="2:13">
      <c r="B998" s="135"/>
      <c r="C998" s="41"/>
      <c r="D998" s="137"/>
      <c r="E998" s="138"/>
      <c r="F998" s="139"/>
      <c r="G998" s="1" t="str">
        <f>IFERROR(IF(ventas_b_mes1255[[#This Row],[CUIT]]="","-",VLOOKUP(ventas_b_mes1255[[#This Row],[CUIT]],Lista_CUIT[#All],2,0)),"CUIT NO CARGADO")</f>
        <v>-</v>
      </c>
      <c r="H998" s="100">
        <f>ventas_b_mes1255[[#This Row],[TOTAL]]/1.21</f>
        <v>0</v>
      </c>
      <c r="I998" s="64">
        <f>ventas_b_mes1255[[#This Row],[IMPORTE NETO]]*0.21</f>
        <v>0</v>
      </c>
      <c r="J998" s="141"/>
      <c r="K998" s="141"/>
      <c r="L998" s="141"/>
      <c r="M998" s="59"/>
    </row>
    <row r="999" spans="2:13">
      <c r="B999" s="135"/>
      <c r="C999" s="41"/>
      <c r="D999" s="137"/>
      <c r="E999" s="138"/>
      <c r="F999" s="139"/>
      <c r="G999" s="1" t="str">
        <f>IFERROR(IF(ventas_b_mes1255[[#This Row],[CUIT]]="","-",VLOOKUP(ventas_b_mes1255[[#This Row],[CUIT]],Lista_CUIT[#All],2,0)),"CUIT NO CARGADO")</f>
        <v>-</v>
      </c>
      <c r="H999" s="100">
        <f>ventas_b_mes1255[[#This Row],[TOTAL]]/1.21</f>
        <v>0</v>
      </c>
      <c r="I999" s="64">
        <f>ventas_b_mes1255[[#This Row],[IMPORTE NETO]]*0.21</f>
        <v>0</v>
      </c>
      <c r="J999" s="141"/>
      <c r="K999" s="141"/>
      <c r="L999" s="141"/>
      <c r="M999" s="59"/>
    </row>
    <row r="1000" spans="2:13">
      <c r="B1000" s="135"/>
      <c r="C1000" s="41"/>
      <c r="D1000" s="137"/>
      <c r="E1000" s="138"/>
      <c r="F1000" s="139"/>
      <c r="G1000" s="1" t="str">
        <f>IFERROR(IF(ventas_b_mes1255[[#This Row],[CUIT]]="","-",VLOOKUP(ventas_b_mes1255[[#This Row],[CUIT]],Lista_CUIT[#All],2,0)),"CUIT NO CARGADO")</f>
        <v>-</v>
      </c>
      <c r="H1000" s="100">
        <f>ventas_b_mes1255[[#This Row],[TOTAL]]/1.21</f>
        <v>0</v>
      </c>
      <c r="I1000" s="64">
        <f>ventas_b_mes1255[[#This Row],[IMPORTE NETO]]*0.21</f>
        <v>0</v>
      </c>
      <c r="J1000" s="141"/>
      <c r="K1000" s="141"/>
      <c r="L1000" s="141"/>
      <c r="M1000" s="59"/>
    </row>
    <row r="1001" spans="2:13">
      <c r="B1001" s="135"/>
      <c r="C1001" s="41"/>
      <c r="D1001" s="137"/>
      <c r="E1001" s="138"/>
      <c r="F1001" s="139"/>
      <c r="G1001" s="1" t="str">
        <f>IFERROR(IF(ventas_b_mes1255[[#This Row],[CUIT]]="","-",VLOOKUP(ventas_b_mes1255[[#This Row],[CUIT]],Lista_CUIT[#All],2,0)),"CUIT NO CARGADO")</f>
        <v>-</v>
      </c>
      <c r="H1001" s="100">
        <f>ventas_b_mes1255[[#This Row],[TOTAL]]/1.21</f>
        <v>0</v>
      </c>
      <c r="I1001" s="64">
        <f>ventas_b_mes1255[[#This Row],[IMPORTE NETO]]*0.21</f>
        <v>0</v>
      </c>
      <c r="J1001" s="141"/>
      <c r="K1001" s="141"/>
      <c r="L1001" s="141"/>
      <c r="M1001" s="59"/>
    </row>
    <row r="1002" spans="2:13">
      <c r="B1002" s="135"/>
      <c r="C1002" s="41"/>
      <c r="D1002" s="137"/>
      <c r="E1002" s="138"/>
      <c r="F1002" s="139"/>
      <c r="G1002" s="1" t="str">
        <f>IFERROR(IF(ventas_b_mes1255[[#This Row],[CUIT]]="","-",VLOOKUP(ventas_b_mes1255[[#This Row],[CUIT]],Lista_CUIT[#All],2,0)),"CUIT NO CARGADO")</f>
        <v>-</v>
      </c>
      <c r="H1002" s="100">
        <f>ventas_b_mes1255[[#This Row],[TOTAL]]/1.21</f>
        <v>0</v>
      </c>
      <c r="I1002" s="64">
        <f>ventas_b_mes1255[[#This Row],[IMPORTE NETO]]*0.21</f>
        <v>0</v>
      </c>
      <c r="J1002" s="141"/>
      <c r="K1002" s="141"/>
      <c r="L1002" s="141"/>
      <c r="M1002" s="59"/>
    </row>
    <row r="1003" spans="2:13">
      <c r="B1003" s="135"/>
      <c r="C1003" s="41"/>
      <c r="D1003" s="137"/>
      <c r="E1003" s="138"/>
      <c r="F1003" s="139"/>
      <c r="G1003" s="1" t="str">
        <f>IFERROR(IF(ventas_b_mes1255[[#This Row],[CUIT]]="","-",VLOOKUP(ventas_b_mes1255[[#This Row],[CUIT]],Lista_CUIT[#All],2,0)),"CUIT NO CARGADO")</f>
        <v>-</v>
      </c>
      <c r="H1003" s="100">
        <f>ventas_b_mes1255[[#This Row],[TOTAL]]/1.21</f>
        <v>0</v>
      </c>
      <c r="I1003" s="64">
        <f>ventas_b_mes1255[[#This Row],[IMPORTE NETO]]*0.21</f>
        <v>0</v>
      </c>
      <c r="J1003" s="141"/>
      <c r="K1003" s="141"/>
      <c r="L1003" s="141"/>
      <c r="M1003" s="59"/>
    </row>
    <row r="1004" spans="2:13">
      <c r="B1004" s="135"/>
      <c r="C1004" s="41"/>
      <c r="D1004" s="137"/>
      <c r="E1004" s="138"/>
      <c r="F1004" s="139"/>
      <c r="G1004" s="1" t="str">
        <f>IFERROR(IF(ventas_b_mes1255[[#This Row],[CUIT]]="","-",VLOOKUP(ventas_b_mes1255[[#This Row],[CUIT]],Lista_CUIT[#All],2,0)),"CUIT NO CARGADO")</f>
        <v>-</v>
      </c>
      <c r="H1004" s="100">
        <f>ventas_b_mes1255[[#This Row],[TOTAL]]/1.21</f>
        <v>0</v>
      </c>
      <c r="I1004" s="64">
        <f>ventas_b_mes1255[[#This Row],[IMPORTE NETO]]*0.21</f>
        <v>0</v>
      </c>
      <c r="J1004" s="141"/>
      <c r="K1004" s="141"/>
      <c r="L1004" s="141"/>
      <c r="M1004" s="59"/>
    </row>
    <row r="1005" spans="2:13">
      <c r="B1005" s="135"/>
      <c r="C1005" s="41"/>
      <c r="D1005" s="137"/>
      <c r="E1005" s="138"/>
      <c r="F1005" s="139"/>
      <c r="G1005" s="1" t="str">
        <f>IFERROR(IF(ventas_b_mes1255[[#This Row],[CUIT]]="","-",VLOOKUP(ventas_b_mes1255[[#This Row],[CUIT]],Lista_CUIT[#All],2,0)),"CUIT NO CARGADO")</f>
        <v>-</v>
      </c>
      <c r="H1005" s="100">
        <f>ventas_b_mes1255[[#This Row],[TOTAL]]/1.21</f>
        <v>0</v>
      </c>
      <c r="I1005" s="64">
        <f>ventas_b_mes1255[[#This Row],[IMPORTE NETO]]*0.21</f>
        <v>0</v>
      </c>
      <c r="J1005" s="141"/>
      <c r="K1005" s="141"/>
      <c r="L1005" s="141"/>
      <c r="M1005" s="59"/>
    </row>
    <row r="1006" spans="2:13">
      <c r="B1006" s="135"/>
      <c r="C1006" s="41"/>
      <c r="D1006" s="137"/>
      <c r="E1006" s="138"/>
      <c r="F1006" s="139"/>
      <c r="G1006" s="1" t="str">
        <f>IFERROR(IF(ventas_b_mes1255[[#This Row],[CUIT]]="","-",VLOOKUP(ventas_b_mes1255[[#This Row],[CUIT]],Lista_CUIT[#All],2,0)),"CUIT NO CARGADO")</f>
        <v>-</v>
      </c>
      <c r="H1006" s="100">
        <f>ventas_b_mes1255[[#This Row],[TOTAL]]/1.21</f>
        <v>0</v>
      </c>
      <c r="I1006" s="64">
        <f>ventas_b_mes1255[[#This Row],[IMPORTE NETO]]*0.21</f>
        <v>0</v>
      </c>
      <c r="J1006" s="141"/>
      <c r="K1006" s="141"/>
      <c r="L1006" s="141"/>
      <c r="M1006" s="59"/>
    </row>
    <row r="1007" spans="2:13">
      <c r="B1007" s="135"/>
      <c r="C1007" s="41"/>
      <c r="D1007" s="137"/>
      <c r="E1007" s="138"/>
      <c r="F1007" s="139"/>
      <c r="G1007" s="1" t="str">
        <f>IFERROR(IF(ventas_b_mes1255[[#This Row],[CUIT]]="","-",VLOOKUP(ventas_b_mes1255[[#This Row],[CUIT]],Lista_CUIT[#All],2,0)),"CUIT NO CARGADO")</f>
        <v>-</v>
      </c>
      <c r="H1007" s="100">
        <f>ventas_b_mes1255[[#This Row],[TOTAL]]/1.21</f>
        <v>0</v>
      </c>
      <c r="I1007" s="64">
        <f>ventas_b_mes1255[[#This Row],[IMPORTE NETO]]*0.21</f>
        <v>0</v>
      </c>
      <c r="J1007" s="141"/>
      <c r="K1007" s="141"/>
      <c r="L1007" s="141"/>
      <c r="M1007" s="59"/>
    </row>
    <row r="1008" spans="2:13">
      <c r="B1008" s="135"/>
      <c r="C1008" s="41"/>
      <c r="D1008" s="137"/>
      <c r="E1008" s="138"/>
      <c r="F1008" s="139"/>
      <c r="G1008" s="1" t="str">
        <f>IFERROR(IF(ventas_b_mes1255[[#This Row],[CUIT]]="","-",VLOOKUP(ventas_b_mes1255[[#This Row],[CUIT]],Lista_CUIT[#All],2,0)),"CUIT NO CARGADO")</f>
        <v>-</v>
      </c>
      <c r="H1008" s="100">
        <f>ventas_b_mes1255[[#This Row],[TOTAL]]/1.21</f>
        <v>0</v>
      </c>
      <c r="I1008" s="64">
        <f>ventas_b_mes1255[[#This Row],[IMPORTE NETO]]*0.21</f>
        <v>0</v>
      </c>
      <c r="J1008" s="141"/>
      <c r="K1008" s="141"/>
      <c r="L1008" s="141"/>
      <c r="M1008" s="59"/>
    </row>
    <row r="1009" spans="2:13">
      <c r="B1009" s="135"/>
      <c r="C1009" s="41"/>
      <c r="D1009" s="137"/>
      <c r="E1009" s="138"/>
      <c r="F1009" s="139"/>
      <c r="G1009" s="1" t="str">
        <f>IFERROR(IF(ventas_b_mes1255[[#This Row],[CUIT]]="","-",VLOOKUP(ventas_b_mes1255[[#This Row],[CUIT]],Lista_CUIT[#All],2,0)),"CUIT NO CARGADO")</f>
        <v>-</v>
      </c>
      <c r="H1009" s="100">
        <f>ventas_b_mes1255[[#This Row],[TOTAL]]/1.21</f>
        <v>0</v>
      </c>
      <c r="I1009" s="64">
        <f>ventas_b_mes1255[[#This Row],[IMPORTE NETO]]*0.21</f>
        <v>0</v>
      </c>
      <c r="J1009" s="141"/>
      <c r="K1009" s="141"/>
      <c r="L1009" s="141"/>
      <c r="M1009" s="59"/>
    </row>
    <row r="1010" spans="2:13">
      <c r="B1010" s="135"/>
      <c r="C1010" s="41"/>
      <c r="D1010" s="137"/>
      <c r="E1010" s="138"/>
      <c r="F1010" s="139"/>
      <c r="G1010" s="1" t="str">
        <f>IFERROR(IF(ventas_b_mes1255[[#This Row],[CUIT]]="","-",VLOOKUP(ventas_b_mes1255[[#This Row],[CUIT]],Lista_CUIT[#All],2,0)),"CUIT NO CARGADO")</f>
        <v>-</v>
      </c>
      <c r="H1010" s="100">
        <f>ventas_b_mes1255[[#This Row],[TOTAL]]/1.21</f>
        <v>0</v>
      </c>
      <c r="I1010" s="64">
        <f>ventas_b_mes1255[[#This Row],[IMPORTE NETO]]*0.21</f>
        <v>0</v>
      </c>
      <c r="J1010" s="141"/>
      <c r="K1010" s="141"/>
      <c r="L1010" s="141"/>
      <c r="M1010" s="59"/>
    </row>
    <row r="1011" spans="2:13">
      <c r="B1011" s="135"/>
      <c r="C1011" s="41"/>
      <c r="D1011" s="137"/>
      <c r="E1011" s="138"/>
      <c r="F1011" s="139"/>
      <c r="G1011" s="1" t="str">
        <f>IFERROR(IF(ventas_b_mes1255[[#This Row],[CUIT]]="","-",VLOOKUP(ventas_b_mes1255[[#This Row],[CUIT]],Lista_CUIT[#All],2,0)),"CUIT NO CARGADO")</f>
        <v>-</v>
      </c>
      <c r="H1011" s="100">
        <f>ventas_b_mes1255[[#This Row],[TOTAL]]/1.21</f>
        <v>0</v>
      </c>
      <c r="I1011" s="64">
        <f>ventas_b_mes1255[[#This Row],[IMPORTE NETO]]*0.21</f>
        <v>0</v>
      </c>
      <c r="J1011" s="141"/>
      <c r="K1011" s="141"/>
      <c r="L1011" s="141"/>
      <c r="M1011" s="59"/>
    </row>
    <row r="1012" spans="2:13">
      <c r="B1012" s="135"/>
      <c r="C1012" s="41"/>
      <c r="D1012" s="137"/>
      <c r="E1012" s="138"/>
      <c r="F1012" s="139"/>
      <c r="G1012" s="1" t="str">
        <f>IFERROR(IF(ventas_b_mes1255[[#This Row],[CUIT]]="","-",VLOOKUP(ventas_b_mes1255[[#This Row],[CUIT]],Lista_CUIT[#All],2,0)),"CUIT NO CARGADO")</f>
        <v>-</v>
      </c>
      <c r="H1012" s="100">
        <f>ventas_b_mes1255[[#This Row],[TOTAL]]/1.21</f>
        <v>0</v>
      </c>
      <c r="I1012" s="64">
        <f>ventas_b_mes1255[[#This Row],[IMPORTE NETO]]*0.21</f>
        <v>0</v>
      </c>
      <c r="J1012" s="141"/>
      <c r="K1012" s="141"/>
      <c r="L1012" s="141"/>
      <c r="M1012" s="59"/>
    </row>
    <row r="1013" spans="2:13">
      <c r="B1013" s="135"/>
      <c r="C1013" s="41"/>
      <c r="D1013" s="137"/>
      <c r="E1013" s="138"/>
      <c r="F1013" s="139"/>
      <c r="G1013" s="1" t="str">
        <f>IFERROR(IF(ventas_b_mes1255[[#This Row],[CUIT]]="","-",VLOOKUP(ventas_b_mes1255[[#This Row],[CUIT]],Lista_CUIT[#All],2,0)),"CUIT NO CARGADO")</f>
        <v>-</v>
      </c>
      <c r="H1013" s="100">
        <f>ventas_b_mes1255[[#This Row],[TOTAL]]/1.21</f>
        <v>0</v>
      </c>
      <c r="I1013" s="64">
        <f>ventas_b_mes1255[[#This Row],[IMPORTE NETO]]*0.21</f>
        <v>0</v>
      </c>
      <c r="J1013" s="141"/>
      <c r="K1013" s="141"/>
      <c r="L1013" s="141"/>
      <c r="M1013" s="59"/>
    </row>
    <row r="1014" spans="2:13">
      <c r="B1014" s="135"/>
      <c r="C1014" s="41"/>
      <c r="D1014" s="137"/>
      <c r="E1014" s="138"/>
      <c r="F1014" s="139"/>
      <c r="G1014" s="1" t="str">
        <f>IFERROR(IF(ventas_b_mes1255[[#This Row],[CUIT]]="","-",VLOOKUP(ventas_b_mes1255[[#This Row],[CUIT]],Lista_CUIT[#All],2,0)),"CUIT NO CARGADO")</f>
        <v>-</v>
      </c>
      <c r="H1014" s="100">
        <f>ventas_b_mes1255[[#This Row],[TOTAL]]/1.21</f>
        <v>0</v>
      </c>
      <c r="I1014" s="64">
        <f>ventas_b_mes1255[[#This Row],[IMPORTE NETO]]*0.21</f>
        <v>0</v>
      </c>
      <c r="J1014" s="141"/>
      <c r="K1014" s="141"/>
      <c r="L1014" s="141"/>
      <c r="M1014" s="59"/>
    </row>
    <row r="1015" spans="2:13">
      <c r="B1015" s="135"/>
      <c r="C1015" s="41"/>
      <c r="D1015" s="137"/>
      <c r="E1015" s="138"/>
      <c r="F1015" s="139"/>
      <c r="G1015" s="1" t="str">
        <f>IFERROR(IF(ventas_b_mes1255[[#This Row],[CUIT]]="","-",VLOOKUP(ventas_b_mes1255[[#This Row],[CUIT]],Lista_CUIT[#All],2,0)),"CUIT NO CARGADO")</f>
        <v>-</v>
      </c>
      <c r="H1015" s="100">
        <f>ventas_b_mes1255[[#This Row],[TOTAL]]/1.21</f>
        <v>0</v>
      </c>
      <c r="I1015" s="64">
        <f>ventas_b_mes1255[[#This Row],[IMPORTE NETO]]*0.21</f>
        <v>0</v>
      </c>
      <c r="J1015" s="141"/>
      <c r="K1015" s="141"/>
      <c r="L1015" s="141"/>
      <c r="M1015" s="59"/>
    </row>
    <row r="1016" spans="2:13">
      <c r="B1016" s="135"/>
      <c r="C1016" s="41"/>
      <c r="D1016" s="137"/>
      <c r="E1016" s="138"/>
      <c r="F1016" s="139"/>
      <c r="G1016" s="1" t="str">
        <f>IFERROR(IF(ventas_b_mes1255[[#This Row],[CUIT]]="","-",VLOOKUP(ventas_b_mes1255[[#This Row],[CUIT]],Lista_CUIT[#All],2,0)),"CUIT NO CARGADO")</f>
        <v>-</v>
      </c>
      <c r="H1016" s="100">
        <f>ventas_b_mes1255[[#This Row],[TOTAL]]/1.21</f>
        <v>0</v>
      </c>
      <c r="I1016" s="64">
        <f>ventas_b_mes1255[[#This Row],[IMPORTE NETO]]*0.21</f>
        <v>0</v>
      </c>
      <c r="J1016" s="141"/>
      <c r="K1016" s="141"/>
      <c r="L1016" s="141"/>
      <c r="M1016" s="59"/>
    </row>
    <row r="1017" spans="2:13">
      <c r="B1017" s="135"/>
      <c r="C1017" s="41"/>
      <c r="D1017" s="137"/>
      <c r="E1017" s="138"/>
      <c r="F1017" s="139"/>
      <c r="G1017" s="1" t="str">
        <f>IFERROR(IF(ventas_b_mes1255[[#This Row],[CUIT]]="","-",VLOOKUP(ventas_b_mes1255[[#This Row],[CUIT]],Lista_CUIT[#All],2,0)),"CUIT NO CARGADO")</f>
        <v>-</v>
      </c>
      <c r="H1017" s="100">
        <f>ventas_b_mes1255[[#This Row],[TOTAL]]/1.21</f>
        <v>0</v>
      </c>
      <c r="I1017" s="64">
        <f>ventas_b_mes1255[[#This Row],[IMPORTE NETO]]*0.21</f>
        <v>0</v>
      </c>
      <c r="J1017" s="141"/>
      <c r="K1017" s="141"/>
      <c r="L1017" s="141"/>
      <c r="M1017" s="59"/>
    </row>
    <row r="1018" spans="2:13">
      <c r="B1018" s="135"/>
      <c r="C1018" s="41"/>
      <c r="D1018" s="137"/>
      <c r="E1018" s="138"/>
      <c r="F1018" s="139"/>
      <c r="G1018" s="1" t="str">
        <f>IFERROR(IF(ventas_b_mes1255[[#This Row],[CUIT]]="","-",VLOOKUP(ventas_b_mes1255[[#This Row],[CUIT]],Lista_CUIT[#All],2,0)),"CUIT NO CARGADO")</f>
        <v>-</v>
      </c>
      <c r="H1018" s="100">
        <f>ventas_b_mes1255[[#This Row],[TOTAL]]/1.21</f>
        <v>0</v>
      </c>
      <c r="I1018" s="64">
        <f>ventas_b_mes1255[[#This Row],[IMPORTE NETO]]*0.21</f>
        <v>0</v>
      </c>
      <c r="J1018" s="141"/>
      <c r="K1018" s="141"/>
      <c r="L1018" s="141"/>
      <c r="M1018" s="59"/>
    </row>
    <row r="1019" spans="2:13">
      <c r="B1019" s="135"/>
      <c r="C1019" s="41"/>
      <c r="D1019" s="137"/>
      <c r="E1019" s="138"/>
      <c r="F1019" s="139"/>
      <c r="G1019" s="1" t="str">
        <f>IFERROR(IF(ventas_b_mes1255[[#This Row],[CUIT]]="","-",VLOOKUP(ventas_b_mes1255[[#This Row],[CUIT]],Lista_CUIT[#All],2,0)),"CUIT NO CARGADO")</f>
        <v>-</v>
      </c>
      <c r="H1019" s="100">
        <f>ventas_b_mes1255[[#This Row],[TOTAL]]/1.21</f>
        <v>0</v>
      </c>
      <c r="I1019" s="64">
        <f>ventas_b_mes1255[[#This Row],[IMPORTE NETO]]*0.21</f>
        <v>0</v>
      </c>
      <c r="J1019" s="141"/>
      <c r="K1019" s="141"/>
      <c r="L1019" s="141"/>
      <c r="M1019" s="59"/>
    </row>
    <row r="1020" spans="2:13">
      <c r="B1020" s="135"/>
      <c r="C1020" s="41"/>
      <c r="D1020" s="137"/>
      <c r="E1020" s="138"/>
      <c r="F1020" s="139"/>
      <c r="G1020" s="1" t="str">
        <f>IFERROR(IF(ventas_b_mes1255[[#This Row],[CUIT]]="","-",VLOOKUP(ventas_b_mes1255[[#This Row],[CUIT]],Lista_CUIT[#All],2,0)),"CUIT NO CARGADO")</f>
        <v>-</v>
      </c>
      <c r="H1020" s="100">
        <f>ventas_b_mes1255[[#This Row],[TOTAL]]/1.21</f>
        <v>0</v>
      </c>
      <c r="I1020" s="64">
        <f>ventas_b_mes1255[[#This Row],[IMPORTE NETO]]*0.21</f>
        <v>0</v>
      </c>
      <c r="J1020" s="141"/>
      <c r="K1020" s="141"/>
      <c r="L1020" s="141"/>
      <c r="M1020" s="59"/>
    </row>
    <row r="1021" spans="2:13">
      <c r="B1021" s="135"/>
      <c r="C1021" s="41"/>
      <c r="D1021" s="137"/>
      <c r="E1021" s="138"/>
      <c r="F1021" s="139"/>
      <c r="G1021" s="1" t="str">
        <f>IFERROR(IF(ventas_b_mes1255[[#This Row],[CUIT]]="","-",VLOOKUP(ventas_b_mes1255[[#This Row],[CUIT]],Lista_CUIT[#All],2,0)),"CUIT NO CARGADO")</f>
        <v>-</v>
      </c>
      <c r="H1021" s="100">
        <f>ventas_b_mes1255[[#This Row],[TOTAL]]/1.21</f>
        <v>0</v>
      </c>
      <c r="I1021" s="64">
        <f>ventas_b_mes1255[[#This Row],[IMPORTE NETO]]*0.21</f>
        <v>0</v>
      </c>
      <c r="J1021" s="141"/>
      <c r="K1021" s="141"/>
      <c r="L1021" s="141"/>
      <c r="M1021" s="59"/>
    </row>
    <row r="1022" spans="2:13">
      <c r="B1022" s="135"/>
      <c r="C1022" s="41"/>
      <c r="D1022" s="137"/>
      <c r="E1022" s="138"/>
      <c r="F1022" s="139"/>
      <c r="G1022" s="1" t="str">
        <f>IFERROR(IF(ventas_b_mes1255[[#This Row],[CUIT]]="","-",VLOOKUP(ventas_b_mes1255[[#This Row],[CUIT]],Lista_CUIT[#All],2,0)),"CUIT NO CARGADO")</f>
        <v>-</v>
      </c>
      <c r="H1022" s="100">
        <f>ventas_b_mes1255[[#This Row],[TOTAL]]/1.21</f>
        <v>0</v>
      </c>
      <c r="I1022" s="64">
        <f>ventas_b_mes1255[[#This Row],[IMPORTE NETO]]*0.21</f>
        <v>0</v>
      </c>
      <c r="J1022" s="141"/>
      <c r="K1022" s="141"/>
      <c r="L1022" s="141"/>
      <c r="M1022" s="59"/>
    </row>
    <row r="1023" spans="2:13">
      <c r="B1023" s="135"/>
      <c r="C1023" s="41"/>
      <c r="D1023" s="137"/>
      <c r="E1023" s="138"/>
      <c r="F1023" s="139"/>
      <c r="G1023" s="1" t="str">
        <f>IFERROR(IF(ventas_b_mes1255[[#This Row],[CUIT]]="","-",VLOOKUP(ventas_b_mes1255[[#This Row],[CUIT]],Lista_CUIT[#All],2,0)),"CUIT NO CARGADO")</f>
        <v>-</v>
      </c>
      <c r="H1023" s="100">
        <f>ventas_b_mes1255[[#This Row],[TOTAL]]/1.21</f>
        <v>0</v>
      </c>
      <c r="I1023" s="64">
        <f>ventas_b_mes1255[[#This Row],[IMPORTE NETO]]*0.21</f>
        <v>0</v>
      </c>
      <c r="J1023" s="141"/>
      <c r="K1023" s="141"/>
      <c r="L1023" s="141"/>
      <c r="M1023" s="59"/>
    </row>
    <row r="1024" spans="2:13">
      <c r="B1024" s="135"/>
      <c r="C1024" s="41"/>
      <c r="D1024" s="137"/>
      <c r="E1024" s="138"/>
      <c r="F1024" s="139"/>
      <c r="G1024" s="1" t="str">
        <f>IFERROR(IF(ventas_b_mes1255[[#This Row],[CUIT]]="","-",VLOOKUP(ventas_b_mes1255[[#This Row],[CUIT]],Lista_CUIT[#All],2,0)),"CUIT NO CARGADO")</f>
        <v>-</v>
      </c>
      <c r="H1024" s="100">
        <f>ventas_b_mes1255[[#This Row],[TOTAL]]/1.21</f>
        <v>0</v>
      </c>
      <c r="I1024" s="64">
        <f>ventas_b_mes1255[[#This Row],[IMPORTE NETO]]*0.21</f>
        <v>0</v>
      </c>
      <c r="J1024" s="141"/>
      <c r="K1024" s="141"/>
      <c r="L1024" s="141"/>
      <c r="M1024" s="59"/>
    </row>
    <row r="1025" spans="2:13">
      <c r="B1025" s="135"/>
      <c r="C1025" s="41"/>
      <c r="D1025" s="137"/>
      <c r="E1025" s="138"/>
      <c r="F1025" s="139"/>
      <c r="G1025" s="1" t="str">
        <f>IFERROR(IF(ventas_b_mes1255[[#This Row],[CUIT]]="","-",VLOOKUP(ventas_b_mes1255[[#This Row],[CUIT]],Lista_CUIT[#All],2,0)),"CUIT NO CARGADO")</f>
        <v>-</v>
      </c>
      <c r="H1025" s="100">
        <f>ventas_b_mes1255[[#This Row],[TOTAL]]/1.21</f>
        <v>0</v>
      </c>
      <c r="I1025" s="64">
        <f>ventas_b_mes1255[[#This Row],[IMPORTE NETO]]*0.21</f>
        <v>0</v>
      </c>
      <c r="J1025" s="141"/>
      <c r="K1025" s="141"/>
      <c r="L1025" s="141"/>
      <c r="M1025" s="59"/>
    </row>
    <row r="1026" spans="2:13">
      <c r="B1026" s="135"/>
      <c r="C1026" s="41"/>
      <c r="D1026" s="137"/>
      <c r="E1026" s="138"/>
      <c r="F1026" s="139"/>
      <c r="G1026" s="1" t="str">
        <f>IFERROR(IF(ventas_b_mes1255[[#This Row],[CUIT]]="","-",VLOOKUP(ventas_b_mes1255[[#This Row],[CUIT]],Lista_CUIT[#All],2,0)),"CUIT NO CARGADO")</f>
        <v>-</v>
      </c>
      <c r="H1026" s="100">
        <f>ventas_b_mes1255[[#This Row],[TOTAL]]/1.21</f>
        <v>0</v>
      </c>
      <c r="I1026" s="64">
        <f>ventas_b_mes1255[[#This Row],[IMPORTE NETO]]*0.21</f>
        <v>0</v>
      </c>
      <c r="J1026" s="141"/>
      <c r="K1026" s="141"/>
      <c r="L1026" s="141"/>
      <c r="M1026" s="59"/>
    </row>
    <row r="1027" spans="2:13">
      <c r="B1027" s="135"/>
      <c r="C1027" s="41"/>
      <c r="D1027" s="137"/>
      <c r="E1027" s="138"/>
      <c r="F1027" s="139"/>
      <c r="G1027" s="1" t="str">
        <f>IFERROR(IF(ventas_b_mes1255[[#This Row],[CUIT]]="","-",VLOOKUP(ventas_b_mes1255[[#This Row],[CUIT]],Lista_CUIT[#All],2,0)),"CUIT NO CARGADO")</f>
        <v>-</v>
      </c>
      <c r="H1027" s="100">
        <f>ventas_b_mes1255[[#This Row],[TOTAL]]/1.21</f>
        <v>0</v>
      </c>
      <c r="I1027" s="64">
        <f>ventas_b_mes1255[[#This Row],[IMPORTE NETO]]*0.21</f>
        <v>0</v>
      </c>
      <c r="J1027" s="141"/>
      <c r="K1027" s="141"/>
      <c r="L1027" s="141"/>
      <c r="M1027" s="59"/>
    </row>
    <row r="1028" spans="2:13">
      <c r="B1028" s="135"/>
      <c r="C1028" s="41"/>
      <c r="D1028" s="137"/>
      <c r="E1028" s="138"/>
      <c r="F1028" s="139"/>
      <c r="G1028" s="1" t="str">
        <f>IFERROR(IF(ventas_b_mes1255[[#This Row],[CUIT]]="","-",VLOOKUP(ventas_b_mes1255[[#This Row],[CUIT]],Lista_CUIT[#All],2,0)),"CUIT NO CARGADO")</f>
        <v>-</v>
      </c>
      <c r="H1028" s="100">
        <f>ventas_b_mes1255[[#This Row],[TOTAL]]/1.21</f>
        <v>0</v>
      </c>
      <c r="I1028" s="64">
        <f>ventas_b_mes1255[[#This Row],[IMPORTE NETO]]*0.21</f>
        <v>0</v>
      </c>
      <c r="J1028" s="141"/>
      <c r="K1028" s="141"/>
      <c r="L1028" s="141"/>
      <c r="M1028" s="59"/>
    </row>
    <row r="1029" spans="2:13">
      <c r="B1029" s="135"/>
      <c r="C1029" s="41"/>
      <c r="D1029" s="137"/>
      <c r="E1029" s="138"/>
      <c r="F1029" s="139"/>
      <c r="G1029" s="1" t="str">
        <f>IFERROR(IF(ventas_b_mes1255[[#This Row],[CUIT]]="","-",VLOOKUP(ventas_b_mes1255[[#This Row],[CUIT]],Lista_CUIT[#All],2,0)),"CUIT NO CARGADO")</f>
        <v>-</v>
      </c>
      <c r="H1029" s="100">
        <f>ventas_b_mes1255[[#This Row],[TOTAL]]/1.21</f>
        <v>0</v>
      </c>
      <c r="I1029" s="64">
        <f>ventas_b_mes1255[[#This Row],[IMPORTE NETO]]*0.21</f>
        <v>0</v>
      </c>
      <c r="J1029" s="141"/>
      <c r="K1029" s="141"/>
      <c r="L1029" s="141"/>
      <c r="M1029" s="59"/>
    </row>
    <row r="1030" spans="2:13">
      <c r="B1030" s="135"/>
      <c r="C1030" s="41"/>
      <c r="D1030" s="137"/>
      <c r="E1030" s="138"/>
      <c r="F1030" s="139"/>
      <c r="G1030" s="1" t="str">
        <f>IFERROR(IF(ventas_b_mes1255[[#This Row],[CUIT]]="","-",VLOOKUP(ventas_b_mes1255[[#This Row],[CUIT]],Lista_CUIT[#All],2,0)),"CUIT NO CARGADO")</f>
        <v>-</v>
      </c>
      <c r="H1030" s="100">
        <f>ventas_b_mes1255[[#This Row],[TOTAL]]/1.21</f>
        <v>0</v>
      </c>
      <c r="I1030" s="64">
        <f>ventas_b_mes1255[[#This Row],[IMPORTE NETO]]*0.21</f>
        <v>0</v>
      </c>
      <c r="J1030" s="141"/>
      <c r="K1030" s="141"/>
      <c r="L1030" s="141"/>
      <c r="M1030" s="59"/>
    </row>
    <row r="1031" spans="2:13">
      <c r="B1031" s="135"/>
      <c r="C1031" s="41"/>
      <c r="D1031" s="137"/>
      <c r="E1031" s="138"/>
      <c r="F1031" s="139"/>
      <c r="G1031" s="1" t="str">
        <f>IFERROR(IF(ventas_b_mes1255[[#This Row],[CUIT]]="","-",VLOOKUP(ventas_b_mes1255[[#This Row],[CUIT]],Lista_CUIT[#All],2,0)),"CUIT NO CARGADO")</f>
        <v>-</v>
      </c>
      <c r="H1031" s="100">
        <f>ventas_b_mes1255[[#This Row],[TOTAL]]/1.21</f>
        <v>0</v>
      </c>
      <c r="I1031" s="64">
        <f>ventas_b_mes1255[[#This Row],[IMPORTE NETO]]*0.21</f>
        <v>0</v>
      </c>
      <c r="J1031" s="141"/>
      <c r="K1031" s="141"/>
      <c r="L1031" s="141"/>
      <c r="M1031" s="59"/>
    </row>
    <row r="1032" spans="2:13">
      <c r="B1032" s="135"/>
      <c r="C1032" s="41"/>
      <c r="D1032" s="137"/>
      <c r="E1032" s="138"/>
      <c r="F1032" s="139"/>
      <c r="G1032" s="1" t="str">
        <f>IFERROR(IF(ventas_b_mes1255[[#This Row],[CUIT]]="","-",VLOOKUP(ventas_b_mes1255[[#This Row],[CUIT]],Lista_CUIT[#All],2,0)),"CUIT NO CARGADO")</f>
        <v>-</v>
      </c>
      <c r="H1032" s="100">
        <f>ventas_b_mes1255[[#This Row],[TOTAL]]/1.21</f>
        <v>0</v>
      </c>
      <c r="I1032" s="64">
        <f>ventas_b_mes1255[[#This Row],[IMPORTE NETO]]*0.21</f>
        <v>0</v>
      </c>
      <c r="J1032" s="141"/>
      <c r="K1032" s="141"/>
      <c r="L1032" s="141"/>
      <c r="M1032" s="59"/>
    </row>
    <row r="1033" spans="2:13">
      <c r="B1033" s="135"/>
      <c r="C1033" s="41"/>
      <c r="D1033" s="137"/>
      <c r="E1033" s="138"/>
      <c r="F1033" s="139"/>
      <c r="G1033" s="1" t="str">
        <f>IFERROR(IF(ventas_b_mes1255[[#This Row],[CUIT]]="","-",VLOOKUP(ventas_b_mes1255[[#This Row],[CUIT]],Lista_CUIT[#All],2,0)),"CUIT NO CARGADO")</f>
        <v>-</v>
      </c>
      <c r="H1033" s="100">
        <f>ventas_b_mes1255[[#This Row],[TOTAL]]/1.21</f>
        <v>0</v>
      </c>
      <c r="I1033" s="64">
        <f>ventas_b_mes1255[[#This Row],[IMPORTE NETO]]*0.21</f>
        <v>0</v>
      </c>
      <c r="J1033" s="141"/>
      <c r="K1033" s="141"/>
      <c r="L1033" s="141"/>
      <c r="M1033" s="59"/>
    </row>
    <row r="1034" spans="2:13">
      <c r="B1034" s="135"/>
      <c r="C1034" s="41"/>
      <c r="D1034" s="137"/>
      <c r="E1034" s="138"/>
      <c r="F1034" s="139"/>
      <c r="G1034" s="1" t="str">
        <f>IFERROR(IF(ventas_b_mes1255[[#This Row],[CUIT]]="","-",VLOOKUP(ventas_b_mes1255[[#This Row],[CUIT]],Lista_CUIT[#All],2,0)),"CUIT NO CARGADO")</f>
        <v>-</v>
      </c>
      <c r="H1034" s="100">
        <f>ventas_b_mes1255[[#This Row],[TOTAL]]/1.21</f>
        <v>0</v>
      </c>
      <c r="I1034" s="64">
        <f>ventas_b_mes1255[[#This Row],[IMPORTE NETO]]*0.21</f>
        <v>0</v>
      </c>
      <c r="J1034" s="141"/>
      <c r="K1034" s="141"/>
      <c r="L1034" s="141"/>
      <c r="M1034" s="59"/>
    </row>
    <row r="1035" spans="2:13">
      <c r="B1035" s="135"/>
      <c r="C1035" s="41"/>
      <c r="D1035" s="137"/>
      <c r="E1035" s="138"/>
      <c r="F1035" s="139"/>
      <c r="G1035" s="1" t="str">
        <f>IFERROR(IF(ventas_b_mes1255[[#This Row],[CUIT]]="","-",VLOOKUP(ventas_b_mes1255[[#This Row],[CUIT]],Lista_CUIT[#All],2,0)),"CUIT NO CARGADO")</f>
        <v>-</v>
      </c>
      <c r="H1035" s="100">
        <f>ventas_b_mes1255[[#This Row],[TOTAL]]/1.21</f>
        <v>0</v>
      </c>
      <c r="I1035" s="64">
        <f>ventas_b_mes1255[[#This Row],[IMPORTE NETO]]*0.21</f>
        <v>0</v>
      </c>
      <c r="J1035" s="141"/>
      <c r="K1035" s="141"/>
      <c r="L1035" s="141"/>
      <c r="M1035" s="59"/>
    </row>
    <row r="1036" spans="2:13">
      <c r="B1036" s="135"/>
      <c r="C1036" s="41"/>
      <c r="D1036" s="137"/>
      <c r="E1036" s="138"/>
      <c r="F1036" s="139"/>
      <c r="G1036" s="1" t="str">
        <f>IFERROR(IF(ventas_b_mes1255[[#This Row],[CUIT]]="","-",VLOOKUP(ventas_b_mes1255[[#This Row],[CUIT]],Lista_CUIT[#All],2,0)),"CUIT NO CARGADO")</f>
        <v>-</v>
      </c>
      <c r="H1036" s="100">
        <f>ventas_b_mes1255[[#This Row],[TOTAL]]/1.21</f>
        <v>0</v>
      </c>
      <c r="I1036" s="64">
        <f>ventas_b_mes1255[[#This Row],[IMPORTE NETO]]*0.21</f>
        <v>0</v>
      </c>
      <c r="J1036" s="141"/>
      <c r="K1036" s="141"/>
      <c r="L1036" s="141"/>
      <c r="M1036" s="59"/>
    </row>
    <row r="1037" spans="2:13">
      <c r="B1037" s="135"/>
      <c r="C1037" s="41"/>
      <c r="D1037" s="137"/>
      <c r="E1037" s="138"/>
      <c r="F1037" s="139"/>
      <c r="G1037" s="1" t="str">
        <f>IFERROR(IF(ventas_b_mes1255[[#This Row],[CUIT]]="","-",VLOOKUP(ventas_b_mes1255[[#This Row],[CUIT]],Lista_CUIT[#All],2,0)),"CUIT NO CARGADO")</f>
        <v>-</v>
      </c>
      <c r="H1037" s="100">
        <f>ventas_b_mes1255[[#This Row],[TOTAL]]/1.21</f>
        <v>0</v>
      </c>
      <c r="I1037" s="64">
        <f>ventas_b_mes1255[[#This Row],[IMPORTE NETO]]*0.21</f>
        <v>0</v>
      </c>
      <c r="J1037" s="141"/>
      <c r="K1037" s="141"/>
      <c r="L1037" s="141"/>
      <c r="M1037" s="59"/>
    </row>
    <row r="1038" spans="2:13">
      <c r="B1038" s="135"/>
      <c r="C1038" s="41"/>
      <c r="D1038" s="137"/>
      <c r="E1038" s="138"/>
      <c r="F1038" s="139"/>
      <c r="G1038" s="1" t="str">
        <f>IFERROR(IF(ventas_b_mes1255[[#This Row],[CUIT]]="","-",VLOOKUP(ventas_b_mes1255[[#This Row],[CUIT]],Lista_CUIT[#All],2,0)),"CUIT NO CARGADO")</f>
        <v>-</v>
      </c>
      <c r="H1038" s="100">
        <f>ventas_b_mes1255[[#This Row],[TOTAL]]/1.21</f>
        <v>0</v>
      </c>
      <c r="I1038" s="64">
        <f>ventas_b_mes1255[[#This Row],[IMPORTE NETO]]*0.21</f>
        <v>0</v>
      </c>
      <c r="J1038" s="141"/>
      <c r="K1038" s="141"/>
      <c r="L1038" s="141"/>
      <c r="M1038" s="59"/>
    </row>
    <row r="1039" spans="2:13">
      <c r="B1039" s="135"/>
      <c r="C1039" s="41"/>
      <c r="D1039" s="137"/>
      <c r="E1039" s="138"/>
      <c r="F1039" s="139"/>
      <c r="G1039" s="1" t="str">
        <f>IFERROR(IF(ventas_b_mes1255[[#This Row],[CUIT]]="","-",VLOOKUP(ventas_b_mes1255[[#This Row],[CUIT]],Lista_CUIT[#All],2,0)),"CUIT NO CARGADO")</f>
        <v>-</v>
      </c>
      <c r="H1039" s="100">
        <f>ventas_b_mes1255[[#This Row],[TOTAL]]/1.21</f>
        <v>0</v>
      </c>
      <c r="I1039" s="64">
        <f>ventas_b_mes1255[[#This Row],[IMPORTE NETO]]*0.21</f>
        <v>0</v>
      </c>
      <c r="J1039" s="141"/>
      <c r="K1039" s="141"/>
      <c r="L1039" s="141"/>
      <c r="M1039" s="59"/>
    </row>
    <row r="1040" spans="2:13">
      <c r="B1040" s="135"/>
      <c r="C1040" s="41"/>
      <c r="D1040" s="137"/>
      <c r="E1040" s="138"/>
      <c r="F1040" s="139"/>
      <c r="G1040" s="1" t="str">
        <f>IFERROR(IF(ventas_b_mes1255[[#This Row],[CUIT]]="","-",VLOOKUP(ventas_b_mes1255[[#This Row],[CUIT]],Lista_CUIT[#All],2,0)),"CUIT NO CARGADO")</f>
        <v>-</v>
      </c>
      <c r="H1040" s="100">
        <f>ventas_b_mes1255[[#This Row],[TOTAL]]/1.21</f>
        <v>0</v>
      </c>
      <c r="I1040" s="64">
        <f>ventas_b_mes1255[[#This Row],[IMPORTE NETO]]*0.21</f>
        <v>0</v>
      </c>
      <c r="J1040" s="141"/>
      <c r="K1040" s="141"/>
      <c r="L1040" s="141"/>
      <c r="M1040" s="59"/>
    </row>
    <row r="1041" spans="2:13">
      <c r="B1041" s="135"/>
      <c r="C1041" s="41"/>
      <c r="D1041" s="137"/>
      <c r="E1041" s="138"/>
      <c r="F1041" s="139"/>
      <c r="G1041" s="1" t="str">
        <f>IFERROR(IF(ventas_b_mes1255[[#This Row],[CUIT]]="","-",VLOOKUP(ventas_b_mes1255[[#This Row],[CUIT]],Lista_CUIT[#All],2,0)),"CUIT NO CARGADO")</f>
        <v>-</v>
      </c>
      <c r="H1041" s="100">
        <f>ventas_b_mes1255[[#This Row],[TOTAL]]/1.21</f>
        <v>0</v>
      </c>
      <c r="I1041" s="64">
        <f>ventas_b_mes1255[[#This Row],[IMPORTE NETO]]*0.21</f>
        <v>0</v>
      </c>
      <c r="J1041" s="141"/>
      <c r="K1041" s="141"/>
      <c r="L1041" s="141"/>
      <c r="M1041" s="59"/>
    </row>
    <row r="1042" spans="2:13">
      <c r="B1042" s="135"/>
      <c r="C1042" s="41"/>
      <c r="D1042" s="137"/>
      <c r="E1042" s="138"/>
      <c r="F1042" s="139"/>
      <c r="G1042" s="1" t="str">
        <f>IFERROR(IF(ventas_b_mes1255[[#This Row],[CUIT]]="","-",VLOOKUP(ventas_b_mes1255[[#This Row],[CUIT]],Lista_CUIT[#All],2,0)),"CUIT NO CARGADO")</f>
        <v>-</v>
      </c>
      <c r="H1042" s="100">
        <f>ventas_b_mes1255[[#This Row],[TOTAL]]/1.21</f>
        <v>0</v>
      </c>
      <c r="I1042" s="64">
        <f>ventas_b_mes1255[[#This Row],[IMPORTE NETO]]*0.21</f>
        <v>0</v>
      </c>
      <c r="J1042" s="141"/>
      <c r="K1042" s="141"/>
      <c r="L1042" s="141"/>
      <c r="M1042" s="59"/>
    </row>
    <row r="1043" spans="2:13">
      <c r="B1043" s="135"/>
      <c r="C1043" s="41"/>
      <c r="D1043" s="137"/>
      <c r="E1043" s="138"/>
      <c r="F1043" s="139"/>
      <c r="G1043" s="1" t="str">
        <f>IFERROR(IF(ventas_b_mes1255[[#This Row],[CUIT]]="","-",VLOOKUP(ventas_b_mes1255[[#This Row],[CUIT]],Lista_CUIT[#All],2,0)),"CUIT NO CARGADO")</f>
        <v>-</v>
      </c>
      <c r="H1043" s="100">
        <f>ventas_b_mes1255[[#This Row],[TOTAL]]/1.21</f>
        <v>0</v>
      </c>
      <c r="I1043" s="64">
        <f>ventas_b_mes1255[[#This Row],[IMPORTE NETO]]*0.21</f>
        <v>0</v>
      </c>
      <c r="J1043" s="141"/>
      <c r="K1043" s="141"/>
      <c r="L1043" s="141"/>
      <c r="M1043" s="59"/>
    </row>
    <row r="1044" spans="2:13">
      <c r="B1044" s="135"/>
      <c r="C1044" s="41"/>
      <c r="D1044" s="137"/>
      <c r="E1044" s="138"/>
      <c r="F1044" s="139"/>
      <c r="G1044" s="1" t="str">
        <f>IFERROR(IF(ventas_b_mes1255[[#This Row],[CUIT]]="","-",VLOOKUP(ventas_b_mes1255[[#This Row],[CUIT]],Lista_CUIT[#All],2,0)),"CUIT NO CARGADO")</f>
        <v>-</v>
      </c>
      <c r="H1044" s="100">
        <f>ventas_b_mes1255[[#This Row],[TOTAL]]/1.21</f>
        <v>0</v>
      </c>
      <c r="I1044" s="64">
        <f>ventas_b_mes1255[[#This Row],[IMPORTE NETO]]*0.21</f>
        <v>0</v>
      </c>
      <c r="J1044" s="141"/>
      <c r="K1044" s="141"/>
      <c r="L1044" s="141"/>
      <c r="M1044" s="59"/>
    </row>
    <row r="1045" spans="2:13">
      <c r="B1045" s="135"/>
      <c r="C1045" s="41"/>
      <c r="D1045" s="137"/>
      <c r="E1045" s="138"/>
      <c r="F1045" s="139"/>
      <c r="G1045" s="1" t="str">
        <f>IFERROR(IF(ventas_b_mes1255[[#This Row],[CUIT]]="","-",VLOOKUP(ventas_b_mes1255[[#This Row],[CUIT]],Lista_CUIT[#All],2,0)),"CUIT NO CARGADO")</f>
        <v>-</v>
      </c>
      <c r="H1045" s="100">
        <f>ventas_b_mes1255[[#This Row],[TOTAL]]/1.21</f>
        <v>0</v>
      </c>
      <c r="I1045" s="64">
        <f>ventas_b_mes1255[[#This Row],[IMPORTE NETO]]*0.21</f>
        <v>0</v>
      </c>
      <c r="J1045" s="141"/>
      <c r="K1045" s="141"/>
      <c r="L1045" s="141"/>
      <c r="M1045" s="59"/>
    </row>
    <row r="1046" spans="2:13">
      <c r="B1046" s="135"/>
      <c r="C1046" s="41"/>
      <c r="D1046" s="137"/>
      <c r="E1046" s="138"/>
      <c r="F1046" s="139"/>
      <c r="G1046" s="1" t="str">
        <f>IFERROR(IF(ventas_b_mes1255[[#This Row],[CUIT]]="","-",VLOOKUP(ventas_b_mes1255[[#This Row],[CUIT]],Lista_CUIT[#All],2,0)),"CUIT NO CARGADO")</f>
        <v>-</v>
      </c>
      <c r="H1046" s="100">
        <f>ventas_b_mes1255[[#This Row],[TOTAL]]/1.21</f>
        <v>0</v>
      </c>
      <c r="I1046" s="64">
        <f>ventas_b_mes1255[[#This Row],[IMPORTE NETO]]*0.21</f>
        <v>0</v>
      </c>
      <c r="J1046" s="141"/>
      <c r="K1046" s="141"/>
      <c r="L1046" s="141"/>
      <c r="M1046" s="59"/>
    </row>
    <row r="1047" spans="2:13">
      <c r="B1047" s="135"/>
      <c r="C1047" s="41"/>
      <c r="D1047" s="137"/>
      <c r="E1047" s="138"/>
      <c r="F1047" s="139"/>
      <c r="G1047" s="1" t="str">
        <f>IFERROR(IF(ventas_b_mes1255[[#This Row],[CUIT]]="","-",VLOOKUP(ventas_b_mes1255[[#This Row],[CUIT]],Lista_CUIT[#All],2,0)),"CUIT NO CARGADO")</f>
        <v>-</v>
      </c>
      <c r="H1047" s="100">
        <f>ventas_b_mes1255[[#This Row],[TOTAL]]/1.21</f>
        <v>0</v>
      </c>
      <c r="I1047" s="64">
        <f>ventas_b_mes1255[[#This Row],[IMPORTE NETO]]*0.21</f>
        <v>0</v>
      </c>
      <c r="J1047" s="141"/>
      <c r="K1047" s="141"/>
      <c r="L1047" s="141"/>
      <c r="M1047" s="59"/>
    </row>
    <row r="1048" spans="2:13">
      <c r="B1048" s="135"/>
      <c r="C1048" s="41"/>
      <c r="D1048" s="137"/>
      <c r="E1048" s="138"/>
      <c r="F1048" s="139"/>
      <c r="G1048" s="1" t="str">
        <f>IFERROR(IF(ventas_b_mes1255[[#This Row],[CUIT]]="","-",VLOOKUP(ventas_b_mes1255[[#This Row],[CUIT]],Lista_CUIT[#All],2,0)),"CUIT NO CARGADO")</f>
        <v>-</v>
      </c>
      <c r="H1048" s="100">
        <f>ventas_b_mes1255[[#This Row],[TOTAL]]/1.21</f>
        <v>0</v>
      </c>
      <c r="I1048" s="64">
        <f>ventas_b_mes1255[[#This Row],[IMPORTE NETO]]*0.21</f>
        <v>0</v>
      </c>
      <c r="J1048" s="141"/>
      <c r="K1048" s="141"/>
      <c r="L1048" s="141"/>
      <c r="M1048" s="59"/>
    </row>
    <row r="1049" spans="2:13">
      <c r="B1049" s="135"/>
      <c r="C1049" s="41"/>
      <c r="D1049" s="137"/>
      <c r="E1049" s="138"/>
      <c r="F1049" s="139"/>
      <c r="G1049" s="1" t="str">
        <f>IFERROR(IF(ventas_b_mes1255[[#This Row],[CUIT]]="","-",VLOOKUP(ventas_b_mes1255[[#This Row],[CUIT]],Lista_CUIT[#All],2,0)),"CUIT NO CARGADO")</f>
        <v>-</v>
      </c>
      <c r="H1049" s="100">
        <f>ventas_b_mes1255[[#This Row],[TOTAL]]/1.21</f>
        <v>0</v>
      </c>
      <c r="I1049" s="64">
        <f>ventas_b_mes1255[[#This Row],[IMPORTE NETO]]*0.21</f>
        <v>0</v>
      </c>
      <c r="J1049" s="141"/>
      <c r="K1049" s="141"/>
      <c r="L1049" s="141"/>
      <c r="M1049" s="59"/>
    </row>
    <row r="1050" spans="2:13">
      <c r="B1050" s="135"/>
      <c r="C1050" s="41"/>
      <c r="D1050" s="137"/>
      <c r="E1050" s="138"/>
      <c r="F1050" s="139"/>
      <c r="G1050" s="1" t="str">
        <f>IFERROR(IF(ventas_b_mes1255[[#This Row],[CUIT]]="","-",VLOOKUP(ventas_b_mes1255[[#This Row],[CUIT]],Lista_CUIT[#All],2,0)),"CUIT NO CARGADO")</f>
        <v>-</v>
      </c>
      <c r="H1050" s="100">
        <f>ventas_b_mes1255[[#This Row],[TOTAL]]/1.21</f>
        <v>0</v>
      </c>
      <c r="I1050" s="64">
        <f>ventas_b_mes1255[[#This Row],[IMPORTE NETO]]*0.21</f>
        <v>0</v>
      </c>
      <c r="J1050" s="141"/>
      <c r="K1050" s="141"/>
      <c r="L1050" s="141"/>
      <c r="M1050" s="59"/>
    </row>
    <row r="1051" spans="2:13">
      <c r="B1051" s="135"/>
      <c r="C1051" s="41"/>
      <c r="D1051" s="137"/>
      <c r="E1051" s="138"/>
      <c r="F1051" s="139"/>
      <c r="G1051" s="1" t="str">
        <f>IFERROR(IF(ventas_b_mes1255[[#This Row],[CUIT]]="","-",VLOOKUP(ventas_b_mes1255[[#This Row],[CUIT]],Lista_CUIT[#All],2,0)),"CUIT NO CARGADO")</f>
        <v>-</v>
      </c>
      <c r="H1051" s="100">
        <f>ventas_b_mes1255[[#This Row],[TOTAL]]/1.21</f>
        <v>0</v>
      </c>
      <c r="I1051" s="64">
        <f>ventas_b_mes1255[[#This Row],[IMPORTE NETO]]*0.21</f>
        <v>0</v>
      </c>
      <c r="J1051" s="141"/>
      <c r="K1051" s="141"/>
      <c r="L1051" s="141"/>
      <c r="M1051" s="59"/>
    </row>
    <row r="1052" spans="2:13">
      <c r="B1052" s="135"/>
      <c r="C1052" s="41"/>
      <c r="D1052" s="137"/>
      <c r="E1052" s="138"/>
      <c r="F1052" s="139"/>
      <c r="G1052" s="1" t="str">
        <f>IFERROR(IF(ventas_b_mes1255[[#This Row],[CUIT]]="","-",VLOOKUP(ventas_b_mes1255[[#This Row],[CUIT]],Lista_CUIT[#All],2,0)),"CUIT NO CARGADO")</f>
        <v>-</v>
      </c>
      <c r="H1052" s="100">
        <f>ventas_b_mes1255[[#This Row],[TOTAL]]/1.21</f>
        <v>0</v>
      </c>
      <c r="I1052" s="64">
        <f>ventas_b_mes1255[[#This Row],[IMPORTE NETO]]*0.21</f>
        <v>0</v>
      </c>
      <c r="J1052" s="141"/>
      <c r="K1052" s="141"/>
      <c r="L1052" s="141"/>
      <c r="M1052" s="59"/>
    </row>
    <row r="1053" spans="2:13">
      <c r="B1053" s="135"/>
      <c r="C1053" s="41"/>
      <c r="D1053" s="137"/>
      <c r="E1053" s="138"/>
      <c r="F1053" s="139"/>
      <c r="G1053" s="1" t="str">
        <f>IFERROR(IF(ventas_b_mes1255[[#This Row],[CUIT]]="","-",VLOOKUP(ventas_b_mes1255[[#This Row],[CUIT]],Lista_CUIT[#All],2,0)),"CUIT NO CARGADO")</f>
        <v>-</v>
      </c>
      <c r="H1053" s="100">
        <f>ventas_b_mes1255[[#This Row],[TOTAL]]/1.21</f>
        <v>0</v>
      </c>
      <c r="I1053" s="64">
        <f>ventas_b_mes1255[[#This Row],[IMPORTE NETO]]*0.21</f>
        <v>0</v>
      </c>
      <c r="J1053" s="141"/>
      <c r="K1053" s="141"/>
      <c r="L1053" s="141"/>
      <c r="M1053" s="59"/>
    </row>
    <row r="1054" spans="2:13">
      <c r="B1054" s="135"/>
      <c r="C1054" s="41"/>
      <c r="D1054" s="137"/>
      <c r="E1054" s="138"/>
      <c r="F1054" s="139"/>
      <c r="G1054" s="1" t="str">
        <f>IFERROR(IF(ventas_b_mes1255[[#This Row],[CUIT]]="","-",VLOOKUP(ventas_b_mes1255[[#This Row],[CUIT]],Lista_CUIT[#All],2,0)),"CUIT NO CARGADO")</f>
        <v>-</v>
      </c>
      <c r="H1054" s="100">
        <f>ventas_b_mes1255[[#This Row],[TOTAL]]/1.21</f>
        <v>0</v>
      </c>
      <c r="I1054" s="64">
        <f>ventas_b_mes1255[[#This Row],[IMPORTE NETO]]*0.21</f>
        <v>0</v>
      </c>
      <c r="J1054" s="141"/>
      <c r="K1054" s="141"/>
      <c r="L1054" s="141"/>
      <c r="M1054" s="59"/>
    </row>
    <row r="1055" spans="2:13">
      <c r="B1055" s="135"/>
      <c r="C1055" s="41"/>
      <c r="D1055" s="137"/>
      <c r="E1055" s="138"/>
      <c r="F1055" s="139"/>
      <c r="G1055" s="1" t="str">
        <f>IFERROR(IF(ventas_b_mes1255[[#This Row],[CUIT]]="","-",VLOOKUP(ventas_b_mes1255[[#This Row],[CUIT]],Lista_CUIT[#All],2,0)),"CUIT NO CARGADO")</f>
        <v>-</v>
      </c>
      <c r="H1055" s="100">
        <f>ventas_b_mes1255[[#This Row],[TOTAL]]/1.21</f>
        <v>0</v>
      </c>
      <c r="I1055" s="64">
        <f>ventas_b_mes1255[[#This Row],[IMPORTE NETO]]*0.21</f>
        <v>0</v>
      </c>
      <c r="J1055" s="141"/>
      <c r="K1055" s="141"/>
      <c r="L1055" s="141"/>
      <c r="M1055" s="59"/>
    </row>
    <row r="1056" spans="2:13">
      <c r="B1056" s="135"/>
      <c r="C1056" s="41"/>
      <c r="D1056" s="137"/>
      <c r="E1056" s="138"/>
      <c r="F1056" s="139"/>
      <c r="G1056" s="1" t="str">
        <f>IFERROR(IF(ventas_b_mes1255[[#This Row],[CUIT]]="","-",VLOOKUP(ventas_b_mes1255[[#This Row],[CUIT]],Lista_CUIT[#All],2,0)),"CUIT NO CARGADO")</f>
        <v>-</v>
      </c>
      <c r="H1056" s="100">
        <f>ventas_b_mes1255[[#This Row],[TOTAL]]/1.21</f>
        <v>0</v>
      </c>
      <c r="I1056" s="64">
        <f>ventas_b_mes1255[[#This Row],[IMPORTE NETO]]*0.21</f>
        <v>0</v>
      </c>
      <c r="J1056" s="141"/>
      <c r="K1056" s="141"/>
      <c r="L1056" s="141"/>
      <c r="M1056" s="59"/>
    </row>
    <row r="1057" spans="2:13">
      <c r="B1057" s="135"/>
      <c r="C1057" s="41"/>
      <c r="D1057" s="137"/>
      <c r="E1057" s="138"/>
      <c r="F1057" s="139"/>
      <c r="G1057" s="1" t="str">
        <f>IFERROR(IF(ventas_b_mes1255[[#This Row],[CUIT]]="","-",VLOOKUP(ventas_b_mes1255[[#This Row],[CUIT]],Lista_CUIT[#All],2,0)),"CUIT NO CARGADO")</f>
        <v>-</v>
      </c>
      <c r="H1057" s="100">
        <f>ventas_b_mes1255[[#This Row],[TOTAL]]/1.21</f>
        <v>0</v>
      </c>
      <c r="I1057" s="64">
        <f>ventas_b_mes1255[[#This Row],[IMPORTE NETO]]*0.21</f>
        <v>0</v>
      </c>
      <c r="J1057" s="141"/>
      <c r="K1057" s="141"/>
      <c r="L1057" s="141"/>
      <c r="M1057" s="59"/>
    </row>
    <row r="1058" spans="2:13">
      <c r="B1058" s="135"/>
      <c r="C1058" s="41"/>
      <c r="D1058" s="137"/>
      <c r="E1058" s="138"/>
      <c r="F1058" s="139"/>
      <c r="G1058" s="1" t="str">
        <f>IFERROR(IF(ventas_b_mes1255[[#This Row],[CUIT]]="","-",VLOOKUP(ventas_b_mes1255[[#This Row],[CUIT]],Lista_CUIT[#All],2,0)),"CUIT NO CARGADO")</f>
        <v>-</v>
      </c>
      <c r="H1058" s="100">
        <f>ventas_b_mes1255[[#This Row],[TOTAL]]/1.21</f>
        <v>0</v>
      </c>
      <c r="I1058" s="64">
        <f>ventas_b_mes1255[[#This Row],[IMPORTE NETO]]*0.21</f>
        <v>0</v>
      </c>
      <c r="J1058" s="141"/>
      <c r="K1058" s="141"/>
      <c r="L1058" s="141"/>
      <c r="M1058" s="59"/>
    </row>
    <row r="1059" spans="2:13">
      <c r="B1059" s="135"/>
      <c r="C1059" s="41"/>
      <c r="D1059" s="137"/>
      <c r="E1059" s="138"/>
      <c r="F1059" s="139"/>
      <c r="G1059" s="1" t="str">
        <f>IFERROR(IF(ventas_b_mes1255[[#This Row],[CUIT]]="","-",VLOOKUP(ventas_b_mes1255[[#This Row],[CUIT]],Lista_CUIT[#All],2,0)),"CUIT NO CARGADO")</f>
        <v>-</v>
      </c>
      <c r="H1059" s="100">
        <f>ventas_b_mes1255[[#This Row],[TOTAL]]/1.21</f>
        <v>0</v>
      </c>
      <c r="I1059" s="64">
        <f>ventas_b_mes1255[[#This Row],[IMPORTE NETO]]*0.21</f>
        <v>0</v>
      </c>
      <c r="J1059" s="141"/>
      <c r="K1059" s="141"/>
      <c r="L1059" s="141"/>
      <c r="M1059" s="59"/>
    </row>
    <row r="1060" spans="2:13">
      <c r="B1060" s="135"/>
      <c r="C1060" s="41"/>
      <c r="D1060" s="137"/>
      <c r="E1060" s="138"/>
      <c r="F1060" s="139"/>
      <c r="G1060" s="1" t="str">
        <f>IFERROR(IF(ventas_b_mes1255[[#This Row],[CUIT]]="","-",VLOOKUP(ventas_b_mes1255[[#This Row],[CUIT]],Lista_CUIT[#All],2,0)),"CUIT NO CARGADO")</f>
        <v>-</v>
      </c>
      <c r="H1060" s="100">
        <f>ventas_b_mes1255[[#This Row],[TOTAL]]/1.21</f>
        <v>0</v>
      </c>
      <c r="I1060" s="64">
        <f>ventas_b_mes1255[[#This Row],[IMPORTE NETO]]*0.21</f>
        <v>0</v>
      </c>
      <c r="J1060" s="141"/>
      <c r="K1060" s="141"/>
      <c r="L1060" s="141"/>
      <c r="M1060" s="59"/>
    </row>
    <row r="1061" spans="2:13">
      <c r="B1061" s="135"/>
      <c r="C1061" s="41"/>
      <c r="D1061" s="137"/>
      <c r="E1061" s="138"/>
      <c r="F1061" s="139"/>
      <c r="G1061" s="1" t="str">
        <f>IFERROR(IF(ventas_b_mes1255[[#This Row],[CUIT]]="","-",VLOOKUP(ventas_b_mes1255[[#This Row],[CUIT]],Lista_CUIT[#All],2,0)),"CUIT NO CARGADO")</f>
        <v>-</v>
      </c>
      <c r="H1061" s="100">
        <f>ventas_b_mes1255[[#This Row],[TOTAL]]/1.21</f>
        <v>0</v>
      </c>
      <c r="I1061" s="64">
        <f>ventas_b_mes1255[[#This Row],[IMPORTE NETO]]*0.21</f>
        <v>0</v>
      </c>
      <c r="J1061" s="141"/>
      <c r="K1061" s="141"/>
      <c r="L1061" s="141"/>
      <c r="M1061" s="59"/>
    </row>
    <row r="1062" spans="2:13">
      <c r="B1062" s="135"/>
      <c r="C1062" s="41"/>
      <c r="D1062" s="137"/>
      <c r="E1062" s="138"/>
      <c r="F1062" s="139"/>
      <c r="G1062" s="1" t="str">
        <f>IFERROR(IF(ventas_b_mes1255[[#This Row],[CUIT]]="","-",VLOOKUP(ventas_b_mes1255[[#This Row],[CUIT]],Lista_CUIT[#All],2,0)),"CUIT NO CARGADO")</f>
        <v>-</v>
      </c>
      <c r="H1062" s="100">
        <f>ventas_b_mes1255[[#This Row],[TOTAL]]/1.21</f>
        <v>0</v>
      </c>
      <c r="I1062" s="64">
        <f>ventas_b_mes1255[[#This Row],[IMPORTE NETO]]*0.21</f>
        <v>0</v>
      </c>
      <c r="J1062" s="141"/>
      <c r="K1062" s="141"/>
      <c r="L1062" s="141"/>
      <c r="M1062" s="59"/>
    </row>
    <row r="1063" spans="2:13">
      <c r="B1063" s="135"/>
      <c r="C1063" s="41"/>
      <c r="D1063" s="137"/>
      <c r="E1063" s="138"/>
      <c r="F1063" s="139"/>
      <c r="G1063" s="1" t="str">
        <f>IFERROR(IF(ventas_b_mes1255[[#This Row],[CUIT]]="","-",VLOOKUP(ventas_b_mes1255[[#This Row],[CUIT]],Lista_CUIT[#All],2,0)),"CUIT NO CARGADO")</f>
        <v>-</v>
      </c>
      <c r="H1063" s="100">
        <f>ventas_b_mes1255[[#This Row],[TOTAL]]/1.21</f>
        <v>0</v>
      </c>
      <c r="I1063" s="64">
        <f>ventas_b_mes1255[[#This Row],[IMPORTE NETO]]*0.21</f>
        <v>0</v>
      </c>
      <c r="J1063" s="141"/>
      <c r="K1063" s="141"/>
      <c r="L1063" s="141"/>
      <c r="M1063" s="59"/>
    </row>
    <row r="1064" spans="2:13">
      <c r="B1064" s="135"/>
      <c r="C1064" s="41"/>
      <c r="D1064" s="137"/>
      <c r="E1064" s="138"/>
      <c r="F1064" s="139"/>
      <c r="G1064" s="1" t="str">
        <f>IFERROR(IF(ventas_b_mes1255[[#This Row],[CUIT]]="","-",VLOOKUP(ventas_b_mes1255[[#This Row],[CUIT]],Lista_CUIT[#All],2,0)),"CUIT NO CARGADO")</f>
        <v>-</v>
      </c>
      <c r="H1064" s="100">
        <f>ventas_b_mes1255[[#This Row],[TOTAL]]/1.21</f>
        <v>0</v>
      </c>
      <c r="I1064" s="64">
        <f>ventas_b_mes1255[[#This Row],[IMPORTE NETO]]*0.21</f>
        <v>0</v>
      </c>
      <c r="J1064" s="141"/>
      <c r="K1064" s="141"/>
      <c r="L1064" s="141"/>
      <c r="M1064" s="59"/>
    </row>
    <row r="1065" spans="2:13">
      <c r="B1065" s="135"/>
      <c r="C1065" s="41"/>
      <c r="D1065" s="137"/>
      <c r="E1065" s="138"/>
      <c r="F1065" s="139"/>
      <c r="G1065" s="1" t="str">
        <f>IFERROR(IF(ventas_b_mes1255[[#This Row],[CUIT]]="","-",VLOOKUP(ventas_b_mes1255[[#This Row],[CUIT]],Lista_CUIT[#All],2,0)),"CUIT NO CARGADO")</f>
        <v>-</v>
      </c>
      <c r="H1065" s="100">
        <f>ventas_b_mes1255[[#This Row],[TOTAL]]/1.21</f>
        <v>0</v>
      </c>
      <c r="I1065" s="64">
        <f>ventas_b_mes1255[[#This Row],[IMPORTE NETO]]*0.21</f>
        <v>0</v>
      </c>
      <c r="J1065" s="141"/>
      <c r="K1065" s="141"/>
      <c r="L1065" s="141"/>
      <c r="M1065" s="59"/>
    </row>
    <row r="1066" spans="2:13">
      <c r="B1066" s="135"/>
      <c r="C1066" s="41"/>
      <c r="D1066" s="137"/>
      <c r="E1066" s="138"/>
      <c r="F1066" s="139"/>
      <c r="G1066" s="1" t="str">
        <f>IFERROR(IF(ventas_b_mes1255[[#This Row],[CUIT]]="","-",VLOOKUP(ventas_b_mes1255[[#This Row],[CUIT]],Lista_CUIT[#All],2,0)),"CUIT NO CARGADO")</f>
        <v>-</v>
      </c>
      <c r="H1066" s="100">
        <f>ventas_b_mes1255[[#This Row],[TOTAL]]/1.21</f>
        <v>0</v>
      </c>
      <c r="I1066" s="64">
        <f>ventas_b_mes1255[[#This Row],[IMPORTE NETO]]*0.21</f>
        <v>0</v>
      </c>
      <c r="J1066" s="141"/>
      <c r="K1066" s="141"/>
      <c r="L1066" s="141"/>
      <c r="M1066" s="59"/>
    </row>
    <row r="1067" spans="2:13">
      <c r="B1067" s="135"/>
      <c r="C1067" s="41"/>
      <c r="D1067" s="137"/>
      <c r="E1067" s="138"/>
      <c r="F1067" s="139"/>
      <c r="G1067" s="1" t="str">
        <f>IFERROR(IF(ventas_b_mes1255[[#This Row],[CUIT]]="","-",VLOOKUP(ventas_b_mes1255[[#This Row],[CUIT]],Lista_CUIT[#All],2,0)),"CUIT NO CARGADO")</f>
        <v>-</v>
      </c>
      <c r="H1067" s="100">
        <f>ventas_b_mes1255[[#This Row],[TOTAL]]/1.21</f>
        <v>0</v>
      </c>
      <c r="I1067" s="64">
        <f>ventas_b_mes1255[[#This Row],[IMPORTE NETO]]*0.21</f>
        <v>0</v>
      </c>
      <c r="J1067" s="141"/>
      <c r="K1067" s="141"/>
      <c r="L1067" s="141"/>
      <c r="M1067" s="59"/>
    </row>
    <row r="1068" spans="2:13">
      <c r="B1068" s="135"/>
      <c r="C1068" s="41"/>
      <c r="D1068" s="137"/>
      <c r="E1068" s="138"/>
      <c r="F1068" s="139"/>
      <c r="G1068" s="1" t="str">
        <f>IFERROR(IF(ventas_b_mes1255[[#This Row],[CUIT]]="","-",VLOOKUP(ventas_b_mes1255[[#This Row],[CUIT]],Lista_CUIT[#All],2,0)),"CUIT NO CARGADO")</f>
        <v>-</v>
      </c>
      <c r="H1068" s="100">
        <f>ventas_b_mes1255[[#This Row],[TOTAL]]/1.21</f>
        <v>0</v>
      </c>
      <c r="I1068" s="64">
        <f>ventas_b_mes1255[[#This Row],[IMPORTE NETO]]*0.21</f>
        <v>0</v>
      </c>
      <c r="J1068" s="141"/>
      <c r="K1068" s="141"/>
      <c r="L1068" s="141"/>
      <c r="M1068" s="59"/>
    </row>
    <row r="1069" spans="2:13">
      <c r="B1069" s="135"/>
      <c r="C1069" s="41"/>
      <c r="D1069" s="137"/>
      <c r="E1069" s="138"/>
      <c r="F1069" s="139"/>
      <c r="G1069" s="1" t="str">
        <f>IFERROR(IF(ventas_b_mes1255[[#This Row],[CUIT]]="","-",VLOOKUP(ventas_b_mes1255[[#This Row],[CUIT]],Lista_CUIT[#All],2,0)),"CUIT NO CARGADO")</f>
        <v>-</v>
      </c>
      <c r="H1069" s="100">
        <f>ventas_b_mes1255[[#This Row],[TOTAL]]/1.21</f>
        <v>0</v>
      </c>
      <c r="I1069" s="64">
        <f>ventas_b_mes1255[[#This Row],[IMPORTE NETO]]*0.21</f>
        <v>0</v>
      </c>
      <c r="J1069" s="141"/>
      <c r="K1069" s="141"/>
      <c r="L1069" s="141"/>
      <c r="M1069" s="59"/>
    </row>
    <row r="1070" spans="2:13">
      <c r="B1070" s="135"/>
      <c r="C1070" s="41"/>
      <c r="D1070" s="137"/>
      <c r="E1070" s="138"/>
      <c r="F1070" s="139"/>
      <c r="G1070" s="1" t="str">
        <f>IFERROR(IF(ventas_b_mes1255[[#This Row],[CUIT]]="","-",VLOOKUP(ventas_b_mes1255[[#This Row],[CUIT]],Lista_CUIT[#All],2,0)),"CUIT NO CARGADO")</f>
        <v>-</v>
      </c>
      <c r="H1070" s="100">
        <f>ventas_b_mes1255[[#This Row],[TOTAL]]/1.21</f>
        <v>0</v>
      </c>
      <c r="I1070" s="64">
        <f>ventas_b_mes1255[[#This Row],[IMPORTE NETO]]*0.21</f>
        <v>0</v>
      </c>
      <c r="J1070" s="141"/>
      <c r="K1070" s="141"/>
      <c r="L1070" s="141"/>
      <c r="M1070" s="59"/>
    </row>
    <row r="1071" spans="2:13">
      <c r="B1071" s="135"/>
      <c r="C1071" s="41"/>
      <c r="D1071" s="137"/>
      <c r="E1071" s="138"/>
      <c r="F1071" s="139"/>
      <c r="G1071" s="1" t="str">
        <f>IFERROR(IF(ventas_b_mes1255[[#This Row],[CUIT]]="","-",VLOOKUP(ventas_b_mes1255[[#This Row],[CUIT]],Lista_CUIT[#All],2,0)),"CUIT NO CARGADO")</f>
        <v>-</v>
      </c>
      <c r="H1071" s="100">
        <f>ventas_b_mes1255[[#This Row],[TOTAL]]/1.21</f>
        <v>0</v>
      </c>
      <c r="I1071" s="64">
        <f>ventas_b_mes1255[[#This Row],[IMPORTE NETO]]*0.21</f>
        <v>0</v>
      </c>
      <c r="J1071" s="141"/>
      <c r="K1071" s="141"/>
      <c r="L1071" s="141"/>
      <c r="M1071" s="59"/>
    </row>
    <row r="1072" spans="2:13">
      <c r="B1072" s="135"/>
      <c r="C1072" s="41"/>
      <c r="D1072" s="137"/>
      <c r="E1072" s="138"/>
      <c r="F1072" s="139"/>
      <c r="G1072" s="1" t="str">
        <f>IFERROR(IF(ventas_b_mes1255[[#This Row],[CUIT]]="","-",VLOOKUP(ventas_b_mes1255[[#This Row],[CUIT]],Lista_CUIT[#All],2,0)),"CUIT NO CARGADO")</f>
        <v>-</v>
      </c>
      <c r="H1072" s="100">
        <f>ventas_b_mes1255[[#This Row],[TOTAL]]/1.21</f>
        <v>0</v>
      </c>
      <c r="I1072" s="64">
        <f>ventas_b_mes1255[[#This Row],[IMPORTE NETO]]*0.21</f>
        <v>0</v>
      </c>
      <c r="J1072" s="141"/>
      <c r="K1072" s="141"/>
      <c r="L1072" s="141"/>
      <c r="M1072" s="59"/>
    </row>
    <row r="1073" spans="2:13">
      <c r="B1073" s="135"/>
      <c r="C1073" s="41"/>
      <c r="D1073" s="137"/>
      <c r="E1073" s="138"/>
      <c r="F1073" s="139"/>
      <c r="G1073" s="1" t="str">
        <f>IFERROR(IF(ventas_b_mes1255[[#This Row],[CUIT]]="","-",VLOOKUP(ventas_b_mes1255[[#This Row],[CUIT]],Lista_CUIT[#All],2,0)),"CUIT NO CARGADO")</f>
        <v>-</v>
      </c>
      <c r="H1073" s="100">
        <f>ventas_b_mes1255[[#This Row],[TOTAL]]/1.21</f>
        <v>0</v>
      </c>
      <c r="I1073" s="64">
        <f>ventas_b_mes1255[[#This Row],[IMPORTE NETO]]*0.21</f>
        <v>0</v>
      </c>
      <c r="J1073" s="141"/>
      <c r="K1073" s="141"/>
      <c r="L1073" s="141"/>
      <c r="M1073" s="59"/>
    </row>
    <row r="1074" spans="2:13">
      <c r="B1074" s="135"/>
      <c r="C1074" s="41"/>
      <c r="D1074" s="137"/>
      <c r="E1074" s="138"/>
      <c r="F1074" s="139"/>
      <c r="G1074" s="1" t="str">
        <f>IFERROR(IF(ventas_b_mes1255[[#This Row],[CUIT]]="","-",VLOOKUP(ventas_b_mes1255[[#This Row],[CUIT]],Lista_CUIT[#All],2,0)),"CUIT NO CARGADO")</f>
        <v>-</v>
      </c>
      <c r="H1074" s="100">
        <f>ventas_b_mes1255[[#This Row],[TOTAL]]/1.21</f>
        <v>0</v>
      </c>
      <c r="I1074" s="64">
        <f>ventas_b_mes1255[[#This Row],[IMPORTE NETO]]*0.21</f>
        <v>0</v>
      </c>
      <c r="J1074" s="141"/>
      <c r="K1074" s="141"/>
      <c r="L1074" s="141"/>
      <c r="M1074" s="59"/>
    </row>
    <row r="1075" spans="2:13">
      <c r="B1075" s="135"/>
      <c r="C1075" s="41"/>
      <c r="D1075" s="137"/>
      <c r="E1075" s="138"/>
      <c r="F1075" s="139"/>
      <c r="G1075" s="1" t="str">
        <f>IFERROR(IF(ventas_b_mes1255[[#This Row],[CUIT]]="","-",VLOOKUP(ventas_b_mes1255[[#This Row],[CUIT]],Lista_CUIT[#All],2,0)),"CUIT NO CARGADO")</f>
        <v>-</v>
      </c>
      <c r="H1075" s="100">
        <f>ventas_b_mes1255[[#This Row],[TOTAL]]/1.21</f>
        <v>0</v>
      </c>
      <c r="I1075" s="64">
        <f>ventas_b_mes1255[[#This Row],[IMPORTE NETO]]*0.21</f>
        <v>0</v>
      </c>
      <c r="J1075" s="141"/>
      <c r="K1075" s="141"/>
      <c r="L1075" s="141"/>
      <c r="M1075" s="59"/>
    </row>
    <row r="1076" spans="2:13">
      <c r="B1076" s="135"/>
      <c r="C1076" s="41"/>
      <c r="D1076" s="137"/>
      <c r="E1076" s="138"/>
      <c r="F1076" s="139"/>
      <c r="G1076" s="1" t="str">
        <f>IFERROR(IF(ventas_b_mes1255[[#This Row],[CUIT]]="","-",VLOOKUP(ventas_b_mes1255[[#This Row],[CUIT]],Lista_CUIT[#All],2,0)),"CUIT NO CARGADO")</f>
        <v>-</v>
      </c>
      <c r="H1076" s="100">
        <f>ventas_b_mes1255[[#This Row],[TOTAL]]/1.21</f>
        <v>0</v>
      </c>
      <c r="I1076" s="64">
        <f>ventas_b_mes1255[[#This Row],[IMPORTE NETO]]*0.21</f>
        <v>0</v>
      </c>
      <c r="J1076" s="141"/>
      <c r="K1076" s="141"/>
      <c r="L1076" s="141"/>
      <c r="M1076" s="59"/>
    </row>
    <row r="1077" spans="2:13">
      <c r="B1077" s="135"/>
      <c r="C1077" s="41"/>
      <c r="D1077" s="137"/>
      <c r="E1077" s="138"/>
      <c r="F1077" s="139"/>
      <c r="G1077" s="1" t="str">
        <f>IFERROR(IF(ventas_b_mes1255[[#This Row],[CUIT]]="","-",VLOOKUP(ventas_b_mes1255[[#This Row],[CUIT]],Lista_CUIT[#All],2,0)),"CUIT NO CARGADO")</f>
        <v>-</v>
      </c>
      <c r="H1077" s="100">
        <f>ventas_b_mes1255[[#This Row],[TOTAL]]/1.21</f>
        <v>0</v>
      </c>
      <c r="I1077" s="64">
        <f>ventas_b_mes1255[[#This Row],[IMPORTE NETO]]*0.21</f>
        <v>0</v>
      </c>
      <c r="J1077" s="141"/>
      <c r="K1077" s="141"/>
      <c r="L1077" s="141"/>
      <c r="M1077" s="59"/>
    </row>
    <row r="1078" spans="2:13">
      <c r="B1078" s="135"/>
      <c r="C1078" s="41"/>
      <c r="D1078" s="137"/>
      <c r="E1078" s="138"/>
      <c r="F1078" s="139"/>
      <c r="G1078" s="1" t="str">
        <f>IFERROR(IF(ventas_b_mes1255[[#This Row],[CUIT]]="","-",VLOOKUP(ventas_b_mes1255[[#This Row],[CUIT]],Lista_CUIT[#All],2,0)),"CUIT NO CARGADO")</f>
        <v>-</v>
      </c>
      <c r="H1078" s="100">
        <f>ventas_b_mes1255[[#This Row],[TOTAL]]/1.21</f>
        <v>0</v>
      </c>
      <c r="I1078" s="64">
        <f>ventas_b_mes1255[[#This Row],[IMPORTE NETO]]*0.21</f>
        <v>0</v>
      </c>
      <c r="J1078" s="141"/>
      <c r="K1078" s="141"/>
      <c r="L1078" s="141"/>
      <c r="M1078" s="59"/>
    </row>
    <row r="1079" spans="2:13">
      <c r="B1079" s="135"/>
      <c r="C1079" s="41"/>
      <c r="D1079" s="137"/>
      <c r="E1079" s="138"/>
      <c r="F1079" s="139"/>
      <c r="G1079" s="1" t="str">
        <f>IFERROR(IF(ventas_b_mes1255[[#This Row],[CUIT]]="","-",VLOOKUP(ventas_b_mes1255[[#This Row],[CUIT]],Lista_CUIT[#All],2,0)),"CUIT NO CARGADO")</f>
        <v>-</v>
      </c>
      <c r="H1079" s="100">
        <f>ventas_b_mes1255[[#This Row],[TOTAL]]/1.21</f>
        <v>0</v>
      </c>
      <c r="I1079" s="64">
        <f>ventas_b_mes1255[[#This Row],[IMPORTE NETO]]*0.21</f>
        <v>0</v>
      </c>
      <c r="J1079" s="141"/>
      <c r="K1079" s="141"/>
      <c r="L1079" s="141"/>
      <c r="M1079" s="59"/>
    </row>
    <row r="1080" spans="2:13">
      <c r="B1080" s="135"/>
      <c r="C1080" s="41"/>
      <c r="D1080" s="137"/>
      <c r="E1080" s="138"/>
      <c r="F1080" s="139"/>
      <c r="G1080" s="1" t="str">
        <f>IFERROR(IF(ventas_b_mes1255[[#This Row],[CUIT]]="","-",VLOOKUP(ventas_b_mes1255[[#This Row],[CUIT]],Lista_CUIT[#All],2,0)),"CUIT NO CARGADO")</f>
        <v>-</v>
      </c>
      <c r="H1080" s="100">
        <f>ventas_b_mes1255[[#This Row],[TOTAL]]/1.21</f>
        <v>0</v>
      </c>
      <c r="I1080" s="64">
        <f>ventas_b_mes1255[[#This Row],[IMPORTE NETO]]*0.21</f>
        <v>0</v>
      </c>
      <c r="J1080" s="141"/>
      <c r="K1080" s="141"/>
      <c r="L1080" s="141"/>
      <c r="M1080" s="59"/>
    </row>
    <row r="1081" spans="2:13">
      <c r="B1081" s="135"/>
      <c r="C1081" s="41"/>
      <c r="D1081" s="137"/>
      <c r="E1081" s="138"/>
      <c r="F1081" s="139"/>
      <c r="G1081" s="1" t="str">
        <f>IFERROR(IF(ventas_b_mes1255[[#This Row],[CUIT]]="","-",VLOOKUP(ventas_b_mes1255[[#This Row],[CUIT]],Lista_CUIT[#All],2,0)),"CUIT NO CARGADO")</f>
        <v>-</v>
      </c>
      <c r="H1081" s="100">
        <f>ventas_b_mes1255[[#This Row],[TOTAL]]/1.21</f>
        <v>0</v>
      </c>
      <c r="I1081" s="64">
        <f>ventas_b_mes1255[[#This Row],[IMPORTE NETO]]*0.21</f>
        <v>0</v>
      </c>
      <c r="J1081" s="141"/>
      <c r="K1081" s="141"/>
      <c r="L1081" s="141"/>
      <c r="M1081" s="59"/>
    </row>
    <row r="1082" spans="2:13">
      <c r="B1082" s="135"/>
      <c r="C1082" s="41"/>
      <c r="D1082" s="137"/>
      <c r="E1082" s="138"/>
      <c r="F1082" s="139"/>
      <c r="G1082" s="1" t="str">
        <f>IFERROR(IF(ventas_b_mes1255[[#This Row],[CUIT]]="","-",VLOOKUP(ventas_b_mes1255[[#This Row],[CUIT]],Lista_CUIT[#All],2,0)),"CUIT NO CARGADO")</f>
        <v>-</v>
      </c>
      <c r="H1082" s="100">
        <f>ventas_b_mes1255[[#This Row],[TOTAL]]/1.21</f>
        <v>0</v>
      </c>
      <c r="I1082" s="64">
        <f>ventas_b_mes1255[[#This Row],[IMPORTE NETO]]*0.21</f>
        <v>0</v>
      </c>
      <c r="J1082" s="141"/>
      <c r="K1082" s="141"/>
      <c r="L1082" s="141"/>
      <c r="M1082" s="59"/>
    </row>
    <row r="1083" spans="2:13">
      <c r="B1083" s="135"/>
      <c r="C1083" s="41"/>
      <c r="D1083" s="137"/>
      <c r="E1083" s="138"/>
      <c r="F1083" s="139"/>
      <c r="G1083" s="1" t="str">
        <f>IFERROR(IF(ventas_b_mes1255[[#This Row],[CUIT]]="","-",VLOOKUP(ventas_b_mes1255[[#This Row],[CUIT]],Lista_CUIT[#All],2,0)),"CUIT NO CARGADO")</f>
        <v>-</v>
      </c>
      <c r="H1083" s="100">
        <f>ventas_b_mes1255[[#This Row],[TOTAL]]/1.21</f>
        <v>0</v>
      </c>
      <c r="I1083" s="64">
        <f>ventas_b_mes1255[[#This Row],[IMPORTE NETO]]*0.21</f>
        <v>0</v>
      </c>
      <c r="J1083" s="141"/>
      <c r="K1083" s="141"/>
      <c r="L1083" s="141"/>
      <c r="M1083" s="59"/>
    </row>
    <row r="1084" spans="2:13">
      <c r="B1084" s="135"/>
      <c r="C1084" s="41"/>
      <c r="D1084" s="137"/>
      <c r="E1084" s="138"/>
      <c r="F1084" s="139"/>
      <c r="G1084" s="1" t="str">
        <f>IFERROR(IF(ventas_b_mes1255[[#This Row],[CUIT]]="","-",VLOOKUP(ventas_b_mes1255[[#This Row],[CUIT]],Lista_CUIT[#All],2,0)),"CUIT NO CARGADO")</f>
        <v>-</v>
      </c>
      <c r="H1084" s="100">
        <f>ventas_b_mes1255[[#This Row],[TOTAL]]/1.21</f>
        <v>0</v>
      </c>
      <c r="I1084" s="64">
        <f>ventas_b_mes1255[[#This Row],[IMPORTE NETO]]*0.21</f>
        <v>0</v>
      </c>
      <c r="J1084" s="141"/>
      <c r="K1084" s="141"/>
      <c r="L1084" s="141"/>
      <c r="M1084" s="59"/>
    </row>
    <row r="1085" spans="2:13">
      <c r="B1085" s="135"/>
      <c r="C1085" s="41"/>
      <c r="D1085" s="137"/>
      <c r="E1085" s="138"/>
      <c r="F1085" s="139"/>
      <c r="G1085" s="1" t="str">
        <f>IFERROR(IF(ventas_b_mes1255[[#This Row],[CUIT]]="","-",VLOOKUP(ventas_b_mes1255[[#This Row],[CUIT]],Lista_CUIT[#All],2,0)),"CUIT NO CARGADO")</f>
        <v>-</v>
      </c>
      <c r="H1085" s="100">
        <f>ventas_b_mes1255[[#This Row],[TOTAL]]/1.21</f>
        <v>0</v>
      </c>
      <c r="I1085" s="64">
        <f>ventas_b_mes1255[[#This Row],[IMPORTE NETO]]*0.21</f>
        <v>0</v>
      </c>
      <c r="J1085" s="141"/>
      <c r="K1085" s="141"/>
      <c r="L1085" s="141"/>
      <c r="M1085" s="59"/>
    </row>
    <row r="1086" spans="2:13">
      <c r="B1086" s="135"/>
      <c r="C1086" s="41"/>
      <c r="D1086" s="137"/>
      <c r="E1086" s="138"/>
      <c r="F1086" s="139"/>
      <c r="G1086" s="1" t="str">
        <f>IFERROR(IF(ventas_b_mes1255[[#This Row],[CUIT]]="","-",VLOOKUP(ventas_b_mes1255[[#This Row],[CUIT]],Lista_CUIT[#All],2,0)),"CUIT NO CARGADO")</f>
        <v>-</v>
      </c>
      <c r="H1086" s="100">
        <f>ventas_b_mes1255[[#This Row],[TOTAL]]/1.21</f>
        <v>0</v>
      </c>
      <c r="I1086" s="64">
        <f>ventas_b_mes1255[[#This Row],[IMPORTE NETO]]*0.21</f>
        <v>0</v>
      </c>
      <c r="J1086" s="141"/>
      <c r="K1086" s="141"/>
      <c r="L1086" s="141"/>
      <c r="M1086" s="59"/>
    </row>
    <row r="1087" spans="2:13">
      <c r="B1087" s="135"/>
      <c r="C1087" s="41"/>
      <c r="D1087" s="137"/>
      <c r="E1087" s="138"/>
      <c r="F1087" s="139"/>
      <c r="G1087" s="1" t="str">
        <f>IFERROR(IF(ventas_b_mes1255[[#This Row],[CUIT]]="","-",VLOOKUP(ventas_b_mes1255[[#This Row],[CUIT]],Lista_CUIT[#All],2,0)),"CUIT NO CARGADO")</f>
        <v>-</v>
      </c>
      <c r="H1087" s="100">
        <f>ventas_b_mes1255[[#This Row],[TOTAL]]/1.21</f>
        <v>0</v>
      </c>
      <c r="I1087" s="64">
        <f>ventas_b_mes1255[[#This Row],[IMPORTE NETO]]*0.21</f>
        <v>0</v>
      </c>
      <c r="J1087" s="141"/>
      <c r="K1087" s="141"/>
      <c r="L1087" s="141"/>
      <c r="M1087" s="59"/>
    </row>
    <row r="1088" spans="2:13">
      <c r="B1088" s="135"/>
      <c r="C1088" s="41"/>
      <c r="D1088" s="137"/>
      <c r="E1088" s="138"/>
      <c r="F1088" s="139"/>
      <c r="G1088" s="1" t="str">
        <f>IFERROR(IF(ventas_b_mes1255[[#This Row],[CUIT]]="","-",VLOOKUP(ventas_b_mes1255[[#This Row],[CUIT]],Lista_CUIT[#All],2,0)),"CUIT NO CARGADO")</f>
        <v>-</v>
      </c>
      <c r="H1088" s="100">
        <f>ventas_b_mes1255[[#This Row],[TOTAL]]/1.21</f>
        <v>0</v>
      </c>
      <c r="I1088" s="64">
        <f>ventas_b_mes1255[[#This Row],[IMPORTE NETO]]*0.21</f>
        <v>0</v>
      </c>
      <c r="J1088" s="141"/>
      <c r="K1088" s="141"/>
      <c r="L1088" s="141"/>
      <c r="M1088" s="59"/>
    </row>
    <row r="1089" spans="2:13">
      <c r="B1089" s="135"/>
      <c r="C1089" s="41"/>
      <c r="D1089" s="137"/>
      <c r="E1089" s="138"/>
      <c r="F1089" s="139"/>
      <c r="G1089" s="1" t="str">
        <f>IFERROR(IF(ventas_b_mes1255[[#This Row],[CUIT]]="","-",VLOOKUP(ventas_b_mes1255[[#This Row],[CUIT]],Lista_CUIT[#All],2,0)),"CUIT NO CARGADO")</f>
        <v>-</v>
      </c>
      <c r="H1089" s="100">
        <f>ventas_b_mes1255[[#This Row],[TOTAL]]/1.21</f>
        <v>0</v>
      </c>
      <c r="I1089" s="64">
        <f>ventas_b_mes1255[[#This Row],[IMPORTE NETO]]*0.21</f>
        <v>0</v>
      </c>
      <c r="J1089" s="141"/>
      <c r="K1089" s="141"/>
      <c r="L1089" s="141"/>
      <c r="M1089" s="59"/>
    </row>
    <row r="1090" spans="2:13">
      <c r="B1090" s="135"/>
      <c r="C1090" s="41"/>
      <c r="D1090" s="137"/>
      <c r="E1090" s="138"/>
      <c r="F1090" s="139"/>
      <c r="G1090" s="1" t="str">
        <f>IFERROR(IF(ventas_b_mes1255[[#This Row],[CUIT]]="","-",VLOOKUP(ventas_b_mes1255[[#This Row],[CUIT]],Lista_CUIT[#All],2,0)),"CUIT NO CARGADO")</f>
        <v>-</v>
      </c>
      <c r="H1090" s="100">
        <f>ventas_b_mes1255[[#This Row],[TOTAL]]/1.21</f>
        <v>0</v>
      </c>
      <c r="I1090" s="64">
        <f>ventas_b_mes1255[[#This Row],[IMPORTE NETO]]*0.21</f>
        <v>0</v>
      </c>
      <c r="J1090" s="141"/>
      <c r="K1090" s="141"/>
      <c r="L1090" s="141"/>
      <c r="M1090" s="59"/>
    </row>
    <row r="1091" spans="2:13">
      <c r="B1091" s="135"/>
      <c r="C1091" s="41"/>
      <c r="D1091" s="137"/>
      <c r="E1091" s="138"/>
      <c r="F1091" s="139"/>
      <c r="G1091" s="1" t="str">
        <f>IFERROR(IF(ventas_b_mes1255[[#This Row],[CUIT]]="","-",VLOOKUP(ventas_b_mes1255[[#This Row],[CUIT]],Lista_CUIT[#All],2,0)),"CUIT NO CARGADO")</f>
        <v>-</v>
      </c>
      <c r="H1091" s="100">
        <f>ventas_b_mes1255[[#This Row],[TOTAL]]/1.21</f>
        <v>0</v>
      </c>
      <c r="I1091" s="64">
        <f>ventas_b_mes1255[[#This Row],[IMPORTE NETO]]*0.21</f>
        <v>0</v>
      </c>
      <c r="J1091" s="141"/>
      <c r="K1091" s="141"/>
      <c r="L1091" s="141"/>
      <c r="M1091" s="59"/>
    </row>
    <row r="1092" spans="2:13">
      <c r="B1092" s="135"/>
      <c r="C1092" s="41"/>
      <c r="D1092" s="137"/>
      <c r="E1092" s="138"/>
      <c r="F1092" s="139"/>
      <c r="G1092" s="1" t="str">
        <f>IFERROR(IF(ventas_b_mes1255[[#This Row],[CUIT]]="","-",VLOOKUP(ventas_b_mes1255[[#This Row],[CUIT]],Lista_CUIT[#All],2,0)),"CUIT NO CARGADO")</f>
        <v>-</v>
      </c>
      <c r="H1092" s="100">
        <f>ventas_b_mes1255[[#This Row],[TOTAL]]/1.21</f>
        <v>0</v>
      </c>
      <c r="I1092" s="64">
        <f>ventas_b_mes1255[[#This Row],[IMPORTE NETO]]*0.21</f>
        <v>0</v>
      </c>
      <c r="J1092" s="141"/>
      <c r="K1092" s="141"/>
      <c r="L1092" s="141"/>
      <c r="M1092" s="59"/>
    </row>
    <row r="1093" spans="2:13">
      <c r="B1093" s="135"/>
      <c r="C1093" s="41"/>
      <c r="D1093" s="137"/>
      <c r="E1093" s="138"/>
      <c r="F1093" s="139"/>
      <c r="G1093" s="1" t="str">
        <f>IFERROR(IF(ventas_b_mes1255[[#This Row],[CUIT]]="","-",VLOOKUP(ventas_b_mes1255[[#This Row],[CUIT]],Lista_CUIT[#All],2,0)),"CUIT NO CARGADO")</f>
        <v>-</v>
      </c>
      <c r="H1093" s="100">
        <f>ventas_b_mes1255[[#This Row],[TOTAL]]/1.21</f>
        <v>0</v>
      </c>
      <c r="I1093" s="64">
        <f>ventas_b_mes1255[[#This Row],[IMPORTE NETO]]*0.21</f>
        <v>0</v>
      </c>
      <c r="J1093" s="141"/>
      <c r="K1093" s="141"/>
      <c r="L1093" s="141"/>
      <c r="M1093" s="59"/>
    </row>
    <row r="1094" spans="2:13">
      <c r="B1094" s="135"/>
      <c r="C1094" s="41"/>
      <c r="D1094" s="137"/>
      <c r="E1094" s="138"/>
      <c r="F1094" s="139"/>
      <c r="G1094" s="1" t="str">
        <f>IFERROR(IF(ventas_b_mes1255[[#This Row],[CUIT]]="","-",VLOOKUP(ventas_b_mes1255[[#This Row],[CUIT]],Lista_CUIT[#All],2,0)),"CUIT NO CARGADO")</f>
        <v>-</v>
      </c>
      <c r="H1094" s="100">
        <f>ventas_b_mes1255[[#This Row],[TOTAL]]/1.21</f>
        <v>0</v>
      </c>
      <c r="I1094" s="64">
        <f>ventas_b_mes1255[[#This Row],[IMPORTE NETO]]*0.21</f>
        <v>0</v>
      </c>
      <c r="J1094" s="141"/>
      <c r="K1094" s="141"/>
      <c r="L1094" s="141"/>
      <c r="M1094" s="59"/>
    </row>
    <row r="1095" spans="2:13">
      <c r="B1095" s="135"/>
      <c r="C1095" s="41"/>
      <c r="D1095" s="137"/>
      <c r="E1095" s="138"/>
      <c r="F1095" s="139"/>
      <c r="G1095" s="1" t="str">
        <f>IFERROR(IF(ventas_b_mes1255[[#This Row],[CUIT]]="","-",VLOOKUP(ventas_b_mes1255[[#This Row],[CUIT]],Lista_CUIT[#All],2,0)),"CUIT NO CARGADO")</f>
        <v>-</v>
      </c>
      <c r="H1095" s="100">
        <f>ventas_b_mes1255[[#This Row],[TOTAL]]/1.21</f>
        <v>0</v>
      </c>
      <c r="I1095" s="64">
        <f>ventas_b_mes1255[[#This Row],[IMPORTE NETO]]*0.21</f>
        <v>0</v>
      </c>
      <c r="J1095" s="141"/>
      <c r="K1095" s="141"/>
      <c r="L1095" s="141"/>
      <c r="M1095" s="59"/>
    </row>
    <row r="1096" spans="2:13">
      <c r="B1096" s="135"/>
      <c r="C1096" s="41"/>
      <c r="D1096" s="137"/>
      <c r="E1096" s="138"/>
      <c r="F1096" s="139"/>
      <c r="G1096" s="1" t="str">
        <f>IFERROR(IF(ventas_b_mes1255[[#This Row],[CUIT]]="","-",VLOOKUP(ventas_b_mes1255[[#This Row],[CUIT]],Lista_CUIT[#All],2,0)),"CUIT NO CARGADO")</f>
        <v>-</v>
      </c>
      <c r="H1096" s="100">
        <f>ventas_b_mes1255[[#This Row],[TOTAL]]/1.21</f>
        <v>0</v>
      </c>
      <c r="I1096" s="64">
        <f>ventas_b_mes1255[[#This Row],[IMPORTE NETO]]*0.21</f>
        <v>0</v>
      </c>
      <c r="J1096" s="141"/>
      <c r="K1096" s="141"/>
      <c r="L1096" s="141"/>
      <c r="M1096" s="59"/>
    </row>
    <row r="1097" spans="2:13">
      <c r="B1097" s="135"/>
      <c r="C1097" s="41"/>
      <c r="D1097" s="137"/>
      <c r="E1097" s="138"/>
      <c r="F1097" s="139"/>
      <c r="G1097" s="1" t="str">
        <f>IFERROR(IF(ventas_b_mes1255[[#This Row],[CUIT]]="","-",VLOOKUP(ventas_b_mes1255[[#This Row],[CUIT]],Lista_CUIT[#All],2,0)),"CUIT NO CARGADO")</f>
        <v>-</v>
      </c>
      <c r="H1097" s="100">
        <f>ventas_b_mes1255[[#This Row],[TOTAL]]/1.21</f>
        <v>0</v>
      </c>
      <c r="I1097" s="64">
        <f>ventas_b_mes1255[[#This Row],[IMPORTE NETO]]*0.21</f>
        <v>0</v>
      </c>
      <c r="J1097" s="141"/>
      <c r="K1097" s="141"/>
      <c r="L1097" s="141"/>
      <c r="M1097" s="59"/>
    </row>
    <row r="1098" spans="2:13">
      <c r="B1098" s="135"/>
      <c r="C1098" s="41"/>
      <c r="D1098" s="137"/>
      <c r="E1098" s="138"/>
      <c r="F1098" s="139"/>
      <c r="G1098" s="1" t="str">
        <f>IFERROR(IF(ventas_b_mes1255[[#This Row],[CUIT]]="","-",VLOOKUP(ventas_b_mes1255[[#This Row],[CUIT]],Lista_CUIT[#All],2,0)),"CUIT NO CARGADO")</f>
        <v>-</v>
      </c>
      <c r="H1098" s="100">
        <f>ventas_b_mes1255[[#This Row],[TOTAL]]/1.21</f>
        <v>0</v>
      </c>
      <c r="I1098" s="64">
        <f>ventas_b_mes1255[[#This Row],[IMPORTE NETO]]*0.21</f>
        <v>0</v>
      </c>
      <c r="J1098" s="141"/>
      <c r="K1098" s="141"/>
      <c r="L1098" s="141"/>
      <c r="M1098" s="59"/>
    </row>
    <row r="1099" spans="2:13">
      <c r="B1099" s="135"/>
      <c r="C1099" s="41"/>
      <c r="D1099" s="137"/>
      <c r="E1099" s="138"/>
      <c r="F1099" s="139"/>
      <c r="G1099" s="1" t="str">
        <f>IFERROR(IF(ventas_b_mes1255[[#This Row],[CUIT]]="","-",VLOOKUP(ventas_b_mes1255[[#This Row],[CUIT]],Lista_CUIT[#All],2,0)),"CUIT NO CARGADO")</f>
        <v>-</v>
      </c>
      <c r="H1099" s="100">
        <f>ventas_b_mes1255[[#This Row],[TOTAL]]/1.21</f>
        <v>0</v>
      </c>
      <c r="I1099" s="64">
        <f>ventas_b_mes1255[[#This Row],[IMPORTE NETO]]*0.21</f>
        <v>0</v>
      </c>
      <c r="J1099" s="141"/>
      <c r="K1099" s="141"/>
      <c r="L1099" s="141"/>
      <c r="M1099" s="59"/>
    </row>
    <row r="1100" spans="2:13">
      <c r="B1100" s="135"/>
      <c r="C1100" s="41"/>
      <c r="D1100" s="137"/>
      <c r="E1100" s="138"/>
      <c r="F1100" s="139"/>
      <c r="G1100" s="1" t="str">
        <f>IFERROR(IF(ventas_b_mes1255[[#This Row],[CUIT]]="","-",VLOOKUP(ventas_b_mes1255[[#This Row],[CUIT]],Lista_CUIT[#All],2,0)),"CUIT NO CARGADO")</f>
        <v>-</v>
      </c>
      <c r="H1100" s="100">
        <f>ventas_b_mes1255[[#This Row],[TOTAL]]/1.21</f>
        <v>0</v>
      </c>
      <c r="I1100" s="64">
        <f>ventas_b_mes1255[[#This Row],[IMPORTE NETO]]*0.21</f>
        <v>0</v>
      </c>
      <c r="J1100" s="141"/>
      <c r="K1100" s="141"/>
      <c r="L1100" s="141"/>
      <c r="M1100" s="59"/>
    </row>
    <row r="1101" spans="2:13">
      <c r="B1101" s="135"/>
      <c r="C1101" s="41"/>
      <c r="D1101" s="137"/>
      <c r="E1101" s="138"/>
      <c r="F1101" s="139"/>
      <c r="G1101" s="1" t="str">
        <f>IFERROR(IF(ventas_b_mes1255[[#This Row],[CUIT]]="","-",VLOOKUP(ventas_b_mes1255[[#This Row],[CUIT]],Lista_CUIT[#All],2,0)),"CUIT NO CARGADO")</f>
        <v>-</v>
      </c>
      <c r="H1101" s="100">
        <f>ventas_b_mes1255[[#This Row],[TOTAL]]/1.21</f>
        <v>0</v>
      </c>
      <c r="I1101" s="64">
        <f>ventas_b_mes1255[[#This Row],[IMPORTE NETO]]*0.21</f>
        <v>0</v>
      </c>
      <c r="J1101" s="141"/>
      <c r="K1101" s="141"/>
      <c r="L1101" s="141"/>
      <c r="M1101" s="59"/>
    </row>
    <row r="1102" spans="2:13">
      <c r="B1102" s="135"/>
      <c r="C1102" s="41"/>
      <c r="D1102" s="137"/>
      <c r="E1102" s="138"/>
      <c r="F1102" s="139"/>
      <c r="G1102" s="1" t="str">
        <f>IFERROR(IF(ventas_b_mes1255[[#This Row],[CUIT]]="","-",VLOOKUP(ventas_b_mes1255[[#This Row],[CUIT]],Lista_CUIT[#All],2,0)),"CUIT NO CARGADO")</f>
        <v>-</v>
      </c>
      <c r="H1102" s="100">
        <f>ventas_b_mes1255[[#This Row],[TOTAL]]/1.21</f>
        <v>0</v>
      </c>
      <c r="I1102" s="64">
        <f>ventas_b_mes1255[[#This Row],[IMPORTE NETO]]*0.21</f>
        <v>0</v>
      </c>
      <c r="J1102" s="141"/>
      <c r="K1102" s="141"/>
      <c r="L1102" s="141"/>
      <c r="M1102" s="59"/>
    </row>
    <row r="1103" spans="2:13">
      <c r="B1103" s="135"/>
      <c r="C1103" s="41"/>
      <c r="D1103" s="137"/>
      <c r="E1103" s="138"/>
      <c r="F1103" s="139"/>
      <c r="G1103" s="1" t="str">
        <f>IFERROR(IF(ventas_b_mes1255[[#This Row],[CUIT]]="","-",VLOOKUP(ventas_b_mes1255[[#This Row],[CUIT]],Lista_CUIT[#All],2,0)),"CUIT NO CARGADO")</f>
        <v>-</v>
      </c>
      <c r="H1103" s="100">
        <f>ventas_b_mes1255[[#This Row],[TOTAL]]/1.21</f>
        <v>0</v>
      </c>
      <c r="I1103" s="64">
        <f>ventas_b_mes1255[[#This Row],[IMPORTE NETO]]*0.21</f>
        <v>0</v>
      </c>
      <c r="J1103" s="141"/>
      <c r="K1103" s="141"/>
      <c r="L1103" s="141"/>
      <c r="M1103" s="59"/>
    </row>
    <row r="1104" spans="2:13">
      <c r="B1104" s="135"/>
      <c r="C1104" s="41"/>
      <c r="D1104" s="137"/>
      <c r="E1104" s="138"/>
      <c r="F1104" s="139"/>
      <c r="G1104" s="1" t="str">
        <f>IFERROR(IF(ventas_b_mes1255[[#This Row],[CUIT]]="","-",VLOOKUP(ventas_b_mes1255[[#This Row],[CUIT]],Lista_CUIT[#All],2,0)),"CUIT NO CARGADO")</f>
        <v>-</v>
      </c>
      <c r="H1104" s="100">
        <f>ventas_b_mes1255[[#This Row],[TOTAL]]/1.21</f>
        <v>0</v>
      </c>
      <c r="I1104" s="64">
        <f>ventas_b_mes1255[[#This Row],[IMPORTE NETO]]*0.21</f>
        <v>0</v>
      </c>
      <c r="J1104" s="141"/>
      <c r="K1104" s="141"/>
      <c r="L1104" s="141"/>
      <c r="M1104" s="59"/>
    </row>
    <row r="1105" spans="2:13">
      <c r="B1105" s="135"/>
      <c r="C1105" s="41"/>
      <c r="D1105" s="137"/>
      <c r="E1105" s="138"/>
      <c r="F1105" s="139"/>
      <c r="G1105" s="1" t="str">
        <f>IFERROR(IF(ventas_b_mes1255[[#This Row],[CUIT]]="","-",VLOOKUP(ventas_b_mes1255[[#This Row],[CUIT]],Lista_CUIT[#All],2,0)),"CUIT NO CARGADO")</f>
        <v>-</v>
      </c>
      <c r="H1105" s="100">
        <f>ventas_b_mes1255[[#This Row],[TOTAL]]/1.21</f>
        <v>0</v>
      </c>
      <c r="I1105" s="64">
        <f>ventas_b_mes1255[[#This Row],[IMPORTE NETO]]*0.21</f>
        <v>0</v>
      </c>
      <c r="J1105" s="141"/>
      <c r="K1105" s="141"/>
      <c r="L1105" s="141"/>
      <c r="M1105" s="59"/>
    </row>
    <row r="1106" spans="2:13">
      <c r="B1106" s="135"/>
      <c r="C1106" s="41"/>
      <c r="D1106" s="137"/>
      <c r="E1106" s="138"/>
      <c r="F1106" s="139"/>
      <c r="G1106" s="1" t="str">
        <f>IFERROR(IF(ventas_b_mes1255[[#This Row],[CUIT]]="","-",VLOOKUP(ventas_b_mes1255[[#This Row],[CUIT]],Lista_CUIT[#All],2,0)),"CUIT NO CARGADO")</f>
        <v>-</v>
      </c>
      <c r="H1106" s="100">
        <f>ventas_b_mes1255[[#This Row],[TOTAL]]/1.21</f>
        <v>0</v>
      </c>
      <c r="I1106" s="64">
        <f>ventas_b_mes1255[[#This Row],[IMPORTE NETO]]*0.21</f>
        <v>0</v>
      </c>
      <c r="J1106" s="141"/>
      <c r="K1106" s="141"/>
      <c r="L1106" s="141"/>
      <c r="M1106" s="59"/>
    </row>
    <row r="1107" spans="2:13">
      <c r="B1107" s="135"/>
      <c r="C1107" s="41"/>
      <c r="D1107" s="137"/>
      <c r="E1107" s="138"/>
      <c r="F1107" s="139"/>
      <c r="G1107" s="1" t="str">
        <f>IFERROR(IF(ventas_b_mes1255[[#This Row],[CUIT]]="","-",VLOOKUP(ventas_b_mes1255[[#This Row],[CUIT]],Lista_CUIT[#All],2,0)),"CUIT NO CARGADO")</f>
        <v>-</v>
      </c>
      <c r="H1107" s="100">
        <f>ventas_b_mes1255[[#This Row],[TOTAL]]/1.21</f>
        <v>0</v>
      </c>
      <c r="I1107" s="64">
        <f>ventas_b_mes1255[[#This Row],[IMPORTE NETO]]*0.21</f>
        <v>0</v>
      </c>
      <c r="J1107" s="141"/>
      <c r="K1107" s="141"/>
      <c r="L1107" s="141"/>
      <c r="M1107" s="59"/>
    </row>
    <row r="1108" spans="2:13">
      <c r="B1108" s="135"/>
      <c r="C1108" s="41"/>
      <c r="D1108" s="137"/>
      <c r="E1108" s="138"/>
      <c r="F1108" s="139"/>
      <c r="G1108" s="1" t="str">
        <f>IFERROR(IF(ventas_b_mes1255[[#This Row],[CUIT]]="","-",VLOOKUP(ventas_b_mes1255[[#This Row],[CUIT]],Lista_CUIT[#All],2,0)),"CUIT NO CARGADO")</f>
        <v>-</v>
      </c>
      <c r="H1108" s="100">
        <f>ventas_b_mes1255[[#This Row],[TOTAL]]/1.21</f>
        <v>0</v>
      </c>
      <c r="I1108" s="64">
        <f>ventas_b_mes1255[[#This Row],[IMPORTE NETO]]*0.21</f>
        <v>0</v>
      </c>
      <c r="J1108" s="141"/>
      <c r="K1108" s="141"/>
      <c r="L1108" s="141"/>
      <c r="M1108" s="59"/>
    </row>
    <row r="1109" spans="2:13">
      <c r="B1109" s="135"/>
      <c r="C1109" s="41"/>
      <c r="D1109" s="137"/>
      <c r="E1109" s="138"/>
      <c r="F1109" s="139"/>
      <c r="G1109" s="1" t="str">
        <f>IFERROR(IF(ventas_b_mes1255[[#This Row],[CUIT]]="","-",VLOOKUP(ventas_b_mes1255[[#This Row],[CUIT]],Lista_CUIT[#All],2,0)),"CUIT NO CARGADO")</f>
        <v>-</v>
      </c>
      <c r="H1109" s="100">
        <f>ventas_b_mes1255[[#This Row],[TOTAL]]/1.21</f>
        <v>0</v>
      </c>
      <c r="I1109" s="64">
        <f>ventas_b_mes1255[[#This Row],[IMPORTE NETO]]*0.21</f>
        <v>0</v>
      </c>
      <c r="J1109" s="141"/>
      <c r="K1109" s="141"/>
      <c r="L1109" s="141"/>
      <c r="M1109" s="59"/>
    </row>
    <row r="1110" spans="2:13">
      <c r="B1110" s="135"/>
      <c r="C1110" s="41"/>
      <c r="D1110" s="137"/>
      <c r="E1110" s="138"/>
      <c r="F1110" s="139"/>
      <c r="G1110" s="1" t="str">
        <f>IFERROR(IF(ventas_b_mes1255[[#This Row],[CUIT]]="","-",VLOOKUP(ventas_b_mes1255[[#This Row],[CUIT]],Lista_CUIT[#All],2,0)),"CUIT NO CARGADO")</f>
        <v>-</v>
      </c>
      <c r="H1110" s="100">
        <f>ventas_b_mes1255[[#This Row],[TOTAL]]/1.21</f>
        <v>0</v>
      </c>
      <c r="I1110" s="64">
        <f>ventas_b_mes1255[[#This Row],[IMPORTE NETO]]*0.21</f>
        <v>0</v>
      </c>
      <c r="J1110" s="141"/>
      <c r="K1110" s="141"/>
      <c r="L1110" s="141"/>
      <c r="M1110" s="59"/>
    </row>
    <row r="1111" spans="2:13">
      <c r="B1111" s="135"/>
      <c r="C1111" s="41"/>
      <c r="D1111" s="137"/>
      <c r="E1111" s="138"/>
      <c r="F1111" s="139"/>
      <c r="G1111" s="1" t="str">
        <f>IFERROR(IF(ventas_b_mes1255[[#This Row],[CUIT]]="","-",VLOOKUP(ventas_b_mes1255[[#This Row],[CUIT]],Lista_CUIT[#All],2,0)),"CUIT NO CARGADO")</f>
        <v>-</v>
      </c>
      <c r="H1111" s="100">
        <f>ventas_b_mes1255[[#This Row],[TOTAL]]/1.21</f>
        <v>0</v>
      </c>
      <c r="I1111" s="64">
        <f>ventas_b_mes1255[[#This Row],[IMPORTE NETO]]*0.21</f>
        <v>0</v>
      </c>
      <c r="J1111" s="141"/>
      <c r="K1111" s="141"/>
      <c r="L1111" s="141"/>
      <c r="M1111" s="59"/>
    </row>
    <row r="1112" spans="2:13">
      <c r="B1112" s="135"/>
      <c r="C1112" s="41"/>
      <c r="D1112" s="137"/>
      <c r="E1112" s="138"/>
      <c r="F1112" s="139"/>
      <c r="G1112" s="1" t="str">
        <f>IFERROR(IF(ventas_b_mes1255[[#This Row],[CUIT]]="","-",VLOOKUP(ventas_b_mes1255[[#This Row],[CUIT]],Lista_CUIT[#All],2,0)),"CUIT NO CARGADO")</f>
        <v>-</v>
      </c>
      <c r="H1112" s="100">
        <f>ventas_b_mes1255[[#This Row],[TOTAL]]/1.21</f>
        <v>0</v>
      </c>
      <c r="I1112" s="64">
        <f>ventas_b_mes1255[[#This Row],[IMPORTE NETO]]*0.21</f>
        <v>0</v>
      </c>
      <c r="J1112" s="141"/>
      <c r="K1112" s="141"/>
      <c r="L1112" s="141"/>
      <c r="M1112" s="59"/>
    </row>
    <row r="1113" spans="2:13">
      <c r="B1113" s="135"/>
      <c r="C1113" s="41"/>
      <c r="D1113" s="137"/>
      <c r="E1113" s="138"/>
      <c r="F1113" s="139"/>
      <c r="G1113" s="1" t="str">
        <f>IFERROR(IF(ventas_b_mes1255[[#This Row],[CUIT]]="","-",VLOOKUP(ventas_b_mes1255[[#This Row],[CUIT]],Lista_CUIT[#All],2,0)),"CUIT NO CARGADO")</f>
        <v>-</v>
      </c>
      <c r="H1113" s="100">
        <f>ventas_b_mes1255[[#This Row],[TOTAL]]/1.21</f>
        <v>0</v>
      </c>
      <c r="I1113" s="64">
        <f>ventas_b_mes1255[[#This Row],[IMPORTE NETO]]*0.21</f>
        <v>0</v>
      </c>
      <c r="J1113" s="141"/>
      <c r="K1113" s="141"/>
      <c r="L1113" s="141"/>
      <c r="M1113" s="59"/>
    </row>
    <row r="1114" spans="2:13">
      <c r="B1114" s="135"/>
      <c r="C1114" s="41"/>
      <c r="D1114" s="137"/>
      <c r="E1114" s="138"/>
      <c r="F1114" s="139"/>
      <c r="G1114" s="1" t="str">
        <f>IFERROR(IF(ventas_b_mes1255[[#This Row],[CUIT]]="","-",VLOOKUP(ventas_b_mes1255[[#This Row],[CUIT]],Lista_CUIT[#All],2,0)),"CUIT NO CARGADO")</f>
        <v>-</v>
      </c>
      <c r="H1114" s="100">
        <f>ventas_b_mes1255[[#This Row],[TOTAL]]/1.21</f>
        <v>0</v>
      </c>
      <c r="I1114" s="64">
        <f>ventas_b_mes1255[[#This Row],[IMPORTE NETO]]*0.21</f>
        <v>0</v>
      </c>
      <c r="J1114" s="141"/>
      <c r="K1114" s="141"/>
      <c r="L1114" s="141"/>
      <c r="M1114" s="59"/>
    </row>
    <row r="1115" spans="2:13">
      <c r="B1115" s="135"/>
      <c r="C1115" s="41"/>
      <c r="D1115" s="137"/>
      <c r="E1115" s="138"/>
      <c r="F1115" s="139"/>
      <c r="G1115" s="1" t="str">
        <f>IFERROR(IF(ventas_b_mes1255[[#This Row],[CUIT]]="","-",VLOOKUP(ventas_b_mes1255[[#This Row],[CUIT]],Lista_CUIT[#All],2,0)),"CUIT NO CARGADO")</f>
        <v>-</v>
      </c>
      <c r="H1115" s="100">
        <f>ventas_b_mes1255[[#This Row],[TOTAL]]/1.21</f>
        <v>0</v>
      </c>
      <c r="I1115" s="64">
        <f>ventas_b_mes1255[[#This Row],[IMPORTE NETO]]*0.21</f>
        <v>0</v>
      </c>
      <c r="J1115" s="141"/>
      <c r="K1115" s="141"/>
      <c r="L1115" s="141"/>
      <c r="M1115" s="59"/>
    </row>
    <row r="1116" spans="2:13">
      <c r="B1116" s="135"/>
      <c r="C1116" s="41"/>
      <c r="D1116" s="137"/>
      <c r="E1116" s="138"/>
      <c r="F1116" s="139"/>
      <c r="G1116" s="1" t="str">
        <f>IFERROR(IF(ventas_b_mes1255[[#This Row],[CUIT]]="","-",VLOOKUP(ventas_b_mes1255[[#This Row],[CUIT]],Lista_CUIT[#All],2,0)),"CUIT NO CARGADO")</f>
        <v>-</v>
      </c>
      <c r="H1116" s="100">
        <f>ventas_b_mes1255[[#This Row],[TOTAL]]/1.21</f>
        <v>0</v>
      </c>
      <c r="I1116" s="64">
        <f>ventas_b_mes1255[[#This Row],[IMPORTE NETO]]*0.21</f>
        <v>0</v>
      </c>
      <c r="J1116" s="141"/>
      <c r="K1116" s="141"/>
      <c r="L1116" s="141"/>
      <c r="M1116" s="59"/>
    </row>
    <row r="1117" spans="2:13">
      <c r="B1117" s="135"/>
      <c r="C1117" s="41"/>
      <c r="D1117" s="137"/>
      <c r="E1117" s="138"/>
      <c r="F1117" s="139"/>
      <c r="G1117" s="1" t="str">
        <f>IFERROR(IF(ventas_b_mes1255[[#This Row],[CUIT]]="","-",VLOOKUP(ventas_b_mes1255[[#This Row],[CUIT]],Lista_CUIT[#All],2,0)),"CUIT NO CARGADO")</f>
        <v>-</v>
      </c>
      <c r="H1117" s="100">
        <f>ventas_b_mes1255[[#This Row],[TOTAL]]/1.21</f>
        <v>0</v>
      </c>
      <c r="I1117" s="64">
        <f>ventas_b_mes1255[[#This Row],[IMPORTE NETO]]*0.21</f>
        <v>0</v>
      </c>
      <c r="J1117" s="141"/>
      <c r="K1117" s="141"/>
      <c r="L1117" s="141"/>
      <c r="M1117" s="59"/>
    </row>
    <row r="1118" spans="2:13">
      <c r="B1118" s="135"/>
      <c r="C1118" s="41"/>
      <c r="D1118" s="137"/>
      <c r="E1118" s="138"/>
      <c r="F1118" s="139"/>
      <c r="G1118" s="1" t="str">
        <f>IFERROR(IF(ventas_b_mes1255[[#This Row],[CUIT]]="","-",VLOOKUP(ventas_b_mes1255[[#This Row],[CUIT]],Lista_CUIT[#All],2,0)),"CUIT NO CARGADO")</f>
        <v>-</v>
      </c>
      <c r="H1118" s="100">
        <f>ventas_b_mes1255[[#This Row],[TOTAL]]/1.21</f>
        <v>0</v>
      </c>
      <c r="I1118" s="64">
        <f>ventas_b_mes1255[[#This Row],[IMPORTE NETO]]*0.21</f>
        <v>0</v>
      </c>
      <c r="J1118" s="141"/>
      <c r="K1118" s="141"/>
      <c r="L1118" s="141"/>
      <c r="M1118" s="59"/>
    </row>
    <row r="1119" spans="2:13">
      <c r="B1119" s="135"/>
      <c r="C1119" s="41"/>
      <c r="D1119" s="137"/>
      <c r="E1119" s="138"/>
      <c r="F1119" s="139"/>
      <c r="G1119" s="1" t="str">
        <f>IFERROR(IF(ventas_b_mes1255[[#This Row],[CUIT]]="","-",VLOOKUP(ventas_b_mes1255[[#This Row],[CUIT]],Lista_CUIT[#All],2,0)),"CUIT NO CARGADO")</f>
        <v>-</v>
      </c>
      <c r="H1119" s="100">
        <f>ventas_b_mes1255[[#This Row],[TOTAL]]/1.21</f>
        <v>0</v>
      </c>
      <c r="I1119" s="64">
        <f>ventas_b_mes1255[[#This Row],[IMPORTE NETO]]*0.21</f>
        <v>0</v>
      </c>
      <c r="J1119" s="141"/>
      <c r="K1119" s="141"/>
      <c r="L1119" s="141"/>
      <c r="M1119" s="59"/>
    </row>
    <row r="1120" spans="2:13">
      <c r="B1120" s="135"/>
      <c r="C1120" s="41"/>
      <c r="D1120" s="137"/>
      <c r="E1120" s="138"/>
      <c r="F1120" s="139"/>
      <c r="G1120" s="1" t="str">
        <f>IFERROR(IF(ventas_b_mes1255[[#This Row],[CUIT]]="","-",VLOOKUP(ventas_b_mes1255[[#This Row],[CUIT]],Lista_CUIT[#All],2,0)),"CUIT NO CARGADO")</f>
        <v>-</v>
      </c>
      <c r="H1120" s="100">
        <f>ventas_b_mes1255[[#This Row],[TOTAL]]/1.21</f>
        <v>0</v>
      </c>
      <c r="I1120" s="64">
        <f>ventas_b_mes1255[[#This Row],[IMPORTE NETO]]*0.21</f>
        <v>0</v>
      </c>
      <c r="J1120" s="141"/>
      <c r="K1120" s="141"/>
      <c r="L1120" s="141"/>
      <c r="M1120" s="59"/>
    </row>
    <row r="1121" spans="2:13">
      <c r="B1121" s="135"/>
      <c r="C1121" s="41"/>
      <c r="D1121" s="137"/>
      <c r="E1121" s="138"/>
      <c r="F1121" s="139"/>
      <c r="G1121" s="1" t="str">
        <f>IFERROR(IF(ventas_b_mes1255[[#This Row],[CUIT]]="","-",VLOOKUP(ventas_b_mes1255[[#This Row],[CUIT]],Lista_CUIT[#All],2,0)),"CUIT NO CARGADO")</f>
        <v>-</v>
      </c>
      <c r="H1121" s="100">
        <f>ventas_b_mes1255[[#This Row],[TOTAL]]/1.21</f>
        <v>0</v>
      </c>
      <c r="I1121" s="64">
        <f>ventas_b_mes1255[[#This Row],[IMPORTE NETO]]*0.21</f>
        <v>0</v>
      </c>
      <c r="J1121" s="141"/>
      <c r="K1121" s="141"/>
      <c r="L1121" s="141"/>
      <c r="M1121" s="59"/>
    </row>
    <row r="1122" spans="2:13">
      <c r="B1122" s="135"/>
      <c r="C1122" s="41"/>
      <c r="D1122" s="137"/>
      <c r="E1122" s="138"/>
      <c r="F1122" s="139"/>
      <c r="G1122" s="1" t="str">
        <f>IFERROR(IF(ventas_b_mes1255[[#This Row],[CUIT]]="","-",VLOOKUP(ventas_b_mes1255[[#This Row],[CUIT]],Lista_CUIT[#All],2,0)),"CUIT NO CARGADO")</f>
        <v>-</v>
      </c>
      <c r="H1122" s="100">
        <f>ventas_b_mes1255[[#This Row],[TOTAL]]/1.21</f>
        <v>0</v>
      </c>
      <c r="I1122" s="64">
        <f>ventas_b_mes1255[[#This Row],[IMPORTE NETO]]*0.21</f>
        <v>0</v>
      </c>
      <c r="J1122" s="141"/>
      <c r="K1122" s="141"/>
      <c r="L1122" s="141"/>
      <c r="M1122" s="59"/>
    </row>
    <row r="1123" spans="2:13">
      <c r="B1123" s="135"/>
      <c r="C1123" s="41"/>
      <c r="D1123" s="137"/>
      <c r="E1123" s="138"/>
      <c r="F1123" s="139"/>
      <c r="G1123" s="1" t="str">
        <f>IFERROR(IF(ventas_b_mes1255[[#This Row],[CUIT]]="","-",VLOOKUP(ventas_b_mes1255[[#This Row],[CUIT]],Lista_CUIT[#All],2,0)),"CUIT NO CARGADO")</f>
        <v>-</v>
      </c>
      <c r="H1123" s="100">
        <f>ventas_b_mes1255[[#This Row],[TOTAL]]/1.21</f>
        <v>0</v>
      </c>
      <c r="I1123" s="64">
        <f>ventas_b_mes1255[[#This Row],[IMPORTE NETO]]*0.21</f>
        <v>0</v>
      </c>
      <c r="J1123" s="141"/>
      <c r="K1123" s="141"/>
      <c r="L1123" s="141"/>
      <c r="M1123" s="59"/>
    </row>
    <row r="1124" spans="2:13">
      <c r="B1124" s="135"/>
      <c r="C1124" s="41"/>
      <c r="D1124" s="137"/>
      <c r="E1124" s="138"/>
      <c r="F1124" s="139"/>
      <c r="G1124" s="1" t="str">
        <f>IFERROR(IF(ventas_b_mes1255[[#This Row],[CUIT]]="","-",VLOOKUP(ventas_b_mes1255[[#This Row],[CUIT]],Lista_CUIT[#All],2,0)),"CUIT NO CARGADO")</f>
        <v>-</v>
      </c>
      <c r="H1124" s="100">
        <f>ventas_b_mes1255[[#This Row],[TOTAL]]/1.21</f>
        <v>0</v>
      </c>
      <c r="I1124" s="64">
        <f>ventas_b_mes1255[[#This Row],[IMPORTE NETO]]*0.21</f>
        <v>0</v>
      </c>
      <c r="J1124" s="141"/>
      <c r="K1124" s="141"/>
      <c r="L1124" s="141"/>
      <c r="M1124" s="59"/>
    </row>
    <row r="1125" spans="2:13">
      <c r="B1125" s="135"/>
      <c r="C1125" s="41"/>
      <c r="D1125" s="137"/>
      <c r="E1125" s="138"/>
      <c r="F1125" s="139"/>
      <c r="G1125" s="1" t="str">
        <f>IFERROR(IF(ventas_b_mes1255[[#This Row],[CUIT]]="","-",VLOOKUP(ventas_b_mes1255[[#This Row],[CUIT]],Lista_CUIT[#All],2,0)),"CUIT NO CARGADO")</f>
        <v>-</v>
      </c>
      <c r="H1125" s="100">
        <f>ventas_b_mes1255[[#This Row],[TOTAL]]/1.21</f>
        <v>0</v>
      </c>
      <c r="I1125" s="64">
        <f>ventas_b_mes1255[[#This Row],[IMPORTE NETO]]*0.21</f>
        <v>0</v>
      </c>
      <c r="J1125" s="141"/>
      <c r="K1125" s="141"/>
      <c r="L1125" s="141"/>
      <c r="M1125" s="59"/>
    </row>
    <row r="1126" spans="2:13">
      <c r="B1126" s="135"/>
      <c r="C1126" s="41"/>
      <c r="D1126" s="137"/>
      <c r="E1126" s="138"/>
      <c r="F1126" s="139"/>
      <c r="G1126" s="1" t="str">
        <f>IFERROR(IF(ventas_b_mes1255[[#This Row],[CUIT]]="","-",VLOOKUP(ventas_b_mes1255[[#This Row],[CUIT]],Lista_CUIT[#All],2,0)),"CUIT NO CARGADO")</f>
        <v>-</v>
      </c>
      <c r="H1126" s="100">
        <f>ventas_b_mes1255[[#This Row],[TOTAL]]/1.21</f>
        <v>0</v>
      </c>
      <c r="I1126" s="64">
        <f>ventas_b_mes1255[[#This Row],[IMPORTE NETO]]*0.21</f>
        <v>0</v>
      </c>
      <c r="J1126" s="141"/>
      <c r="K1126" s="141"/>
      <c r="L1126" s="141"/>
      <c r="M1126" s="59"/>
    </row>
    <row r="1127" spans="2:13">
      <c r="B1127" s="135"/>
      <c r="C1127" s="41"/>
      <c r="D1127" s="137"/>
      <c r="E1127" s="138"/>
      <c r="F1127" s="139"/>
      <c r="G1127" s="1" t="str">
        <f>IFERROR(IF(ventas_b_mes1255[[#This Row],[CUIT]]="","-",VLOOKUP(ventas_b_mes1255[[#This Row],[CUIT]],Lista_CUIT[#All],2,0)),"CUIT NO CARGADO")</f>
        <v>-</v>
      </c>
      <c r="H1127" s="100">
        <f>ventas_b_mes1255[[#This Row],[TOTAL]]/1.21</f>
        <v>0</v>
      </c>
      <c r="I1127" s="64">
        <f>ventas_b_mes1255[[#This Row],[IMPORTE NETO]]*0.21</f>
        <v>0</v>
      </c>
      <c r="J1127" s="141"/>
      <c r="K1127" s="141"/>
      <c r="L1127" s="141"/>
      <c r="M1127" s="59"/>
    </row>
    <row r="1128" spans="2:13">
      <c r="B1128" s="135"/>
      <c r="C1128" s="41"/>
      <c r="D1128" s="137"/>
      <c r="E1128" s="138"/>
      <c r="F1128" s="139"/>
      <c r="G1128" s="1" t="str">
        <f>IFERROR(IF(ventas_b_mes1255[[#This Row],[CUIT]]="","-",VLOOKUP(ventas_b_mes1255[[#This Row],[CUIT]],Lista_CUIT[#All],2,0)),"CUIT NO CARGADO")</f>
        <v>-</v>
      </c>
      <c r="H1128" s="100">
        <f>ventas_b_mes1255[[#This Row],[TOTAL]]/1.21</f>
        <v>0</v>
      </c>
      <c r="I1128" s="64">
        <f>ventas_b_mes1255[[#This Row],[IMPORTE NETO]]*0.21</f>
        <v>0</v>
      </c>
      <c r="J1128" s="141"/>
      <c r="K1128" s="141"/>
      <c r="L1128" s="141"/>
      <c r="M1128" s="59"/>
    </row>
    <row r="1129" spans="2:13">
      <c r="B1129" s="135"/>
      <c r="C1129" s="41"/>
      <c r="D1129" s="137"/>
      <c r="E1129" s="138"/>
      <c r="F1129" s="139"/>
      <c r="G1129" s="1" t="str">
        <f>IFERROR(IF(ventas_b_mes1255[[#This Row],[CUIT]]="","-",VLOOKUP(ventas_b_mes1255[[#This Row],[CUIT]],Lista_CUIT[#All],2,0)),"CUIT NO CARGADO")</f>
        <v>-</v>
      </c>
      <c r="H1129" s="100">
        <f>ventas_b_mes1255[[#This Row],[TOTAL]]/1.21</f>
        <v>0</v>
      </c>
      <c r="I1129" s="64">
        <f>ventas_b_mes1255[[#This Row],[IMPORTE NETO]]*0.21</f>
        <v>0</v>
      </c>
      <c r="J1129" s="141"/>
      <c r="K1129" s="141"/>
      <c r="L1129" s="141"/>
      <c r="M1129" s="59"/>
    </row>
    <row r="1130" spans="2:13">
      <c r="B1130" s="135"/>
      <c r="C1130" s="41"/>
      <c r="D1130" s="137"/>
      <c r="E1130" s="138"/>
      <c r="F1130" s="139"/>
      <c r="G1130" s="1" t="str">
        <f>IFERROR(IF(ventas_b_mes1255[[#This Row],[CUIT]]="","-",VLOOKUP(ventas_b_mes1255[[#This Row],[CUIT]],Lista_CUIT[#All],2,0)),"CUIT NO CARGADO")</f>
        <v>-</v>
      </c>
      <c r="H1130" s="100">
        <f>ventas_b_mes1255[[#This Row],[TOTAL]]/1.21</f>
        <v>0</v>
      </c>
      <c r="I1130" s="64">
        <f>ventas_b_mes1255[[#This Row],[IMPORTE NETO]]*0.21</f>
        <v>0</v>
      </c>
      <c r="J1130" s="141"/>
      <c r="K1130" s="141"/>
      <c r="L1130" s="141"/>
      <c r="M1130" s="59"/>
    </row>
    <row r="1131" spans="2:13">
      <c r="B1131" s="135"/>
      <c r="C1131" s="41"/>
      <c r="D1131" s="137"/>
      <c r="E1131" s="138"/>
      <c r="F1131" s="139"/>
      <c r="G1131" s="1" t="str">
        <f>IFERROR(IF(ventas_b_mes1255[[#This Row],[CUIT]]="","-",VLOOKUP(ventas_b_mes1255[[#This Row],[CUIT]],Lista_CUIT[#All],2,0)),"CUIT NO CARGADO")</f>
        <v>-</v>
      </c>
      <c r="H1131" s="100">
        <f>ventas_b_mes1255[[#This Row],[TOTAL]]/1.21</f>
        <v>0</v>
      </c>
      <c r="I1131" s="64">
        <f>ventas_b_mes1255[[#This Row],[IMPORTE NETO]]*0.21</f>
        <v>0</v>
      </c>
      <c r="J1131" s="141"/>
      <c r="K1131" s="141"/>
      <c r="L1131" s="141"/>
      <c r="M1131" s="59"/>
    </row>
    <row r="1132" spans="2:13">
      <c r="B1132" s="135"/>
      <c r="C1132" s="41"/>
      <c r="D1132" s="137"/>
      <c r="E1132" s="138"/>
      <c r="F1132" s="139"/>
      <c r="G1132" s="1" t="str">
        <f>IFERROR(IF(ventas_b_mes1255[[#This Row],[CUIT]]="","-",VLOOKUP(ventas_b_mes1255[[#This Row],[CUIT]],Lista_CUIT[#All],2,0)),"CUIT NO CARGADO")</f>
        <v>-</v>
      </c>
      <c r="H1132" s="100">
        <f>ventas_b_mes1255[[#This Row],[TOTAL]]/1.21</f>
        <v>0</v>
      </c>
      <c r="I1132" s="64">
        <f>ventas_b_mes1255[[#This Row],[IMPORTE NETO]]*0.21</f>
        <v>0</v>
      </c>
      <c r="J1132" s="141"/>
      <c r="K1132" s="141"/>
      <c r="L1132" s="141"/>
      <c r="M1132" s="59"/>
    </row>
    <row r="1133" spans="2:13">
      <c r="B1133" s="135"/>
      <c r="C1133" s="41"/>
      <c r="D1133" s="137"/>
      <c r="E1133" s="138"/>
      <c r="F1133" s="139"/>
      <c r="G1133" s="1" t="str">
        <f>IFERROR(IF(ventas_b_mes1255[[#This Row],[CUIT]]="","-",VLOOKUP(ventas_b_mes1255[[#This Row],[CUIT]],Lista_CUIT[#All],2,0)),"CUIT NO CARGADO")</f>
        <v>-</v>
      </c>
      <c r="H1133" s="100">
        <f>ventas_b_mes1255[[#This Row],[TOTAL]]/1.21</f>
        <v>0</v>
      </c>
      <c r="I1133" s="64">
        <f>ventas_b_mes1255[[#This Row],[IMPORTE NETO]]*0.21</f>
        <v>0</v>
      </c>
      <c r="J1133" s="141"/>
      <c r="K1133" s="141"/>
      <c r="L1133" s="141"/>
      <c r="M1133" s="59"/>
    </row>
    <row r="1134" spans="2:13">
      <c r="B1134" s="135"/>
      <c r="C1134" s="41"/>
      <c r="D1134" s="137"/>
      <c r="E1134" s="138"/>
      <c r="F1134" s="139"/>
      <c r="G1134" s="1" t="str">
        <f>IFERROR(IF(ventas_b_mes1255[[#This Row],[CUIT]]="","-",VLOOKUP(ventas_b_mes1255[[#This Row],[CUIT]],Lista_CUIT[#All],2,0)),"CUIT NO CARGADO")</f>
        <v>-</v>
      </c>
      <c r="H1134" s="100">
        <f>ventas_b_mes1255[[#This Row],[TOTAL]]/1.21</f>
        <v>0</v>
      </c>
      <c r="I1134" s="64">
        <f>ventas_b_mes1255[[#This Row],[IMPORTE NETO]]*0.21</f>
        <v>0</v>
      </c>
      <c r="J1134" s="141"/>
      <c r="K1134" s="141"/>
      <c r="L1134" s="141"/>
      <c r="M1134" s="59"/>
    </row>
    <row r="1135" spans="2:13">
      <c r="B1135" s="135"/>
      <c r="C1135" s="41"/>
      <c r="D1135" s="137"/>
      <c r="E1135" s="138"/>
      <c r="F1135" s="139"/>
      <c r="G1135" s="1" t="str">
        <f>IFERROR(IF(ventas_b_mes1255[[#This Row],[CUIT]]="","-",VLOOKUP(ventas_b_mes1255[[#This Row],[CUIT]],Lista_CUIT[#All],2,0)),"CUIT NO CARGADO")</f>
        <v>-</v>
      </c>
      <c r="H1135" s="100">
        <f>ventas_b_mes1255[[#This Row],[TOTAL]]/1.21</f>
        <v>0</v>
      </c>
      <c r="I1135" s="64">
        <f>ventas_b_mes1255[[#This Row],[IMPORTE NETO]]*0.21</f>
        <v>0</v>
      </c>
      <c r="J1135" s="141"/>
      <c r="K1135" s="141"/>
      <c r="L1135" s="141"/>
      <c r="M1135" s="59"/>
    </row>
    <row r="1136" spans="2:13">
      <c r="B1136" s="135"/>
      <c r="C1136" s="41"/>
      <c r="D1136" s="137"/>
      <c r="E1136" s="138"/>
      <c r="F1136" s="139"/>
      <c r="G1136" s="1" t="str">
        <f>IFERROR(IF(ventas_b_mes1255[[#This Row],[CUIT]]="","-",VLOOKUP(ventas_b_mes1255[[#This Row],[CUIT]],Lista_CUIT[#All],2,0)),"CUIT NO CARGADO")</f>
        <v>-</v>
      </c>
      <c r="H1136" s="100">
        <f>ventas_b_mes1255[[#This Row],[TOTAL]]/1.21</f>
        <v>0</v>
      </c>
      <c r="I1136" s="64">
        <f>ventas_b_mes1255[[#This Row],[IMPORTE NETO]]*0.21</f>
        <v>0</v>
      </c>
      <c r="J1136" s="141"/>
      <c r="K1136" s="141"/>
      <c r="L1136" s="141"/>
      <c r="M1136" s="59"/>
    </row>
    <row r="1137" spans="2:13">
      <c r="B1137" s="135"/>
      <c r="C1137" s="41"/>
      <c r="D1137" s="137"/>
      <c r="E1137" s="138"/>
      <c r="F1137" s="139"/>
      <c r="G1137" s="1" t="str">
        <f>IFERROR(IF(ventas_b_mes1255[[#This Row],[CUIT]]="","-",VLOOKUP(ventas_b_mes1255[[#This Row],[CUIT]],Lista_CUIT[#All],2,0)),"CUIT NO CARGADO")</f>
        <v>-</v>
      </c>
      <c r="H1137" s="100">
        <f>ventas_b_mes1255[[#This Row],[TOTAL]]/1.21</f>
        <v>0</v>
      </c>
      <c r="I1137" s="64">
        <f>ventas_b_mes1255[[#This Row],[IMPORTE NETO]]*0.21</f>
        <v>0</v>
      </c>
      <c r="J1137" s="141"/>
      <c r="K1137" s="141"/>
      <c r="L1137" s="141"/>
      <c r="M1137" s="59"/>
    </row>
    <row r="1138" spans="2:13">
      <c r="B1138" s="135"/>
      <c r="C1138" s="41"/>
      <c r="D1138" s="137"/>
      <c r="E1138" s="138"/>
      <c r="F1138" s="139"/>
      <c r="G1138" s="1" t="str">
        <f>IFERROR(IF(ventas_b_mes1255[[#This Row],[CUIT]]="","-",VLOOKUP(ventas_b_mes1255[[#This Row],[CUIT]],Lista_CUIT[#All],2,0)),"CUIT NO CARGADO")</f>
        <v>-</v>
      </c>
      <c r="H1138" s="100">
        <f>ventas_b_mes1255[[#This Row],[TOTAL]]/1.21</f>
        <v>0</v>
      </c>
      <c r="I1138" s="64">
        <f>ventas_b_mes1255[[#This Row],[IMPORTE NETO]]*0.21</f>
        <v>0</v>
      </c>
      <c r="J1138" s="141"/>
      <c r="K1138" s="141"/>
      <c r="L1138" s="141"/>
      <c r="M1138" s="59"/>
    </row>
    <row r="1139" spans="2:13">
      <c r="B1139" s="135"/>
      <c r="C1139" s="41"/>
      <c r="D1139" s="137"/>
      <c r="E1139" s="138"/>
      <c r="F1139" s="139"/>
      <c r="G1139" s="1" t="str">
        <f>IFERROR(IF(ventas_b_mes1255[[#This Row],[CUIT]]="","-",VLOOKUP(ventas_b_mes1255[[#This Row],[CUIT]],Lista_CUIT[#All],2,0)),"CUIT NO CARGADO")</f>
        <v>-</v>
      </c>
      <c r="H1139" s="100">
        <f>ventas_b_mes1255[[#This Row],[TOTAL]]/1.21</f>
        <v>0</v>
      </c>
      <c r="I1139" s="64">
        <f>ventas_b_mes1255[[#This Row],[IMPORTE NETO]]*0.21</f>
        <v>0</v>
      </c>
      <c r="J1139" s="141"/>
      <c r="K1139" s="141"/>
      <c r="L1139" s="141"/>
      <c r="M1139" s="59"/>
    </row>
    <row r="1140" spans="2:13">
      <c r="B1140" s="135"/>
      <c r="C1140" s="41"/>
      <c r="D1140" s="137"/>
      <c r="E1140" s="138"/>
      <c r="F1140" s="139"/>
      <c r="G1140" s="1" t="str">
        <f>IFERROR(IF(ventas_b_mes1255[[#This Row],[CUIT]]="","-",VLOOKUP(ventas_b_mes1255[[#This Row],[CUIT]],Lista_CUIT[#All],2,0)),"CUIT NO CARGADO")</f>
        <v>-</v>
      </c>
      <c r="H1140" s="100">
        <f>ventas_b_mes1255[[#This Row],[TOTAL]]/1.21</f>
        <v>0</v>
      </c>
      <c r="I1140" s="64">
        <f>ventas_b_mes1255[[#This Row],[IMPORTE NETO]]*0.21</f>
        <v>0</v>
      </c>
      <c r="J1140" s="141"/>
      <c r="K1140" s="141"/>
      <c r="L1140" s="141"/>
      <c r="M1140" s="59"/>
    </row>
    <row r="1141" spans="2:13">
      <c r="B1141" s="135"/>
      <c r="C1141" s="41"/>
      <c r="D1141" s="137"/>
      <c r="E1141" s="138"/>
      <c r="F1141" s="139"/>
      <c r="G1141" s="1" t="str">
        <f>IFERROR(IF(ventas_b_mes1255[[#This Row],[CUIT]]="","-",VLOOKUP(ventas_b_mes1255[[#This Row],[CUIT]],Lista_CUIT[#All],2,0)),"CUIT NO CARGADO")</f>
        <v>-</v>
      </c>
      <c r="H1141" s="100">
        <f>ventas_b_mes1255[[#This Row],[TOTAL]]/1.21</f>
        <v>0</v>
      </c>
      <c r="I1141" s="64">
        <f>ventas_b_mes1255[[#This Row],[IMPORTE NETO]]*0.21</f>
        <v>0</v>
      </c>
      <c r="J1141" s="141"/>
      <c r="K1141" s="141"/>
      <c r="L1141" s="141"/>
      <c r="M1141" s="59"/>
    </row>
    <row r="1142" spans="2:13">
      <c r="B1142" s="135"/>
      <c r="C1142" s="41"/>
      <c r="D1142" s="137"/>
      <c r="E1142" s="138"/>
      <c r="F1142" s="139"/>
      <c r="G1142" s="1" t="str">
        <f>IFERROR(IF(ventas_b_mes1255[[#This Row],[CUIT]]="","-",VLOOKUP(ventas_b_mes1255[[#This Row],[CUIT]],Lista_CUIT[#All],2,0)),"CUIT NO CARGADO")</f>
        <v>-</v>
      </c>
      <c r="H1142" s="100">
        <f>ventas_b_mes1255[[#This Row],[TOTAL]]/1.21</f>
        <v>0</v>
      </c>
      <c r="I1142" s="64">
        <f>ventas_b_mes1255[[#This Row],[IMPORTE NETO]]*0.21</f>
        <v>0</v>
      </c>
      <c r="J1142" s="141"/>
      <c r="K1142" s="141"/>
      <c r="L1142" s="141"/>
      <c r="M1142" s="59"/>
    </row>
    <row r="1143" spans="2:13">
      <c r="B1143" s="135"/>
      <c r="C1143" s="41"/>
      <c r="D1143" s="137"/>
      <c r="E1143" s="138"/>
      <c r="F1143" s="139"/>
      <c r="G1143" s="1" t="str">
        <f>IFERROR(IF(ventas_b_mes1255[[#This Row],[CUIT]]="","-",VLOOKUP(ventas_b_mes1255[[#This Row],[CUIT]],Lista_CUIT[#All],2,0)),"CUIT NO CARGADO")</f>
        <v>-</v>
      </c>
      <c r="H1143" s="100">
        <f>ventas_b_mes1255[[#This Row],[TOTAL]]/1.21</f>
        <v>0</v>
      </c>
      <c r="I1143" s="64">
        <f>ventas_b_mes1255[[#This Row],[IMPORTE NETO]]*0.21</f>
        <v>0</v>
      </c>
      <c r="J1143" s="141"/>
      <c r="K1143" s="141"/>
      <c r="L1143" s="141"/>
      <c r="M1143" s="59"/>
    </row>
    <row r="1144" spans="2:13">
      <c r="B1144" s="135"/>
      <c r="C1144" s="41"/>
      <c r="D1144" s="137"/>
      <c r="E1144" s="138"/>
      <c r="F1144" s="139"/>
      <c r="G1144" s="1" t="str">
        <f>IFERROR(IF(ventas_b_mes1255[[#This Row],[CUIT]]="","-",VLOOKUP(ventas_b_mes1255[[#This Row],[CUIT]],Lista_CUIT[#All],2,0)),"CUIT NO CARGADO")</f>
        <v>-</v>
      </c>
      <c r="H1144" s="100">
        <f>ventas_b_mes1255[[#This Row],[TOTAL]]/1.21</f>
        <v>0</v>
      </c>
      <c r="I1144" s="64">
        <f>ventas_b_mes1255[[#This Row],[IMPORTE NETO]]*0.21</f>
        <v>0</v>
      </c>
      <c r="J1144" s="141"/>
      <c r="K1144" s="141"/>
      <c r="L1144" s="141"/>
      <c r="M1144" s="59"/>
    </row>
    <row r="1145" spans="2:13">
      <c r="B1145" s="135"/>
      <c r="C1145" s="41"/>
      <c r="D1145" s="137"/>
      <c r="E1145" s="138"/>
      <c r="F1145" s="139"/>
      <c r="G1145" s="1" t="str">
        <f>IFERROR(IF(ventas_b_mes1255[[#This Row],[CUIT]]="","-",VLOOKUP(ventas_b_mes1255[[#This Row],[CUIT]],Lista_CUIT[#All],2,0)),"CUIT NO CARGADO")</f>
        <v>-</v>
      </c>
      <c r="H1145" s="100">
        <f>ventas_b_mes1255[[#This Row],[TOTAL]]/1.21</f>
        <v>0</v>
      </c>
      <c r="I1145" s="64">
        <f>ventas_b_mes1255[[#This Row],[IMPORTE NETO]]*0.21</f>
        <v>0</v>
      </c>
      <c r="J1145" s="141"/>
      <c r="K1145" s="141"/>
      <c r="L1145" s="141"/>
      <c r="M1145" s="59"/>
    </row>
    <row r="1146" spans="2:13">
      <c r="B1146" s="135"/>
      <c r="C1146" s="41"/>
      <c r="D1146" s="137"/>
      <c r="E1146" s="138"/>
      <c r="F1146" s="139"/>
      <c r="G1146" s="1" t="str">
        <f>IFERROR(IF(ventas_b_mes1255[[#This Row],[CUIT]]="","-",VLOOKUP(ventas_b_mes1255[[#This Row],[CUIT]],Lista_CUIT[#All],2,0)),"CUIT NO CARGADO")</f>
        <v>-</v>
      </c>
      <c r="H1146" s="100">
        <f>ventas_b_mes1255[[#This Row],[TOTAL]]/1.21</f>
        <v>0</v>
      </c>
      <c r="I1146" s="64">
        <f>ventas_b_mes1255[[#This Row],[IMPORTE NETO]]*0.21</f>
        <v>0</v>
      </c>
      <c r="J1146" s="141"/>
      <c r="K1146" s="141"/>
      <c r="L1146" s="141"/>
      <c r="M1146" s="59"/>
    </row>
    <row r="1147" spans="2:13">
      <c r="B1147" s="135"/>
      <c r="C1147" s="41"/>
      <c r="D1147" s="137"/>
      <c r="E1147" s="138"/>
      <c r="F1147" s="139"/>
      <c r="G1147" s="1" t="str">
        <f>IFERROR(IF(ventas_b_mes1255[[#This Row],[CUIT]]="","-",VLOOKUP(ventas_b_mes1255[[#This Row],[CUIT]],Lista_CUIT[#All],2,0)),"CUIT NO CARGADO")</f>
        <v>-</v>
      </c>
      <c r="H1147" s="100">
        <f>ventas_b_mes1255[[#This Row],[TOTAL]]/1.21</f>
        <v>0</v>
      </c>
      <c r="I1147" s="64">
        <f>ventas_b_mes1255[[#This Row],[IMPORTE NETO]]*0.21</f>
        <v>0</v>
      </c>
      <c r="J1147" s="141"/>
      <c r="K1147" s="141"/>
      <c r="L1147" s="141"/>
      <c r="M1147" s="59"/>
    </row>
    <row r="1148" spans="2:13">
      <c r="B1148" s="135"/>
      <c r="C1148" s="41"/>
      <c r="D1148" s="137"/>
      <c r="E1148" s="138"/>
      <c r="F1148" s="139"/>
      <c r="G1148" s="1" t="str">
        <f>IFERROR(IF(ventas_b_mes1255[[#This Row],[CUIT]]="","-",VLOOKUP(ventas_b_mes1255[[#This Row],[CUIT]],Lista_CUIT[#All],2,0)),"CUIT NO CARGADO")</f>
        <v>-</v>
      </c>
      <c r="H1148" s="100">
        <f>ventas_b_mes1255[[#This Row],[TOTAL]]/1.21</f>
        <v>0</v>
      </c>
      <c r="I1148" s="64">
        <f>ventas_b_mes1255[[#This Row],[IMPORTE NETO]]*0.21</f>
        <v>0</v>
      </c>
      <c r="J1148" s="141"/>
      <c r="K1148" s="141"/>
      <c r="L1148" s="141"/>
      <c r="M1148" s="59"/>
    </row>
    <row r="1149" spans="2:13">
      <c r="B1149" s="135"/>
      <c r="C1149" s="41"/>
      <c r="D1149" s="137"/>
      <c r="E1149" s="138"/>
      <c r="F1149" s="139"/>
      <c r="G1149" s="1" t="str">
        <f>IFERROR(IF(ventas_b_mes1255[[#This Row],[CUIT]]="","-",VLOOKUP(ventas_b_mes1255[[#This Row],[CUIT]],Lista_CUIT[#All],2,0)),"CUIT NO CARGADO")</f>
        <v>-</v>
      </c>
      <c r="H1149" s="100">
        <f>ventas_b_mes1255[[#This Row],[TOTAL]]/1.21</f>
        <v>0</v>
      </c>
      <c r="I1149" s="64">
        <f>ventas_b_mes1255[[#This Row],[IMPORTE NETO]]*0.21</f>
        <v>0</v>
      </c>
      <c r="J1149" s="141"/>
      <c r="K1149" s="141"/>
      <c r="L1149" s="141"/>
      <c r="M1149" s="59"/>
    </row>
    <row r="1150" spans="2:13">
      <c r="B1150" s="135"/>
      <c r="C1150" s="41"/>
      <c r="D1150" s="137"/>
      <c r="E1150" s="138"/>
      <c r="F1150" s="139"/>
      <c r="G1150" s="1" t="str">
        <f>IFERROR(IF(ventas_b_mes1255[[#This Row],[CUIT]]="","-",VLOOKUP(ventas_b_mes1255[[#This Row],[CUIT]],Lista_CUIT[#All],2,0)),"CUIT NO CARGADO")</f>
        <v>-</v>
      </c>
      <c r="H1150" s="100">
        <f>ventas_b_mes1255[[#This Row],[TOTAL]]/1.21</f>
        <v>0</v>
      </c>
      <c r="I1150" s="64">
        <f>ventas_b_mes1255[[#This Row],[IMPORTE NETO]]*0.21</f>
        <v>0</v>
      </c>
      <c r="J1150" s="141"/>
      <c r="K1150" s="141"/>
      <c r="L1150" s="141"/>
      <c r="M1150" s="59"/>
    </row>
    <row r="1151" spans="2:13">
      <c r="B1151" s="135"/>
      <c r="C1151" s="41"/>
      <c r="D1151" s="137"/>
      <c r="E1151" s="138"/>
      <c r="F1151" s="139"/>
      <c r="G1151" s="1" t="str">
        <f>IFERROR(IF(ventas_b_mes1255[[#This Row],[CUIT]]="","-",VLOOKUP(ventas_b_mes1255[[#This Row],[CUIT]],Lista_CUIT[#All],2,0)),"CUIT NO CARGADO")</f>
        <v>-</v>
      </c>
      <c r="H1151" s="100">
        <f>ventas_b_mes1255[[#This Row],[TOTAL]]/1.21</f>
        <v>0</v>
      </c>
      <c r="I1151" s="64">
        <f>ventas_b_mes1255[[#This Row],[IMPORTE NETO]]*0.21</f>
        <v>0</v>
      </c>
      <c r="J1151" s="141"/>
      <c r="K1151" s="141"/>
      <c r="L1151" s="141"/>
      <c r="M1151" s="59"/>
    </row>
    <row r="1152" spans="2:13">
      <c r="B1152" s="135"/>
      <c r="C1152" s="41"/>
      <c r="D1152" s="137"/>
      <c r="E1152" s="138"/>
      <c r="F1152" s="139"/>
      <c r="G1152" s="1" t="str">
        <f>IFERROR(IF(ventas_b_mes1255[[#This Row],[CUIT]]="","-",VLOOKUP(ventas_b_mes1255[[#This Row],[CUIT]],Lista_CUIT[#All],2,0)),"CUIT NO CARGADO")</f>
        <v>-</v>
      </c>
      <c r="H1152" s="100">
        <f>ventas_b_mes1255[[#This Row],[TOTAL]]/1.21</f>
        <v>0</v>
      </c>
      <c r="I1152" s="64">
        <f>ventas_b_mes1255[[#This Row],[IMPORTE NETO]]*0.21</f>
        <v>0</v>
      </c>
      <c r="J1152" s="141"/>
      <c r="K1152" s="141"/>
      <c r="L1152" s="141"/>
      <c r="M1152" s="59"/>
    </row>
    <row r="1153" spans="2:13">
      <c r="B1153" s="135"/>
      <c r="C1153" s="41"/>
      <c r="D1153" s="137"/>
      <c r="E1153" s="138"/>
      <c r="F1153" s="139"/>
      <c r="G1153" s="1" t="str">
        <f>IFERROR(IF(ventas_b_mes1255[[#This Row],[CUIT]]="","-",VLOOKUP(ventas_b_mes1255[[#This Row],[CUIT]],Lista_CUIT[#All],2,0)),"CUIT NO CARGADO")</f>
        <v>-</v>
      </c>
      <c r="H1153" s="100">
        <f>ventas_b_mes1255[[#This Row],[TOTAL]]/1.21</f>
        <v>0</v>
      </c>
      <c r="I1153" s="64">
        <f>ventas_b_mes1255[[#This Row],[IMPORTE NETO]]*0.21</f>
        <v>0</v>
      </c>
      <c r="J1153" s="141"/>
      <c r="K1153" s="141"/>
      <c r="L1153" s="141"/>
      <c r="M1153" s="59"/>
    </row>
    <row r="1154" spans="2:13">
      <c r="B1154" s="135"/>
      <c r="C1154" s="41"/>
      <c r="D1154" s="137"/>
      <c r="E1154" s="138"/>
      <c r="F1154" s="139"/>
      <c r="G1154" s="1" t="str">
        <f>IFERROR(IF(ventas_b_mes1255[[#This Row],[CUIT]]="","-",VLOOKUP(ventas_b_mes1255[[#This Row],[CUIT]],Lista_CUIT[#All],2,0)),"CUIT NO CARGADO")</f>
        <v>-</v>
      </c>
      <c r="H1154" s="100">
        <f>ventas_b_mes1255[[#This Row],[TOTAL]]/1.21</f>
        <v>0</v>
      </c>
      <c r="I1154" s="64">
        <f>ventas_b_mes1255[[#This Row],[IMPORTE NETO]]*0.21</f>
        <v>0</v>
      </c>
      <c r="J1154" s="141"/>
      <c r="K1154" s="141"/>
      <c r="L1154" s="141"/>
      <c r="M1154" s="59"/>
    </row>
    <row r="1155" spans="2:13">
      <c r="B1155" s="135"/>
      <c r="C1155" s="41"/>
      <c r="D1155" s="137"/>
      <c r="E1155" s="138"/>
      <c r="F1155" s="139"/>
      <c r="G1155" s="1" t="str">
        <f>IFERROR(IF(ventas_b_mes1255[[#This Row],[CUIT]]="","-",VLOOKUP(ventas_b_mes1255[[#This Row],[CUIT]],Lista_CUIT[#All],2,0)),"CUIT NO CARGADO")</f>
        <v>-</v>
      </c>
      <c r="H1155" s="100">
        <f>ventas_b_mes1255[[#This Row],[TOTAL]]/1.21</f>
        <v>0</v>
      </c>
      <c r="I1155" s="64">
        <f>ventas_b_mes1255[[#This Row],[IMPORTE NETO]]*0.21</f>
        <v>0</v>
      </c>
      <c r="J1155" s="141"/>
      <c r="K1155" s="141"/>
      <c r="L1155" s="141"/>
      <c r="M1155" s="59"/>
    </row>
    <row r="1156" spans="2:13">
      <c r="B1156" s="135"/>
      <c r="C1156" s="41"/>
      <c r="D1156" s="137"/>
      <c r="E1156" s="138"/>
      <c r="F1156" s="139"/>
      <c r="G1156" s="1" t="str">
        <f>IFERROR(IF(ventas_b_mes1255[[#This Row],[CUIT]]="","-",VLOOKUP(ventas_b_mes1255[[#This Row],[CUIT]],Lista_CUIT[#All],2,0)),"CUIT NO CARGADO")</f>
        <v>-</v>
      </c>
      <c r="H1156" s="100">
        <f>ventas_b_mes1255[[#This Row],[TOTAL]]/1.21</f>
        <v>0</v>
      </c>
      <c r="I1156" s="64">
        <f>ventas_b_mes1255[[#This Row],[IMPORTE NETO]]*0.21</f>
        <v>0</v>
      </c>
      <c r="J1156" s="141"/>
      <c r="K1156" s="141"/>
      <c r="L1156" s="141"/>
      <c r="M1156" s="59"/>
    </row>
    <row r="1157" spans="2:13">
      <c r="B1157" s="135"/>
      <c r="C1157" s="41"/>
      <c r="D1157" s="137"/>
      <c r="E1157" s="138"/>
      <c r="F1157" s="139"/>
      <c r="G1157" s="1" t="str">
        <f>IFERROR(IF(ventas_b_mes1255[[#This Row],[CUIT]]="","-",VLOOKUP(ventas_b_mes1255[[#This Row],[CUIT]],Lista_CUIT[#All],2,0)),"CUIT NO CARGADO")</f>
        <v>-</v>
      </c>
      <c r="H1157" s="100">
        <f>ventas_b_mes1255[[#This Row],[TOTAL]]/1.21</f>
        <v>0</v>
      </c>
      <c r="I1157" s="64">
        <f>ventas_b_mes1255[[#This Row],[IMPORTE NETO]]*0.21</f>
        <v>0</v>
      </c>
      <c r="J1157" s="141"/>
      <c r="K1157" s="141"/>
      <c r="L1157" s="141"/>
      <c r="M1157" s="59"/>
    </row>
    <row r="1158" spans="2:13">
      <c r="B1158" s="135"/>
      <c r="C1158" s="41"/>
      <c r="D1158" s="137"/>
      <c r="E1158" s="138"/>
      <c r="F1158" s="139"/>
      <c r="G1158" s="1" t="str">
        <f>IFERROR(IF(ventas_b_mes1255[[#This Row],[CUIT]]="","-",VLOOKUP(ventas_b_mes1255[[#This Row],[CUIT]],Lista_CUIT[#All],2,0)),"CUIT NO CARGADO")</f>
        <v>-</v>
      </c>
      <c r="H1158" s="100">
        <f>ventas_b_mes1255[[#This Row],[TOTAL]]/1.21</f>
        <v>0</v>
      </c>
      <c r="I1158" s="64">
        <f>ventas_b_mes1255[[#This Row],[IMPORTE NETO]]*0.21</f>
        <v>0</v>
      </c>
      <c r="J1158" s="141"/>
      <c r="K1158" s="141"/>
      <c r="L1158" s="141"/>
      <c r="M1158" s="59"/>
    </row>
    <row r="1159" spans="2:13">
      <c r="B1159" s="135"/>
      <c r="C1159" s="41"/>
      <c r="D1159" s="137"/>
      <c r="E1159" s="138"/>
      <c r="F1159" s="139"/>
      <c r="G1159" s="1" t="str">
        <f>IFERROR(IF(ventas_b_mes1255[[#This Row],[CUIT]]="","-",VLOOKUP(ventas_b_mes1255[[#This Row],[CUIT]],Lista_CUIT[#All],2,0)),"CUIT NO CARGADO")</f>
        <v>-</v>
      </c>
      <c r="H1159" s="100">
        <f>ventas_b_mes1255[[#This Row],[TOTAL]]/1.21</f>
        <v>0</v>
      </c>
      <c r="I1159" s="64">
        <f>ventas_b_mes1255[[#This Row],[IMPORTE NETO]]*0.21</f>
        <v>0</v>
      </c>
      <c r="J1159" s="141"/>
      <c r="K1159" s="141"/>
      <c r="L1159" s="141"/>
      <c r="M1159" s="59"/>
    </row>
    <row r="1160" spans="2:13">
      <c r="B1160" s="135"/>
      <c r="C1160" s="41"/>
      <c r="D1160" s="137"/>
      <c r="E1160" s="138"/>
      <c r="F1160" s="139"/>
      <c r="G1160" s="1" t="str">
        <f>IFERROR(IF(ventas_b_mes1255[[#This Row],[CUIT]]="","-",VLOOKUP(ventas_b_mes1255[[#This Row],[CUIT]],Lista_CUIT[#All],2,0)),"CUIT NO CARGADO")</f>
        <v>-</v>
      </c>
      <c r="H1160" s="100">
        <f>ventas_b_mes1255[[#This Row],[TOTAL]]/1.21</f>
        <v>0</v>
      </c>
      <c r="I1160" s="64">
        <f>ventas_b_mes1255[[#This Row],[IMPORTE NETO]]*0.21</f>
        <v>0</v>
      </c>
      <c r="J1160" s="141"/>
      <c r="K1160" s="141"/>
      <c r="L1160" s="141"/>
      <c r="M1160" s="59"/>
    </row>
    <row r="1161" spans="2:13">
      <c r="B1161" s="135"/>
      <c r="C1161" s="41"/>
      <c r="D1161" s="137"/>
      <c r="E1161" s="138"/>
      <c r="F1161" s="139"/>
      <c r="G1161" s="1" t="str">
        <f>IFERROR(IF(ventas_b_mes1255[[#This Row],[CUIT]]="","-",VLOOKUP(ventas_b_mes1255[[#This Row],[CUIT]],Lista_CUIT[#All],2,0)),"CUIT NO CARGADO")</f>
        <v>-</v>
      </c>
      <c r="H1161" s="100">
        <f>ventas_b_mes1255[[#This Row],[TOTAL]]/1.21</f>
        <v>0</v>
      </c>
      <c r="I1161" s="64">
        <f>ventas_b_mes1255[[#This Row],[IMPORTE NETO]]*0.21</f>
        <v>0</v>
      </c>
      <c r="J1161" s="141"/>
      <c r="K1161" s="141"/>
      <c r="L1161" s="141"/>
      <c r="M1161" s="59"/>
    </row>
    <row r="1162" spans="2:13">
      <c r="B1162" s="135"/>
      <c r="C1162" s="41"/>
      <c r="D1162" s="137"/>
      <c r="E1162" s="138"/>
      <c r="F1162" s="139"/>
      <c r="G1162" s="1" t="str">
        <f>IFERROR(IF(ventas_b_mes1255[[#This Row],[CUIT]]="","-",VLOOKUP(ventas_b_mes1255[[#This Row],[CUIT]],Lista_CUIT[#All],2,0)),"CUIT NO CARGADO")</f>
        <v>-</v>
      </c>
      <c r="H1162" s="100">
        <f>ventas_b_mes1255[[#This Row],[TOTAL]]/1.21</f>
        <v>0</v>
      </c>
      <c r="I1162" s="64">
        <f>ventas_b_mes1255[[#This Row],[IMPORTE NETO]]*0.21</f>
        <v>0</v>
      </c>
      <c r="J1162" s="141"/>
      <c r="K1162" s="141"/>
      <c r="L1162" s="141"/>
      <c r="M1162" s="59"/>
    </row>
    <row r="1163" spans="2:13">
      <c r="B1163" s="135"/>
      <c r="C1163" s="41"/>
      <c r="D1163" s="137"/>
      <c r="E1163" s="138"/>
      <c r="F1163" s="139"/>
      <c r="G1163" s="1" t="str">
        <f>IFERROR(IF(ventas_b_mes1255[[#This Row],[CUIT]]="","-",VLOOKUP(ventas_b_mes1255[[#This Row],[CUIT]],Lista_CUIT[#All],2,0)),"CUIT NO CARGADO")</f>
        <v>-</v>
      </c>
      <c r="H1163" s="100">
        <f>ventas_b_mes1255[[#This Row],[TOTAL]]/1.21</f>
        <v>0</v>
      </c>
      <c r="I1163" s="64">
        <f>ventas_b_mes1255[[#This Row],[IMPORTE NETO]]*0.21</f>
        <v>0</v>
      </c>
      <c r="J1163" s="141"/>
      <c r="K1163" s="141"/>
      <c r="L1163" s="141"/>
      <c r="M1163" s="59"/>
    </row>
    <row r="1164" spans="2:13">
      <c r="B1164" s="135"/>
      <c r="C1164" s="41"/>
      <c r="D1164" s="137"/>
      <c r="E1164" s="138"/>
      <c r="F1164" s="139"/>
      <c r="G1164" s="1" t="str">
        <f>IFERROR(IF(ventas_b_mes1255[[#This Row],[CUIT]]="","-",VLOOKUP(ventas_b_mes1255[[#This Row],[CUIT]],Lista_CUIT[#All],2,0)),"CUIT NO CARGADO")</f>
        <v>-</v>
      </c>
      <c r="H1164" s="100">
        <f>ventas_b_mes1255[[#This Row],[TOTAL]]/1.21</f>
        <v>0</v>
      </c>
      <c r="I1164" s="64">
        <f>ventas_b_mes1255[[#This Row],[IMPORTE NETO]]*0.21</f>
        <v>0</v>
      </c>
      <c r="J1164" s="141"/>
      <c r="K1164" s="141"/>
      <c r="L1164" s="141"/>
      <c r="M1164" s="59"/>
    </row>
    <row r="1165" spans="2:13">
      <c r="B1165" s="135"/>
      <c r="C1165" s="41"/>
      <c r="D1165" s="137"/>
      <c r="E1165" s="138"/>
      <c r="F1165" s="139"/>
      <c r="G1165" s="1" t="str">
        <f>IFERROR(IF(ventas_b_mes1255[[#This Row],[CUIT]]="","-",VLOOKUP(ventas_b_mes1255[[#This Row],[CUIT]],Lista_CUIT[#All],2,0)),"CUIT NO CARGADO")</f>
        <v>-</v>
      </c>
      <c r="H1165" s="100">
        <f>ventas_b_mes1255[[#This Row],[TOTAL]]/1.21</f>
        <v>0</v>
      </c>
      <c r="I1165" s="64">
        <f>ventas_b_mes1255[[#This Row],[IMPORTE NETO]]*0.21</f>
        <v>0</v>
      </c>
      <c r="J1165" s="141"/>
      <c r="K1165" s="141"/>
      <c r="L1165" s="141"/>
      <c r="M1165" s="59"/>
    </row>
    <row r="1166" spans="2:13">
      <c r="B1166" s="135"/>
      <c r="C1166" s="41"/>
      <c r="D1166" s="137"/>
      <c r="E1166" s="138"/>
      <c r="F1166" s="139"/>
      <c r="G1166" s="1" t="str">
        <f>IFERROR(IF(ventas_b_mes1255[[#This Row],[CUIT]]="","-",VLOOKUP(ventas_b_mes1255[[#This Row],[CUIT]],Lista_CUIT[#All],2,0)),"CUIT NO CARGADO")</f>
        <v>-</v>
      </c>
      <c r="H1166" s="100">
        <f>ventas_b_mes1255[[#This Row],[TOTAL]]/1.21</f>
        <v>0</v>
      </c>
      <c r="I1166" s="64">
        <f>ventas_b_mes1255[[#This Row],[IMPORTE NETO]]*0.21</f>
        <v>0</v>
      </c>
      <c r="J1166" s="141"/>
      <c r="K1166" s="141"/>
      <c r="L1166" s="141"/>
      <c r="M1166" s="59"/>
    </row>
    <row r="1167" spans="2:13">
      <c r="B1167" s="135"/>
      <c r="C1167" s="41"/>
      <c r="D1167" s="137"/>
      <c r="E1167" s="138"/>
      <c r="F1167" s="139"/>
      <c r="G1167" s="1" t="str">
        <f>IFERROR(IF(ventas_b_mes1255[[#This Row],[CUIT]]="","-",VLOOKUP(ventas_b_mes1255[[#This Row],[CUIT]],Lista_CUIT[#All],2,0)),"CUIT NO CARGADO")</f>
        <v>-</v>
      </c>
      <c r="H1167" s="100">
        <f>ventas_b_mes1255[[#This Row],[TOTAL]]/1.21</f>
        <v>0</v>
      </c>
      <c r="I1167" s="64">
        <f>ventas_b_mes1255[[#This Row],[IMPORTE NETO]]*0.21</f>
        <v>0</v>
      </c>
      <c r="J1167" s="141"/>
      <c r="K1167" s="141"/>
      <c r="L1167" s="141"/>
      <c r="M1167" s="59"/>
    </row>
    <row r="1168" spans="2:13">
      <c r="B1168" s="135"/>
      <c r="C1168" s="41"/>
      <c r="D1168" s="137"/>
      <c r="E1168" s="138"/>
      <c r="F1168" s="139"/>
      <c r="G1168" s="1" t="str">
        <f>IFERROR(IF(ventas_b_mes1255[[#This Row],[CUIT]]="","-",VLOOKUP(ventas_b_mes1255[[#This Row],[CUIT]],Lista_CUIT[#All],2,0)),"CUIT NO CARGADO")</f>
        <v>-</v>
      </c>
      <c r="H1168" s="100">
        <f>ventas_b_mes1255[[#This Row],[TOTAL]]/1.21</f>
        <v>0</v>
      </c>
      <c r="I1168" s="64">
        <f>ventas_b_mes1255[[#This Row],[IMPORTE NETO]]*0.21</f>
        <v>0</v>
      </c>
      <c r="J1168" s="141"/>
      <c r="K1168" s="141"/>
      <c r="L1168" s="141"/>
      <c r="M1168" s="59"/>
    </row>
    <row r="1169" spans="2:13">
      <c r="B1169" s="135"/>
      <c r="C1169" s="41"/>
      <c r="D1169" s="137"/>
      <c r="E1169" s="138"/>
      <c r="F1169" s="139"/>
      <c r="G1169" s="1" t="str">
        <f>IFERROR(IF(ventas_b_mes1255[[#This Row],[CUIT]]="","-",VLOOKUP(ventas_b_mes1255[[#This Row],[CUIT]],Lista_CUIT[#All],2,0)),"CUIT NO CARGADO")</f>
        <v>-</v>
      </c>
      <c r="H1169" s="100">
        <f>ventas_b_mes1255[[#This Row],[TOTAL]]/1.21</f>
        <v>0</v>
      </c>
      <c r="I1169" s="64">
        <f>ventas_b_mes1255[[#This Row],[IMPORTE NETO]]*0.21</f>
        <v>0</v>
      </c>
      <c r="J1169" s="141"/>
      <c r="K1169" s="141"/>
      <c r="L1169" s="141"/>
      <c r="M1169" s="59"/>
    </row>
    <row r="1170" spans="2:13">
      <c r="B1170" s="135"/>
      <c r="C1170" s="41"/>
      <c r="D1170" s="137"/>
      <c r="E1170" s="138"/>
      <c r="F1170" s="139"/>
      <c r="G1170" s="1" t="str">
        <f>IFERROR(IF(ventas_b_mes1255[[#This Row],[CUIT]]="","-",VLOOKUP(ventas_b_mes1255[[#This Row],[CUIT]],Lista_CUIT[#All],2,0)),"CUIT NO CARGADO")</f>
        <v>-</v>
      </c>
      <c r="H1170" s="100">
        <f>ventas_b_mes1255[[#This Row],[TOTAL]]/1.21</f>
        <v>0</v>
      </c>
      <c r="I1170" s="64">
        <f>ventas_b_mes1255[[#This Row],[IMPORTE NETO]]*0.21</f>
        <v>0</v>
      </c>
      <c r="J1170" s="141"/>
      <c r="K1170" s="141"/>
      <c r="L1170" s="141"/>
      <c r="M1170" s="59"/>
    </row>
    <row r="1171" spans="2:13">
      <c r="B1171" s="135"/>
      <c r="C1171" s="41"/>
      <c r="D1171" s="137"/>
      <c r="E1171" s="138"/>
      <c r="F1171" s="139"/>
      <c r="G1171" s="1" t="str">
        <f>IFERROR(IF(ventas_b_mes1255[[#This Row],[CUIT]]="","-",VLOOKUP(ventas_b_mes1255[[#This Row],[CUIT]],Lista_CUIT[#All],2,0)),"CUIT NO CARGADO")</f>
        <v>-</v>
      </c>
      <c r="H1171" s="100">
        <f>ventas_b_mes1255[[#This Row],[TOTAL]]/1.21</f>
        <v>0</v>
      </c>
      <c r="I1171" s="64">
        <f>ventas_b_mes1255[[#This Row],[IMPORTE NETO]]*0.21</f>
        <v>0</v>
      </c>
      <c r="J1171" s="141"/>
      <c r="K1171" s="141"/>
      <c r="L1171" s="141"/>
      <c r="M1171" s="59"/>
    </row>
    <row r="1172" spans="2:13">
      <c r="B1172" s="135"/>
      <c r="C1172" s="41"/>
      <c r="D1172" s="137"/>
      <c r="E1172" s="138"/>
      <c r="F1172" s="139"/>
      <c r="G1172" s="1" t="str">
        <f>IFERROR(IF(ventas_b_mes1255[[#This Row],[CUIT]]="","-",VLOOKUP(ventas_b_mes1255[[#This Row],[CUIT]],Lista_CUIT[#All],2,0)),"CUIT NO CARGADO")</f>
        <v>-</v>
      </c>
      <c r="H1172" s="100">
        <f>ventas_b_mes1255[[#This Row],[TOTAL]]/1.21</f>
        <v>0</v>
      </c>
      <c r="I1172" s="64">
        <f>ventas_b_mes1255[[#This Row],[IMPORTE NETO]]*0.21</f>
        <v>0</v>
      </c>
      <c r="J1172" s="141"/>
      <c r="K1172" s="141"/>
      <c r="L1172" s="141"/>
      <c r="M1172" s="59"/>
    </row>
    <row r="1173" spans="2:13">
      <c r="B1173" s="135"/>
      <c r="C1173" s="41"/>
      <c r="D1173" s="137"/>
      <c r="E1173" s="138"/>
      <c r="F1173" s="139"/>
      <c r="G1173" s="1" t="str">
        <f>IFERROR(IF(ventas_b_mes1255[[#This Row],[CUIT]]="","-",VLOOKUP(ventas_b_mes1255[[#This Row],[CUIT]],Lista_CUIT[#All],2,0)),"CUIT NO CARGADO")</f>
        <v>-</v>
      </c>
      <c r="H1173" s="100">
        <f>ventas_b_mes1255[[#This Row],[TOTAL]]/1.21</f>
        <v>0</v>
      </c>
      <c r="I1173" s="64">
        <f>ventas_b_mes1255[[#This Row],[IMPORTE NETO]]*0.21</f>
        <v>0</v>
      </c>
      <c r="J1173" s="141"/>
      <c r="K1173" s="141"/>
      <c r="L1173" s="141"/>
      <c r="M1173" s="59"/>
    </row>
    <row r="1174" spans="2:13">
      <c r="B1174" s="135"/>
      <c r="C1174" s="41"/>
      <c r="D1174" s="137"/>
      <c r="E1174" s="138"/>
      <c r="F1174" s="139"/>
      <c r="G1174" s="1" t="str">
        <f>IFERROR(IF(ventas_b_mes1255[[#This Row],[CUIT]]="","-",VLOOKUP(ventas_b_mes1255[[#This Row],[CUIT]],Lista_CUIT[#All],2,0)),"CUIT NO CARGADO")</f>
        <v>-</v>
      </c>
      <c r="H1174" s="100">
        <f>ventas_b_mes1255[[#This Row],[TOTAL]]/1.21</f>
        <v>0</v>
      </c>
      <c r="I1174" s="64">
        <f>ventas_b_mes1255[[#This Row],[IMPORTE NETO]]*0.21</f>
        <v>0</v>
      </c>
      <c r="J1174" s="141"/>
      <c r="K1174" s="141"/>
      <c r="L1174" s="141"/>
      <c r="M1174" s="59"/>
    </row>
    <row r="1175" spans="2:13">
      <c r="B1175" s="135"/>
      <c r="C1175" s="41"/>
      <c r="D1175" s="137"/>
      <c r="E1175" s="138"/>
      <c r="F1175" s="139"/>
      <c r="G1175" s="1" t="str">
        <f>IFERROR(IF(ventas_b_mes1255[[#This Row],[CUIT]]="","-",VLOOKUP(ventas_b_mes1255[[#This Row],[CUIT]],Lista_CUIT[#All],2,0)),"CUIT NO CARGADO")</f>
        <v>-</v>
      </c>
      <c r="H1175" s="100">
        <f>ventas_b_mes1255[[#This Row],[TOTAL]]/1.21</f>
        <v>0</v>
      </c>
      <c r="I1175" s="64">
        <f>ventas_b_mes1255[[#This Row],[IMPORTE NETO]]*0.21</f>
        <v>0</v>
      </c>
      <c r="J1175" s="141"/>
      <c r="K1175" s="141"/>
      <c r="L1175" s="141"/>
      <c r="M1175" s="59"/>
    </row>
    <row r="1176" spans="2:13">
      <c r="B1176" s="135"/>
      <c r="C1176" s="41"/>
      <c r="D1176" s="137"/>
      <c r="E1176" s="138"/>
      <c r="F1176" s="139"/>
      <c r="G1176" s="1" t="str">
        <f>IFERROR(IF(ventas_b_mes1255[[#This Row],[CUIT]]="","-",VLOOKUP(ventas_b_mes1255[[#This Row],[CUIT]],Lista_CUIT[#All],2,0)),"CUIT NO CARGADO")</f>
        <v>-</v>
      </c>
      <c r="H1176" s="100">
        <f>ventas_b_mes1255[[#This Row],[TOTAL]]/1.21</f>
        <v>0</v>
      </c>
      <c r="I1176" s="64">
        <f>ventas_b_mes1255[[#This Row],[IMPORTE NETO]]*0.21</f>
        <v>0</v>
      </c>
      <c r="J1176" s="141"/>
      <c r="K1176" s="141"/>
      <c r="L1176" s="141"/>
      <c r="M1176" s="59"/>
    </row>
    <row r="1177" spans="2:13">
      <c r="B1177" s="135"/>
      <c r="C1177" s="41"/>
      <c r="D1177" s="137"/>
      <c r="E1177" s="138"/>
      <c r="F1177" s="139"/>
      <c r="G1177" s="1" t="str">
        <f>IFERROR(IF(ventas_b_mes1255[[#This Row],[CUIT]]="","-",VLOOKUP(ventas_b_mes1255[[#This Row],[CUIT]],Lista_CUIT[#All],2,0)),"CUIT NO CARGADO")</f>
        <v>-</v>
      </c>
      <c r="H1177" s="100">
        <f>ventas_b_mes1255[[#This Row],[TOTAL]]/1.21</f>
        <v>0</v>
      </c>
      <c r="I1177" s="64">
        <f>ventas_b_mes1255[[#This Row],[IMPORTE NETO]]*0.21</f>
        <v>0</v>
      </c>
      <c r="J1177" s="141"/>
      <c r="K1177" s="141"/>
      <c r="L1177" s="141"/>
      <c r="M1177" s="59"/>
    </row>
    <row r="1178" spans="2:13">
      <c r="B1178" s="135"/>
      <c r="C1178" s="41"/>
      <c r="D1178" s="137"/>
      <c r="E1178" s="138"/>
      <c r="F1178" s="139"/>
      <c r="G1178" s="1" t="str">
        <f>IFERROR(IF(ventas_b_mes1255[[#This Row],[CUIT]]="","-",VLOOKUP(ventas_b_mes1255[[#This Row],[CUIT]],Lista_CUIT[#All],2,0)),"CUIT NO CARGADO")</f>
        <v>-</v>
      </c>
      <c r="H1178" s="100">
        <f>ventas_b_mes1255[[#This Row],[TOTAL]]/1.21</f>
        <v>0</v>
      </c>
      <c r="I1178" s="64">
        <f>ventas_b_mes1255[[#This Row],[IMPORTE NETO]]*0.21</f>
        <v>0</v>
      </c>
      <c r="J1178" s="141"/>
      <c r="K1178" s="141"/>
      <c r="L1178" s="141"/>
      <c r="M1178" s="59"/>
    </row>
    <row r="1179" spans="2:13">
      <c r="B1179" s="135"/>
      <c r="C1179" s="41"/>
      <c r="D1179" s="137"/>
      <c r="E1179" s="138"/>
      <c r="F1179" s="139"/>
      <c r="G1179" s="1" t="str">
        <f>IFERROR(IF(ventas_b_mes1255[[#This Row],[CUIT]]="","-",VLOOKUP(ventas_b_mes1255[[#This Row],[CUIT]],Lista_CUIT[#All],2,0)),"CUIT NO CARGADO")</f>
        <v>-</v>
      </c>
      <c r="H1179" s="100">
        <f>ventas_b_mes1255[[#This Row],[TOTAL]]/1.21</f>
        <v>0</v>
      </c>
      <c r="I1179" s="64">
        <f>ventas_b_mes1255[[#This Row],[IMPORTE NETO]]*0.21</f>
        <v>0</v>
      </c>
      <c r="J1179" s="141"/>
      <c r="K1179" s="141"/>
      <c r="L1179" s="141"/>
      <c r="M1179" s="59"/>
    </row>
    <row r="1180" spans="2:13">
      <c r="B1180" s="135"/>
      <c r="C1180" s="41"/>
      <c r="D1180" s="137"/>
      <c r="E1180" s="138"/>
      <c r="F1180" s="139"/>
      <c r="G1180" s="1" t="str">
        <f>IFERROR(IF(ventas_b_mes1255[[#This Row],[CUIT]]="","-",VLOOKUP(ventas_b_mes1255[[#This Row],[CUIT]],Lista_CUIT[#All],2,0)),"CUIT NO CARGADO")</f>
        <v>-</v>
      </c>
      <c r="H1180" s="100">
        <f>ventas_b_mes1255[[#This Row],[TOTAL]]/1.21</f>
        <v>0</v>
      </c>
      <c r="I1180" s="64">
        <f>ventas_b_mes1255[[#This Row],[IMPORTE NETO]]*0.21</f>
        <v>0</v>
      </c>
      <c r="J1180" s="141"/>
      <c r="K1180" s="141"/>
      <c r="L1180" s="141"/>
      <c r="M1180" s="59"/>
    </row>
    <row r="1181" spans="2:13">
      <c r="B1181" s="135"/>
      <c r="C1181" s="41"/>
      <c r="D1181" s="137"/>
      <c r="E1181" s="138"/>
      <c r="F1181" s="139"/>
      <c r="G1181" s="1" t="str">
        <f>IFERROR(IF(ventas_b_mes1255[[#This Row],[CUIT]]="","-",VLOOKUP(ventas_b_mes1255[[#This Row],[CUIT]],Lista_CUIT[#All],2,0)),"CUIT NO CARGADO")</f>
        <v>-</v>
      </c>
      <c r="H1181" s="100">
        <f>ventas_b_mes1255[[#This Row],[TOTAL]]/1.21</f>
        <v>0</v>
      </c>
      <c r="I1181" s="64">
        <f>ventas_b_mes1255[[#This Row],[IMPORTE NETO]]*0.21</f>
        <v>0</v>
      </c>
      <c r="J1181" s="141"/>
      <c r="K1181" s="141"/>
      <c r="L1181" s="141"/>
      <c r="M1181" s="59"/>
    </row>
    <row r="1182" spans="2:13">
      <c r="B1182" s="135"/>
      <c r="C1182" s="41"/>
      <c r="D1182" s="137"/>
      <c r="E1182" s="138"/>
      <c r="F1182" s="139"/>
      <c r="G1182" s="1" t="str">
        <f>IFERROR(IF(ventas_b_mes1255[[#This Row],[CUIT]]="","-",VLOOKUP(ventas_b_mes1255[[#This Row],[CUIT]],Lista_CUIT[#All],2,0)),"CUIT NO CARGADO")</f>
        <v>-</v>
      </c>
      <c r="H1182" s="100">
        <f>ventas_b_mes1255[[#This Row],[TOTAL]]/1.21</f>
        <v>0</v>
      </c>
      <c r="I1182" s="64">
        <f>ventas_b_mes1255[[#This Row],[IMPORTE NETO]]*0.21</f>
        <v>0</v>
      </c>
      <c r="J1182" s="141"/>
      <c r="K1182" s="141"/>
      <c r="L1182" s="141"/>
      <c r="M1182" s="59"/>
    </row>
    <row r="1183" spans="2:13">
      <c r="B1183" s="135"/>
      <c r="C1183" s="41"/>
      <c r="D1183" s="137"/>
      <c r="E1183" s="138"/>
      <c r="F1183" s="139"/>
      <c r="G1183" s="1" t="str">
        <f>IFERROR(IF(ventas_b_mes1255[[#This Row],[CUIT]]="","-",VLOOKUP(ventas_b_mes1255[[#This Row],[CUIT]],Lista_CUIT[#All],2,0)),"CUIT NO CARGADO")</f>
        <v>-</v>
      </c>
      <c r="H1183" s="100">
        <f>ventas_b_mes1255[[#This Row],[TOTAL]]/1.21</f>
        <v>0</v>
      </c>
      <c r="I1183" s="64">
        <f>ventas_b_mes1255[[#This Row],[IMPORTE NETO]]*0.21</f>
        <v>0</v>
      </c>
      <c r="J1183" s="141"/>
      <c r="K1183" s="141"/>
      <c r="L1183" s="141"/>
      <c r="M1183" s="59"/>
    </row>
    <row r="1184" spans="2:13">
      <c r="B1184" s="135"/>
      <c r="C1184" s="41"/>
      <c r="D1184" s="137"/>
      <c r="E1184" s="138"/>
      <c r="F1184" s="139"/>
      <c r="G1184" s="1" t="str">
        <f>IFERROR(IF(ventas_b_mes1255[[#This Row],[CUIT]]="","-",VLOOKUP(ventas_b_mes1255[[#This Row],[CUIT]],Lista_CUIT[#All],2,0)),"CUIT NO CARGADO")</f>
        <v>-</v>
      </c>
      <c r="H1184" s="100">
        <f>ventas_b_mes1255[[#This Row],[TOTAL]]/1.21</f>
        <v>0</v>
      </c>
      <c r="I1184" s="64">
        <f>ventas_b_mes1255[[#This Row],[IMPORTE NETO]]*0.21</f>
        <v>0</v>
      </c>
      <c r="J1184" s="141"/>
      <c r="K1184" s="141"/>
      <c r="L1184" s="141"/>
      <c r="M1184" s="59"/>
    </row>
    <row r="1185" spans="2:13">
      <c r="B1185" s="135"/>
      <c r="C1185" s="41"/>
      <c r="D1185" s="137"/>
      <c r="E1185" s="138"/>
      <c r="F1185" s="139"/>
      <c r="G1185" s="1" t="str">
        <f>IFERROR(IF(ventas_b_mes1255[[#This Row],[CUIT]]="","-",VLOOKUP(ventas_b_mes1255[[#This Row],[CUIT]],Lista_CUIT[#All],2,0)),"CUIT NO CARGADO")</f>
        <v>-</v>
      </c>
      <c r="H1185" s="100">
        <f>ventas_b_mes1255[[#This Row],[TOTAL]]/1.21</f>
        <v>0</v>
      </c>
      <c r="I1185" s="64">
        <f>ventas_b_mes1255[[#This Row],[IMPORTE NETO]]*0.21</f>
        <v>0</v>
      </c>
      <c r="J1185" s="141"/>
      <c r="K1185" s="141"/>
      <c r="L1185" s="141"/>
      <c r="M1185" s="59"/>
    </row>
    <row r="1186" spans="2:13">
      <c r="B1186" s="135"/>
      <c r="C1186" s="41"/>
      <c r="D1186" s="137"/>
      <c r="E1186" s="138"/>
      <c r="F1186" s="139"/>
      <c r="G1186" s="1" t="str">
        <f>IFERROR(IF(ventas_b_mes1255[[#This Row],[CUIT]]="","-",VLOOKUP(ventas_b_mes1255[[#This Row],[CUIT]],Lista_CUIT[#All],2,0)),"CUIT NO CARGADO")</f>
        <v>-</v>
      </c>
      <c r="H1186" s="100">
        <f>ventas_b_mes1255[[#This Row],[TOTAL]]/1.21</f>
        <v>0</v>
      </c>
      <c r="I1186" s="64">
        <f>ventas_b_mes1255[[#This Row],[IMPORTE NETO]]*0.21</f>
        <v>0</v>
      </c>
      <c r="J1186" s="141"/>
      <c r="K1186" s="141"/>
      <c r="L1186" s="141"/>
      <c r="M1186" s="59"/>
    </row>
    <row r="1187" spans="2:13">
      <c r="B1187" s="135"/>
      <c r="C1187" s="41"/>
      <c r="D1187" s="137"/>
      <c r="E1187" s="138"/>
      <c r="F1187" s="139"/>
      <c r="G1187" s="1" t="str">
        <f>IFERROR(IF(ventas_b_mes1255[[#This Row],[CUIT]]="","-",VLOOKUP(ventas_b_mes1255[[#This Row],[CUIT]],Lista_CUIT[#All],2,0)),"CUIT NO CARGADO")</f>
        <v>-</v>
      </c>
      <c r="H1187" s="100">
        <f>ventas_b_mes1255[[#This Row],[TOTAL]]/1.21</f>
        <v>0</v>
      </c>
      <c r="I1187" s="64">
        <f>ventas_b_mes1255[[#This Row],[IMPORTE NETO]]*0.21</f>
        <v>0</v>
      </c>
      <c r="J1187" s="141"/>
      <c r="K1187" s="141"/>
      <c r="L1187" s="141"/>
      <c r="M1187" s="59"/>
    </row>
    <row r="1188" spans="2:13">
      <c r="B1188" s="135"/>
      <c r="C1188" s="41"/>
      <c r="D1188" s="137"/>
      <c r="E1188" s="138"/>
      <c r="F1188" s="139"/>
      <c r="G1188" s="1" t="str">
        <f>IFERROR(IF(ventas_b_mes1255[[#This Row],[CUIT]]="","-",VLOOKUP(ventas_b_mes1255[[#This Row],[CUIT]],Lista_CUIT[#All],2,0)),"CUIT NO CARGADO")</f>
        <v>-</v>
      </c>
      <c r="H1188" s="100">
        <f>ventas_b_mes1255[[#This Row],[TOTAL]]/1.21</f>
        <v>0</v>
      </c>
      <c r="I1188" s="64">
        <f>ventas_b_mes1255[[#This Row],[IMPORTE NETO]]*0.21</f>
        <v>0</v>
      </c>
      <c r="J1188" s="141"/>
      <c r="K1188" s="141"/>
      <c r="L1188" s="141"/>
      <c r="M1188" s="59"/>
    </row>
    <row r="1189" spans="2:13">
      <c r="B1189" s="135"/>
      <c r="C1189" s="41"/>
      <c r="D1189" s="137"/>
      <c r="E1189" s="138"/>
      <c r="F1189" s="139"/>
      <c r="G1189" s="1" t="str">
        <f>IFERROR(IF(ventas_b_mes1255[[#This Row],[CUIT]]="","-",VLOOKUP(ventas_b_mes1255[[#This Row],[CUIT]],Lista_CUIT[#All],2,0)),"CUIT NO CARGADO")</f>
        <v>-</v>
      </c>
      <c r="H1189" s="100">
        <f>ventas_b_mes1255[[#This Row],[TOTAL]]/1.21</f>
        <v>0</v>
      </c>
      <c r="I1189" s="64">
        <f>ventas_b_mes1255[[#This Row],[IMPORTE NETO]]*0.21</f>
        <v>0</v>
      </c>
      <c r="J1189" s="141"/>
      <c r="K1189" s="141"/>
      <c r="L1189" s="141"/>
      <c r="M1189" s="59"/>
    </row>
    <row r="1190" spans="2:13">
      <c r="B1190" s="135"/>
      <c r="C1190" s="41"/>
      <c r="D1190" s="137"/>
      <c r="E1190" s="138"/>
      <c r="F1190" s="139"/>
      <c r="G1190" s="1" t="str">
        <f>IFERROR(IF(ventas_b_mes1255[[#This Row],[CUIT]]="","-",VLOOKUP(ventas_b_mes1255[[#This Row],[CUIT]],Lista_CUIT[#All],2,0)),"CUIT NO CARGADO")</f>
        <v>-</v>
      </c>
      <c r="H1190" s="100">
        <f>ventas_b_mes1255[[#This Row],[TOTAL]]/1.21</f>
        <v>0</v>
      </c>
      <c r="I1190" s="64">
        <f>ventas_b_mes1255[[#This Row],[IMPORTE NETO]]*0.21</f>
        <v>0</v>
      </c>
      <c r="J1190" s="141"/>
      <c r="K1190" s="141"/>
      <c r="L1190" s="141"/>
      <c r="M1190" s="59"/>
    </row>
    <row r="1191" spans="2:13">
      <c r="B1191" s="135"/>
      <c r="C1191" s="41"/>
      <c r="D1191" s="137"/>
      <c r="E1191" s="138"/>
      <c r="F1191" s="139"/>
      <c r="G1191" s="1" t="str">
        <f>IFERROR(IF(ventas_b_mes1255[[#This Row],[CUIT]]="","-",VLOOKUP(ventas_b_mes1255[[#This Row],[CUIT]],Lista_CUIT[#All],2,0)),"CUIT NO CARGADO")</f>
        <v>-</v>
      </c>
      <c r="H1191" s="100">
        <f>ventas_b_mes1255[[#This Row],[TOTAL]]/1.21</f>
        <v>0</v>
      </c>
      <c r="I1191" s="64">
        <f>ventas_b_mes1255[[#This Row],[IMPORTE NETO]]*0.21</f>
        <v>0</v>
      </c>
      <c r="J1191" s="141"/>
      <c r="K1191" s="141"/>
      <c r="L1191" s="141"/>
      <c r="M1191" s="59"/>
    </row>
    <row r="1192" spans="2:13">
      <c r="B1192" s="135"/>
      <c r="C1192" s="41"/>
      <c r="D1192" s="137"/>
      <c r="E1192" s="138"/>
      <c r="F1192" s="139"/>
      <c r="G1192" s="1" t="str">
        <f>IFERROR(IF(ventas_b_mes1255[[#This Row],[CUIT]]="","-",VLOOKUP(ventas_b_mes1255[[#This Row],[CUIT]],Lista_CUIT[#All],2,0)),"CUIT NO CARGADO")</f>
        <v>-</v>
      </c>
      <c r="H1192" s="100">
        <f>ventas_b_mes1255[[#This Row],[TOTAL]]/1.21</f>
        <v>0</v>
      </c>
      <c r="I1192" s="64">
        <f>ventas_b_mes1255[[#This Row],[IMPORTE NETO]]*0.21</f>
        <v>0</v>
      </c>
      <c r="J1192" s="141"/>
      <c r="K1192" s="141"/>
      <c r="L1192" s="141"/>
      <c r="M1192" s="59"/>
    </row>
    <row r="1193" spans="2:13">
      <c r="B1193" s="135"/>
      <c r="C1193" s="41"/>
      <c r="D1193" s="137"/>
      <c r="E1193" s="138"/>
      <c r="F1193" s="139"/>
      <c r="G1193" s="1" t="str">
        <f>IFERROR(IF(ventas_b_mes1255[[#This Row],[CUIT]]="","-",VLOOKUP(ventas_b_mes1255[[#This Row],[CUIT]],Lista_CUIT[#All],2,0)),"CUIT NO CARGADO")</f>
        <v>-</v>
      </c>
      <c r="H1193" s="100">
        <f>ventas_b_mes1255[[#This Row],[TOTAL]]/1.21</f>
        <v>0</v>
      </c>
      <c r="I1193" s="64">
        <f>ventas_b_mes1255[[#This Row],[IMPORTE NETO]]*0.21</f>
        <v>0</v>
      </c>
      <c r="J1193" s="141"/>
      <c r="K1193" s="141"/>
      <c r="L1193" s="141"/>
      <c r="M1193" s="59"/>
    </row>
    <row r="1194" spans="2:13">
      <c r="B1194" s="135"/>
      <c r="C1194" s="41"/>
      <c r="D1194" s="137"/>
      <c r="E1194" s="138"/>
      <c r="F1194" s="139"/>
      <c r="G1194" s="1" t="str">
        <f>IFERROR(IF(ventas_b_mes1255[[#This Row],[CUIT]]="","-",VLOOKUP(ventas_b_mes1255[[#This Row],[CUIT]],Lista_CUIT[#All],2,0)),"CUIT NO CARGADO")</f>
        <v>-</v>
      </c>
      <c r="H1194" s="100">
        <f>ventas_b_mes1255[[#This Row],[TOTAL]]/1.21</f>
        <v>0</v>
      </c>
      <c r="I1194" s="64">
        <f>ventas_b_mes1255[[#This Row],[IMPORTE NETO]]*0.21</f>
        <v>0</v>
      </c>
      <c r="J1194" s="141"/>
      <c r="K1194" s="141"/>
      <c r="L1194" s="141"/>
      <c r="M1194" s="59"/>
    </row>
    <row r="1195" spans="2:13">
      <c r="B1195" s="135"/>
      <c r="C1195" s="41"/>
      <c r="D1195" s="137"/>
      <c r="E1195" s="138"/>
      <c r="F1195" s="139"/>
      <c r="G1195" s="1" t="str">
        <f>IFERROR(IF(ventas_b_mes1255[[#This Row],[CUIT]]="","-",VLOOKUP(ventas_b_mes1255[[#This Row],[CUIT]],Lista_CUIT[#All],2,0)),"CUIT NO CARGADO")</f>
        <v>-</v>
      </c>
      <c r="H1195" s="100">
        <f>ventas_b_mes1255[[#This Row],[TOTAL]]/1.21</f>
        <v>0</v>
      </c>
      <c r="I1195" s="64">
        <f>ventas_b_mes1255[[#This Row],[IMPORTE NETO]]*0.21</f>
        <v>0</v>
      </c>
      <c r="J1195" s="141"/>
      <c r="K1195" s="141"/>
      <c r="L1195" s="141"/>
      <c r="M1195" s="59"/>
    </row>
    <row r="1196" spans="2:13">
      <c r="B1196" s="135"/>
      <c r="C1196" s="41"/>
      <c r="D1196" s="137"/>
      <c r="E1196" s="138"/>
      <c r="F1196" s="139"/>
      <c r="G1196" s="1" t="str">
        <f>IFERROR(IF(ventas_b_mes1255[[#This Row],[CUIT]]="","-",VLOOKUP(ventas_b_mes1255[[#This Row],[CUIT]],Lista_CUIT[#All],2,0)),"CUIT NO CARGADO")</f>
        <v>-</v>
      </c>
      <c r="H1196" s="100">
        <f>ventas_b_mes1255[[#This Row],[TOTAL]]/1.21</f>
        <v>0</v>
      </c>
      <c r="I1196" s="64">
        <f>ventas_b_mes1255[[#This Row],[IMPORTE NETO]]*0.21</f>
        <v>0</v>
      </c>
      <c r="J1196" s="141"/>
      <c r="K1196" s="141"/>
      <c r="L1196" s="141"/>
      <c r="M1196" s="59"/>
    </row>
    <row r="1197" spans="2:13">
      <c r="B1197" s="135"/>
      <c r="C1197" s="41"/>
      <c r="D1197" s="137"/>
      <c r="E1197" s="138"/>
      <c r="F1197" s="139"/>
      <c r="G1197" s="1" t="str">
        <f>IFERROR(IF(ventas_b_mes1255[[#This Row],[CUIT]]="","-",VLOOKUP(ventas_b_mes1255[[#This Row],[CUIT]],Lista_CUIT[#All],2,0)),"CUIT NO CARGADO")</f>
        <v>-</v>
      </c>
      <c r="H1197" s="100">
        <f>ventas_b_mes1255[[#This Row],[TOTAL]]/1.21</f>
        <v>0</v>
      </c>
      <c r="I1197" s="64">
        <f>ventas_b_mes1255[[#This Row],[IMPORTE NETO]]*0.21</f>
        <v>0</v>
      </c>
      <c r="J1197" s="141"/>
      <c r="K1197" s="141"/>
      <c r="L1197" s="141"/>
      <c r="M1197" s="59"/>
    </row>
    <row r="1198" spans="2:13">
      <c r="B1198" s="135"/>
      <c r="C1198" s="41"/>
      <c r="D1198" s="137"/>
      <c r="E1198" s="138"/>
      <c r="F1198" s="139"/>
      <c r="G1198" s="1" t="str">
        <f>IFERROR(IF(ventas_b_mes1255[[#This Row],[CUIT]]="","-",VLOOKUP(ventas_b_mes1255[[#This Row],[CUIT]],Lista_CUIT[#All],2,0)),"CUIT NO CARGADO")</f>
        <v>-</v>
      </c>
      <c r="H1198" s="100">
        <f>ventas_b_mes1255[[#This Row],[TOTAL]]/1.21</f>
        <v>0</v>
      </c>
      <c r="I1198" s="64">
        <f>ventas_b_mes1255[[#This Row],[IMPORTE NETO]]*0.21</f>
        <v>0</v>
      </c>
      <c r="J1198" s="141"/>
      <c r="K1198" s="141"/>
      <c r="L1198" s="141"/>
      <c r="M1198" s="59"/>
    </row>
    <row r="1199" spans="2:13">
      <c r="B1199" s="135"/>
      <c r="C1199" s="41"/>
      <c r="D1199" s="137"/>
      <c r="E1199" s="138"/>
      <c r="F1199" s="139"/>
      <c r="G1199" s="1" t="str">
        <f>IFERROR(IF(ventas_b_mes1255[[#This Row],[CUIT]]="","-",VLOOKUP(ventas_b_mes1255[[#This Row],[CUIT]],Lista_CUIT[#All],2,0)),"CUIT NO CARGADO")</f>
        <v>-</v>
      </c>
      <c r="H1199" s="100">
        <f>ventas_b_mes1255[[#This Row],[TOTAL]]/1.21</f>
        <v>0</v>
      </c>
      <c r="I1199" s="64">
        <f>ventas_b_mes1255[[#This Row],[IMPORTE NETO]]*0.21</f>
        <v>0</v>
      </c>
      <c r="J1199" s="141"/>
      <c r="K1199" s="141"/>
      <c r="L1199" s="141"/>
      <c r="M1199" s="59"/>
    </row>
    <row r="1200" spans="2:13">
      <c r="B1200" s="135"/>
      <c r="C1200" s="41"/>
      <c r="D1200" s="137"/>
      <c r="E1200" s="138"/>
      <c r="F1200" s="139"/>
      <c r="G1200" s="1" t="str">
        <f>IFERROR(IF(ventas_b_mes1255[[#This Row],[CUIT]]="","-",VLOOKUP(ventas_b_mes1255[[#This Row],[CUIT]],Lista_CUIT[#All],2,0)),"CUIT NO CARGADO")</f>
        <v>-</v>
      </c>
      <c r="H1200" s="100">
        <f>ventas_b_mes1255[[#This Row],[TOTAL]]/1.21</f>
        <v>0</v>
      </c>
      <c r="I1200" s="64">
        <f>ventas_b_mes1255[[#This Row],[IMPORTE NETO]]*0.21</f>
        <v>0</v>
      </c>
      <c r="J1200" s="141"/>
      <c r="K1200" s="141"/>
      <c r="L1200" s="141"/>
      <c r="M1200" s="59"/>
    </row>
    <row r="1201" spans="2:13">
      <c r="B1201" s="135"/>
      <c r="C1201" s="41"/>
      <c r="D1201" s="137"/>
      <c r="E1201" s="138"/>
      <c r="F1201" s="139"/>
      <c r="G1201" s="1" t="str">
        <f>IFERROR(IF(ventas_b_mes1255[[#This Row],[CUIT]]="","-",VLOOKUP(ventas_b_mes1255[[#This Row],[CUIT]],Lista_CUIT[#All],2,0)),"CUIT NO CARGADO")</f>
        <v>-</v>
      </c>
      <c r="H1201" s="100">
        <f>ventas_b_mes1255[[#This Row],[TOTAL]]/1.21</f>
        <v>0</v>
      </c>
      <c r="I1201" s="64">
        <f>ventas_b_mes1255[[#This Row],[IMPORTE NETO]]*0.21</f>
        <v>0</v>
      </c>
      <c r="J1201" s="141"/>
      <c r="K1201" s="141"/>
      <c r="L1201" s="141"/>
      <c r="M1201" s="59"/>
    </row>
    <row r="1202" spans="2:13">
      <c r="B1202" s="135"/>
      <c r="C1202" s="41"/>
      <c r="D1202" s="137"/>
      <c r="E1202" s="138"/>
      <c r="F1202" s="139"/>
      <c r="G1202" s="1" t="str">
        <f>IFERROR(IF(ventas_b_mes1255[[#This Row],[CUIT]]="","-",VLOOKUP(ventas_b_mes1255[[#This Row],[CUIT]],Lista_CUIT[#All],2,0)),"CUIT NO CARGADO")</f>
        <v>-</v>
      </c>
      <c r="H1202" s="100">
        <f>ventas_b_mes1255[[#This Row],[TOTAL]]/1.21</f>
        <v>0</v>
      </c>
      <c r="I1202" s="64">
        <f>ventas_b_mes1255[[#This Row],[IMPORTE NETO]]*0.21</f>
        <v>0</v>
      </c>
      <c r="J1202" s="141"/>
      <c r="K1202" s="141"/>
      <c r="L1202" s="141"/>
      <c r="M1202" s="59"/>
    </row>
    <row r="1203" spans="2:13">
      <c r="B1203" s="135"/>
      <c r="C1203" s="41"/>
      <c r="D1203" s="137"/>
      <c r="E1203" s="138"/>
      <c r="F1203" s="139"/>
      <c r="G1203" s="1" t="str">
        <f>IFERROR(IF(ventas_b_mes1255[[#This Row],[CUIT]]="","-",VLOOKUP(ventas_b_mes1255[[#This Row],[CUIT]],Lista_CUIT[#All],2,0)),"CUIT NO CARGADO")</f>
        <v>-</v>
      </c>
      <c r="H1203" s="100">
        <f>ventas_b_mes1255[[#This Row],[TOTAL]]/1.21</f>
        <v>0</v>
      </c>
      <c r="I1203" s="64">
        <f>ventas_b_mes1255[[#This Row],[IMPORTE NETO]]*0.21</f>
        <v>0</v>
      </c>
      <c r="J1203" s="141"/>
      <c r="K1203" s="141"/>
      <c r="L1203" s="141"/>
      <c r="M1203" s="59"/>
    </row>
    <row r="1204" spans="2:13">
      <c r="B1204" s="135"/>
      <c r="C1204" s="41"/>
      <c r="D1204" s="137"/>
      <c r="E1204" s="138"/>
      <c r="F1204" s="139"/>
      <c r="G1204" s="1" t="str">
        <f>IFERROR(IF(ventas_b_mes1255[[#This Row],[CUIT]]="","-",VLOOKUP(ventas_b_mes1255[[#This Row],[CUIT]],Lista_CUIT[#All],2,0)),"CUIT NO CARGADO")</f>
        <v>-</v>
      </c>
      <c r="H1204" s="100">
        <f>ventas_b_mes1255[[#This Row],[TOTAL]]/1.21</f>
        <v>0</v>
      </c>
      <c r="I1204" s="64">
        <f>ventas_b_mes1255[[#This Row],[IMPORTE NETO]]*0.21</f>
        <v>0</v>
      </c>
      <c r="J1204" s="141"/>
      <c r="K1204" s="141"/>
      <c r="L1204" s="141"/>
      <c r="M1204" s="59"/>
    </row>
    <row r="1205" spans="2:13">
      <c r="B1205" s="135"/>
      <c r="C1205" s="41"/>
      <c r="D1205" s="137"/>
      <c r="E1205" s="138"/>
      <c r="F1205" s="139"/>
      <c r="G1205" s="1" t="str">
        <f>IFERROR(IF(ventas_b_mes1255[[#This Row],[CUIT]]="","-",VLOOKUP(ventas_b_mes1255[[#This Row],[CUIT]],Lista_CUIT[#All],2,0)),"CUIT NO CARGADO")</f>
        <v>-</v>
      </c>
      <c r="H1205" s="100">
        <f>ventas_b_mes1255[[#This Row],[TOTAL]]/1.21</f>
        <v>0</v>
      </c>
      <c r="I1205" s="64">
        <f>ventas_b_mes1255[[#This Row],[IMPORTE NETO]]*0.21</f>
        <v>0</v>
      </c>
      <c r="J1205" s="141"/>
      <c r="K1205" s="141"/>
      <c r="L1205" s="141"/>
      <c r="M1205" s="59"/>
    </row>
    <row r="1206" spans="2:13">
      <c r="B1206" s="135"/>
      <c r="C1206" s="41"/>
      <c r="D1206" s="137"/>
      <c r="E1206" s="138"/>
      <c r="F1206" s="139"/>
      <c r="G1206" s="1" t="str">
        <f>IFERROR(IF(ventas_b_mes1255[[#This Row],[CUIT]]="","-",VLOOKUP(ventas_b_mes1255[[#This Row],[CUIT]],Lista_CUIT[#All],2,0)),"CUIT NO CARGADO")</f>
        <v>-</v>
      </c>
      <c r="H1206" s="100">
        <f>ventas_b_mes1255[[#This Row],[TOTAL]]/1.21</f>
        <v>0</v>
      </c>
      <c r="I1206" s="64">
        <f>ventas_b_mes1255[[#This Row],[IMPORTE NETO]]*0.21</f>
        <v>0</v>
      </c>
      <c r="J1206" s="141"/>
      <c r="K1206" s="141"/>
      <c r="L1206" s="141"/>
      <c r="M1206" s="59"/>
    </row>
    <row r="1207" spans="2:13">
      <c r="B1207" s="135"/>
      <c r="C1207" s="41"/>
      <c r="D1207" s="137"/>
      <c r="E1207" s="138"/>
      <c r="F1207" s="139"/>
      <c r="G1207" s="1" t="str">
        <f>IFERROR(IF(ventas_b_mes1255[[#This Row],[CUIT]]="","-",VLOOKUP(ventas_b_mes1255[[#This Row],[CUIT]],Lista_CUIT[#All],2,0)),"CUIT NO CARGADO")</f>
        <v>-</v>
      </c>
      <c r="H1207" s="100">
        <f>ventas_b_mes1255[[#This Row],[TOTAL]]/1.21</f>
        <v>0</v>
      </c>
      <c r="I1207" s="64">
        <f>ventas_b_mes1255[[#This Row],[IMPORTE NETO]]*0.21</f>
        <v>0</v>
      </c>
      <c r="J1207" s="141"/>
      <c r="K1207" s="141"/>
      <c r="L1207" s="141"/>
      <c r="M1207" s="59"/>
    </row>
    <row r="1208" spans="2:13">
      <c r="B1208" s="135"/>
      <c r="C1208" s="41"/>
      <c r="D1208" s="137"/>
      <c r="E1208" s="138"/>
      <c r="F1208" s="139"/>
      <c r="G1208" s="1" t="str">
        <f>IFERROR(IF(ventas_b_mes1255[[#This Row],[CUIT]]="","-",VLOOKUP(ventas_b_mes1255[[#This Row],[CUIT]],Lista_CUIT[#All],2,0)),"CUIT NO CARGADO")</f>
        <v>-</v>
      </c>
      <c r="H1208" s="100">
        <f>ventas_b_mes1255[[#This Row],[TOTAL]]/1.21</f>
        <v>0</v>
      </c>
      <c r="I1208" s="64">
        <f>ventas_b_mes1255[[#This Row],[IMPORTE NETO]]*0.21</f>
        <v>0</v>
      </c>
      <c r="J1208" s="141"/>
      <c r="K1208" s="141"/>
      <c r="L1208" s="141"/>
      <c r="M1208" s="59"/>
    </row>
    <row r="1209" spans="2:13">
      <c r="B1209" s="135"/>
      <c r="C1209" s="41"/>
      <c r="D1209" s="137"/>
      <c r="E1209" s="138"/>
      <c r="F1209" s="139"/>
      <c r="G1209" s="1" t="str">
        <f>IFERROR(IF(ventas_b_mes1255[[#This Row],[CUIT]]="","-",VLOOKUP(ventas_b_mes1255[[#This Row],[CUIT]],Lista_CUIT[#All],2,0)),"CUIT NO CARGADO")</f>
        <v>-</v>
      </c>
      <c r="H1209" s="100">
        <f>ventas_b_mes1255[[#This Row],[TOTAL]]/1.21</f>
        <v>0</v>
      </c>
      <c r="I1209" s="64">
        <f>ventas_b_mes1255[[#This Row],[IMPORTE NETO]]*0.21</f>
        <v>0</v>
      </c>
      <c r="J1209" s="141"/>
      <c r="K1209" s="141"/>
      <c r="L1209" s="141"/>
      <c r="M1209" s="59"/>
    </row>
    <row r="1210" spans="2:13">
      <c r="B1210" s="135"/>
      <c r="C1210" s="41"/>
      <c r="D1210" s="137"/>
      <c r="E1210" s="138"/>
      <c r="F1210" s="139"/>
      <c r="G1210" s="1" t="str">
        <f>IFERROR(IF(ventas_b_mes1255[[#This Row],[CUIT]]="","-",VLOOKUP(ventas_b_mes1255[[#This Row],[CUIT]],Lista_CUIT[#All],2,0)),"CUIT NO CARGADO")</f>
        <v>-</v>
      </c>
      <c r="H1210" s="100">
        <f>ventas_b_mes1255[[#This Row],[TOTAL]]/1.21</f>
        <v>0</v>
      </c>
      <c r="I1210" s="64">
        <f>ventas_b_mes1255[[#This Row],[IMPORTE NETO]]*0.21</f>
        <v>0</v>
      </c>
      <c r="J1210" s="141"/>
      <c r="K1210" s="141"/>
      <c r="L1210" s="141"/>
      <c r="M1210" s="59"/>
    </row>
    <row r="1211" spans="2:13">
      <c r="B1211" s="135"/>
      <c r="C1211" s="41"/>
      <c r="D1211" s="137"/>
      <c r="E1211" s="138"/>
      <c r="F1211" s="139"/>
      <c r="G1211" s="1" t="str">
        <f>IFERROR(IF(ventas_b_mes1255[[#This Row],[CUIT]]="","-",VLOOKUP(ventas_b_mes1255[[#This Row],[CUIT]],Lista_CUIT[#All],2,0)),"CUIT NO CARGADO")</f>
        <v>-</v>
      </c>
      <c r="H1211" s="100">
        <f>ventas_b_mes1255[[#This Row],[TOTAL]]/1.21</f>
        <v>0</v>
      </c>
      <c r="I1211" s="64">
        <f>ventas_b_mes1255[[#This Row],[IMPORTE NETO]]*0.21</f>
        <v>0</v>
      </c>
      <c r="J1211" s="141"/>
      <c r="K1211" s="141"/>
      <c r="L1211" s="141"/>
      <c r="M1211" s="59"/>
    </row>
    <row r="1212" spans="2:13">
      <c r="B1212" s="135"/>
      <c r="C1212" s="41"/>
      <c r="D1212" s="137"/>
      <c r="E1212" s="138"/>
      <c r="F1212" s="139"/>
      <c r="G1212" s="1" t="str">
        <f>IFERROR(IF(ventas_b_mes1255[[#This Row],[CUIT]]="","-",VLOOKUP(ventas_b_mes1255[[#This Row],[CUIT]],Lista_CUIT[#All],2,0)),"CUIT NO CARGADO")</f>
        <v>-</v>
      </c>
      <c r="H1212" s="100">
        <f>ventas_b_mes1255[[#This Row],[TOTAL]]/1.21</f>
        <v>0</v>
      </c>
      <c r="I1212" s="64">
        <f>ventas_b_mes1255[[#This Row],[IMPORTE NETO]]*0.21</f>
        <v>0</v>
      </c>
      <c r="J1212" s="141"/>
      <c r="K1212" s="141"/>
      <c r="L1212" s="141"/>
      <c r="M1212" s="59"/>
    </row>
    <row r="1213" spans="2:13">
      <c r="B1213" s="135"/>
      <c r="C1213" s="41"/>
      <c r="D1213" s="137"/>
      <c r="E1213" s="138"/>
      <c r="F1213" s="139"/>
      <c r="G1213" s="1" t="str">
        <f>IFERROR(IF(ventas_b_mes1255[[#This Row],[CUIT]]="","-",VLOOKUP(ventas_b_mes1255[[#This Row],[CUIT]],Lista_CUIT[#All],2,0)),"CUIT NO CARGADO")</f>
        <v>-</v>
      </c>
      <c r="H1213" s="100">
        <f>ventas_b_mes1255[[#This Row],[TOTAL]]/1.21</f>
        <v>0</v>
      </c>
      <c r="I1213" s="64">
        <f>ventas_b_mes1255[[#This Row],[IMPORTE NETO]]*0.21</f>
        <v>0</v>
      </c>
      <c r="J1213" s="141"/>
      <c r="K1213" s="141"/>
      <c r="L1213" s="141"/>
      <c r="M1213" s="59"/>
    </row>
    <row r="1214" spans="2:13">
      <c r="B1214" s="135"/>
      <c r="C1214" s="41"/>
      <c r="D1214" s="137"/>
      <c r="E1214" s="138"/>
      <c r="F1214" s="139"/>
      <c r="G1214" s="1" t="str">
        <f>IFERROR(IF(ventas_b_mes1255[[#This Row],[CUIT]]="","-",VLOOKUP(ventas_b_mes1255[[#This Row],[CUIT]],Lista_CUIT[#All],2,0)),"CUIT NO CARGADO")</f>
        <v>-</v>
      </c>
      <c r="H1214" s="100">
        <f>ventas_b_mes1255[[#This Row],[TOTAL]]/1.21</f>
        <v>0</v>
      </c>
      <c r="I1214" s="64">
        <f>ventas_b_mes1255[[#This Row],[IMPORTE NETO]]*0.21</f>
        <v>0</v>
      </c>
      <c r="J1214" s="141"/>
      <c r="K1214" s="141"/>
      <c r="L1214" s="141"/>
      <c r="M1214" s="59"/>
    </row>
    <row r="1215" spans="2:13">
      <c r="B1215" s="135"/>
      <c r="C1215" s="41"/>
      <c r="D1215" s="137"/>
      <c r="E1215" s="138"/>
      <c r="F1215" s="139"/>
      <c r="G1215" s="1" t="str">
        <f>IFERROR(IF(ventas_b_mes1255[[#This Row],[CUIT]]="","-",VLOOKUP(ventas_b_mes1255[[#This Row],[CUIT]],Lista_CUIT[#All],2,0)),"CUIT NO CARGADO")</f>
        <v>-</v>
      </c>
      <c r="H1215" s="100">
        <f>ventas_b_mes1255[[#This Row],[TOTAL]]/1.21</f>
        <v>0</v>
      </c>
      <c r="I1215" s="64">
        <f>ventas_b_mes1255[[#This Row],[IMPORTE NETO]]*0.21</f>
        <v>0</v>
      </c>
      <c r="J1215" s="141"/>
      <c r="K1215" s="141"/>
      <c r="L1215" s="141"/>
      <c r="M1215" s="59"/>
    </row>
    <row r="1216" spans="2:13">
      <c r="B1216" s="135"/>
      <c r="C1216" s="41"/>
      <c r="D1216" s="137"/>
      <c r="E1216" s="138"/>
      <c r="F1216" s="139"/>
      <c r="G1216" s="1" t="str">
        <f>IFERROR(IF(ventas_b_mes1255[[#This Row],[CUIT]]="","-",VLOOKUP(ventas_b_mes1255[[#This Row],[CUIT]],Lista_CUIT[#All],2,0)),"CUIT NO CARGADO")</f>
        <v>-</v>
      </c>
      <c r="H1216" s="100">
        <f>ventas_b_mes1255[[#This Row],[TOTAL]]/1.21</f>
        <v>0</v>
      </c>
      <c r="I1216" s="64">
        <f>ventas_b_mes1255[[#This Row],[IMPORTE NETO]]*0.21</f>
        <v>0</v>
      </c>
      <c r="J1216" s="141"/>
      <c r="K1216" s="141"/>
      <c r="L1216" s="141"/>
      <c r="M1216" s="59"/>
    </row>
    <row r="1217" spans="2:13">
      <c r="B1217" s="135"/>
      <c r="C1217" s="41"/>
      <c r="D1217" s="137"/>
      <c r="E1217" s="138"/>
      <c r="F1217" s="139"/>
      <c r="G1217" s="1" t="str">
        <f>IFERROR(IF(ventas_b_mes1255[[#This Row],[CUIT]]="","-",VLOOKUP(ventas_b_mes1255[[#This Row],[CUIT]],Lista_CUIT[#All],2,0)),"CUIT NO CARGADO")</f>
        <v>-</v>
      </c>
      <c r="H1217" s="100">
        <f>ventas_b_mes1255[[#This Row],[TOTAL]]/1.21</f>
        <v>0</v>
      </c>
      <c r="I1217" s="64">
        <f>ventas_b_mes1255[[#This Row],[IMPORTE NETO]]*0.21</f>
        <v>0</v>
      </c>
      <c r="J1217" s="141"/>
      <c r="K1217" s="141"/>
      <c r="L1217" s="141"/>
      <c r="M1217" s="59"/>
    </row>
    <row r="1218" spans="2:13">
      <c r="B1218" s="135"/>
      <c r="C1218" s="41"/>
      <c r="D1218" s="137"/>
      <c r="E1218" s="138"/>
      <c r="F1218" s="139"/>
      <c r="G1218" s="1" t="str">
        <f>IFERROR(IF(ventas_b_mes1255[[#This Row],[CUIT]]="","-",VLOOKUP(ventas_b_mes1255[[#This Row],[CUIT]],Lista_CUIT[#All],2,0)),"CUIT NO CARGADO")</f>
        <v>-</v>
      </c>
      <c r="H1218" s="100">
        <f>ventas_b_mes1255[[#This Row],[TOTAL]]/1.21</f>
        <v>0</v>
      </c>
      <c r="I1218" s="64">
        <f>ventas_b_mes1255[[#This Row],[IMPORTE NETO]]*0.21</f>
        <v>0</v>
      </c>
      <c r="J1218" s="141"/>
      <c r="K1218" s="141"/>
      <c r="L1218" s="141"/>
      <c r="M1218" s="59"/>
    </row>
    <row r="1219" spans="2:13">
      <c r="B1219" s="135"/>
      <c r="C1219" s="41"/>
      <c r="D1219" s="137"/>
      <c r="E1219" s="138"/>
      <c r="F1219" s="139"/>
      <c r="G1219" s="1" t="str">
        <f>IFERROR(IF(ventas_b_mes1255[[#This Row],[CUIT]]="","-",VLOOKUP(ventas_b_mes1255[[#This Row],[CUIT]],Lista_CUIT[#All],2,0)),"CUIT NO CARGADO")</f>
        <v>-</v>
      </c>
      <c r="H1219" s="100">
        <f>ventas_b_mes1255[[#This Row],[TOTAL]]/1.21</f>
        <v>0</v>
      </c>
      <c r="I1219" s="64">
        <f>ventas_b_mes1255[[#This Row],[IMPORTE NETO]]*0.21</f>
        <v>0</v>
      </c>
      <c r="J1219" s="141"/>
      <c r="K1219" s="141"/>
      <c r="L1219" s="141"/>
      <c r="M1219" s="59"/>
    </row>
    <row r="1220" spans="2:13">
      <c r="B1220" s="135"/>
      <c r="C1220" s="41"/>
      <c r="D1220" s="137"/>
      <c r="E1220" s="138"/>
      <c r="F1220" s="139"/>
      <c r="G1220" s="1" t="str">
        <f>IFERROR(IF(ventas_b_mes1255[[#This Row],[CUIT]]="","-",VLOOKUP(ventas_b_mes1255[[#This Row],[CUIT]],Lista_CUIT[#All],2,0)),"CUIT NO CARGADO")</f>
        <v>-</v>
      </c>
      <c r="H1220" s="100">
        <f>ventas_b_mes1255[[#This Row],[TOTAL]]/1.21</f>
        <v>0</v>
      </c>
      <c r="I1220" s="64">
        <f>ventas_b_mes1255[[#This Row],[IMPORTE NETO]]*0.21</f>
        <v>0</v>
      </c>
      <c r="J1220" s="141"/>
      <c r="K1220" s="141"/>
      <c r="L1220" s="141"/>
      <c r="M1220" s="59"/>
    </row>
    <row r="1221" spans="2:13">
      <c r="B1221" s="135"/>
      <c r="C1221" s="41"/>
      <c r="D1221" s="137"/>
      <c r="E1221" s="138"/>
      <c r="F1221" s="139"/>
      <c r="G1221" s="1" t="str">
        <f>IFERROR(IF(ventas_b_mes1255[[#This Row],[CUIT]]="","-",VLOOKUP(ventas_b_mes1255[[#This Row],[CUIT]],Lista_CUIT[#All],2,0)),"CUIT NO CARGADO")</f>
        <v>-</v>
      </c>
      <c r="H1221" s="100">
        <f>ventas_b_mes1255[[#This Row],[TOTAL]]/1.21</f>
        <v>0</v>
      </c>
      <c r="I1221" s="64">
        <f>ventas_b_mes1255[[#This Row],[IMPORTE NETO]]*0.21</f>
        <v>0</v>
      </c>
      <c r="J1221" s="141"/>
      <c r="K1221" s="141"/>
      <c r="L1221" s="141"/>
      <c r="M1221" s="59"/>
    </row>
    <row r="1222" spans="2:13">
      <c r="B1222" s="135"/>
      <c r="C1222" s="41"/>
      <c r="D1222" s="137"/>
      <c r="E1222" s="138"/>
      <c r="F1222" s="139"/>
      <c r="G1222" s="1" t="str">
        <f>IFERROR(IF(ventas_b_mes1255[[#This Row],[CUIT]]="","-",VLOOKUP(ventas_b_mes1255[[#This Row],[CUIT]],Lista_CUIT[#All],2,0)),"CUIT NO CARGADO")</f>
        <v>-</v>
      </c>
      <c r="H1222" s="100">
        <f>ventas_b_mes1255[[#This Row],[TOTAL]]/1.21</f>
        <v>0</v>
      </c>
      <c r="I1222" s="64">
        <f>ventas_b_mes1255[[#This Row],[IMPORTE NETO]]*0.21</f>
        <v>0</v>
      </c>
      <c r="J1222" s="141"/>
      <c r="K1222" s="141"/>
      <c r="L1222" s="141"/>
      <c r="M1222" s="59"/>
    </row>
    <row r="1223" spans="2:13">
      <c r="B1223" s="135"/>
      <c r="C1223" s="41"/>
      <c r="D1223" s="137"/>
      <c r="E1223" s="138"/>
      <c r="F1223" s="139"/>
      <c r="G1223" s="1" t="str">
        <f>IFERROR(IF(ventas_b_mes1255[[#This Row],[CUIT]]="","-",VLOOKUP(ventas_b_mes1255[[#This Row],[CUIT]],Lista_CUIT[#All],2,0)),"CUIT NO CARGADO")</f>
        <v>-</v>
      </c>
      <c r="H1223" s="100">
        <f>ventas_b_mes1255[[#This Row],[TOTAL]]/1.21</f>
        <v>0</v>
      </c>
      <c r="I1223" s="64">
        <f>ventas_b_mes1255[[#This Row],[IMPORTE NETO]]*0.21</f>
        <v>0</v>
      </c>
      <c r="J1223" s="141"/>
      <c r="K1223" s="141"/>
      <c r="L1223" s="141"/>
      <c r="M1223" s="59"/>
    </row>
    <row r="1224" spans="2:13">
      <c r="B1224" s="135"/>
      <c r="C1224" s="41"/>
      <c r="D1224" s="137"/>
      <c r="E1224" s="138"/>
      <c r="F1224" s="139"/>
      <c r="G1224" s="1" t="str">
        <f>IFERROR(IF(ventas_b_mes1255[[#This Row],[CUIT]]="","-",VLOOKUP(ventas_b_mes1255[[#This Row],[CUIT]],Lista_CUIT[#All],2,0)),"CUIT NO CARGADO")</f>
        <v>-</v>
      </c>
      <c r="H1224" s="100">
        <f>ventas_b_mes1255[[#This Row],[TOTAL]]/1.21</f>
        <v>0</v>
      </c>
      <c r="I1224" s="64">
        <f>ventas_b_mes1255[[#This Row],[IMPORTE NETO]]*0.21</f>
        <v>0</v>
      </c>
      <c r="J1224" s="141"/>
      <c r="K1224" s="141"/>
      <c r="L1224" s="141"/>
      <c r="M1224" s="59"/>
    </row>
    <row r="1225" spans="2:13">
      <c r="B1225" s="135"/>
      <c r="C1225" s="41"/>
      <c r="D1225" s="137"/>
      <c r="E1225" s="138"/>
      <c r="F1225" s="139"/>
      <c r="G1225" s="1" t="str">
        <f>IFERROR(IF(ventas_b_mes1255[[#This Row],[CUIT]]="","-",VLOOKUP(ventas_b_mes1255[[#This Row],[CUIT]],Lista_CUIT[#All],2,0)),"CUIT NO CARGADO")</f>
        <v>-</v>
      </c>
      <c r="H1225" s="100">
        <f>ventas_b_mes1255[[#This Row],[TOTAL]]/1.21</f>
        <v>0</v>
      </c>
      <c r="I1225" s="64">
        <f>ventas_b_mes1255[[#This Row],[IMPORTE NETO]]*0.21</f>
        <v>0</v>
      </c>
      <c r="J1225" s="141"/>
      <c r="K1225" s="141"/>
      <c r="L1225" s="141"/>
      <c r="M1225" s="59"/>
    </row>
    <row r="1226" spans="2:13">
      <c r="B1226" s="135"/>
      <c r="C1226" s="41"/>
      <c r="D1226" s="137"/>
      <c r="E1226" s="138"/>
      <c r="F1226" s="139"/>
      <c r="G1226" s="1" t="str">
        <f>IFERROR(IF(ventas_b_mes1255[[#This Row],[CUIT]]="","-",VLOOKUP(ventas_b_mes1255[[#This Row],[CUIT]],Lista_CUIT[#All],2,0)),"CUIT NO CARGADO")</f>
        <v>-</v>
      </c>
      <c r="H1226" s="100">
        <f>ventas_b_mes1255[[#This Row],[TOTAL]]/1.21</f>
        <v>0</v>
      </c>
      <c r="I1226" s="64">
        <f>ventas_b_mes1255[[#This Row],[IMPORTE NETO]]*0.21</f>
        <v>0</v>
      </c>
      <c r="J1226" s="141"/>
      <c r="K1226" s="141"/>
      <c r="L1226" s="141"/>
      <c r="M1226" s="59"/>
    </row>
    <row r="1227" spans="2:13">
      <c r="B1227" s="135"/>
      <c r="C1227" s="41"/>
      <c r="D1227" s="137"/>
      <c r="E1227" s="138"/>
      <c r="F1227" s="139"/>
      <c r="G1227" s="1" t="str">
        <f>IFERROR(IF(ventas_b_mes1255[[#This Row],[CUIT]]="","-",VLOOKUP(ventas_b_mes1255[[#This Row],[CUIT]],Lista_CUIT[#All],2,0)),"CUIT NO CARGADO")</f>
        <v>-</v>
      </c>
      <c r="H1227" s="100">
        <f>ventas_b_mes1255[[#This Row],[TOTAL]]/1.21</f>
        <v>0</v>
      </c>
      <c r="I1227" s="64">
        <f>ventas_b_mes1255[[#This Row],[IMPORTE NETO]]*0.21</f>
        <v>0</v>
      </c>
      <c r="J1227" s="141"/>
      <c r="K1227" s="141"/>
      <c r="L1227" s="141"/>
      <c r="M1227" s="59"/>
    </row>
    <row r="1228" spans="2:13">
      <c r="B1228" s="135"/>
      <c r="C1228" s="41"/>
      <c r="D1228" s="137"/>
      <c r="E1228" s="138"/>
      <c r="F1228" s="139"/>
      <c r="G1228" s="1" t="str">
        <f>IFERROR(IF(ventas_b_mes1255[[#This Row],[CUIT]]="","-",VLOOKUP(ventas_b_mes1255[[#This Row],[CUIT]],Lista_CUIT[#All],2,0)),"CUIT NO CARGADO")</f>
        <v>-</v>
      </c>
      <c r="H1228" s="100">
        <f>ventas_b_mes1255[[#This Row],[TOTAL]]/1.21</f>
        <v>0</v>
      </c>
      <c r="I1228" s="64">
        <f>ventas_b_mes1255[[#This Row],[IMPORTE NETO]]*0.21</f>
        <v>0</v>
      </c>
      <c r="J1228" s="141"/>
      <c r="K1228" s="141"/>
      <c r="L1228" s="141"/>
      <c r="M1228" s="59"/>
    </row>
    <row r="1229" spans="2:13">
      <c r="B1229" s="135"/>
      <c r="C1229" s="41"/>
      <c r="D1229" s="137"/>
      <c r="E1229" s="138"/>
      <c r="F1229" s="139"/>
      <c r="G1229" s="1" t="str">
        <f>IFERROR(IF(ventas_b_mes1255[[#This Row],[CUIT]]="","-",VLOOKUP(ventas_b_mes1255[[#This Row],[CUIT]],Lista_CUIT[#All],2,0)),"CUIT NO CARGADO")</f>
        <v>-</v>
      </c>
      <c r="H1229" s="100">
        <f>ventas_b_mes1255[[#This Row],[TOTAL]]/1.21</f>
        <v>0</v>
      </c>
      <c r="I1229" s="64">
        <f>ventas_b_mes1255[[#This Row],[IMPORTE NETO]]*0.21</f>
        <v>0</v>
      </c>
      <c r="J1229" s="141"/>
      <c r="K1229" s="141"/>
      <c r="L1229" s="141"/>
      <c r="M1229" s="59"/>
    </row>
    <row r="1230" spans="2:13">
      <c r="B1230" s="135"/>
      <c r="C1230" s="41"/>
      <c r="D1230" s="137"/>
      <c r="E1230" s="138"/>
      <c r="F1230" s="139"/>
      <c r="G1230" s="1" t="str">
        <f>IFERROR(IF(ventas_b_mes1255[[#This Row],[CUIT]]="","-",VLOOKUP(ventas_b_mes1255[[#This Row],[CUIT]],Lista_CUIT[#All],2,0)),"CUIT NO CARGADO")</f>
        <v>-</v>
      </c>
      <c r="H1230" s="100">
        <f>ventas_b_mes1255[[#This Row],[TOTAL]]/1.21</f>
        <v>0</v>
      </c>
      <c r="I1230" s="64">
        <f>ventas_b_mes1255[[#This Row],[IMPORTE NETO]]*0.21</f>
        <v>0</v>
      </c>
      <c r="J1230" s="141"/>
      <c r="K1230" s="141"/>
      <c r="L1230" s="141"/>
      <c r="M1230" s="59"/>
    </row>
    <row r="1231" spans="2:13">
      <c r="B1231" s="135"/>
      <c r="C1231" s="41"/>
      <c r="D1231" s="137"/>
      <c r="E1231" s="138"/>
      <c r="F1231" s="139"/>
      <c r="G1231" s="1" t="str">
        <f>IFERROR(IF(ventas_b_mes1255[[#This Row],[CUIT]]="","-",VLOOKUP(ventas_b_mes1255[[#This Row],[CUIT]],Lista_CUIT[#All],2,0)),"CUIT NO CARGADO")</f>
        <v>-</v>
      </c>
      <c r="H1231" s="100">
        <f>ventas_b_mes1255[[#This Row],[TOTAL]]/1.21</f>
        <v>0</v>
      </c>
      <c r="I1231" s="64">
        <f>ventas_b_mes1255[[#This Row],[IMPORTE NETO]]*0.21</f>
        <v>0</v>
      </c>
      <c r="J1231" s="141"/>
      <c r="K1231" s="141"/>
      <c r="L1231" s="141"/>
      <c r="M1231" s="59"/>
    </row>
    <row r="1232" spans="2:13">
      <c r="B1232" s="135"/>
      <c r="C1232" s="41"/>
      <c r="D1232" s="137"/>
      <c r="E1232" s="138"/>
      <c r="F1232" s="139"/>
      <c r="G1232" s="1" t="str">
        <f>IFERROR(IF(ventas_b_mes1255[[#This Row],[CUIT]]="","-",VLOOKUP(ventas_b_mes1255[[#This Row],[CUIT]],Lista_CUIT[#All],2,0)),"CUIT NO CARGADO")</f>
        <v>-</v>
      </c>
      <c r="H1232" s="100">
        <f>ventas_b_mes1255[[#This Row],[TOTAL]]/1.21</f>
        <v>0</v>
      </c>
      <c r="I1232" s="64">
        <f>ventas_b_mes1255[[#This Row],[IMPORTE NETO]]*0.21</f>
        <v>0</v>
      </c>
      <c r="J1232" s="141"/>
      <c r="K1232" s="141"/>
      <c r="L1232" s="141"/>
      <c r="M1232" s="59"/>
    </row>
    <row r="1233" spans="2:13">
      <c r="B1233" s="135"/>
      <c r="C1233" s="41"/>
      <c r="D1233" s="137"/>
      <c r="E1233" s="138"/>
      <c r="F1233" s="139"/>
      <c r="G1233" s="1" t="str">
        <f>IFERROR(IF(ventas_b_mes1255[[#This Row],[CUIT]]="","-",VLOOKUP(ventas_b_mes1255[[#This Row],[CUIT]],Lista_CUIT[#All],2,0)),"CUIT NO CARGADO")</f>
        <v>-</v>
      </c>
      <c r="H1233" s="100">
        <f>ventas_b_mes1255[[#This Row],[TOTAL]]/1.21</f>
        <v>0</v>
      </c>
      <c r="I1233" s="64">
        <f>ventas_b_mes1255[[#This Row],[IMPORTE NETO]]*0.21</f>
        <v>0</v>
      </c>
      <c r="J1233" s="141"/>
      <c r="K1233" s="141"/>
      <c r="L1233" s="141"/>
      <c r="M1233" s="59"/>
    </row>
    <row r="1234" spans="2:13">
      <c r="B1234" s="135"/>
      <c r="C1234" s="41"/>
      <c r="D1234" s="137"/>
      <c r="E1234" s="138"/>
      <c r="F1234" s="139"/>
      <c r="G1234" s="1" t="str">
        <f>IFERROR(IF(ventas_b_mes1255[[#This Row],[CUIT]]="","-",VLOOKUP(ventas_b_mes1255[[#This Row],[CUIT]],Lista_CUIT[#All],2,0)),"CUIT NO CARGADO")</f>
        <v>-</v>
      </c>
      <c r="H1234" s="100">
        <f>ventas_b_mes1255[[#This Row],[TOTAL]]/1.21</f>
        <v>0</v>
      </c>
      <c r="I1234" s="64">
        <f>ventas_b_mes1255[[#This Row],[IMPORTE NETO]]*0.21</f>
        <v>0</v>
      </c>
      <c r="J1234" s="141"/>
      <c r="K1234" s="141"/>
      <c r="L1234" s="141"/>
      <c r="M1234" s="59"/>
    </row>
    <row r="1235" spans="2:13">
      <c r="B1235" s="135"/>
      <c r="C1235" s="41"/>
      <c r="D1235" s="137"/>
      <c r="E1235" s="138"/>
      <c r="F1235" s="139"/>
      <c r="G1235" s="1" t="str">
        <f>IFERROR(IF(ventas_b_mes1255[[#This Row],[CUIT]]="","-",VLOOKUP(ventas_b_mes1255[[#This Row],[CUIT]],Lista_CUIT[#All],2,0)),"CUIT NO CARGADO")</f>
        <v>-</v>
      </c>
      <c r="H1235" s="100">
        <f>ventas_b_mes1255[[#This Row],[TOTAL]]/1.21</f>
        <v>0</v>
      </c>
      <c r="I1235" s="64">
        <f>ventas_b_mes1255[[#This Row],[IMPORTE NETO]]*0.21</f>
        <v>0</v>
      </c>
      <c r="J1235" s="141"/>
      <c r="K1235" s="141"/>
      <c r="L1235" s="141"/>
      <c r="M1235" s="59"/>
    </row>
    <row r="1236" spans="2:13">
      <c r="B1236" s="135"/>
      <c r="C1236" s="41"/>
      <c r="D1236" s="137"/>
      <c r="E1236" s="138"/>
      <c r="F1236" s="139"/>
      <c r="G1236" s="1" t="str">
        <f>IFERROR(IF(ventas_b_mes1255[[#This Row],[CUIT]]="","-",VLOOKUP(ventas_b_mes1255[[#This Row],[CUIT]],Lista_CUIT[#All],2,0)),"CUIT NO CARGADO")</f>
        <v>-</v>
      </c>
      <c r="H1236" s="100">
        <f>ventas_b_mes1255[[#This Row],[TOTAL]]/1.21</f>
        <v>0</v>
      </c>
      <c r="I1236" s="64">
        <f>ventas_b_mes1255[[#This Row],[IMPORTE NETO]]*0.21</f>
        <v>0</v>
      </c>
      <c r="J1236" s="141"/>
      <c r="K1236" s="141"/>
      <c r="L1236" s="141"/>
      <c r="M1236" s="59"/>
    </row>
    <row r="1237" spans="2:13">
      <c r="B1237" s="135"/>
      <c r="C1237" s="41"/>
      <c r="D1237" s="137"/>
      <c r="E1237" s="138"/>
      <c r="F1237" s="139"/>
      <c r="G1237" s="1" t="str">
        <f>IFERROR(IF(ventas_b_mes1255[[#This Row],[CUIT]]="","-",VLOOKUP(ventas_b_mes1255[[#This Row],[CUIT]],Lista_CUIT[#All],2,0)),"CUIT NO CARGADO")</f>
        <v>-</v>
      </c>
      <c r="H1237" s="100">
        <f>ventas_b_mes1255[[#This Row],[TOTAL]]/1.21</f>
        <v>0</v>
      </c>
      <c r="I1237" s="64">
        <f>ventas_b_mes1255[[#This Row],[IMPORTE NETO]]*0.21</f>
        <v>0</v>
      </c>
      <c r="J1237" s="141"/>
      <c r="K1237" s="141"/>
      <c r="L1237" s="141"/>
      <c r="M1237" s="59"/>
    </row>
    <row r="1238" spans="2:13">
      <c r="B1238" s="135"/>
      <c r="C1238" s="41"/>
      <c r="D1238" s="137"/>
      <c r="E1238" s="138"/>
      <c r="F1238" s="139"/>
      <c r="G1238" s="1" t="str">
        <f>IFERROR(IF(ventas_b_mes1255[[#This Row],[CUIT]]="","-",VLOOKUP(ventas_b_mes1255[[#This Row],[CUIT]],Lista_CUIT[#All],2,0)),"CUIT NO CARGADO")</f>
        <v>-</v>
      </c>
      <c r="H1238" s="100">
        <f>ventas_b_mes1255[[#This Row],[TOTAL]]/1.21</f>
        <v>0</v>
      </c>
      <c r="I1238" s="64">
        <f>ventas_b_mes1255[[#This Row],[IMPORTE NETO]]*0.21</f>
        <v>0</v>
      </c>
      <c r="J1238" s="141"/>
      <c r="K1238" s="141"/>
      <c r="L1238" s="141"/>
      <c r="M1238" s="59"/>
    </row>
    <row r="1239" spans="2:13">
      <c r="B1239" s="135"/>
      <c r="C1239" s="41"/>
      <c r="D1239" s="137"/>
      <c r="E1239" s="138"/>
      <c r="F1239" s="139"/>
      <c r="G1239" s="1" t="str">
        <f>IFERROR(IF(ventas_b_mes1255[[#This Row],[CUIT]]="","-",VLOOKUP(ventas_b_mes1255[[#This Row],[CUIT]],Lista_CUIT[#All],2,0)),"CUIT NO CARGADO")</f>
        <v>-</v>
      </c>
      <c r="H1239" s="100">
        <f>ventas_b_mes1255[[#This Row],[TOTAL]]/1.21</f>
        <v>0</v>
      </c>
      <c r="I1239" s="64">
        <f>ventas_b_mes1255[[#This Row],[IMPORTE NETO]]*0.21</f>
        <v>0</v>
      </c>
      <c r="J1239" s="141"/>
      <c r="K1239" s="141"/>
      <c r="L1239" s="141"/>
      <c r="M1239" s="59"/>
    </row>
    <row r="1240" spans="2:13">
      <c r="B1240" s="135"/>
      <c r="C1240" s="41"/>
      <c r="D1240" s="137"/>
      <c r="E1240" s="138"/>
      <c r="F1240" s="139"/>
      <c r="G1240" s="1" t="str">
        <f>IFERROR(IF(ventas_b_mes1255[[#This Row],[CUIT]]="","-",VLOOKUP(ventas_b_mes1255[[#This Row],[CUIT]],Lista_CUIT[#All],2,0)),"CUIT NO CARGADO")</f>
        <v>-</v>
      </c>
      <c r="H1240" s="100">
        <f>ventas_b_mes1255[[#This Row],[TOTAL]]/1.21</f>
        <v>0</v>
      </c>
      <c r="I1240" s="64">
        <f>ventas_b_mes1255[[#This Row],[IMPORTE NETO]]*0.21</f>
        <v>0</v>
      </c>
      <c r="J1240" s="141"/>
      <c r="K1240" s="141"/>
      <c r="L1240" s="141"/>
      <c r="M1240" s="59"/>
    </row>
    <row r="1241" spans="2:13">
      <c r="B1241" s="135"/>
      <c r="C1241" s="41"/>
      <c r="D1241" s="137"/>
      <c r="E1241" s="138"/>
      <c r="F1241" s="139"/>
      <c r="G1241" s="1" t="str">
        <f>IFERROR(IF(ventas_b_mes1255[[#This Row],[CUIT]]="","-",VLOOKUP(ventas_b_mes1255[[#This Row],[CUIT]],Lista_CUIT[#All],2,0)),"CUIT NO CARGADO")</f>
        <v>-</v>
      </c>
      <c r="H1241" s="100">
        <f>ventas_b_mes1255[[#This Row],[TOTAL]]/1.21</f>
        <v>0</v>
      </c>
      <c r="I1241" s="64">
        <f>ventas_b_mes1255[[#This Row],[IMPORTE NETO]]*0.21</f>
        <v>0</v>
      </c>
      <c r="J1241" s="141"/>
      <c r="K1241" s="141"/>
      <c r="L1241" s="141"/>
      <c r="M1241" s="59"/>
    </row>
    <row r="1242" spans="2:13">
      <c r="B1242" s="135"/>
      <c r="C1242" s="41"/>
      <c r="D1242" s="137"/>
      <c r="E1242" s="138"/>
      <c r="F1242" s="139"/>
      <c r="G1242" s="1" t="str">
        <f>IFERROR(IF(ventas_b_mes1255[[#This Row],[CUIT]]="","-",VLOOKUP(ventas_b_mes1255[[#This Row],[CUIT]],Lista_CUIT[#All],2,0)),"CUIT NO CARGADO")</f>
        <v>-</v>
      </c>
      <c r="H1242" s="100">
        <f>ventas_b_mes1255[[#This Row],[TOTAL]]/1.21</f>
        <v>0</v>
      </c>
      <c r="I1242" s="64">
        <f>ventas_b_mes1255[[#This Row],[IMPORTE NETO]]*0.21</f>
        <v>0</v>
      </c>
      <c r="J1242" s="141"/>
      <c r="K1242" s="141"/>
      <c r="L1242" s="141"/>
      <c r="M1242" s="59"/>
    </row>
    <row r="1243" spans="2:13">
      <c r="B1243" s="135"/>
      <c r="C1243" s="41"/>
      <c r="D1243" s="137"/>
      <c r="E1243" s="138"/>
      <c r="F1243" s="139"/>
      <c r="G1243" s="1" t="str">
        <f>IFERROR(IF(ventas_b_mes1255[[#This Row],[CUIT]]="","-",VLOOKUP(ventas_b_mes1255[[#This Row],[CUIT]],Lista_CUIT[#All],2,0)),"CUIT NO CARGADO")</f>
        <v>-</v>
      </c>
      <c r="H1243" s="100">
        <f>ventas_b_mes1255[[#This Row],[TOTAL]]/1.21</f>
        <v>0</v>
      </c>
      <c r="I1243" s="64">
        <f>ventas_b_mes1255[[#This Row],[IMPORTE NETO]]*0.21</f>
        <v>0</v>
      </c>
      <c r="J1243" s="141"/>
      <c r="K1243" s="141"/>
      <c r="L1243" s="141"/>
      <c r="M1243" s="59"/>
    </row>
    <row r="1244" spans="2:13">
      <c r="B1244" s="135"/>
      <c r="C1244" s="41"/>
      <c r="D1244" s="137"/>
      <c r="E1244" s="138"/>
      <c r="F1244" s="139"/>
      <c r="G1244" s="1" t="str">
        <f>IFERROR(IF(ventas_b_mes1255[[#This Row],[CUIT]]="","-",VLOOKUP(ventas_b_mes1255[[#This Row],[CUIT]],Lista_CUIT[#All],2,0)),"CUIT NO CARGADO")</f>
        <v>-</v>
      </c>
      <c r="H1244" s="100">
        <f>ventas_b_mes1255[[#This Row],[TOTAL]]/1.21</f>
        <v>0</v>
      </c>
      <c r="I1244" s="64">
        <f>ventas_b_mes1255[[#This Row],[IMPORTE NETO]]*0.21</f>
        <v>0</v>
      </c>
      <c r="J1244" s="141"/>
      <c r="K1244" s="141"/>
      <c r="L1244" s="141"/>
      <c r="M1244" s="59"/>
    </row>
    <row r="1245" spans="2:13">
      <c r="B1245" s="135"/>
      <c r="C1245" s="41"/>
      <c r="D1245" s="137"/>
      <c r="E1245" s="138"/>
      <c r="F1245" s="139"/>
      <c r="G1245" s="1" t="str">
        <f>IFERROR(IF(ventas_b_mes1255[[#This Row],[CUIT]]="","-",VLOOKUP(ventas_b_mes1255[[#This Row],[CUIT]],Lista_CUIT[#All],2,0)),"CUIT NO CARGADO")</f>
        <v>-</v>
      </c>
      <c r="H1245" s="100">
        <f>ventas_b_mes1255[[#This Row],[TOTAL]]/1.21</f>
        <v>0</v>
      </c>
      <c r="I1245" s="64">
        <f>ventas_b_mes1255[[#This Row],[IMPORTE NETO]]*0.21</f>
        <v>0</v>
      </c>
      <c r="J1245" s="141"/>
      <c r="K1245" s="141"/>
      <c r="L1245" s="141"/>
      <c r="M1245" s="59"/>
    </row>
    <row r="1246" spans="2:13">
      <c r="B1246" s="135"/>
      <c r="C1246" s="41"/>
      <c r="D1246" s="137"/>
      <c r="E1246" s="138"/>
      <c r="F1246" s="139"/>
      <c r="G1246" s="1" t="str">
        <f>IFERROR(IF(ventas_b_mes1255[[#This Row],[CUIT]]="","-",VLOOKUP(ventas_b_mes1255[[#This Row],[CUIT]],Lista_CUIT[#All],2,0)),"CUIT NO CARGADO")</f>
        <v>-</v>
      </c>
      <c r="H1246" s="100">
        <f>ventas_b_mes1255[[#This Row],[TOTAL]]/1.21</f>
        <v>0</v>
      </c>
      <c r="I1246" s="64">
        <f>ventas_b_mes1255[[#This Row],[IMPORTE NETO]]*0.21</f>
        <v>0</v>
      </c>
      <c r="J1246" s="141"/>
      <c r="K1246" s="141"/>
      <c r="L1246" s="141"/>
      <c r="M1246" s="59"/>
    </row>
    <row r="1247" spans="2:13">
      <c r="B1247" s="135"/>
      <c r="C1247" s="41"/>
      <c r="D1247" s="137"/>
      <c r="E1247" s="138"/>
      <c r="F1247" s="139"/>
      <c r="G1247" s="1" t="str">
        <f>IFERROR(IF(ventas_b_mes1255[[#This Row],[CUIT]]="","-",VLOOKUP(ventas_b_mes1255[[#This Row],[CUIT]],Lista_CUIT[#All],2,0)),"CUIT NO CARGADO")</f>
        <v>-</v>
      </c>
      <c r="H1247" s="100">
        <f>ventas_b_mes1255[[#This Row],[TOTAL]]/1.21</f>
        <v>0</v>
      </c>
      <c r="I1247" s="64">
        <f>ventas_b_mes1255[[#This Row],[IMPORTE NETO]]*0.21</f>
        <v>0</v>
      </c>
      <c r="J1247" s="141"/>
      <c r="K1247" s="141"/>
      <c r="L1247" s="141"/>
      <c r="M1247" s="59"/>
    </row>
    <row r="1248" spans="2:13">
      <c r="B1248" s="135"/>
      <c r="C1248" s="41"/>
      <c r="D1248" s="137"/>
      <c r="E1248" s="138"/>
      <c r="F1248" s="139"/>
      <c r="G1248" s="1" t="str">
        <f>IFERROR(IF(ventas_b_mes1255[[#This Row],[CUIT]]="","-",VLOOKUP(ventas_b_mes1255[[#This Row],[CUIT]],Lista_CUIT[#All],2,0)),"CUIT NO CARGADO")</f>
        <v>-</v>
      </c>
      <c r="H1248" s="100">
        <f>ventas_b_mes1255[[#This Row],[TOTAL]]/1.21</f>
        <v>0</v>
      </c>
      <c r="I1248" s="64">
        <f>ventas_b_mes1255[[#This Row],[IMPORTE NETO]]*0.21</f>
        <v>0</v>
      </c>
      <c r="J1248" s="141"/>
      <c r="K1248" s="141"/>
      <c r="L1248" s="141"/>
      <c r="M1248" s="59"/>
    </row>
    <row r="1249" spans="2:13">
      <c r="B1249" s="135"/>
      <c r="C1249" s="41"/>
      <c r="D1249" s="137"/>
      <c r="E1249" s="138"/>
      <c r="F1249" s="139"/>
      <c r="G1249" s="1" t="str">
        <f>IFERROR(IF(ventas_b_mes1255[[#This Row],[CUIT]]="","-",VLOOKUP(ventas_b_mes1255[[#This Row],[CUIT]],Lista_CUIT[#All],2,0)),"CUIT NO CARGADO")</f>
        <v>-</v>
      </c>
      <c r="H1249" s="100">
        <f>ventas_b_mes1255[[#This Row],[TOTAL]]/1.21</f>
        <v>0</v>
      </c>
      <c r="I1249" s="64">
        <f>ventas_b_mes1255[[#This Row],[IMPORTE NETO]]*0.21</f>
        <v>0</v>
      </c>
      <c r="J1249" s="141"/>
      <c r="K1249" s="141"/>
      <c r="L1249" s="141"/>
      <c r="M1249" s="59"/>
    </row>
    <row r="1250" spans="2:13">
      <c r="B1250" s="135"/>
      <c r="C1250" s="41"/>
      <c r="D1250" s="137"/>
      <c r="E1250" s="138"/>
      <c r="F1250" s="139"/>
      <c r="G1250" s="1" t="str">
        <f>IFERROR(IF(ventas_b_mes1255[[#This Row],[CUIT]]="","-",VLOOKUP(ventas_b_mes1255[[#This Row],[CUIT]],Lista_CUIT[#All],2,0)),"CUIT NO CARGADO")</f>
        <v>-</v>
      </c>
      <c r="H1250" s="100">
        <f>ventas_b_mes1255[[#This Row],[TOTAL]]/1.21</f>
        <v>0</v>
      </c>
      <c r="I1250" s="64">
        <f>ventas_b_mes1255[[#This Row],[IMPORTE NETO]]*0.21</f>
        <v>0</v>
      </c>
      <c r="J1250" s="141"/>
      <c r="K1250" s="141"/>
      <c r="L1250" s="141"/>
      <c r="M1250" s="59"/>
    </row>
    <row r="1251" spans="2:13">
      <c r="B1251" s="135"/>
      <c r="C1251" s="41"/>
      <c r="D1251" s="137"/>
      <c r="E1251" s="138"/>
      <c r="F1251" s="139"/>
      <c r="G1251" s="1" t="str">
        <f>IFERROR(IF(ventas_b_mes1255[[#This Row],[CUIT]]="","-",VLOOKUP(ventas_b_mes1255[[#This Row],[CUIT]],Lista_CUIT[#All],2,0)),"CUIT NO CARGADO")</f>
        <v>-</v>
      </c>
      <c r="H1251" s="100">
        <f>ventas_b_mes1255[[#This Row],[TOTAL]]/1.21</f>
        <v>0</v>
      </c>
      <c r="I1251" s="64">
        <f>ventas_b_mes1255[[#This Row],[IMPORTE NETO]]*0.21</f>
        <v>0</v>
      </c>
      <c r="J1251" s="141"/>
      <c r="K1251" s="141"/>
      <c r="L1251" s="141"/>
      <c r="M1251" s="59"/>
    </row>
    <row r="1252" spans="2:13">
      <c r="B1252" s="135"/>
      <c r="C1252" s="41"/>
      <c r="D1252" s="137"/>
      <c r="E1252" s="138"/>
      <c r="F1252" s="139"/>
      <c r="G1252" s="1" t="str">
        <f>IFERROR(IF(ventas_b_mes1255[[#This Row],[CUIT]]="","-",VLOOKUP(ventas_b_mes1255[[#This Row],[CUIT]],Lista_CUIT[#All],2,0)),"CUIT NO CARGADO")</f>
        <v>-</v>
      </c>
      <c r="H1252" s="100">
        <f>ventas_b_mes1255[[#This Row],[TOTAL]]/1.21</f>
        <v>0</v>
      </c>
      <c r="I1252" s="64">
        <f>ventas_b_mes1255[[#This Row],[IMPORTE NETO]]*0.21</f>
        <v>0</v>
      </c>
      <c r="J1252" s="141"/>
      <c r="K1252" s="141"/>
      <c r="L1252" s="141"/>
      <c r="M1252" s="59"/>
    </row>
    <row r="1253" spans="2:13">
      <c r="B1253" s="135"/>
      <c r="C1253" s="41"/>
      <c r="D1253" s="137"/>
      <c r="E1253" s="138"/>
      <c r="F1253" s="139"/>
      <c r="G1253" s="1" t="str">
        <f>IFERROR(IF(ventas_b_mes1255[[#This Row],[CUIT]]="","-",VLOOKUP(ventas_b_mes1255[[#This Row],[CUIT]],Lista_CUIT[#All],2,0)),"CUIT NO CARGADO")</f>
        <v>-</v>
      </c>
      <c r="H1253" s="100">
        <f>ventas_b_mes1255[[#This Row],[TOTAL]]/1.21</f>
        <v>0</v>
      </c>
      <c r="I1253" s="64">
        <f>ventas_b_mes1255[[#This Row],[IMPORTE NETO]]*0.21</f>
        <v>0</v>
      </c>
      <c r="J1253" s="141"/>
      <c r="K1253" s="141"/>
      <c r="L1253" s="141"/>
      <c r="M1253" s="59"/>
    </row>
    <row r="1254" spans="2:13">
      <c r="B1254" s="135"/>
      <c r="C1254" s="41"/>
      <c r="D1254" s="137"/>
      <c r="E1254" s="138"/>
      <c r="F1254" s="139"/>
      <c r="G1254" s="1" t="str">
        <f>IFERROR(IF(ventas_b_mes1255[[#This Row],[CUIT]]="","-",VLOOKUP(ventas_b_mes1255[[#This Row],[CUIT]],Lista_CUIT[#All],2,0)),"CUIT NO CARGADO")</f>
        <v>-</v>
      </c>
      <c r="H1254" s="100">
        <f>ventas_b_mes1255[[#This Row],[TOTAL]]/1.21</f>
        <v>0</v>
      </c>
      <c r="I1254" s="64">
        <f>ventas_b_mes1255[[#This Row],[IMPORTE NETO]]*0.21</f>
        <v>0</v>
      </c>
      <c r="J1254" s="141"/>
      <c r="K1254" s="141"/>
      <c r="L1254" s="141"/>
      <c r="M1254" s="59"/>
    </row>
    <row r="1255" spans="2:13">
      <c r="B1255" s="135"/>
      <c r="C1255" s="41"/>
      <c r="D1255" s="137"/>
      <c r="E1255" s="138"/>
      <c r="F1255" s="139"/>
      <c r="G1255" s="1" t="str">
        <f>IFERROR(IF(ventas_b_mes1255[[#This Row],[CUIT]]="","-",VLOOKUP(ventas_b_mes1255[[#This Row],[CUIT]],Lista_CUIT[#All],2,0)),"CUIT NO CARGADO")</f>
        <v>-</v>
      </c>
      <c r="H1255" s="100">
        <f>ventas_b_mes1255[[#This Row],[TOTAL]]/1.21</f>
        <v>0</v>
      </c>
      <c r="I1255" s="64">
        <f>ventas_b_mes1255[[#This Row],[IMPORTE NETO]]*0.21</f>
        <v>0</v>
      </c>
      <c r="J1255" s="141"/>
      <c r="K1255" s="141"/>
      <c r="L1255" s="141"/>
      <c r="M1255" s="59"/>
    </row>
    <row r="1256" spans="2:13">
      <c r="B1256" s="135"/>
      <c r="C1256" s="41"/>
      <c r="D1256" s="137"/>
      <c r="E1256" s="138"/>
      <c r="F1256" s="139"/>
      <c r="G1256" s="1" t="str">
        <f>IFERROR(IF(ventas_b_mes1255[[#This Row],[CUIT]]="","-",VLOOKUP(ventas_b_mes1255[[#This Row],[CUIT]],Lista_CUIT[#All],2,0)),"CUIT NO CARGADO")</f>
        <v>-</v>
      </c>
      <c r="H1256" s="100">
        <f>ventas_b_mes1255[[#This Row],[TOTAL]]/1.21</f>
        <v>0</v>
      </c>
      <c r="I1256" s="64">
        <f>ventas_b_mes1255[[#This Row],[IMPORTE NETO]]*0.21</f>
        <v>0</v>
      </c>
      <c r="J1256" s="141"/>
      <c r="K1256" s="141"/>
      <c r="L1256" s="141"/>
      <c r="M1256" s="59"/>
    </row>
    <row r="1257" spans="2:13">
      <c r="B1257" s="135"/>
      <c r="C1257" s="41"/>
      <c r="D1257" s="137"/>
      <c r="E1257" s="138"/>
      <c r="F1257" s="139"/>
      <c r="G1257" s="1" t="str">
        <f>IFERROR(IF(ventas_b_mes1255[[#This Row],[CUIT]]="","-",VLOOKUP(ventas_b_mes1255[[#This Row],[CUIT]],Lista_CUIT[#All],2,0)),"CUIT NO CARGADO")</f>
        <v>-</v>
      </c>
      <c r="H1257" s="100">
        <f>ventas_b_mes1255[[#This Row],[TOTAL]]/1.21</f>
        <v>0</v>
      </c>
      <c r="I1257" s="64">
        <f>ventas_b_mes1255[[#This Row],[IMPORTE NETO]]*0.21</f>
        <v>0</v>
      </c>
      <c r="J1257" s="141"/>
      <c r="K1257" s="141"/>
      <c r="L1257" s="141"/>
      <c r="M1257" s="59"/>
    </row>
    <row r="1258" spans="2:13">
      <c r="B1258" s="135"/>
      <c r="C1258" s="41"/>
      <c r="D1258" s="137"/>
      <c r="E1258" s="138"/>
      <c r="F1258" s="139"/>
      <c r="G1258" s="1" t="str">
        <f>IFERROR(IF(ventas_b_mes1255[[#This Row],[CUIT]]="","-",VLOOKUP(ventas_b_mes1255[[#This Row],[CUIT]],Lista_CUIT[#All],2,0)),"CUIT NO CARGADO")</f>
        <v>-</v>
      </c>
      <c r="H1258" s="100">
        <f>ventas_b_mes1255[[#This Row],[TOTAL]]/1.21</f>
        <v>0</v>
      </c>
      <c r="I1258" s="64">
        <f>ventas_b_mes1255[[#This Row],[IMPORTE NETO]]*0.21</f>
        <v>0</v>
      </c>
      <c r="J1258" s="141"/>
      <c r="K1258" s="141"/>
      <c r="L1258" s="141"/>
      <c r="M1258" s="59"/>
    </row>
    <row r="1259" spans="2:13">
      <c r="B1259" s="135"/>
      <c r="C1259" s="41"/>
      <c r="D1259" s="137"/>
      <c r="E1259" s="138"/>
      <c r="F1259" s="139"/>
      <c r="G1259" s="1" t="str">
        <f>IFERROR(IF(ventas_b_mes1255[[#This Row],[CUIT]]="","-",VLOOKUP(ventas_b_mes1255[[#This Row],[CUIT]],Lista_CUIT[#All],2,0)),"CUIT NO CARGADO")</f>
        <v>-</v>
      </c>
      <c r="H1259" s="100">
        <f>ventas_b_mes1255[[#This Row],[TOTAL]]/1.21</f>
        <v>0</v>
      </c>
      <c r="I1259" s="64">
        <f>ventas_b_mes1255[[#This Row],[IMPORTE NETO]]*0.21</f>
        <v>0</v>
      </c>
      <c r="J1259" s="141"/>
      <c r="K1259" s="141"/>
      <c r="L1259" s="141"/>
      <c r="M1259" s="59"/>
    </row>
    <row r="1260" spans="2:13">
      <c r="B1260" s="135"/>
      <c r="C1260" s="41"/>
      <c r="D1260" s="137"/>
      <c r="E1260" s="138"/>
      <c r="F1260" s="139"/>
      <c r="G1260" s="1" t="str">
        <f>IFERROR(IF(ventas_b_mes1255[[#This Row],[CUIT]]="","-",VLOOKUP(ventas_b_mes1255[[#This Row],[CUIT]],Lista_CUIT[#All],2,0)),"CUIT NO CARGADO")</f>
        <v>-</v>
      </c>
      <c r="H1260" s="100">
        <f>ventas_b_mes1255[[#This Row],[TOTAL]]/1.21</f>
        <v>0</v>
      </c>
      <c r="I1260" s="64">
        <f>ventas_b_mes1255[[#This Row],[IMPORTE NETO]]*0.21</f>
        <v>0</v>
      </c>
      <c r="J1260" s="141"/>
      <c r="K1260" s="141"/>
      <c r="L1260" s="141"/>
      <c r="M1260" s="59"/>
    </row>
    <row r="1261" spans="2:13">
      <c r="B1261" s="135"/>
      <c r="C1261" s="41"/>
      <c r="D1261" s="137"/>
      <c r="E1261" s="138"/>
      <c r="F1261" s="139"/>
      <c r="G1261" s="1" t="str">
        <f>IFERROR(IF(ventas_b_mes1255[[#This Row],[CUIT]]="","-",VLOOKUP(ventas_b_mes1255[[#This Row],[CUIT]],Lista_CUIT[#All],2,0)),"CUIT NO CARGADO")</f>
        <v>-</v>
      </c>
      <c r="H1261" s="100">
        <f>ventas_b_mes1255[[#This Row],[TOTAL]]/1.21</f>
        <v>0</v>
      </c>
      <c r="I1261" s="64">
        <f>ventas_b_mes1255[[#This Row],[IMPORTE NETO]]*0.21</f>
        <v>0</v>
      </c>
      <c r="J1261" s="141"/>
      <c r="K1261" s="141"/>
      <c r="L1261" s="141"/>
      <c r="M1261" s="59"/>
    </row>
    <row r="1262" spans="2:13">
      <c r="B1262" s="135"/>
      <c r="C1262" s="41"/>
      <c r="D1262" s="137"/>
      <c r="E1262" s="138"/>
      <c r="F1262" s="139"/>
      <c r="G1262" s="1" t="str">
        <f>IFERROR(IF(ventas_b_mes1255[[#This Row],[CUIT]]="","-",VLOOKUP(ventas_b_mes1255[[#This Row],[CUIT]],Lista_CUIT[#All],2,0)),"CUIT NO CARGADO")</f>
        <v>-</v>
      </c>
      <c r="H1262" s="100">
        <f>ventas_b_mes1255[[#This Row],[TOTAL]]/1.21</f>
        <v>0</v>
      </c>
      <c r="I1262" s="64">
        <f>ventas_b_mes1255[[#This Row],[IMPORTE NETO]]*0.21</f>
        <v>0</v>
      </c>
      <c r="J1262" s="141"/>
      <c r="K1262" s="141"/>
      <c r="L1262" s="141"/>
      <c r="M1262" s="59"/>
    </row>
    <row r="1263" spans="2:13">
      <c r="B1263" s="135"/>
      <c r="C1263" s="41"/>
      <c r="D1263" s="137"/>
      <c r="E1263" s="138"/>
      <c r="F1263" s="139"/>
      <c r="G1263" s="1" t="str">
        <f>IFERROR(IF(ventas_b_mes1255[[#This Row],[CUIT]]="","-",VLOOKUP(ventas_b_mes1255[[#This Row],[CUIT]],Lista_CUIT[#All],2,0)),"CUIT NO CARGADO")</f>
        <v>-</v>
      </c>
      <c r="H1263" s="100">
        <f>ventas_b_mes1255[[#This Row],[TOTAL]]/1.21</f>
        <v>0</v>
      </c>
      <c r="I1263" s="64">
        <f>ventas_b_mes1255[[#This Row],[IMPORTE NETO]]*0.21</f>
        <v>0</v>
      </c>
      <c r="J1263" s="141"/>
      <c r="K1263" s="141"/>
      <c r="L1263" s="141"/>
      <c r="M1263" s="59"/>
    </row>
    <row r="1264" spans="2:13">
      <c r="B1264" s="135"/>
      <c r="C1264" s="41"/>
      <c r="D1264" s="137"/>
      <c r="E1264" s="138"/>
      <c r="F1264" s="139"/>
      <c r="G1264" s="1" t="str">
        <f>IFERROR(IF(ventas_b_mes1255[[#This Row],[CUIT]]="","-",VLOOKUP(ventas_b_mes1255[[#This Row],[CUIT]],Lista_CUIT[#All],2,0)),"CUIT NO CARGADO")</f>
        <v>-</v>
      </c>
      <c r="H1264" s="100">
        <f>ventas_b_mes1255[[#This Row],[TOTAL]]/1.21</f>
        <v>0</v>
      </c>
      <c r="I1264" s="64">
        <f>ventas_b_mes1255[[#This Row],[IMPORTE NETO]]*0.21</f>
        <v>0</v>
      </c>
      <c r="J1264" s="141"/>
      <c r="K1264" s="141"/>
      <c r="L1264" s="141"/>
      <c r="M1264" s="59"/>
    </row>
    <row r="1265" spans="2:13">
      <c r="B1265" s="135"/>
      <c r="C1265" s="41"/>
      <c r="D1265" s="137"/>
      <c r="E1265" s="138"/>
      <c r="F1265" s="139"/>
      <c r="G1265" s="1" t="str">
        <f>IFERROR(IF(ventas_b_mes1255[[#This Row],[CUIT]]="","-",VLOOKUP(ventas_b_mes1255[[#This Row],[CUIT]],Lista_CUIT[#All],2,0)),"CUIT NO CARGADO")</f>
        <v>-</v>
      </c>
      <c r="H1265" s="100">
        <f>ventas_b_mes1255[[#This Row],[TOTAL]]/1.21</f>
        <v>0</v>
      </c>
      <c r="I1265" s="64">
        <f>ventas_b_mes1255[[#This Row],[IMPORTE NETO]]*0.21</f>
        <v>0</v>
      </c>
      <c r="J1265" s="141"/>
      <c r="K1265" s="141"/>
      <c r="L1265" s="141"/>
      <c r="M1265" s="59"/>
    </row>
    <row r="1266" spans="2:13">
      <c r="B1266" s="135"/>
      <c r="C1266" s="41"/>
      <c r="D1266" s="137"/>
      <c r="E1266" s="138"/>
      <c r="F1266" s="139"/>
      <c r="G1266" s="1" t="str">
        <f>IFERROR(IF(ventas_b_mes1255[[#This Row],[CUIT]]="","-",VLOOKUP(ventas_b_mes1255[[#This Row],[CUIT]],Lista_CUIT[#All],2,0)),"CUIT NO CARGADO")</f>
        <v>-</v>
      </c>
      <c r="H1266" s="100">
        <f>ventas_b_mes1255[[#This Row],[TOTAL]]/1.21</f>
        <v>0</v>
      </c>
      <c r="I1266" s="64">
        <f>ventas_b_mes1255[[#This Row],[IMPORTE NETO]]*0.21</f>
        <v>0</v>
      </c>
      <c r="J1266" s="141"/>
      <c r="K1266" s="141"/>
      <c r="L1266" s="141"/>
      <c r="M1266" s="59"/>
    </row>
    <row r="1267" spans="2:13">
      <c r="B1267" s="135"/>
      <c r="C1267" s="41"/>
      <c r="D1267" s="137"/>
      <c r="E1267" s="138"/>
      <c r="F1267" s="139"/>
      <c r="G1267" s="1" t="str">
        <f>IFERROR(IF(ventas_b_mes1255[[#This Row],[CUIT]]="","-",VLOOKUP(ventas_b_mes1255[[#This Row],[CUIT]],Lista_CUIT[#All],2,0)),"CUIT NO CARGADO")</f>
        <v>-</v>
      </c>
      <c r="H1267" s="100">
        <f>ventas_b_mes1255[[#This Row],[TOTAL]]/1.21</f>
        <v>0</v>
      </c>
      <c r="I1267" s="64">
        <f>ventas_b_mes1255[[#This Row],[IMPORTE NETO]]*0.21</f>
        <v>0</v>
      </c>
      <c r="J1267" s="141"/>
      <c r="K1267" s="141"/>
      <c r="L1267" s="141"/>
      <c r="M1267" s="59"/>
    </row>
    <row r="1268" spans="2:13">
      <c r="B1268" s="135"/>
      <c r="C1268" s="41"/>
      <c r="D1268" s="137"/>
      <c r="E1268" s="138"/>
      <c r="F1268" s="139"/>
      <c r="G1268" s="1" t="str">
        <f>IFERROR(IF(ventas_b_mes1255[[#This Row],[CUIT]]="","-",VLOOKUP(ventas_b_mes1255[[#This Row],[CUIT]],Lista_CUIT[#All],2,0)),"CUIT NO CARGADO")</f>
        <v>-</v>
      </c>
      <c r="H1268" s="100">
        <f>ventas_b_mes1255[[#This Row],[TOTAL]]/1.21</f>
        <v>0</v>
      </c>
      <c r="I1268" s="64">
        <f>ventas_b_mes1255[[#This Row],[IMPORTE NETO]]*0.21</f>
        <v>0</v>
      </c>
      <c r="J1268" s="141"/>
      <c r="K1268" s="141"/>
      <c r="L1268" s="141"/>
      <c r="M1268" s="59"/>
    </row>
    <row r="1269" spans="2:13">
      <c r="B1269" s="135"/>
      <c r="C1269" s="41"/>
      <c r="D1269" s="137"/>
      <c r="E1269" s="138"/>
      <c r="F1269" s="139"/>
      <c r="G1269" s="1" t="str">
        <f>IFERROR(IF(ventas_b_mes1255[[#This Row],[CUIT]]="","-",VLOOKUP(ventas_b_mes1255[[#This Row],[CUIT]],Lista_CUIT[#All],2,0)),"CUIT NO CARGADO")</f>
        <v>-</v>
      </c>
      <c r="H1269" s="100">
        <f>ventas_b_mes1255[[#This Row],[TOTAL]]/1.21</f>
        <v>0</v>
      </c>
      <c r="I1269" s="64">
        <f>ventas_b_mes1255[[#This Row],[IMPORTE NETO]]*0.21</f>
        <v>0</v>
      </c>
      <c r="J1269" s="141"/>
      <c r="K1269" s="141"/>
      <c r="L1269" s="141"/>
      <c r="M1269" s="59"/>
    </row>
    <row r="1270" spans="2:13">
      <c r="B1270" s="135"/>
      <c r="C1270" s="41"/>
      <c r="D1270" s="137"/>
      <c r="E1270" s="138"/>
      <c r="F1270" s="139"/>
      <c r="G1270" s="1" t="str">
        <f>IFERROR(IF(ventas_b_mes1255[[#This Row],[CUIT]]="","-",VLOOKUP(ventas_b_mes1255[[#This Row],[CUIT]],Lista_CUIT[#All],2,0)),"CUIT NO CARGADO")</f>
        <v>-</v>
      </c>
      <c r="H1270" s="100">
        <f>ventas_b_mes1255[[#This Row],[TOTAL]]/1.21</f>
        <v>0</v>
      </c>
      <c r="I1270" s="64">
        <f>ventas_b_mes1255[[#This Row],[IMPORTE NETO]]*0.21</f>
        <v>0</v>
      </c>
      <c r="J1270" s="141"/>
      <c r="K1270" s="141"/>
      <c r="L1270" s="141"/>
      <c r="M1270" s="59"/>
    </row>
    <row r="1271" spans="2:13">
      <c r="B1271" s="135"/>
      <c r="C1271" s="41"/>
      <c r="D1271" s="137"/>
      <c r="E1271" s="138"/>
      <c r="F1271" s="139"/>
      <c r="G1271" s="1" t="str">
        <f>IFERROR(IF(ventas_b_mes1255[[#This Row],[CUIT]]="","-",VLOOKUP(ventas_b_mes1255[[#This Row],[CUIT]],Lista_CUIT[#All],2,0)),"CUIT NO CARGADO")</f>
        <v>-</v>
      </c>
      <c r="H1271" s="100">
        <f>ventas_b_mes1255[[#This Row],[TOTAL]]/1.21</f>
        <v>0</v>
      </c>
      <c r="I1271" s="64">
        <f>ventas_b_mes1255[[#This Row],[IMPORTE NETO]]*0.21</f>
        <v>0</v>
      </c>
      <c r="J1271" s="141"/>
      <c r="K1271" s="141"/>
      <c r="L1271" s="141"/>
      <c r="M1271" s="59"/>
    </row>
    <row r="1272" spans="2:13">
      <c r="B1272" s="135"/>
      <c r="C1272" s="41"/>
      <c r="D1272" s="137"/>
      <c r="E1272" s="138"/>
      <c r="F1272" s="139"/>
      <c r="G1272" s="1" t="str">
        <f>IFERROR(IF(ventas_b_mes1255[[#This Row],[CUIT]]="","-",VLOOKUP(ventas_b_mes1255[[#This Row],[CUIT]],Lista_CUIT[#All],2,0)),"CUIT NO CARGADO")</f>
        <v>-</v>
      </c>
      <c r="H1272" s="100">
        <f>ventas_b_mes1255[[#This Row],[TOTAL]]/1.21</f>
        <v>0</v>
      </c>
      <c r="I1272" s="64">
        <f>ventas_b_mes1255[[#This Row],[IMPORTE NETO]]*0.21</f>
        <v>0</v>
      </c>
      <c r="J1272" s="141"/>
      <c r="K1272" s="141"/>
      <c r="L1272" s="141"/>
      <c r="M1272" s="59"/>
    </row>
    <row r="1273" spans="2:13">
      <c r="B1273" s="135"/>
      <c r="C1273" s="41"/>
      <c r="D1273" s="137"/>
      <c r="E1273" s="138"/>
      <c r="F1273" s="139"/>
      <c r="G1273" s="1" t="str">
        <f>IFERROR(IF(ventas_b_mes1255[[#This Row],[CUIT]]="","-",VLOOKUP(ventas_b_mes1255[[#This Row],[CUIT]],Lista_CUIT[#All],2,0)),"CUIT NO CARGADO")</f>
        <v>-</v>
      </c>
      <c r="H1273" s="100">
        <f>ventas_b_mes1255[[#This Row],[TOTAL]]/1.21</f>
        <v>0</v>
      </c>
      <c r="I1273" s="64">
        <f>ventas_b_mes1255[[#This Row],[IMPORTE NETO]]*0.21</f>
        <v>0</v>
      </c>
      <c r="J1273" s="141"/>
      <c r="K1273" s="141"/>
      <c r="L1273" s="141"/>
      <c r="M1273" s="59"/>
    </row>
    <row r="1274" spans="2:13">
      <c r="B1274" s="135"/>
      <c r="C1274" s="41"/>
      <c r="D1274" s="137"/>
      <c r="E1274" s="138"/>
      <c r="F1274" s="139"/>
      <c r="G1274" s="1" t="str">
        <f>IFERROR(IF(ventas_b_mes1255[[#This Row],[CUIT]]="","-",VLOOKUP(ventas_b_mes1255[[#This Row],[CUIT]],Lista_CUIT[#All],2,0)),"CUIT NO CARGADO")</f>
        <v>-</v>
      </c>
      <c r="H1274" s="100">
        <f>ventas_b_mes1255[[#This Row],[TOTAL]]/1.21</f>
        <v>0</v>
      </c>
      <c r="I1274" s="64">
        <f>ventas_b_mes1255[[#This Row],[IMPORTE NETO]]*0.21</f>
        <v>0</v>
      </c>
      <c r="J1274" s="141"/>
      <c r="K1274" s="141"/>
      <c r="L1274" s="141"/>
      <c r="M1274" s="59"/>
    </row>
    <row r="1275" spans="2:13">
      <c r="B1275" s="135"/>
      <c r="C1275" s="41"/>
      <c r="D1275" s="137"/>
      <c r="E1275" s="138"/>
      <c r="F1275" s="139"/>
      <c r="G1275" s="1" t="str">
        <f>IFERROR(IF(ventas_b_mes1255[[#This Row],[CUIT]]="","-",VLOOKUP(ventas_b_mes1255[[#This Row],[CUIT]],Lista_CUIT[#All],2,0)),"CUIT NO CARGADO")</f>
        <v>-</v>
      </c>
      <c r="H1275" s="100">
        <f>ventas_b_mes1255[[#This Row],[TOTAL]]/1.21</f>
        <v>0</v>
      </c>
      <c r="I1275" s="64">
        <f>ventas_b_mes1255[[#This Row],[IMPORTE NETO]]*0.21</f>
        <v>0</v>
      </c>
      <c r="J1275" s="141"/>
      <c r="K1275" s="141"/>
      <c r="L1275" s="141"/>
      <c r="M1275" s="59"/>
    </row>
    <row r="1276" spans="2:13">
      <c r="B1276" s="135"/>
      <c r="C1276" s="41"/>
      <c r="D1276" s="137"/>
      <c r="E1276" s="138"/>
      <c r="F1276" s="139"/>
      <c r="G1276" s="1" t="str">
        <f>IFERROR(IF(ventas_b_mes1255[[#This Row],[CUIT]]="","-",VLOOKUP(ventas_b_mes1255[[#This Row],[CUIT]],Lista_CUIT[#All],2,0)),"CUIT NO CARGADO")</f>
        <v>-</v>
      </c>
      <c r="H1276" s="100">
        <f>ventas_b_mes1255[[#This Row],[TOTAL]]/1.21</f>
        <v>0</v>
      </c>
      <c r="I1276" s="64">
        <f>ventas_b_mes1255[[#This Row],[IMPORTE NETO]]*0.21</f>
        <v>0</v>
      </c>
      <c r="J1276" s="141"/>
      <c r="K1276" s="141"/>
      <c r="L1276" s="141"/>
      <c r="M1276" s="59"/>
    </row>
    <row r="1277" spans="2:13">
      <c r="B1277" s="135"/>
      <c r="C1277" s="41"/>
      <c r="D1277" s="137"/>
      <c r="E1277" s="138"/>
      <c r="F1277" s="139"/>
      <c r="G1277" s="1" t="str">
        <f>IFERROR(IF(ventas_b_mes1255[[#This Row],[CUIT]]="","-",VLOOKUP(ventas_b_mes1255[[#This Row],[CUIT]],Lista_CUIT[#All],2,0)),"CUIT NO CARGADO")</f>
        <v>-</v>
      </c>
      <c r="H1277" s="100">
        <f>ventas_b_mes1255[[#This Row],[TOTAL]]/1.21</f>
        <v>0</v>
      </c>
      <c r="I1277" s="64">
        <f>ventas_b_mes1255[[#This Row],[IMPORTE NETO]]*0.21</f>
        <v>0</v>
      </c>
      <c r="J1277" s="141"/>
      <c r="K1277" s="141"/>
      <c r="L1277" s="141"/>
      <c r="M1277" s="59"/>
    </row>
    <row r="1278" spans="2:13">
      <c r="B1278" s="135"/>
      <c r="C1278" s="41"/>
      <c r="D1278" s="137"/>
      <c r="E1278" s="138"/>
      <c r="F1278" s="139"/>
      <c r="G1278" s="1" t="str">
        <f>IFERROR(IF(ventas_b_mes1255[[#This Row],[CUIT]]="","-",VLOOKUP(ventas_b_mes1255[[#This Row],[CUIT]],Lista_CUIT[#All],2,0)),"CUIT NO CARGADO")</f>
        <v>-</v>
      </c>
      <c r="H1278" s="100">
        <f>ventas_b_mes1255[[#This Row],[TOTAL]]/1.21</f>
        <v>0</v>
      </c>
      <c r="I1278" s="64">
        <f>ventas_b_mes1255[[#This Row],[IMPORTE NETO]]*0.21</f>
        <v>0</v>
      </c>
      <c r="J1278" s="141"/>
      <c r="K1278" s="141"/>
      <c r="L1278" s="141"/>
      <c r="M1278" s="59"/>
    </row>
    <row r="1279" spans="2:13">
      <c r="B1279" s="135"/>
      <c r="C1279" s="41"/>
      <c r="D1279" s="137"/>
      <c r="E1279" s="138"/>
      <c r="F1279" s="139"/>
      <c r="G1279" s="1" t="str">
        <f>IFERROR(IF(ventas_b_mes1255[[#This Row],[CUIT]]="","-",VLOOKUP(ventas_b_mes1255[[#This Row],[CUIT]],Lista_CUIT[#All],2,0)),"CUIT NO CARGADO")</f>
        <v>-</v>
      </c>
      <c r="H1279" s="100">
        <f>ventas_b_mes1255[[#This Row],[TOTAL]]/1.21</f>
        <v>0</v>
      </c>
      <c r="I1279" s="64">
        <f>ventas_b_mes1255[[#This Row],[IMPORTE NETO]]*0.21</f>
        <v>0</v>
      </c>
      <c r="J1279" s="141"/>
      <c r="K1279" s="141"/>
      <c r="L1279" s="141"/>
      <c r="M1279" s="59"/>
    </row>
    <row r="1280" spans="2:13">
      <c r="B1280" s="135"/>
      <c r="C1280" s="41"/>
      <c r="D1280" s="137"/>
      <c r="E1280" s="138"/>
      <c r="F1280" s="139"/>
      <c r="G1280" s="1" t="str">
        <f>IFERROR(IF(ventas_b_mes1255[[#This Row],[CUIT]]="","-",VLOOKUP(ventas_b_mes1255[[#This Row],[CUIT]],Lista_CUIT[#All],2,0)),"CUIT NO CARGADO")</f>
        <v>-</v>
      </c>
      <c r="H1280" s="100">
        <f>ventas_b_mes1255[[#This Row],[TOTAL]]/1.21</f>
        <v>0</v>
      </c>
      <c r="I1280" s="64">
        <f>ventas_b_mes1255[[#This Row],[IMPORTE NETO]]*0.21</f>
        <v>0</v>
      </c>
      <c r="J1280" s="141"/>
      <c r="K1280" s="141"/>
      <c r="L1280" s="141"/>
      <c r="M1280" s="59"/>
    </row>
    <row r="1281" spans="2:13">
      <c r="B1281" s="135"/>
      <c r="C1281" s="41"/>
      <c r="D1281" s="137"/>
      <c r="E1281" s="138"/>
      <c r="F1281" s="139"/>
      <c r="G1281" s="1" t="str">
        <f>IFERROR(IF(ventas_b_mes1255[[#This Row],[CUIT]]="","-",VLOOKUP(ventas_b_mes1255[[#This Row],[CUIT]],Lista_CUIT[#All],2,0)),"CUIT NO CARGADO")</f>
        <v>-</v>
      </c>
      <c r="H1281" s="100">
        <f>ventas_b_mes1255[[#This Row],[TOTAL]]/1.21</f>
        <v>0</v>
      </c>
      <c r="I1281" s="64">
        <f>ventas_b_mes1255[[#This Row],[IMPORTE NETO]]*0.21</f>
        <v>0</v>
      </c>
      <c r="J1281" s="141"/>
      <c r="K1281" s="141"/>
      <c r="L1281" s="141"/>
      <c r="M1281" s="59"/>
    </row>
    <row r="1282" spans="2:13">
      <c r="B1282" s="135"/>
      <c r="C1282" s="41"/>
      <c r="D1282" s="137"/>
      <c r="E1282" s="138"/>
      <c r="F1282" s="139"/>
      <c r="G1282" s="1" t="str">
        <f>IFERROR(IF(ventas_b_mes1255[[#This Row],[CUIT]]="","-",VLOOKUP(ventas_b_mes1255[[#This Row],[CUIT]],Lista_CUIT[#All],2,0)),"CUIT NO CARGADO")</f>
        <v>-</v>
      </c>
      <c r="H1282" s="100">
        <f>ventas_b_mes1255[[#This Row],[TOTAL]]/1.21</f>
        <v>0</v>
      </c>
      <c r="I1282" s="64">
        <f>ventas_b_mes1255[[#This Row],[IMPORTE NETO]]*0.21</f>
        <v>0</v>
      </c>
      <c r="J1282" s="141"/>
      <c r="K1282" s="141"/>
      <c r="L1282" s="141"/>
      <c r="M1282" s="59"/>
    </row>
    <row r="1283" spans="2:13">
      <c r="B1283" s="135"/>
      <c r="C1283" s="41"/>
      <c r="D1283" s="137"/>
      <c r="E1283" s="138"/>
      <c r="F1283" s="139"/>
      <c r="G1283" s="1" t="str">
        <f>IFERROR(IF(ventas_b_mes1255[[#This Row],[CUIT]]="","-",VLOOKUP(ventas_b_mes1255[[#This Row],[CUIT]],Lista_CUIT[#All],2,0)),"CUIT NO CARGADO")</f>
        <v>-</v>
      </c>
      <c r="H1283" s="100">
        <f>ventas_b_mes1255[[#This Row],[TOTAL]]/1.21</f>
        <v>0</v>
      </c>
      <c r="I1283" s="64">
        <f>ventas_b_mes1255[[#This Row],[IMPORTE NETO]]*0.21</f>
        <v>0</v>
      </c>
      <c r="J1283" s="141"/>
      <c r="K1283" s="141"/>
      <c r="L1283" s="141"/>
      <c r="M1283" s="59"/>
    </row>
    <row r="1284" spans="2:13">
      <c r="B1284" s="135"/>
      <c r="C1284" s="41"/>
      <c r="D1284" s="137"/>
      <c r="E1284" s="138"/>
      <c r="F1284" s="139"/>
      <c r="G1284" s="1" t="str">
        <f>IFERROR(IF(ventas_b_mes1255[[#This Row],[CUIT]]="","-",VLOOKUP(ventas_b_mes1255[[#This Row],[CUIT]],Lista_CUIT[#All],2,0)),"CUIT NO CARGADO")</f>
        <v>-</v>
      </c>
      <c r="H1284" s="100">
        <f>ventas_b_mes1255[[#This Row],[TOTAL]]/1.21</f>
        <v>0</v>
      </c>
      <c r="I1284" s="64">
        <f>ventas_b_mes1255[[#This Row],[IMPORTE NETO]]*0.21</f>
        <v>0</v>
      </c>
      <c r="J1284" s="141"/>
      <c r="K1284" s="141"/>
      <c r="L1284" s="141"/>
      <c r="M1284" s="59"/>
    </row>
    <row r="1285" spans="2:13">
      <c r="B1285" s="135"/>
      <c r="C1285" s="41"/>
      <c r="D1285" s="137"/>
      <c r="E1285" s="138"/>
      <c r="F1285" s="139"/>
      <c r="G1285" s="1" t="str">
        <f>IFERROR(IF(ventas_b_mes1255[[#This Row],[CUIT]]="","-",VLOOKUP(ventas_b_mes1255[[#This Row],[CUIT]],Lista_CUIT[#All],2,0)),"CUIT NO CARGADO")</f>
        <v>-</v>
      </c>
      <c r="H1285" s="100">
        <f>ventas_b_mes1255[[#This Row],[TOTAL]]/1.21</f>
        <v>0</v>
      </c>
      <c r="I1285" s="64">
        <f>ventas_b_mes1255[[#This Row],[IMPORTE NETO]]*0.21</f>
        <v>0</v>
      </c>
      <c r="J1285" s="141"/>
      <c r="K1285" s="141"/>
      <c r="L1285" s="141"/>
      <c r="M1285" s="59"/>
    </row>
    <row r="1286" spans="2:13">
      <c r="B1286" s="135"/>
      <c r="C1286" s="41"/>
      <c r="D1286" s="137"/>
      <c r="E1286" s="138"/>
      <c r="F1286" s="139"/>
      <c r="G1286" s="1" t="str">
        <f>IFERROR(IF(ventas_b_mes1255[[#This Row],[CUIT]]="","-",VLOOKUP(ventas_b_mes1255[[#This Row],[CUIT]],Lista_CUIT[#All],2,0)),"CUIT NO CARGADO")</f>
        <v>-</v>
      </c>
      <c r="H1286" s="100">
        <f>ventas_b_mes1255[[#This Row],[TOTAL]]/1.21</f>
        <v>0</v>
      </c>
      <c r="I1286" s="64">
        <f>ventas_b_mes1255[[#This Row],[IMPORTE NETO]]*0.21</f>
        <v>0</v>
      </c>
      <c r="J1286" s="141"/>
      <c r="K1286" s="141"/>
      <c r="L1286" s="141"/>
      <c r="M1286" s="59"/>
    </row>
    <row r="1287" spans="2:13">
      <c r="B1287" s="135"/>
      <c r="C1287" s="41"/>
      <c r="D1287" s="137"/>
      <c r="E1287" s="138"/>
      <c r="F1287" s="139"/>
      <c r="G1287" s="1" t="str">
        <f>IFERROR(IF(ventas_b_mes1255[[#This Row],[CUIT]]="","-",VLOOKUP(ventas_b_mes1255[[#This Row],[CUIT]],Lista_CUIT[#All],2,0)),"CUIT NO CARGADO")</f>
        <v>-</v>
      </c>
      <c r="H1287" s="100">
        <f>ventas_b_mes1255[[#This Row],[TOTAL]]/1.21</f>
        <v>0</v>
      </c>
      <c r="I1287" s="64">
        <f>ventas_b_mes1255[[#This Row],[IMPORTE NETO]]*0.21</f>
        <v>0</v>
      </c>
      <c r="J1287" s="141"/>
      <c r="K1287" s="141"/>
      <c r="L1287" s="141"/>
      <c r="M1287" s="59"/>
    </row>
    <row r="1288" spans="2:13">
      <c r="B1288" s="135"/>
      <c r="C1288" s="41"/>
      <c r="D1288" s="137"/>
      <c r="E1288" s="138"/>
      <c r="F1288" s="139"/>
      <c r="G1288" s="1" t="str">
        <f>IFERROR(IF(ventas_b_mes1255[[#This Row],[CUIT]]="","-",VLOOKUP(ventas_b_mes1255[[#This Row],[CUIT]],Lista_CUIT[#All],2,0)),"CUIT NO CARGADO")</f>
        <v>-</v>
      </c>
      <c r="H1288" s="100">
        <f>ventas_b_mes1255[[#This Row],[TOTAL]]/1.21</f>
        <v>0</v>
      </c>
      <c r="I1288" s="64">
        <f>ventas_b_mes1255[[#This Row],[IMPORTE NETO]]*0.21</f>
        <v>0</v>
      </c>
      <c r="J1288" s="141"/>
      <c r="K1288" s="141"/>
      <c r="L1288" s="141"/>
      <c r="M1288" s="59"/>
    </row>
    <row r="1289" spans="2:13">
      <c r="B1289" s="135"/>
      <c r="C1289" s="41"/>
      <c r="D1289" s="137"/>
      <c r="E1289" s="138"/>
      <c r="F1289" s="139"/>
      <c r="G1289" s="1" t="str">
        <f>IFERROR(IF(ventas_b_mes1255[[#This Row],[CUIT]]="","-",VLOOKUP(ventas_b_mes1255[[#This Row],[CUIT]],Lista_CUIT[#All],2,0)),"CUIT NO CARGADO")</f>
        <v>-</v>
      </c>
      <c r="H1289" s="100">
        <f>ventas_b_mes1255[[#This Row],[TOTAL]]/1.21</f>
        <v>0</v>
      </c>
      <c r="I1289" s="64">
        <f>ventas_b_mes1255[[#This Row],[IMPORTE NETO]]*0.21</f>
        <v>0</v>
      </c>
      <c r="J1289" s="141"/>
      <c r="K1289" s="141"/>
      <c r="L1289" s="141"/>
      <c r="M1289" s="59"/>
    </row>
    <row r="1290" spans="2:13">
      <c r="B1290" s="135"/>
      <c r="C1290" s="41"/>
      <c r="D1290" s="137"/>
      <c r="E1290" s="138"/>
      <c r="F1290" s="139"/>
      <c r="G1290" s="1" t="str">
        <f>IFERROR(IF(ventas_b_mes1255[[#This Row],[CUIT]]="","-",VLOOKUP(ventas_b_mes1255[[#This Row],[CUIT]],Lista_CUIT[#All],2,0)),"CUIT NO CARGADO")</f>
        <v>-</v>
      </c>
      <c r="H1290" s="100">
        <f>ventas_b_mes1255[[#This Row],[TOTAL]]/1.21</f>
        <v>0</v>
      </c>
      <c r="I1290" s="64">
        <f>ventas_b_mes1255[[#This Row],[IMPORTE NETO]]*0.21</f>
        <v>0</v>
      </c>
      <c r="J1290" s="141"/>
      <c r="K1290" s="141"/>
      <c r="L1290" s="141"/>
      <c r="M1290" s="59"/>
    </row>
    <row r="1291" spans="2:13">
      <c r="B1291" s="135"/>
      <c r="C1291" s="41"/>
      <c r="D1291" s="137"/>
      <c r="E1291" s="138"/>
      <c r="F1291" s="139"/>
      <c r="G1291" s="1" t="str">
        <f>IFERROR(IF(ventas_b_mes1255[[#This Row],[CUIT]]="","-",VLOOKUP(ventas_b_mes1255[[#This Row],[CUIT]],Lista_CUIT[#All],2,0)),"CUIT NO CARGADO")</f>
        <v>-</v>
      </c>
      <c r="H1291" s="100">
        <f>ventas_b_mes1255[[#This Row],[TOTAL]]/1.21</f>
        <v>0</v>
      </c>
      <c r="I1291" s="64">
        <f>ventas_b_mes1255[[#This Row],[IMPORTE NETO]]*0.21</f>
        <v>0</v>
      </c>
      <c r="J1291" s="141"/>
      <c r="K1291" s="141"/>
      <c r="L1291" s="141"/>
      <c r="M1291" s="59"/>
    </row>
    <row r="1292" spans="2:13">
      <c r="B1292" s="135"/>
      <c r="C1292" s="41"/>
      <c r="D1292" s="137"/>
      <c r="E1292" s="138"/>
      <c r="F1292" s="139"/>
      <c r="G1292" s="1" t="str">
        <f>IFERROR(IF(ventas_b_mes1255[[#This Row],[CUIT]]="","-",VLOOKUP(ventas_b_mes1255[[#This Row],[CUIT]],Lista_CUIT[#All],2,0)),"CUIT NO CARGADO")</f>
        <v>-</v>
      </c>
      <c r="H1292" s="100">
        <f>ventas_b_mes1255[[#This Row],[TOTAL]]/1.21</f>
        <v>0</v>
      </c>
      <c r="I1292" s="64">
        <f>ventas_b_mes1255[[#This Row],[IMPORTE NETO]]*0.21</f>
        <v>0</v>
      </c>
      <c r="J1292" s="141"/>
      <c r="K1292" s="141"/>
      <c r="L1292" s="141"/>
      <c r="M1292" s="59"/>
    </row>
    <row r="1293" spans="2:13">
      <c r="B1293" s="135"/>
      <c r="C1293" s="41"/>
      <c r="D1293" s="137"/>
      <c r="E1293" s="138"/>
      <c r="F1293" s="139"/>
      <c r="G1293" s="1" t="str">
        <f>IFERROR(IF(ventas_b_mes1255[[#This Row],[CUIT]]="","-",VLOOKUP(ventas_b_mes1255[[#This Row],[CUIT]],Lista_CUIT[#All],2,0)),"CUIT NO CARGADO")</f>
        <v>-</v>
      </c>
      <c r="H1293" s="100">
        <f>ventas_b_mes1255[[#This Row],[TOTAL]]/1.21</f>
        <v>0</v>
      </c>
      <c r="I1293" s="64">
        <f>ventas_b_mes1255[[#This Row],[IMPORTE NETO]]*0.21</f>
        <v>0</v>
      </c>
      <c r="J1293" s="141"/>
      <c r="K1293" s="141"/>
      <c r="L1293" s="141"/>
      <c r="M1293" s="59"/>
    </row>
    <row r="1294" spans="2:13">
      <c r="B1294" s="135"/>
      <c r="C1294" s="41"/>
      <c r="D1294" s="137"/>
      <c r="E1294" s="138"/>
      <c r="F1294" s="139"/>
      <c r="G1294" s="1" t="str">
        <f>IFERROR(IF(ventas_b_mes1255[[#This Row],[CUIT]]="","-",VLOOKUP(ventas_b_mes1255[[#This Row],[CUIT]],Lista_CUIT[#All],2,0)),"CUIT NO CARGADO")</f>
        <v>-</v>
      </c>
      <c r="H1294" s="100">
        <f>ventas_b_mes1255[[#This Row],[TOTAL]]/1.21</f>
        <v>0</v>
      </c>
      <c r="I1294" s="64">
        <f>ventas_b_mes1255[[#This Row],[IMPORTE NETO]]*0.21</f>
        <v>0</v>
      </c>
      <c r="J1294" s="141"/>
      <c r="K1294" s="141"/>
      <c r="L1294" s="141"/>
      <c r="M1294" s="59"/>
    </row>
    <row r="1295" spans="2:13">
      <c r="B1295" s="135"/>
      <c r="C1295" s="41"/>
      <c r="D1295" s="137"/>
      <c r="E1295" s="138"/>
      <c r="F1295" s="139"/>
      <c r="G1295" s="1" t="str">
        <f>IFERROR(IF(ventas_b_mes1255[[#This Row],[CUIT]]="","-",VLOOKUP(ventas_b_mes1255[[#This Row],[CUIT]],Lista_CUIT[#All],2,0)),"CUIT NO CARGADO")</f>
        <v>-</v>
      </c>
      <c r="H1295" s="100">
        <f>ventas_b_mes1255[[#This Row],[TOTAL]]/1.21</f>
        <v>0</v>
      </c>
      <c r="I1295" s="64">
        <f>ventas_b_mes1255[[#This Row],[IMPORTE NETO]]*0.21</f>
        <v>0</v>
      </c>
      <c r="J1295" s="141"/>
      <c r="K1295" s="141"/>
      <c r="L1295" s="141"/>
      <c r="M1295" s="59"/>
    </row>
    <row r="1296" spans="2:13">
      <c r="B1296" s="135"/>
      <c r="C1296" s="41"/>
      <c r="D1296" s="137"/>
      <c r="E1296" s="138"/>
      <c r="F1296" s="139"/>
      <c r="G1296" s="1" t="str">
        <f>IFERROR(IF(ventas_b_mes1255[[#This Row],[CUIT]]="","-",VLOOKUP(ventas_b_mes1255[[#This Row],[CUIT]],Lista_CUIT[#All],2,0)),"CUIT NO CARGADO")</f>
        <v>-</v>
      </c>
      <c r="H1296" s="100">
        <f>ventas_b_mes1255[[#This Row],[TOTAL]]/1.21</f>
        <v>0</v>
      </c>
      <c r="I1296" s="64">
        <f>ventas_b_mes1255[[#This Row],[IMPORTE NETO]]*0.21</f>
        <v>0</v>
      </c>
      <c r="J1296" s="141"/>
      <c r="K1296" s="141"/>
      <c r="L1296" s="141"/>
      <c r="M1296" s="59"/>
    </row>
    <row r="1297" spans="2:13">
      <c r="B1297" s="135"/>
      <c r="C1297" s="41"/>
      <c r="D1297" s="137"/>
      <c r="E1297" s="138"/>
      <c r="F1297" s="139"/>
      <c r="G1297" s="1" t="str">
        <f>IFERROR(IF(ventas_b_mes1255[[#This Row],[CUIT]]="","-",VLOOKUP(ventas_b_mes1255[[#This Row],[CUIT]],Lista_CUIT[#All],2,0)),"CUIT NO CARGADO")</f>
        <v>-</v>
      </c>
      <c r="H1297" s="100">
        <f>ventas_b_mes1255[[#This Row],[TOTAL]]/1.21</f>
        <v>0</v>
      </c>
      <c r="I1297" s="64">
        <f>ventas_b_mes1255[[#This Row],[IMPORTE NETO]]*0.21</f>
        <v>0</v>
      </c>
      <c r="J1297" s="141"/>
      <c r="K1297" s="141"/>
      <c r="L1297" s="141"/>
      <c r="M1297" s="59"/>
    </row>
    <row r="1298" spans="2:13">
      <c r="B1298" s="135"/>
      <c r="C1298" s="41"/>
      <c r="D1298" s="137"/>
      <c r="E1298" s="138"/>
      <c r="F1298" s="139"/>
      <c r="G1298" s="1" t="str">
        <f>IFERROR(IF(ventas_b_mes1255[[#This Row],[CUIT]]="","-",VLOOKUP(ventas_b_mes1255[[#This Row],[CUIT]],Lista_CUIT[#All],2,0)),"CUIT NO CARGADO")</f>
        <v>-</v>
      </c>
      <c r="H1298" s="100">
        <f>ventas_b_mes1255[[#This Row],[TOTAL]]/1.21</f>
        <v>0</v>
      </c>
      <c r="I1298" s="64">
        <f>ventas_b_mes1255[[#This Row],[IMPORTE NETO]]*0.21</f>
        <v>0</v>
      </c>
      <c r="J1298" s="141"/>
      <c r="K1298" s="141"/>
      <c r="L1298" s="141"/>
      <c r="M1298" s="59"/>
    </row>
    <row r="1299" spans="2:13">
      <c r="B1299" s="135"/>
      <c r="C1299" s="41"/>
      <c r="D1299" s="137"/>
      <c r="E1299" s="138"/>
      <c r="F1299" s="139"/>
      <c r="G1299" s="1" t="str">
        <f>IFERROR(IF(ventas_b_mes1255[[#This Row],[CUIT]]="","-",VLOOKUP(ventas_b_mes1255[[#This Row],[CUIT]],Lista_CUIT[#All],2,0)),"CUIT NO CARGADO")</f>
        <v>-</v>
      </c>
      <c r="H1299" s="100">
        <f>ventas_b_mes1255[[#This Row],[TOTAL]]/1.21</f>
        <v>0</v>
      </c>
      <c r="I1299" s="64">
        <f>ventas_b_mes1255[[#This Row],[IMPORTE NETO]]*0.21</f>
        <v>0</v>
      </c>
      <c r="J1299" s="141"/>
      <c r="K1299" s="141"/>
      <c r="L1299" s="141"/>
      <c r="M1299" s="59"/>
    </row>
    <row r="1300" spans="2:13">
      <c r="B1300" s="135"/>
      <c r="C1300" s="41"/>
      <c r="D1300" s="137"/>
      <c r="E1300" s="138"/>
      <c r="F1300" s="139"/>
      <c r="G1300" s="1" t="str">
        <f>IFERROR(IF(ventas_b_mes1255[[#This Row],[CUIT]]="","-",VLOOKUP(ventas_b_mes1255[[#This Row],[CUIT]],Lista_CUIT[#All],2,0)),"CUIT NO CARGADO")</f>
        <v>-</v>
      </c>
      <c r="H1300" s="100">
        <f>ventas_b_mes1255[[#This Row],[TOTAL]]/1.21</f>
        <v>0</v>
      </c>
      <c r="I1300" s="64">
        <f>ventas_b_mes1255[[#This Row],[IMPORTE NETO]]*0.21</f>
        <v>0</v>
      </c>
      <c r="J1300" s="141"/>
      <c r="K1300" s="141"/>
      <c r="L1300" s="141"/>
      <c r="M1300" s="59"/>
    </row>
    <row r="1301" spans="2:13">
      <c r="B1301" s="135"/>
      <c r="C1301" s="41"/>
      <c r="D1301" s="137"/>
      <c r="E1301" s="138"/>
      <c r="F1301" s="139"/>
      <c r="G1301" s="1" t="str">
        <f>IFERROR(IF(ventas_b_mes1255[[#This Row],[CUIT]]="","-",VLOOKUP(ventas_b_mes1255[[#This Row],[CUIT]],Lista_CUIT[#All],2,0)),"CUIT NO CARGADO")</f>
        <v>-</v>
      </c>
      <c r="H1301" s="100">
        <f>ventas_b_mes1255[[#This Row],[TOTAL]]/1.21</f>
        <v>0</v>
      </c>
      <c r="I1301" s="64">
        <f>ventas_b_mes1255[[#This Row],[IMPORTE NETO]]*0.21</f>
        <v>0</v>
      </c>
      <c r="J1301" s="141"/>
      <c r="K1301" s="141"/>
      <c r="L1301" s="141"/>
      <c r="M1301" s="59"/>
    </row>
    <row r="1302" spans="2:13">
      <c r="B1302" s="135"/>
      <c r="C1302" s="41"/>
      <c r="D1302" s="137"/>
      <c r="E1302" s="138"/>
      <c r="F1302" s="139"/>
      <c r="G1302" s="1" t="str">
        <f>IFERROR(IF(ventas_b_mes1255[[#This Row],[CUIT]]="","-",VLOOKUP(ventas_b_mes1255[[#This Row],[CUIT]],Lista_CUIT[#All],2,0)),"CUIT NO CARGADO")</f>
        <v>-</v>
      </c>
      <c r="H1302" s="100">
        <f>ventas_b_mes1255[[#This Row],[TOTAL]]/1.21</f>
        <v>0</v>
      </c>
      <c r="I1302" s="64">
        <f>ventas_b_mes1255[[#This Row],[IMPORTE NETO]]*0.21</f>
        <v>0</v>
      </c>
      <c r="J1302" s="141"/>
      <c r="K1302" s="141"/>
      <c r="L1302" s="141"/>
      <c r="M1302" s="59"/>
    </row>
    <row r="1303" spans="2:13">
      <c r="B1303" s="135"/>
      <c r="C1303" s="41"/>
      <c r="D1303" s="137"/>
      <c r="E1303" s="138"/>
      <c r="F1303" s="139"/>
      <c r="G1303" s="1" t="str">
        <f>IFERROR(IF(ventas_b_mes1255[[#This Row],[CUIT]]="","-",VLOOKUP(ventas_b_mes1255[[#This Row],[CUIT]],Lista_CUIT[#All],2,0)),"CUIT NO CARGADO")</f>
        <v>-</v>
      </c>
      <c r="H1303" s="100">
        <f>ventas_b_mes1255[[#This Row],[TOTAL]]/1.21</f>
        <v>0</v>
      </c>
      <c r="I1303" s="64">
        <f>ventas_b_mes1255[[#This Row],[IMPORTE NETO]]*0.21</f>
        <v>0</v>
      </c>
      <c r="J1303" s="141"/>
      <c r="K1303" s="141"/>
      <c r="L1303" s="141"/>
      <c r="M1303" s="59"/>
    </row>
    <row r="1304" spans="2:13">
      <c r="B1304" s="135"/>
      <c r="C1304" s="41"/>
      <c r="D1304" s="137"/>
      <c r="E1304" s="138"/>
      <c r="F1304" s="139"/>
      <c r="G1304" s="1" t="str">
        <f>IFERROR(IF(ventas_b_mes1255[[#This Row],[CUIT]]="","-",VLOOKUP(ventas_b_mes1255[[#This Row],[CUIT]],Lista_CUIT[#All],2,0)),"CUIT NO CARGADO")</f>
        <v>-</v>
      </c>
      <c r="H1304" s="100">
        <f>ventas_b_mes1255[[#This Row],[TOTAL]]/1.21</f>
        <v>0</v>
      </c>
      <c r="I1304" s="64">
        <f>ventas_b_mes1255[[#This Row],[IMPORTE NETO]]*0.21</f>
        <v>0</v>
      </c>
      <c r="J1304" s="141"/>
      <c r="K1304" s="141"/>
      <c r="L1304" s="141"/>
      <c r="M1304" s="59"/>
    </row>
    <row r="1305" spans="2:13">
      <c r="B1305" s="135"/>
      <c r="C1305" s="41"/>
      <c r="D1305" s="137"/>
      <c r="E1305" s="138"/>
      <c r="F1305" s="139"/>
      <c r="G1305" s="1" t="str">
        <f>IFERROR(IF(ventas_b_mes1255[[#This Row],[CUIT]]="","-",VLOOKUP(ventas_b_mes1255[[#This Row],[CUIT]],Lista_CUIT[#All],2,0)),"CUIT NO CARGADO")</f>
        <v>-</v>
      </c>
      <c r="H1305" s="100">
        <f>ventas_b_mes1255[[#This Row],[TOTAL]]/1.21</f>
        <v>0</v>
      </c>
      <c r="I1305" s="64">
        <f>ventas_b_mes1255[[#This Row],[IMPORTE NETO]]*0.21</f>
        <v>0</v>
      </c>
      <c r="J1305" s="141"/>
      <c r="K1305" s="141"/>
      <c r="L1305" s="141"/>
      <c r="M1305" s="59"/>
    </row>
    <row r="1306" spans="2:13">
      <c r="B1306" s="135"/>
      <c r="C1306" s="41"/>
      <c r="D1306" s="137"/>
      <c r="E1306" s="138"/>
      <c r="F1306" s="139"/>
      <c r="G1306" s="1" t="str">
        <f>IFERROR(IF(ventas_b_mes1255[[#This Row],[CUIT]]="","-",VLOOKUP(ventas_b_mes1255[[#This Row],[CUIT]],Lista_CUIT[#All],2,0)),"CUIT NO CARGADO")</f>
        <v>-</v>
      </c>
      <c r="H1306" s="100">
        <f>ventas_b_mes1255[[#This Row],[TOTAL]]/1.21</f>
        <v>0</v>
      </c>
      <c r="I1306" s="64">
        <f>ventas_b_mes1255[[#This Row],[IMPORTE NETO]]*0.21</f>
        <v>0</v>
      </c>
      <c r="J1306" s="141"/>
      <c r="K1306" s="141"/>
      <c r="L1306" s="141"/>
      <c r="M1306" s="59"/>
    </row>
    <row r="1307" spans="2:13">
      <c r="B1307" s="135"/>
      <c r="C1307" s="41"/>
      <c r="D1307" s="137"/>
      <c r="E1307" s="138"/>
      <c r="F1307" s="139"/>
      <c r="G1307" s="1" t="str">
        <f>IFERROR(IF(ventas_b_mes1255[[#This Row],[CUIT]]="","-",VLOOKUP(ventas_b_mes1255[[#This Row],[CUIT]],Lista_CUIT[#All],2,0)),"CUIT NO CARGADO")</f>
        <v>-</v>
      </c>
      <c r="H1307" s="100">
        <f>ventas_b_mes1255[[#This Row],[TOTAL]]/1.21</f>
        <v>0</v>
      </c>
      <c r="I1307" s="64">
        <f>ventas_b_mes1255[[#This Row],[IMPORTE NETO]]*0.21</f>
        <v>0</v>
      </c>
      <c r="J1307" s="141"/>
      <c r="K1307" s="141"/>
      <c r="L1307" s="141"/>
      <c r="M1307" s="59"/>
    </row>
    <row r="1308" spans="2:13">
      <c r="B1308" s="135"/>
      <c r="C1308" s="41"/>
      <c r="D1308" s="137"/>
      <c r="E1308" s="138"/>
      <c r="F1308" s="139"/>
      <c r="G1308" s="1" t="str">
        <f>IFERROR(IF(ventas_b_mes1255[[#This Row],[CUIT]]="","-",VLOOKUP(ventas_b_mes1255[[#This Row],[CUIT]],Lista_CUIT[#All],2,0)),"CUIT NO CARGADO")</f>
        <v>-</v>
      </c>
      <c r="H1308" s="100">
        <f>ventas_b_mes1255[[#This Row],[TOTAL]]/1.21</f>
        <v>0</v>
      </c>
      <c r="I1308" s="64">
        <f>ventas_b_mes1255[[#This Row],[IMPORTE NETO]]*0.21</f>
        <v>0</v>
      </c>
      <c r="J1308" s="141"/>
      <c r="K1308" s="141"/>
      <c r="L1308" s="141"/>
      <c r="M1308" s="59"/>
    </row>
    <row r="1309" spans="2:13">
      <c r="B1309" s="135"/>
      <c r="C1309" s="41"/>
      <c r="D1309" s="137"/>
      <c r="E1309" s="138"/>
      <c r="F1309" s="139"/>
      <c r="G1309" s="1" t="str">
        <f>IFERROR(IF(ventas_b_mes1255[[#This Row],[CUIT]]="","-",VLOOKUP(ventas_b_mes1255[[#This Row],[CUIT]],Lista_CUIT[#All],2,0)),"CUIT NO CARGADO")</f>
        <v>-</v>
      </c>
      <c r="H1309" s="100">
        <f>ventas_b_mes1255[[#This Row],[TOTAL]]/1.21</f>
        <v>0</v>
      </c>
      <c r="I1309" s="64">
        <f>ventas_b_mes1255[[#This Row],[IMPORTE NETO]]*0.21</f>
        <v>0</v>
      </c>
      <c r="J1309" s="141"/>
      <c r="K1309" s="141"/>
      <c r="L1309" s="141"/>
      <c r="M1309" s="59"/>
    </row>
    <row r="1310" spans="2:13">
      <c r="B1310" s="135"/>
      <c r="C1310" s="41"/>
      <c r="D1310" s="137"/>
      <c r="E1310" s="138"/>
      <c r="F1310" s="139"/>
      <c r="G1310" s="1" t="str">
        <f>IFERROR(IF(ventas_b_mes1255[[#This Row],[CUIT]]="","-",VLOOKUP(ventas_b_mes1255[[#This Row],[CUIT]],Lista_CUIT[#All],2,0)),"CUIT NO CARGADO")</f>
        <v>-</v>
      </c>
      <c r="H1310" s="100">
        <f>ventas_b_mes1255[[#This Row],[TOTAL]]/1.21</f>
        <v>0</v>
      </c>
      <c r="I1310" s="64">
        <f>ventas_b_mes1255[[#This Row],[IMPORTE NETO]]*0.21</f>
        <v>0</v>
      </c>
      <c r="J1310" s="141"/>
      <c r="K1310" s="141"/>
      <c r="L1310" s="141"/>
      <c r="M1310" s="59"/>
    </row>
    <row r="1311" spans="2:13">
      <c r="B1311" s="135"/>
      <c r="C1311" s="41"/>
      <c r="D1311" s="137"/>
      <c r="E1311" s="138"/>
      <c r="F1311" s="139"/>
      <c r="G1311" s="1" t="str">
        <f>IFERROR(IF(ventas_b_mes1255[[#This Row],[CUIT]]="","-",VLOOKUP(ventas_b_mes1255[[#This Row],[CUIT]],Lista_CUIT[#All],2,0)),"CUIT NO CARGADO")</f>
        <v>-</v>
      </c>
      <c r="H1311" s="100">
        <f>ventas_b_mes1255[[#This Row],[TOTAL]]/1.21</f>
        <v>0</v>
      </c>
      <c r="I1311" s="64">
        <f>ventas_b_mes1255[[#This Row],[IMPORTE NETO]]*0.21</f>
        <v>0</v>
      </c>
      <c r="J1311" s="141"/>
      <c r="K1311" s="141"/>
      <c r="L1311" s="141"/>
      <c r="M1311" s="59"/>
    </row>
    <row r="1312" spans="2:13">
      <c r="B1312" s="135"/>
      <c r="C1312" s="41"/>
      <c r="D1312" s="137"/>
      <c r="E1312" s="138"/>
      <c r="F1312" s="139"/>
      <c r="G1312" s="1" t="str">
        <f>IFERROR(IF(ventas_b_mes1255[[#This Row],[CUIT]]="","-",VLOOKUP(ventas_b_mes1255[[#This Row],[CUIT]],Lista_CUIT[#All],2,0)),"CUIT NO CARGADO")</f>
        <v>-</v>
      </c>
      <c r="H1312" s="100">
        <f>ventas_b_mes1255[[#This Row],[TOTAL]]/1.21</f>
        <v>0</v>
      </c>
      <c r="I1312" s="64">
        <f>ventas_b_mes1255[[#This Row],[IMPORTE NETO]]*0.21</f>
        <v>0</v>
      </c>
      <c r="J1312" s="141"/>
      <c r="K1312" s="141"/>
      <c r="L1312" s="141"/>
      <c r="M1312" s="59"/>
    </row>
    <row r="1313" spans="2:13">
      <c r="B1313" s="135"/>
      <c r="C1313" s="41"/>
      <c r="D1313" s="137"/>
      <c r="E1313" s="138"/>
      <c r="F1313" s="139"/>
      <c r="G1313" s="1" t="str">
        <f>IFERROR(IF(ventas_b_mes1255[[#This Row],[CUIT]]="","-",VLOOKUP(ventas_b_mes1255[[#This Row],[CUIT]],Lista_CUIT[#All],2,0)),"CUIT NO CARGADO")</f>
        <v>-</v>
      </c>
      <c r="H1313" s="100">
        <f>ventas_b_mes1255[[#This Row],[TOTAL]]/1.21</f>
        <v>0</v>
      </c>
      <c r="I1313" s="64">
        <f>ventas_b_mes1255[[#This Row],[IMPORTE NETO]]*0.21</f>
        <v>0</v>
      </c>
      <c r="J1313" s="141"/>
      <c r="K1313" s="141"/>
      <c r="L1313" s="141"/>
      <c r="M1313" s="59"/>
    </row>
    <row r="1314" spans="2:13">
      <c r="B1314" s="135"/>
      <c r="C1314" s="41"/>
      <c r="D1314" s="137"/>
      <c r="E1314" s="138"/>
      <c r="F1314" s="139"/>
      <c r="G1314" s="1" t="str">
        <f>IFERROR(IF(ventas_b_mes1255[[#This Row],[CUIT]]="","-",VLOOKUP(ventas_b_mes1255[[#This Row],[CUIT]],Lista_CUIT[#All],2,0)),"CUIT NO CARGADO")</f>
        <v>-</v>
      </c>
      <c r="H1314" s="100">
        <f>ventas_b_mes1255[[#This Row],[TOTAL]]/1.21</f>
        <v>0</v>
      </c>
      <c r="I1314" s="64">
        <f>ventas_b_mes1255[[#This Row],[IMPORTE NETO]]*0.21</f>
        <v>0</v>
      </c>
      <c r="J1314" s="141"/>
      <c r="K1314" s="141"/>
      <c r="L1314" s="141"/>
      <c r="M1314" s="59"/>
    </row>
    <row r="1315" spans="2:13">
      <c r="B1315" s="135"/>
      <c r="C1315" s="41"/>
      <c r="D1315" s="137"/>
      <c r="E1315" s="138"/>
      <c r="F1315" s="139"/>
      <c r="G1315" s="1" t="str">
        <f>IFERROR(IF(ventas_b_mes1255[[#This Row],[CUIT]]="","-",VLOOKUP(ventas_b_mes1255[[#This Row],[CUIT]],Lista_CUIT[#All],2,0)),"CUIT NO CARGADO")</f>
        <v>-</v>
      </c>
      <c r="H1315" s="100">
        <f>ventas_b_mes1255[[#This Row],[TOTAL]]/1.21</f>
        <v>0</v>
      </c>
      <c r="I1315" s="64">
        <f>ventas_b_mes1255[[#This Row],[IMPORTE NETO]]*0.21</f>
        <v>0</v>
      </c>
      <c r="J1315" s="141"/>
      <c r="K1315" s="141"/>
      <c r="L1315" s="141"/>
      <c r="M1315" s="59"/>
    </row>
    <row r="1316" spans="2:13">
      <c r="B1316" s="135"/>
      <c r="C1316" s="41"/>
      <c r="D1316" s="137"/>
      <c r="E1316" s="138"/>
      <c r="F1316" s="139"/>
      <c r="G1316" s="1" t="str">
        <f>IFERROR(IF(ventas_b_mes1255[[#This Row],[CUIT]]="","-",VLOOKUP(ventas_b_mes1255[[#This Row],[CUIT]],Lista_CUIT[#All],2,0)),"CUIT NO CARGADO")</f>
        <v>-</v>
      </c>
      <c r="H1316" s="100">
        <f>ventas_b_mes1255[[#This Row],[TOTAL]]/1.21</f>
        <v>0</v>
      </c>
      <c r="I1316" s="64">
        <f>ventas_b_mes1255[[#This Row],[IMPORTE NETO]]*0.21</f>
        <v>0</v>
      </c>
      <c r="J1316" s="141"/>
      <c r="K1316" s="141"/>
      <c r="L1316" s="141"/>
      <c r="M1316" s="59"/>
    </row>
    <row r="1317" spans="2:13">
      <c r="B1317" s="135"/>
      <c r="C1317" s="41"/>
      <c r="D1317" s="137"/>
      <c r="E1317" s="138"/>
      <c r="F1317" s="139"/>
      <c r="G1317" s="1" t="str">
        <f>IFERROR(IF(ventas_b_mes1255[[#This Row],[CUIT]]="","-",VLOOKUP(ventas_b_mes1255[[#This Row],[CUIT]],Lista_CUIT[#All],2,0)),"CUIT NO CARGADO")</f>
        <v>-</v>
      </c>
      <c r="H1317" s="100">
        <f>ventas_b_mes1255[[#This Row],[TOTAL]]/1.21</f>
        <v>0</v>
      </c>
      <c r="I1317" s="64">
        <f>ventas_b_mes1255[[#This Row],[IMPORTE NETO]]*0.21</f>
        <v>0</v>
      </c>
      <c r="J1317" s="141"/>
      <c r="K1317" s="141"/>
      <c r="L1317" s="141"/>
      <c r="M1317" s="59"/>
    </row>
    <row r="1318" spans="2:13">
      <c r="B1318" s="135"/>
      <c r="C1318" s="41"/>
      <c r="D1318" s="137"/>
      <c r="E1318" s="138"/>
      <c r="F1318" s="139"/>
      <c r="G1318" s="1" t="str">
        <f>IFERROR(IF(ventas_b_mes1255[[#This Row],[CUIT]]="","-",VLOOKUP(ventas_b_mes1255[[#This Row],[CUIT]],Lista_CUIT[#All],2,0)),"CUIT NO CARGADO")</f>
        <v>-</v>
      </c>
      <c r="H1318" s="100">
        <f>ventas_b_mes1255[[#This Row],[TOTAL]]/1.21</f>
        <v>0</v>
      </c>
      <c r="I1318" s="64">
        <f>ventas_b_mes1255[[#This Row],[IMPORTE NETO]]*0.21</f>
        <v>0</v>
      </c>
      <c r="J1318" s="141"/>
      <c r="K1318" s="141"/>
      <c r="L1318" s="141"/>
      <c r="M1318" s="59"/>
    </row>
    <row r="1319" spans="2:13">
      <c r="B1319" s="135"/>
      <c r="C1319" s="41"/>
      <c r="D1319" s="137"/>
      <c r="E1319" s="138"/>
      <c r="F1319" s="139"/>
      <c r="G1319" s="1" t="str">
        <f>IFERROR(IF(ventas_b_mes1255[[#This Row],[CUIT]]="","-",VLOOKUP(ventas_b_mes1255[[#This Row],[CUIT]],Lista_CUIT[#All],2,0)),"CUIT NO CARGADO")</f>
        <v>-</v>
      </c>
      <c r="H1319" s="100">
        <f>ventas_b_mes1255[[#This Row],[TOTAL]]/1.21</f>
        <v>0</v>
      </c>
      <c r="I1319" s="64">
        <f>ventas_b_mes1255[[#This Row],[IMPORTE NETO]]*0.21</f>
        <v>0</v>
      </c>
      <c r="J1319" s="141"/>
      <c r="K1319" s="141"/>
      <c r="L1319" s="141"/>
      <c r="M1319" s="59"/>
    </row>
    <row r="1320" spans="2:13">
      <c r="B1320" s="135"/>
      <c r="C1320" s="41"/>
      <c r="D1320" s="137"/>
      <c r="E1320" s="138"/>
      <c r="F1320" s="139"/>
      <c r="G1320" s="1" t="str">
        <f>IFERROR(IF(ventas_b_mes1255[[#This Row],[CUIT]]="","-",VLOOKUP(ventas_b_mes1255[[#This Row],[CUIT]],Lista_CUIT[#All],2,0)),"CUIT NO CARGADO")</f>
        <v>-</v>
      </c>
      <c r="H1320" s="100">
        <f>ventas_b_mes1255[[#This Row],[TOTAL]]/1.21</f>
        <v>0</v>
      </c>
      <c r="I1320" s="64">
        <f>ventas_b_mes1255[[#This Row],[IMPORTE NETO]]*0.21</f>
        <v>0</v>
      </c>
      <c r="J1320" s="141"/>
      <c r="K1320" s="141"/>
      <c r="L1320" s="141"/>
      <c r="M1320" s="59"/>
    </row>
    <row r="1321" spans="2:13">
      <c r="B1321" s="135"/>
      <c r="C1321" s="41"/>
      <c r="D1321" s="137"/>
      <c r="E1321" s="138"/>
      <c r="F1321" s="139"/>
      <c r="G1321" s="1" t="str">
        <f>IFERROR(IF(ventas_b_mes1255[[#This Row],[CUIT]]="","-",VLOOKUP(ventas_b_mes1255[[#This Row],[CUIT]],Lista_CUIT[#All],2,0)),"CUIT NO CARGADO")</f>
        <v>-</v>
      </c>
      <c r="H1321" s="100">
        <f>ventas_b_mes1255[[#This Row],[TOTAL]]/1.21</f>
        <v>0</v>
      </c>
      <c r="I1321" s="64">
        <f>ventas_b_mes1255[[#This Row],[IMPORTE NETO]]*0.21</f>
        <v>0</v>
      </c>
      <c r="J1321" s="141"/>
      <c r="K1321" s="141"/>
      <c r="L1321" s="141"/>
      <c r="M1321" s="59"/>
    </row>
    <row r="1322" spans="2:13">
      <c r="B1322" s="135"/>
      <c r="C1322" s="41"/>
      <c r="D1322" s="137"/>
      <c r="E1322" s="138"/>
      <c r="F1322" s="139"/>
      <c r="G1322" s="1" t="str">
        <f>IFERROR(IF(ventas_b_mes1255[[#This Row],[CUIT]]="","-",VLOOKUP(ventas_b_mes1255[[#This Row],[CUIT]],Lista_CUIT[#All],2,0)),"CUIT NO CARGADO")</f>
        <v>-</v>
      </c>
      <c r="H1322" s="100">
        <f>ventas_b_mes1255[[#This Row],[TOTAL]]/1.21</f>
        <v>0</v>
      </c>
      <c r="I1322" s="64">
        <f>ventas_b_mes1255[[#This Row],[IMPORTE NETO]]*0.21</f>
        <v>0</v>
      </c>
      <c r="J1322" s="141"/>
      <c r="K1322" s="141"/>
      <c r="L1322" s="141"/>
      <c r="M1322" s="59"/>
    </row>
    <row r="1323" spans="2:13">
      <c r="B1323" s="135"/>
      <c r="C1323" s="41"/>
      <c r="D1323" s="137"/>
      <c r="E1323" s="138"/>
      <c r="F1323" s="139"/>
      <c r="G1323" s="1" t="str">
        <f>IFERROR(IF(ventas_b_mes1255[[#This Row],[CUIT]]="","-",VLOOKUP(ventas_b_mes1255[[#This Row],[CUIT]],Lista_CUIT[#All],2,0)),"CUIT NO CARGADO")</f>
        <v>-</v>
      </c>
      <c r="H1323" s="100">
        <f>ventas_b_mes1255[[#This Row],[TOTAL]]/1.21</f>
        <v>0</v>
      </c>
      <c r="I1323" s="64">
        <f>ventas_b_mes1255[[#This Row],[IMPORTE NETO]]*0.21</f>
        <v>0</v>
      </c>
      <c r="J1323" s="141"/>
      <c r="K1323" s="141"/>
      <c r="L1323" s="141"/>
      <c r="M1323" s="59"/>
    </row>
    <row r="1324" spans="2:13">
      <c r="B1324" s="135"/>
      <c r="C1324" s="41"/>
      <c r="D1324" s="137"/>
      <c r="E1324" s="138"/>
      <c r="F1324" s="139"/>
      <c r="G1324" s="1" t="str">
        <f>IFERROR(IF(ventas_b_mes1255[[#This Row],[CUIT]]="","-",VLOOKUP(ventas_b_mes1255[[#This Row],[CUIT]],Lista_CUIT[#All],2,0)),"CUIT NO CARGADO")</f>
        <v>-</v>
      </c>
      <c r="H1324" s="100">
        <f>ventas_b_mes1255[[#This Row],[TOTAL]]/1.21</f>
        <v>0</v>
      </c>
      <c r="I1324" s="64">
        <f>ventas_b_mes1255[[#This Row],[IMPORTE NETO]]*0.21</f>
        <v>0</v>
      </c>
      <c r="J1324" s="141"/>
      <c r="K1324" s="141"/>
      <c r="L1324" s="141"/>
      <c r="M1324" s="59"/>
    </row>
    <row r="1325" spans="2:13">
      <c r="B1325" s="135"/>
      <c r="C1325" s="41"/>
      <c r="D1325" s="137"/>
      <c r="E1325" s="138"/>
      <c r="F1325" s="139"/>
      <c r="G1325" s="1" t="str">
        <f>IFERROR(IF(ventas_b_mes1255[[#This Row],[CUIT]]="","-",VLOOKUP(ventas_b_mes1255[[#This Row],[CUIT]],Lista_CUIT[#All],2,0)),"CUIT NO CARGADO")</f>
        <v>-</v>
      </c>
      <c r="H1325" s="100">
        <f>ventas_b_mes1255[[#This Row],[TOTAL]]/1.21</f>
        <v>0</v>
      </c>
      <c r="I1325" s="64">
        <f>ventas_b_mes1255[[#This Row],[IMPORTE NETO]]*0.21</f>
        <v>0</v>
      </c>
      <c r="J1325" s="141"/>
      <c r="K1325" s="141"/>
      <c r="L1325" s="141"/>
      <c r="M1325" s="59"/>
    </row>
    <row r="1326" spans="2:13">
      <c r="B1326" s="135"/>
      <c r="C1326" s="41"/>
      <c r="D1326" s="137"/>
      <c r="E1326" s="138"/>
      <c r="F1326" s="139"/>
      <c r="G1326" s="1" t="str">
        <f>IFERROR(IF(ventas_b_mes1255[[#This Row],[CUIT]]="","-",VLOOKUP(ventas_b_mes1255[[#This Row],[CUIT]],Lista_CUIT[#All],2,0)),"CUIT NO CARGADO")</f>
        <v>-</v>
      </c>
      <c r="H1326" s="100">
        <f>ventas_b_mes1255[[#This Row],[TOTAL]]/1.21</f>
        <v>0</v>
      </c>
      <c r="I1326" s="64">
        <f>ventas_b_mes1255[[#This Row],[IMPORTE NETO]]*0.21</f>
        <v>0</v>
      </c>
      <c r="J1326" s="141"/>
      <c r="K1326" s="141"/>
      <c r="L1326" s="141"/>
      <c r="M1326" s="59"/>
    </row>
    <row r="1327" spans="2:13">
      <c r="B1327" s="135"/>
      <c r="C1327" s="41"/>
      <c r="D1327" s="137"/>
      <c r="E1327" s="138"/>
      <c r="F1327" s="139"/>
      <c r="G1327" s="1" t="str">
        <f>IFERROR(IF(ventas_b_mes1255[[#This Row],[CUIT]]="","-",VLOOKUP(ventas_b_mes1255[[#This Row],[CUIT]],Lista_CUIT[#All],2,0)),"CUIT NO CARGADO")</f>
        <v>-</v>
      </c>
      <c r="H1327" s="100">
        <f>ventas_b_mes1255[[#This Row],[TOTAL]]/1.21</f>
        <v>0</v>
      </c>
      <c r="I1327" s="64">
        <f>ventas_b_mes1255[[#This Row],[IMPORTE NETO]]*0.21</f>
        <v>0</v>
      </c>
      <c r="J1327" s="141"/>
      <c r="K1327" s="141"/>
      <c r="L1327" s="141"/>
      <c r="M1327" s="59"/>
    </row>
    <row r="1328" spans="2:13">
      <c r="B1328" s="135"/>
      <c r="C1328" s="41"/>
      <c r="D1328" s="137"/>
      <c r="E1328" s="138"/>
      <c r="F1328" s="139"/>
      <c r="G1328" s="1" t="str">
        <f>IFERROR(IF(ventas_b_mes1255[[#This Row],[CUIT]]="","-",VLOOKUP(ventas_b_mes1255[[#This Row],[CUIT]],Lista_CUIT[#All],2,0)),"CUIT NO CARGADO")</f>
        <v>-</v>
      </c>
      <c r="H1328" s="100">
        <f>ventas_b_mes1255[[#This Row],[TOTAL]]/1.21</f>
        <v>0</v>
      </c>
      <c r="I1328" s="64">
        <f>ventas_b_mes1255[[#This Row],[IMPORTE NETO]]*0.21</f>
        <v>0</v>
      </c>
      <c r="J1328" s="141"/>
      <c r="K1328" s="141"/>
      <c r="L1328" s="141"/>
      <c r="M1328" s="59"/>
    </row>
    <row r="1329" spans="2:13">
      <c r="B1329" s="135"/>
      <c r="C1329" s="41"/>
      <c r="D1329" s="137"/>
      <c r="E1329" s="138"/>
      <c r="F1329" s="139"/>
      <c r="G1329" s="1" t="str">
        <f>IFERROR(IF(ventas_b_mes1255[[#This Row],[CUIT]]="","-",VLOOKUP(ventas_b_mes1255[[#This Row],[CUIT]],Lista_CUIT[#All],2,0)),"CUIT NO CARGADO")</f>
        <v>-</v>
      </c>
      <c r="H1329" s="100">
        <f>ventas_b_mes1255[[#This Row],[TOTAL]]/1.21</f>
        <v>0</v>
      </c>
      <c r="I1329" s="64">
        <f>ventas_b_mes1255[[#This Row],[IMPORTE NETO]]*0.21</f>
        <v>0</v>
      </c>
      <c r="J1329" s="141"/>
      <c r="K1329" s="141"/>
      <c r="L1329" s="141"/>
      <c r="M1329" s="59"/>
    </row>
    <row r="1330" spans="2:13">
      <c r="B1330" s="135"/>
      <c r="C1330" s="41"/>
      <c r="D1330" s="137"/>
      <c r="E1330" s="138"/>
      <c r="F1330" s="139"/>
      <c r="G1330" s="1" t="str">
        <f>IFERROR(IF(ventas_b_mes1255[[#This Row],[CUIT]]="","-",VLOOKUP(ventas_b_mes1255[[#This Row],[CUIT]],Lista_CUIT[#All],2,0)),"CUIT NO CARGADO")</f>
        <v>-</v>
      </c>
      <c r="H1330" s="100">
        <f>ventas_b_mes1255[[#This Row],[TOTAL]]/1.21</f>
        <v>0</v>
      </c>
      <c r="I1330" s="64">
        <f>ventas_b_mes1255[[#This Row],[IMPORTE NETO]]*0.21</f>
        <v>0</v>
      </c>
      <c r="J1330" s="141"/>
      <c r="K1330" s="141"/>
      <c r="L1330" s="141"/>
      <c r="M1330" s="59"/>
    </row>
    <row r="1331" spans="2:13">
      <c r="B1331" s="135"/>
      <c r="C1331" s="41"/>
      <c r="D1331" s="137"/>
      <c r="E1331" s="138"/>
      <c r="F1331" s="139"/>
      <c r="G1331" s="1" t="str">
        <f>IFERROR(IF(ventas_b_mes1255[[#This Row],[CUIT]]="","-",VLOOKUP(ventas_b_mes1255[[#This Row],[CUIT]],Lista_CUIT[#All],2,0)),"CUIT NO CARGADO")</f>
        <v>-</v>
      </c>
      <c r="H1331" s="100">
        <f>ventas_b_mes1255[[#This Row],[TOTAL]]/1.21</f>
        <v>0</v>
      </c>
      <c r="I1331" s="64">
        <f>ventas_b_mes1255[[#This Row],[IMPORTE NETO]]*0.21</f>
        <v>0</v>
      </c>
      <c r="J1331" s="141"/>
      <c r="K1331" s="141"/>
      <c r="L1331" s="141"/>
      <c r="M1331" s="59"/>
    </row>
    <row r="1332" spans="2:13">
      <c r="B1332" s="135"/>
      <c r="C1332" s="41"/>
      <c r="D1332" s="137"/>
      <c r="E1332" s="138"/>
      <c r="F1332" s="139"/>
      <c r="G1332" s="1" t="str">
        <f>IFERROR(IF(ventas_b_mes1255[[#This Row],[CUIT]]="","-",VLOOKUP(ventas_b_mes1255[[#This Row],[CUIT]],Lista_CUIT[#All],2,0)),"CUIT NO CARGADO")</f>
        <v>-</v>
      </c>
      <c r="H1332" s="100">
        <f>ventas_b_mes1255[[#This Row],[TOTAL]]/1.21</f>
        <v>0</v>
      </c>
      <c r="I1332" s="64">
        <f>ventas_b_mes1255[[#This Row],[IMPORTE NETO]]*0.21</f>
        <v>0</v>
      </c>
      <c r="J1332" s="141"/>
      <c r="K1332" s="141"/>
      <c r="L1332" s="141"/>
      <c r="M1332" s="59"/>
    </row>
    <row r="1333" spans="2:13">
      <c r="B1333" s="135"/>
      <c r="C1333" s="41"/>
      <c r="D1333" s="137"/>
      <c r="E1333" s="138"/>
      <c r="F1333" s="139"/>
      <c r="G1333" s="1" t="str">
        <f>IFERROR(IF(ventas_b_mes1255[[#This Row],[CUIT]]="","-",VLOOKUP(ventas_b_mes1255[[#This Row],[CUIT]],Lista_CUIT[#All],2,0)),"CUIT NO CARGADO")</f>
        <v>-</v>
      </c>
      <c r="H1333" s="100">
        <f>ventas_b_mes1255[[#This Row],[TOTAL]]/1.21</f>
        <v>0</v>
      </c>
      <c r="I1333" s="64">
        <f>ventas_b_mes1255[[#This Row],[IMPORTE NETO]]*0.21</f>
        <v>0</v>
      </c>
      <c r="J1333" s="141"/>
      <c r="K1333" s="141"/>
      <c r="L1333" s="141"/>
      <c r="M1333" s="59"/>
    </row>
    <row r="1334" spans="2:13">
      <c r="B1334" s="135"/>
      <c r="C1334" s="41"/>
      <c r="D1334" s="137"/>
      <c r="E1334" s="138"/>
      <c r="F1334" s="139"/>
      <c r="G1334" s="1" t="str">
        <f>IFERROR(IF(ventas_b_mes1255[[#This Row],[CUIT]]="","-",VLOOKUP(ventas_b_mes1255[[#This Row],[CUIT]],Lista_CUIT[#All],2,0)),"CUIT NO CARGADO")</f>
        <v>-</v>
      </c>
      <c r="H1334" s="100">
        <f>ventas_b_mes1255[[#This Row],[TOTAL]]/1.21</f>
        <v>0</v>
      </c>
      <c r="I1334" s="64">
        <f>ventas_b_mes1255[[#This Row],[IMPORTE NETO]]*0.21</f>
        <v>0</v>
      </c>
      <c r="J1334" s="141"/>
      <c r="K1334" s="141"/>
      <c r="L1334" s="141"/>
      <c r="M1334" s="59"/>
    </row>
    <row r="1335" spans="2:13">
      <c r="B1335" s="135"/>
      <c r="C1335" s="41"/>
      <c r="D1335" s="137"/>
      <c r="E1335" s="138"/>
      <c r="F1335" s="139"/>
      <c r="G1335" s="1" t="str">
        <f>IFERROR(IF(ventas_b_mes1255[[#This Row],[CUIT]]="","-",VLOOKUP(ventas_b_mes1255[[#This Row],[CUIT]],Lista_CUIT[#All],2,0)),"CUIT NO CARGADO")</f>
        <v>-</v>
      </c>
      <c r="H1335" s="100">
        <f>ventas_b_mes1255[[#This Row],[TOTAL]]/1.21</f>
        <v>0</v>
      </c>
      <c r="I1335" s="64">
        <f>ventas_b_mes1255[[#This Row],[IMPORTE NETO]]*0.21</f>
        <v>0</v>
      </c>
      <c r="J1335" s="141"/>
      <c r="K1335" s="141"/>
      <c r="L1335" s="141"/>
      <c r="M1335" s="59"/>
    </row>
    <row r="1336" spans="2:13">
      <c r="B1336" s="135"/>
      <c r="C1336" s="41"/>
      <c r="D1336" s="137"/>
      <c r="E1336" s="138"/>
      <c r="F1336" s="139"/>
      <c r="G1336" s="1" t="str">
        <f>IFERROR(IF(ventas_b_mes1255[[#This Row],[CUIT]]="","-",VLOOKUP(ventas_b_mes1255[[#This Row],[CUIT]],Lista_CUIT[#All],2,0)),"CUIT NO CARGADO")</f>
        <v>-</v>
      </c>
      <c r="H1336" s="100">
        <f>ventas_b_mes1255[[#This Row],[TOTAL]]/1.21</f>
        <v>0</v>
      </c>
      <c r="I1336" s="64">
        <f>ventas_b_mes1255[[#This Row],[IMPORTE NETO]]*0.21</f>
        <v>0</v>
      </c>
      <c r="J1336" s="141"/>
      <c r="K1336" s="141"/>
      <c r="L1336" s="141"/>
      <c r="M1336" s="59"/>
    </row>
    <row r="1337" spans="2:13">
      <c r="B1337" s="135"/>
      <c r="C1337" s="41"/>
      <c r="D1337" s="137"/>
      <c r="E1337" s="138"/>
      <c r="F1337" s="139"/>
      <c r="G1337" s="1" t="str">
        <f>IFERROR(IF(ventas_b_mes1255[[#This Row],[CUIT]]="","-",VLOOKUP(ventas_b_mes1255[[#This Row],[CUIT]],Lista_CUIT[#All],2,0)),"CUIT NO CARGADO")</f>
        <v>-</v>
      </c>
      <c r="H1337" s="100">
        <f>ventas_b_mes1255[[#This Row],[TOTAL]]/1.21</f>
        <v>0</v>
      </c>
      <c r="I1337" s="64">
        <f>ventas_b_mes1255[[#This Row],[IMPORTE NETO]]*0.21</f>
        <v>0</v>
      </c>
      <c r="J1337" s="141"/>
      <c r="K1337" s="141"/>
      <c r="L1337" s="141"/>
      <c r="M1337" s="59"/>
    </row>
    <row r="1338" spans="2:13">
      <c r="B1338" s="135"/>
      <c r="C1338" s="41"/>
      <c r="D1338" s="137"/>
      <c r="E1338" s="138"/>
      <c r="F1338" s="139"/>
      <c r="G1338" s="1" t="str">
        <f>IFERROR(IF(ventas_b_mes1255[[#This Row],[CUIT]]="","-",VLOOKUP(ventas_b_mes1255[[#This Row],[CUIT]],Lista_CUIT[#All],2,0)),"CUIT NO CARGADO")</f>
        <v>-</v>
      </c>
      <c r="H1338" s="100">
        <f>ventas_b_mes1255[[#This Row],[TOTAL]]/1.21</f>
        <v>0</v>
      </c>
      <c r="I1338" s="64">
        <f>ventas_b_mes1255[[#This Row],[IMPORTE NETO]]*0.21</f>
        <v>0</v>
      </c>
      <c r="J1338" s="141"/>
      <c r="K1338" s="141"/>
      <c r="L1338" s="141"/>
      <c r="M1338" s="59"/>
    </row>
    <row r="1339" spans="2:13">
      <c r="B1339" s="135"/>
      <c r="C1339" s="41"/>
      <c r="D1339" s="137"/>
      <c r="E1339" s="138"/>
      <c r="F1339" s="139"/>
      <c r="G1339" s="1" t="str">
        <f>IFERROR(IF(ventas_b_mes1255[[#This Row],[CUIT]]="","-",VLOOKUP(ventas_b_mes1255[[#This Row],[CUIT]],Lista_CUIT[#All],2,0)),"CUIT NO CARGADO")</f>
        <v>-</v>
      </c>
      <c r="H1339" s="100">
        <f>ventas_b_mes1255[[#This Row],[TOTAL]]/1.21</f>
        <v>0</v>
      </c>
      <c r="I1339" s="64">
        <f>ventas_b_mes1255[[#This Row],[IMPORTE NETO]]*0.21</f>
        <v>0</v>
      </c>
      <c r="J1339" s="141"/>
      <c r="K1339" s="141"/>
      <c r="L1339" s="141"/>
      <c r="M1339" s="59"/>
    </row>
    <row r="1340" spans="2:13">
      <c r="B1340" s="135"/>
      <c r="C1340" s="41"/>
      <c r="D1340" s="137"/>
      <c r="E1340" s="138"/>
      <c r="F1340" s="139"/>
      <c r="G1340" s="1" t="str">
        <f>IFERROR(IF(ventas_b_mes1255[[#This Row],[CUIT]]="","-",VLOOKUP(ventas_b_mes1255[[#This Row],[CUIT]],Lista_CUIT[#All],2,0)),"CUIT NO CARGADO")</f>
        <v>-</v>
      </c>
      <c r="H1340" s="100">
        <f>ventas_b_mes1255[[#This Row],[TOTAL]]/1.21</f>
        <v>0</v>
      </c>
      <c r="I1340" s="64">
        <f>ventas_b_mes1255[[#This Row],[IMPORTE NETO]]*0.21</f>
        <v>0</v>
      </c>
      <c r="J1340" s="141"/>
      <c r="K1340" s="141"/>
      <c r="L1340" s="141"/>
      <c r="M1340" s="59"/>
    </row>
    <row r="1341" spans="2:13">
      <c r="B1341" s="135"/>
      <c r="C1341" s="41"/>
      <c r="D1341" s="137"/>
      <c r="E1341" s="138"/>
      <c r="F1341" s="139"/>
      <c r="G1341" s="1" t="str">
        <f>IFERROR(IF(ventas_b_mes1255[[#This Row],[CUIT]]="","-",VLOOKUP(ventas_b_mes1255[[#This Row],[CUIT]],Lista_CUIT[#All],2,0)),"CUIT NO CARGADO")</f>
        <v>-</v>
      </c>
      <c r="H1341" s="100">
        <f>ventas_b_mes1255[[#This Row],[TOTAL]]/1.21</f>
        <v>0</v>
      </c>
      <c r="I1341" s="64">
        <f>ventas_b_mes1255[[#This Row],[IMPORTE NETO]]*0.21</f>
        <v>0</v>
      </c>
      <c r="J1341" s="141"/>
      <c r="K1341" s="141"/>
      <c r="L1341" s="141"/>
      <c r="M1341" s="59"/>
    </row>
    <row r="1342" spans="2:13">
      <c r="B1342" s="135"/>
      <c r="C1342" s="41"/>
      <c r="D1342" s="137"/>
      <c r="E1342" s="138"/>
      <c r="F1342" s="139"/>
      <c r="G1342" s="1" t="str">
        <f>IFERROR(IF(ventas_b_mes1255[[#This Row],[CUIT]]="","-",VLOOKUP(ventas_b_mes1255[[#This Row],[CUIT]],Lista_CUIT[#All],2,0)),"CUIT NO CARGADO")</f>
        <v>-</v>
      </c>
      <c r="H1342" s="100">
        <f>ventas_b_mes1255[[#This Row],[TOTAL]]/1.21</f>
        <v>0</v>
      </c>
      <c r="I1342" s="64">
        <f>ventas_b_mes1255[[#This Row],[IMPORTE NETO]]*0.21</f>
        <v>0</v>
      </c>
      <c r="J1342" s="141"/>
      <c r="K1342" s="141"/>
      <c r="L1342" s="141"/>
      <c r="M1342" s="59"/>
    </row>
    <row r="1343" spans="2:13">
      <c r="B1343" s="135"/>
      <c r="C1343" s="41"/>
      <c r="D1343" s="137"/>
      <c r="E1343" s="138"/>
      <c r="F1343" s="139"/>
      <c r="G1343" s="1" t="str">
        <f>IFERROR(IF(ventas_b_mes1255[[#This Row],[CUIT]]="","-",VLOOKUP(ventas_b_mes1255[[#This Row],[CUIT]],Lista_CUIT[#All],2,0)),"CUIT NO CARGADO")</f>
        <v>-</v>
      </c>
      <c r="H1343" s="100">
        <f>ventas_b_mes1255[[#This Row],[TOTAL]]/1.21</f>
        <v>0</v>
      </c>
      <c r="I1343" s="64">
        <f>ventas_b_mes1255[[#This Row],[IMPORTE NETO]]*0.21</f>
        <v>0</v>
      </c>
      <c r="J1343" s="141"/>
      <c r="K1343" s="141"/>
      <c r="L1343" s="141"/>
      <c r="M1343" s="59"/>
    </row>
    <row r="1344" spans="2:13">
      <c r="B1344" s="135"/>
      <c r="C1344" s="41"/>
      <c r="D1344" s="137"/>
      <c r="E1344" s="138"/>
      <c r="F1344" s="139"/>
      <c r="G1344" s="1" t="str">
        <f>IFERROR(IF(ventas_b_mes1255[[#This Row],[CUIT]]="","-",VLOOKUP(ventas_b_mes1255[[#This Row],[CUIT]],Lista_CUIT[#All],2,0)),"CUIT NO CARGADO")</f>
        <v>-</v>
      </c>
      <c r="H1344" s="100">
        <f>ventas_b_mes1255[[#This Row],[TOTAL]]/1.21</f>
        <v>0</v>
      </c>
      <c r="I1344" s="64">
        <f>ventas_b_mes1255[[#This Row],[IMPORTE NETO]]*0.21</f>
        <v>0</v>
      </c>
      <c r="J1344" s="141"/>
      <c r="K1344" s="141"/>
      <c r="L1344" s="141"/>
      <c r="M1344" s="59"/>
    </row>
    <row r="1345" spans="2:13">
      <c r="B1345" s="135"/>
      <c r="C1345" s="41"/>
      <c r="D1345" s="137"/>
      <c r="E1345" s="138"/>
      <c r="F1345" s="139"/>
      <c r="G1345" s="1" t="str">
        <f>IFERROR(IF(ventas_b_mes1255[[#This Row],[CUIT]]="","-",VLOOKUP(ventas_b_mes1255[[#This Row],[CUIT]],Lista_CUIT[#All],2,0)),"CUIT NO CARGADO")</f>
        <v>-</v>
      </c>
      <c r="H1345" s="100">
        <f>ventas_b_mes1255[[#This Row],[TOTAL]]/1.21</f>
        <v>0</v>
      </c>
      <c r="I1345" s="64">
        <f>ventas_b_mes1255[[#This Row],[IMPORTE NETO]]*0.21</f>
        <v>0</v>
      </c>
      <c r="J1345" s="141"/>
      <c r="K1345" s="141"/>
      <c r="L1345" s="141"/>
      <c r="M1345" s="59"/>
    </row>
    <row r="1346" spans="2:13">
      <c r="B1346" s="135"/>
      <c r="C1346" s="41"/>
      <c r="D1346" s="137"/>
      <c r="E1346" s="138"/>
      <c r="F1346" s="139"/>
      <c r="G1346" s="1" t="str">
        <f>IFERROR(IF(ventas_b_mes1255[[#This Row],[CUIT]]="","-",VLOOKUP(ventas_b_mes1255[[#This Row],[CUIT]],Lista_CUIT[#All],2,0)),"CUIT NO CARGADO")</f>
        <v>-</v>
      </c>
      <c r="H1346" s="100">
        <f>ventas_b_mes1255[[#This Row],[TOTAL]]/1.21</f>
        <v>0</v>
      </c>
      <c r="I1346" s="64">
        <f>ventas_b_mes1255[[#This Row],[IMPORTE NETO]]*0.21</f>
        <v>0</v>
      </c>
      <c r="J1346" s="141"/>
      <c r="K1346" s="141"/>
      <c r="L1346" s="141"/>
      <c r="M1346" s="59"/>
    </row>
    <row r="1347" spans="2:13">
      <c r="B1347" s="135"/>
      <c r="C1347" s="41"/>
      <c r="D1347" s="137"/>
      <c r="E1347" s="138"/>
      <c r="F1347" s="139"/>
      <c r="G1347" s="1" t="str">
        <f>IFERROR(IF(ventas_b_mes1255[[#This Row],[CUIT]]="","-",VLOOKUP(ventas_b_mes1255[[#This Row],[CUIT]],Lista_CUIT[#All],2,0)),"CUIT NO CARGADO")</f>
        <v>-</v>
      </c>
      <c r="H1347" s="100">
        <f>ventas_b_mes1255[[#This Row],[TOTAL]]/1.21</f>
        <v>0</v>
      </c>
      <c r="I1347" s="64">
        <f>ventas_b_mes1255[[#This Row],[IMPORTE NETO]]*0.21</f>
        <v>0</v>
      </c>
      <c r="J1347" s="141"/>
      <c r="K1347" s="141"/>
      <c r="L1347" s="141"/>
      <c r="M1347" s="59"/>
    </row>
    <row r="1348" spans="2:13">
      <c r="B1348" s="135"/>
      <c r="C1348" s="41"/>
      <c r="D1348" s="137"/>
      <c r="E1348" s="138"/>
      <c r="F1348" s="139"/>
      <c r="G1348" s="1" t="str">
        <f>IFERROR(IF(ventas_b_mes1255[[#This Row],[CUIT]]="","-",VLOOKUP(ventas_b_mes1255[[#This Row],[CUIT]],Lista_CUIT[#All],2,0)),"CUIT NO CARGADO")</f>
        <v>-</v>
      </c>
      <c r="H1348" s="100">
        <f>ventas_b_mes1255[[#This Row],[TOTAL]]/1.21</f>
        <v>0</v>
      </c>
      <c r="I1348" s="64">
        <f>ventas_b_mes1255[[#This Row],[IMPORTE NETO]]*0.21</f>
        <v>0</v>
      </c>
      <c r="J1348" s="141"/>
      <c r="K1348" s="141"/>
      <c r="L1348" s="141"/>
      <c r="M1348" s="59"/>
    </row>
    <row r="1349" spans="2:13">
      <c r="B1349" s="135"/>
      <c r="C1349" s="41"/>
      <c r="D1349" s="137"/>
      <c r="E1349" s="138"/>
      <c r="F1349" s="139"/>
      <c r="G1349" s="1" t="str">
        <f>IFERROR(IF(ventas_b_mes1255[[#This Row],[CUIT]]="","-",VLOOKUP(ventas_b_mes1255[[#This Row],[CUIT]],Lista_CUIT[#All],2,0)),"CUIT NO CARGADO")</f>
        <v>-</v>
      </c>
      <c r="H1349" s="100">
        <f>ventas_b_mes1255[[#This Row],[TOTAL]]/1.21</f>
        <v>0</v>
      </c>
      <c r="I1349" s="64">
        <f>ventas_b_mes1255[[#This Row],[IMPORTE NETO]]*0.21</f>
        <v>0</v>
      </c>
      <c r="J1349" s="141"/>
      <c r="K1349" s="141"/>
      <c r="L1349" s="141"/>
      <c r="M1349" s="59"/>
    </row>
    <row r="1350" spans="2:13">
      <c r="B1350" s="135"/>
      <c r="C1350" s="41"/>
      <c r="D1350" s="137"/>
      <c r="E1350" s="138"/>
      <c r="F1350" s="139"/>
      <c r="G1350" s="1" t="str">
        <f>IFERROR(IF(ventas_b_mes1255[[#This Row],[CUIT]]="","-",VLOOKUP(ventas_b_mes1255[[#This Row],[CUIT]],Lista_CUIT[#All],2,0)),"CUIT NO CARGADO")</f>
        <v>-</v>
      </c>
      <c r="H1350" s="100">
        <f>ventas_b_mes1255[[#This Row],[TOTAL]]/1.21</f>
        <v>0</v>
      </c>
      <c r="I1350" s="64">
        <f>ventas_b_mes1255[[#This Row],[IMPORTE NETO]]*0.21</f>
        <v>0</v>
      </c>
      <c r="J1350" s="141"/>
      <c r="K1350" s="141"/>
      <c r="L1350" s="141"/>
      <c r="M1350" s="59"/>
    </row>
    <row r="1351" spans="2:13">
      <c r="B1351" s="135"/>
      <c r="C1351" s="41"/>
      <c r="D1351" s="137"/>
      <c r="E1351" s="138"/>
      <c r="F1351" s="139"/>
      <c r="G1351" s="1" t="str">
        <f>IFERROR(IF(ventas_b_mes1255[[#This Row],[CUIT]]="","-",VLOOKUP(ventas_b_mes1255[[#This Row],[CUIT]],Lista_CUIT[#All],2,0)),"CUIT NO CARGADO")</f>
        <v>-</v>
      </c>
      <c r="H1351" s="100">
        <f>ventas_b_mes1255[[#This Row],[TOTAL]]/1.21</f>
        <v>0</v>
      </c>
      <c r="I1351" s="64">
        <f>ventas_b_mes1255[[#This Row],[IMPORTE NETO]]*0.21</f>
        <v>0</v>
      </c>
      <c r="J1351" s="141"/>
      <c r="K1351" s="141"/>
      <c r="L1351" s="141"/>
      <c r="M1351" s="59"/>
    </row>
    <row r="1352" spans="2:13">
      <c r="B1352" s="135"/>
      <c r="C1352" s="41"/>
      <c r="D1352" s="137"/>
      <c r="E1352" s="138"/>
      <c r="F1352" s="139"/>
      <c r="G1352" s="1" t="str">
        <f>IFERROR(IF(ventas_b_mes1255[[#This Row],[CUIT]]="","-",VLOOKUP(ventas_b_mes1255[[#This Row],[CUIT]],Lista_CUIT[#All],2,0)),"CUIT NO CARGADO")</f>
        <v>-</v>
      </c>
      <c r="H1352" s="100">
        <f>ventas_b_mes1255[[#This Row],[TOTAL]]/1.21</f>
        <v>0</v>
      </c>
      <c r="I1352" s="64">
        <f>ventas_b_mes1255[[#This Row],[IMPORTE NETO]]*0.21</f>
        <v>0</v>
      </c>
      <c r="J1352" s="141"/>
      <c r="K1352" s="141"/>
      <c r="L1352" s="141"/>
      <c r="M1352" s="59"/>
    </row>
    <row r="1353" spans="2:13">
      <c r="B1353" s="135"/>
      <c r="C1353" s="41"/>
      <c r="D1353" s="137"/>
      <c r="E1353" s="138"/>
      <c r="F1353" s="139"/>
      <c r="G1353" s="1" t="str">
        <f>IFERROR(IF(ventas_b_mes1255[[#This Row],[CUIT]]="","-",VLOOKUP(ventas_b_mes1255[[#This Row],[CUIT]],Lista_CUIT[#All],2,0)),"CUIT NO CARGADO")</f>
        <v>-</v>
      </c>
      <c r="H1353" s="100">
        <f>ventas_b_mes1255[[#This Row],[TOTAL]]/1.21</f>
        <v>0</v>
      </c>
      <c r="I1353" s="64">
        <f>ventas_b_mes1255[[#This Row],[IMPORTE NETO]]*0.21</f>
        <v>0</v>
      </c>
      <c r="J1353" s="141"/>
      <c r="K1353" s="141"/>
      <c r="L1353" s="141"/>
      <c r="M1353" s="59"/>
    </row>
    <row r="1354" spans="2:13">
      <c r="B1354" s="135"/>
      <c r="C1354" s="41"/>
      <c r="D1354" s="137"/>
      <c r="E1354" s="138"/>
      <c r="F1354" s="139"/>
      <c r="G1354" s="1" t="str">
        <f>IFERROR(IF(ventas_b_mes1255[[#This Row],[CUIT]]="","-",VLOOKUP(ventas_b_mes1255[[#This Row],[CUIT]],Lista_CUIT[#All],2,0)),"CUIT NO CARGADO")</f>
        <v>-</v>
      </c>
      <c r="H1354" s="100">
        <f>ventas_b_mes1255[[#This Row],[TOTAL]]/1.21</f>
        <v>0</v>
      </c>
      <c r="I1354" s="64">
        <f>ventas_b_mes1255[[#This Row],[IMPORTE NETO]]*0.21</f>
        <v>0</v>
      </c>
      <c r="J1354" s="141"/>
      <c r="K1354" s="141"/>
      <c r="L1354" s="141"/>
      <c r="M1354" s="59"/>
    </row>
    <row r="1355" spans="2:13">
      <c r="B1355" s="135"/>
      <c r="C1355" s="41"/>
      <c r="D1355" s="137"/>
      <c r="E1355" s="138"/>
      <c r="F1355" s="139"/>
      <c r="G1355" s="1" t="str">
        <f>IFERROR(IF(ventas_b_mes1255[[#This Row],[CUIT]]="","-",VLOOKUP(ventas_b_mes1255[[#This Row],[CUIT]],Lista_CUIT[#All],2,0)),"CUIT NO CARGADO")</f>
        <v>-</v>
      </c>
      <c r="H1355" s="100">
        <f>ventas_b_mes1255[[#This Row],[TOTAL]]/1.21</f>
        <v>0</v>
      </c>
      <c r="I1355" s="64">
        <f>ventas_b_mes1255[[#This Row],[IMPORTE NETO]]*0.21</f>
        <v>0</v>
      </c>
      <c r="J1355" s="141"/>
      <c r="K1355" s="141"/>
      <c r="L1355" s="141"/>
      <c r="M1355" s="59"/>
    </row>
    <row r="1356" spans="2:13">
      <c r="B1356" s="135"/>
      <c r="C1356" s="41"/>
      <c r="D1356" s="137"/>
      <c r="E1356" s="138"/>
      <c r="F1356" s="139"/>
      <c r="G1356" s="1" t="str">
        <f>IFERROR(IF(ventas_b_mes1255[[#This Row],[CUIT]]="","-",VLOOKUP(ventas_b_mes1255[[#This Row],[CUIT]],Lista_CUIT[#All],2,0)),"CUIT NO CARGADO")</f>
        <v>-</v>
      </c>
      <c r="H1356" s="100">
        <f>ventas_b_mes1255[[#This Row],[TOTAL]]/1.21</f>
        <v>0</v>
      </c>
      <c r="I1356" s="64">
        <f>ventas_b_mes1255[[#This Row],[IMPORTE NETO]]*0.21</f>
        <v>0</v>
      </c>
      <c r="J1356" s="141"/>
      <c r="K1356" s="141"/>
      <c r="L1356" s="141"/>
      <c r="M1356" s="59"/>
    </row>
    <row r="1357" spans="2:13">
      <c r="B1357" s="135"/>
      <c r="C1357" s="41"/>
      <c r="D1357" s="137"/>
      <c r="E1357" s="138"/>
      <c r="F1357" s="139"/>
      <c r="G1357" s="1" t="str">
        <f>IFERROR(IF(ventas_b_mes1255[[#This Row],[CUIT]]="","-",VLOOKUP(ventas_b_mes1255[[#This Row],[CUIT]],Lista_CUIT[#All],2,0)),"CUIT NO CARGADO")</f>
        <v>-</v>
      </c>
      <c r="H1357" s="100">
        <f>ventas_b_mes1255[[#This Row],[TOTAL]]/1.21</f>
        <v>0</v>
      </c>
      <c r="I1357" s="64">
        <f>ventas_b_mes1255[[#This Row],[IMPORTE NETO]]*0.21</f>
        <v>0</v>
      </c>
      <c r="J1357" s="141"/>
      <c r="K1357" s="141"/>
      <c r="L1357" s="141"/>
      <c r="M1357" s="59"/>
    </row>
    <row r="1358" spans="2:13">
      <c r="B1358" s="135"/>
      <c r="C1358" s="41"/>
      <c r="D1358" s="137"/>
      <c r="E1358" s="138"/>
      <c r="F1358" s="139"/>
      <c r="G1358" s="1" t="str">
        <f>IFERROR(IF(ventas_b_mes1255[[#This Row],[CUIT]]="","-",VLOOKUP(ventas_b_mes1255[[#This Row],[CUIT]],Lista_CUIT[#All],2,0)),"CUIT NO CARGADO")</f>
        <v>-</v>
      </c>
      <c r="H1358" s="100">
        <f>ventas_b_mes1255[[#This Row],[TOTAL]]/1.21</f>
        <v>0</v>
      </c>
      <c r="I1358" s="64">
        <f>ventas_b_mes1255[[#This Row],[IMPORTE NETO]]*0.21</f>
        <v>0</v>
      </c>
      <c r="J1358" s="141"/>
      <c r="K1358" s="141"/>
      <c r="L1358" s="141"/>
      <c r="M1358" s="59"/>
    </row>
    <row r="1359" spans="2:13">
      <c r="B1359" s="135"/>
      <c r="C1359" s="41"/>
      <c r="D1359" s="137"/>
      <c r="E1359" s="138"/>
      <c r="F1359" s="139"/>
      <c r="G1359" s="1" t="str">
        <f>IFERROR(IF(ventas_b_mes1255[[#This Row],[CUIT]]="","-",VLOOKUP(ventas_b_mes1255[[#This Row],[CUIT]],Lista_CUIT[#All],2,0)),"CUIT NO CARGADO")</f>
        <v>-</v>
      </c>
      <c r="H1359" s="100">
        <f>ventas_b_mes1255[[#This Row],[TOTAL]]/1.21</f>
        <v>0</v>
      </c>
      <c r="I1359" s="64">
        <f>ventas_b_mes1255[[#This Row],[IMPORTE NETO]]*0.21</f>
        <v>0</v>
      </c>
      <c r="J1359" s="141"/>
      <c r="K1359" s="141"/>
      <c r="L1359" s="141"/>
      <c r="M1359" s="59"/>
    </row>
    <row r="1360" spans="2:13">
      <c r="B1360" s="135"/>
      <c r="C1360" s="41"/>
      <c r="D1360" s="137"/>
      <c r="E1360" s="138"/>
      <c r="F1360" s="139"/>
      <c r="G1360" s="1" t="str">
        <f>IFERROR(IF(ventas_b_mes1255[[#This Row],[CUIT]]="","-",VLOOKUP(ventas_b_mes1255[[#This Row],[CUIT]],Lista_CUIT[#All],2,0)),"CUIT NO CARGADO")</f>
        <v>-</v>
      </c>
      <c r="H1360" s="100">
        <f>ventas_b_mes1255[[#This Row],[TOTAL]]/1.21</f>
        <v>0</v>
      </c>
      <c r="I1360" s="64">
        <f>ventas_b_mes1255[[#This Row],[IMPORTE NETO]]*0.21</f>
        <v>0</v>
      </c>
      <c r="J1360" s="141"/>
      <c r="K1360" s="141"/>
      <c r="L1360" s="141"/>
      <c r="M1360" s="59"/>
    </row>
    <row r="1361" spans="2:13">
      <c r="B1361" s="135"/>
      <c r="C1361" s="41"/>
      <c r="D1361" s="137"/>
      <c r="E1361" s="138"/>
      <c r="F1361" s="139"/>
      <c r="G1361" s="1" t="str">
        <f>IFERROR(IF(ventas_b_mes1255[[#This Row],[CUIT]]="","-",VLOOKUP(ventas_b_mes1255[[#This Row],[CUIT]],Lista_CUIT[#All],2,0)),"CUIT NO CARGADO")</f>
        <v>-</v>
      </c>
      <c r="H1361" s="100">
        <f>ventas_b_mes1255[[#This Row],[TOTAL]]/1.21</f>
        <v>0</v>
      </c>
      <c r="I1361" s="64">
        <f>ventas_b_mes1255[[#This Row],[IMPORTE NETO]]*0.21</f>
        <v>0</v>
      </c>
      <c r="J1361" s="141"/>
      <c r="K1361" s="141"/>
      <c r="L1361" s="141"/>
      <c r="M1361" s="59"/>
    </row>
    <row r="1362" spans="2:13">
      <c r="B1362" s="135"/>
      <c r="C1362" s="41"/>
      <c r="D1362" s="137"/>
      <c r="E1362" s="138"/>
      <c r="F1362" s="139"/>
      <c r="G1362" s="1" t="str">
        <f>IFERROR(IF(ventas_b_mes1255[[#This Row],[CUIT]]="","-",VLOOKUP(ventas_b_mes1255[[#This Row],[CUIT]],Lista_CUIT[#All],2,0)),"CUIT NO CARGADO")</f>
        <v>-</v>
      </c>
      <c r="H1362" s="100">
        <f>ventas_b_mes1255[[#This Row],[TOTAL]]/1.21</f>
        <v>0</v>
      </c>
      <c r="I1362" s="64">
        <f>ventas_b_mes1255[[#This Row],[IMPORTE NETO]]*0.21</f>
        <v>0</v>
      </c>
      <c r="J1362" s="141"/>
      <c r="K1362" s="141"/>
      <c r="L1362" s="141"/>
      <c r="M1362" s="59"/>
    </row>
    <row r="1363" spans="2:13">
      <c r="B1363" s="135"/>
      <c r="C1363" s="41"/>
      <c r="D1363" s="137"/>
      <c r="E1363" s="138"/>
      <c r="F1363" s="139"/>
      <c r="G1363" s="1" t="str">
        <f>IFERROR(IF(ventas_b_mes1255[[#This Row],[CUIT]]="","-",VLOOKUP(ventas_b_mes1255[[#This Row],[CUIT]],Lista_CUIT[#All],2,0)),"CUIT NO CARGADO")</f>
        <v>-</v>
      </c>
      <c r="H1363" s="100">
        <f>ventas_b_mes1255[[#This Row],[TOTAL]]/1.21</f>
        <v>0</v>
      </c>
      <c r="I1363" s="64">
        <f>ventas_b_mes1255[[#This Row],[IMPORTE NETO]]*0.21</f>
        <v>0</v>
      </c>
      <c r="J1363" s="141"/>
      <c r="K1363" s="141"/>
      <c r="L1363" s="141"/>
      <c r="M1363" s="59"/>
    </row>
    <row r="1364" spans="2:13">
      <c r="B1364" s="135"/>
      <c r="C1364" s="41"/>
      <c r="D1364" s="137"/>
      <c r="E1364" s="138"/>
      <c r="F1364" s="139"/>
      <c r="G1364" s="1" t="str">
        <f>IFERROR(IF(ventas_b_mes1255[[#This Row],[CUIT]]="","-",VLOOKUP(ventas_b_mes1255[[#This Row],[CUIT]],Lista_CUIT[#All],2,0)),"CUIT NO CARGADO")</f>
        <v>-</v>
      </c>
      <c r="H1364" s="100">
        <f>ventas_b_mes1255[[#This Row],[TOTAL]]/1.21</f>
        <v>0</v>
      </c>
      <c r="I1364" s="64">
        <f>ventas_b_mes1255[[#This Row],[IMPORTE NETO]]*0.21</f>
        <v>0</v>
      </c>
      <c r="J1364" s="141"/>
      <c r="K1364" s="141"/>
      <c r="L1364" s="141"/>
      <c r="M1364" s="59"/>
    </row>
    <row r="1365" spans="2:13">
      <c r="B1365" s="135"/>
      <c r="C1365" s="41"/>
      <c r="D1365" s="137"/>
      <c r="E1365" s="138"/>
      <c r="F1365" s="139"/>
      <c r="G1365" s="1" t="str">
        <f>IFERROR(IF(ventas_b_mes1255[[#This Row],[CUIT]]="","-",VLOOKUP(ventas_b_mes1255[[#This Row],[CUIT]],Lista_CUIT[#All],2,0)),"CUIT NO CARGADO")</f>
        <v>-</v>
      </c>
      <c r="H1365" s="100">
        <f>ventas_b_mes1255[[#This Row],[TOTAL]]/1.21</f>
        <v>0</v>
      </c>
      <c r="I1365" s="64">
        <f>ventas_b_mes1255[[#This Row],[IMPORTE NETO]]*0.21</f>
        <v>0</v>
      </c>
      <c r="J1365" s="141"/>
      <c r="K1365" s="141"/>
      <c r="L1365" s="141"/>
      <c r="M1365" s="59"/>
    </row>
    <row r="1366" spans="2:13">
      <c r="B1366" s="135"/>
      <c r="C1366" s="41"/>
      <c r="D1366" s="137"/>
      <c r="E1366" s="138"/>
      <c r="F1366" s="139"/>
      <c r="G1366" s="1" t="str">
        <f>IFERROR(IF(ventas_b_mes1255[[#This Row],[CUIT]]="","-",VLOOKUP(ventas_b_mes1255[[#This Row],[CUIT]],Lista_CUIT[#All],2,0)),"CUIT NO CARGADO")</f>
        <v>-</v>
      </c>
      <c r="H1366" s="100">
        <f>ventas_b_mes1255[[#This Row],[TOTAL]]/1.21</f>
        <v>0</v>
      </c>
      <c r="I1366" s="64">
        <f>ventas_b_mes1255[[#This Row],[IMPORTE NETO]]*0.21</f>
        <v>0</v>
      </c>
      <c r="J1366" s="141"/>
      <c r="K1366" s="141"/>
      <c r="L1366" s="141"/>
      <c r="M1366" s="59"/>
    </row>
    <row r="1367" spans="2:13">
      <c r="B1367" s="135"/>
      <c r="C1367" s="41"/>
      <c r="D1367" s="137"/>
      <c r="E1367" s="138"/>
      <c r="F1367" s="139"/>
      <c r="G1367" s="1" t="str">
        <f>IFERROR(IF(ventas_b_mes1255[[#This Row],[CUIT]]="","-",VLOOKUP(ventas_b_mes1255[[#This Row],[CUIT]],Lista_CUIT[#All],2,0)),"CUIT NO CARGADO")</f>
        <v>-</v>
      </c>
      <c r="H1367" s="100">
        <f>ventas_b_mes1255[[#This Row],[TOTAL]]/1.21</f>
        <v>0</v>
      </c>
      <c r="I1367" s="64">
        <f>ventas_b_mes1255[[#This Row],[IMPORTE NETO]]*0.21</f>
        <v>0</v>
      </c>
      <c r="J1367" s="141"/>
      <c r="K1367" s="141"/>
      <c r="L1367" s="141"/>
      <c r="M1367" s="59"/>
    </row>
    <row r="1368" spans="2:13">
      <c r="B1368" s="135"/>
      <c r="C1368" s="41"/>
      <c r="D1368" s="137"/>
      <c r="E1368" s="138"/>
      <c r="F1368" s="139"/>
      <c r="G1368" s="1" t="str">
        <f>IFERROR(IF(ventas_b_mes1255[[#This Row],[CUIT]]="","-",VLOOKUP(ventas_b_mes1255[[#This Row],[CUIT]],Lista_CUIT[#All],2,0)),"CUIT NO CARGADO")</f>
        <v>-</v>
      </c>
      <c r="H1368" s="100">
        <f>ventas_b_mes1255[[#This Row],[TOTAL]]/1.21</f>
        <v>0</v>
      </c>
      <c r="I1368" s="64">
        <f>ventas_b_mes1255[[#This Row],[IMPORTE NETO]]*0.21</f>
        <v>0</v>
      </c>
      <c r="J1368" s="141"/>
      <c r="K1368" s="141"/>
      <c r="L1368" s="141"/>
      <c r="M1368" s="59"/>
    </row>
    <row r="1369" spans="2:13">
      <c r="B1369" s="135"/>
      <c r="C1369" s="41"/>
      <c r="D1369" s="137"/>
      <c r="E1369" s="138"/>
      <c r="F1369" s="139"/>
      <c r="G1369" s="1" t="str">
        <f>IFERROR(IF(ventas_b_mes1255[[#This Row],[CUIT]]="","-",VLOOKUP(ventas_b_mes1255[[#This Row],[CUIT]],Lista_CUIT[#All],2,0)),"CUIT NO CARGADO")</f>
        <v>-</v>
      </c>
      <c r="H1369" s="100">
        <f>ventas_b_mes1255[[#This Row],[TOTAL]]/1.21</f>
        <v>0</v>
      </c>
      <c r="I1369" s="64">
        <f>ventas_b_mes1255[[#This Row],[IMPORTE NETO]]*0.21</f>
        <v>0</v>
      </c>
      <c r="J1369" s="141"/>
      <c r="K1369" s="141"/>
      <c r="L1369" s="141"/>
      <c r="M1369" s="59"/>
    </row>
    <row r="1370" spans="2:13">
      <c r="B1370" s="135"/>
      <c r="C1370" s="41"/>
      <c r="D1370" s="137"/>
      <c r="E1370" s="138"/>
      <c r="F1370" s="139"/>
      <c r="G1370" s="1" t="str">
        <f>IFERROR(IF(ventas_b_mes1255[[#This Row],[CUIT]]="","-",VLOOKUP(ventas_b_mes1255[[#This Row],[CUIT]],Lista_CUIT[#All],2,0)),"CUIT NO CARGADO")</f>
        <v>-</v>
      </c>
      <c r="H1370" s="100">
        <f>ventas_b_mes1255[[#This Row],[TOTAL]]/1.21</f>
        <v>0</v>
      </c>
      <c r="I1370" s="64">
        <f>ventas_b_mes1255[[#This Row],[IMPORTE NETO]]*0.21</f>
        <v>0</v>
      </c>
      <c r="J1370" s="141"/>
      <c r="K1370" s="141"/>
      <c r="L1370" s="141"/>
      <c r="M1370" s="59"/>
    </row>
    <row r="1371" spans="2:13">
      <c r="B1371" s="135"/>
      <c r="C1371" s="41"/>
      <c r="D1371" s="137"/>
      <c r="E1371" s="138"/>
      <c r="F1371" s="139"/>
      <c r="G1371" s="1" t="str">
        <f>IFERROR(IF(ventas_b_mes1255[[#This Row],[CUIT]]="","-",VLOOKUP(ventas_b_mes1255[[#This Row],[CUIT]],Lista_CUIT[#All],2,0)),"CUIT NO CARGADO")</f>
        <v>-</v>
      </c>
      <c r="H1371" s="100">
        <f>ventas_b_mes1255[[#This Row],[TOTAL]]/1.21</f>
        <v>0</v>
      </c>
      <c r="I1371" s="64">
        <f>ventas_b_mes1255[[#This Row],[IMPORTE NETO]]*0.21</f>
        <v>0</v>
      </c>
      <c r="J1371" s="141"/>
      <c r="K1371" s="141"/>
      <c r="L1371" s="141"/>
      <c r="M1371" s="59"/>
    </row>
    <row r="1372" spans="2:13">
      <c r="B1372" s="135"/>
      <c r="C1372" s="41"/>
      <c r="D1372" s="137"/>
      <c r="E1372" s="138"/>
      <c r="F1372" s="139"/>
      <c r="G1372" s="1" t="str">
        <f>IFERROR(IF(ventas_b_mes1255[[#This Row],[CUIT]]="","-",VLOOKUP(ventas_b_mes1255[[#This Row],[CUIT]],Lista_CUIT[#All],2,0)),"CUIT NO CARGADO")</f>
        <v>-</v>
      </c>
      <c r="H1372" s="100">
        <f>ventas_b_mes1255[[#This Row],[TOTAL]]/1.21</f>
        <v>0</v>
      </c>
      <c r="I1372" s="64">
        <f>ventas_b_mes1255[[#This Row],[IMPORTE NETO]]*0.21</f>
        <v>0</v>
      </c>
      <c r="J1372" s="141"/>
      <c r="K1372" s="141"/>
      <c r="L1372" s="141"/>
      <c r="M1372" s="59"/>
    </row>
    <row r="1373" spans="2:13">
      <c r="B1373" s="135"/>
      <c r="C1373" s="41"/>
      <c r="D1373" s="137"/>
      <c r="E1373" s="138"/>
      <c r="F1373" s="139"/>
      <c r="G1373" s="1" t="str">
        <f>IFERROR(IF(ventas_b_mes1255[[#This Row],[CUIT]]="","-",VLOOKUP(ventas_b_mes1255[[#This Row],[CUIT]],Lista_CUIT[#All],2,0)),"CUIT NO CARGADO")</f>
        <v>-</v>
      </c>
      <c r="H1373" s="100">
        <f>ventas_b_mes1255[[#This Row],[TOTAL]]/1.21</f>
        <v>0</v>
      </c>
      <c r="I1373" s="64">
        <f>ventas_b_mes1255[[#This Row],[IMPORTE NETO]]*0.21</f>
        <v>0</v>
      </c>
      <c r="J1373" s="141"/>
      <c r="K1373" s="141"/>
      <c r="L1373" s="141"/>
      <c r="M1373" s="59"/>
    </row>
    <row r="1374" spans="2:13">
      <c r="B1374" s="135"/>
      <c r="C1374" s="41"/>
      <c r="D1374" s="137"/>
      <c r="E1374" s="138"/>
      <c r="F1374" s="139"/>
      <c r="G1374" s="1" t="str">
        <f>IFERROR(IF(ventas_b_mes1255[[#This Row],[CUIT]]="","-",VLOOKUP(ventas_b_mes1255[[#This Row],[CUIT]],Lista_CUIT[#All],2,0)),"CUIT NO CARGADO")</f>
        <v>-</v>
      </c>
      <c r="H1374" s="100">
        <f>ventas_b_mes1255[[#This Row],[TOTAL]]/1.21</f>
        <v>0</v>
      </c>
      <c r="I1374" s="64">
        <f>ventas_b_mes1255[[#This Row],[IMPORTE NETO]]*0.21</f>
        <v>0</v>
      </c>
      <c r="J1374" s="141"/>
      <c r="K1374" s="141"/>
      <c r="L1374" s="141"/>
      <c r="M1374" s="59"/>
    </row>
    <row r="1375" spans="2:13">
      <c r="B1375" s="135"/>
      <c r="C1375" s="41"/>
      <c r="D1375" s="137"/>
      <c r="E1375" s="138"/>
      <c r="F1375" s="139"/>
      <c r="G1375" s="1" t="str">
        <f>IFERROR(IF(ventas_b_mes1255[[#This Row],[CUIT]]="","-",VLOOKUP(ventas_b_mes1255[[#This Row],[CUIT]],Lista_CUIT[#All],2,0)),"CUIT NO CARGADO")</f>
        <v>-</v>
      </c>
      <c r="H1375" s="100">
        <f>ventas_b_mes1255[[#This Row],[TOTAL]]/1.21</f>
        <v>0</v>
      </c>
      <c r="I1375" s="64">
        <f>ventas_b_mes1255[[#This Row],[IMPORTE NETO]]*0.21</f>
        <v>0</v>
      </c>
      <c r="J1375" s="141"/>
      <c r="K1375" s="141"/>
      <c r="L1375" s="141"/>
      <c r="M1375" s="59"/>
    </row>
    <row r="1376" spans="2:13">
      <c r="B1376" s="135"/>
      <c r="C1376" s="41"/>
      <c r="D1376" s="137"/>
      <c r="E1376" s="138"/>
      <c r="F1376" s="139"/>
      <c r="G1376" s="1" t="str">
        <f>IFERROR(IF(ventas_b_mes1255[[#This Row],[CUIT]]="","-",VLOOKUP(ventas_b_mes1255[[#This Row],[CUIT]],Lista_CUIT[#All],2,0)),"CUIT NO CARGADO")</f>
        <v>-</v>
      </c>
      <c r="H1376" s="100">
        <f>ventas_b_mes1255[[#This Row],[TOTAL]]/1.21</f>
        <v>0</v>
      </c>
      <c r="I1376" s="64">
        <f>ventas_b_mes1255[[#This Row],[IMPORTE NETO]]*0.21</f>
        <v>0</v>
      </c>
      <c r="J1376" s="141"/>
      <c r="K1376" s="141"/>
      <c r="L1376" s="141"/>
      <c r="M1376" s="59"/>
    </row>
    <row r="1377" spans="2:13">
      <c r="B1377" s="135"/>
      <c r="C1377" s="41"/>
      <c r="D1377" s="137"/>
      <c r="E1377" s="138"/>
      <c r="F1377" s="139"/>
      <c r="G1377" s="1" t="str">
        <f>IFERROR(IF(ventas_b_mes1255[[#This Row],[CUIT]]="","-",VLOOKUP(ventas_b_mes1255[[#This Row],[CUIT]],Lista_CUIT[#All],2,0)),"CUIT NO CARGADO")</f>
        <v>-</v>
      </c>
      <c r="H1377" s="100">
        <f>ventas_b_mes1255[[#This Row],[TOTAL]]/1.21</f>
        <v>0</v>
      </c>
      <c r="I1377" s="64">
        <f>ventas_b_mes1255[[#This Row],[IMPORTE NETO]]*0.21</f>
        <v>0</v>
      </c>
      <c r="J1377" s="141"/>
      <c r="K1377" s="141"/>
      <c r="L1377" s="141"/>
      <c r="M1377" s="59"/>
    </row>
    <row r="1378" spans="2:13">
      <c r="B1378" s="135"/>
      <c r="C1378" s="41"/>
      <c r="D1378" s="137"/>
      <c r="E1378" s="138"/>
      <c r="F1378" s="139"/>
      <c r="G1378" s="1" t="str">
        <f>IFERROR(IF(ventas_b_mes1255[[#This Row],[CUIT]]="","-",VLOOKUP(ventas_b_mes1255[[#This Row],[CUIT]],Lista_CUIT[#All],2,0)),"CUIT NO CARGADO")</f>
        <v>-</v>
      </c>
      <c r="H1378" s="100">
        <f>ventas_b_mes1255[[#This Row],[TOTAL]]/1.21</f>
        <v>0</v>
      </c>
      <c r="I1378" s="64">
        <f>ventas_b_mes1255[[#This Row],[IMPORTE NETO]]*0.21</f>
        <v>0</v>
      </c>
      <c r="J1378" s="141"/>
      <c r="K1378" s="141"/>
      <c r="L1378" s="141"/>
      <c r="M1378" s="59"/>
    </row>
    <row r="1379" spans="2:13">
      <c r="B1379" s="135"/>
      <c r="C1379" s="41"/>
      <c r="D1379" s="137"/>
      <c r="E1379" s="138"/>
      <c r="F1379" s="139"/>
      <c r="G1379" s="1" t="str">
        <f>IFERROR(IF(ventas_b_mes1255[[#This Row],[CUIT]]="","-",VLOOKUP(ventas_b_mes1255[[#This Row],[CUIT]],Lista_CUIT[#All],2,0)),"CUIT NO CARGADO")</f>
        <v>-</v>
      </c>
      <c r="H1379" s="100">
        <f>ventas_b_mes1255[[#This Row],[TOTAL]]/1.21</f>
        <v>0</v>
      </c>
      <c r="I1379" s="64">
        <f>ventas_b_mes1255[[#This Row],[IMPORTE NETO]]*0.21</f>
        <v>0</v>
      </c>
      <c r="J1379" s="141"/>
      <c r="K1379" s="141"/>
      <c r="L1379" s="141"/>
      <c r="M1379" s="59"/>
    </row>
    <row r="1380" spans="2:13">
      <c r="B1380" s="135"/>
      <c r="C1380" s="41"/>
      <c r="D1380" s="137"/>
      <c r="E1380" s="138"/>
      <c r="F1380" s="139"/>
      <c r="G1380" s="1" t="str">
        <f>IFERROR(IF(ventas_b_mes1255[[#This Row],[CUIT]]="","-",VLOOKUP(ventas_b_mes1255[[#This Row],[CUIT]],Lista_CUIT[#All],2,0)),"CUIT NO CARGADO")</f>
        <v>-</v>
      </c>
      <c r="H1380" s="100">
        <f>ventas_b_mes1255[[#This Row],[TOTAL]]/1.21</f>
        <v>0</v>
      </c>
      <c r="I1380" s="64">
        <f>ventas_b_mes1255[[#This Row],[IMPORTE NETO]]*0.21</f>
        <v>0</v>
      </c>
      <c r="J1380" s="141"/>
      <c r="K1380" s="141"/>
      <c r="L1380" s="141"/>
      <c r="M1380" s="59"/>
    </row>
    <row r="1381" spans="2:13">
      <c r="B1381" s="135"/>
      <c r="C1381" s="41"/>
      <c r="D1381" s="137"/>
      <c r="E1381" s="138"/>
      <c r="F1381" s="139"/>
      <c r="G1381" s="1" t="str">
        <f>IFERROR(IF(ventas_b_mes1255[[#This Row],[CUIT]]="","-",VLOOKUP(ventas_b_mes1255[[#This Row],[CUIT]],Lista_CUIT[#All],2,0)),"CUIT NO CARGADO")</f>
        <v>-</v>
      </c>
      <c r="H1381" s="100">
        <f>ventas_b_mes1255[[#This Row],[TOTAL]]/1.21</f>
        <v>0</v>
      </c>
      <c r="I1381" s="64">
        <f>ventas_b_mes1255[[#This Row],[IMPORTE NETO]]*0.21</f>
        <v>0</v>
      </c>
      <c r="J1381" s="141"/>
      <c r="K1381" s="141"/>
      <c r="L1381" s="141"/>
      <c r="M1381" s="59"/>
    </row>
    <row r="1382" spans="2:13">
      <c r="B1382" s="135"/>
      <c r="C1382" s="41"/>
      <c r="D1382" s="137"/>
      <c r="E1382" s="138"/>
      <c r="F1382" s="139"/>
      <c r="G1382" s="1" t="str">
        <f>IFERROR(IF(ventas_b_mes1255[[#This Row],[CUIT]]="","-",VLOOKUP(ventas_b_mes1255[[#This Row],[CUIT]],Lista_CUIT[#All],2,0)),"CUIT NO CARGADO")</f>
        <v>-</v>
      </c>
      <c r="H1382" s="100">
        <f>ventas_b_mes1255[[#This Row],[TOTAL]]/1.21</f>
        <v>0</v>
      </c>
      <c r="I1382" s="64">
        <f>ventas_b_mes1255[[#This Row],[IMPORTE NETO]]*0.21</f>
        <v>0</v>
      </c>
      <c r="J1382" s="141"/>
      <c r="K1382" s="141"/>
      <c r="L1382" s="141"/>
      <c r="M1382" s="59"/>
    </row>
    <row r="1383" spans="2:13">
      <c r="B1383" s="135"/>
      <c r="C1383" s="41"/>
      <c r="D1383" s="137"/>
      <c r="E1383" s="138"/>
      <c r="F1383" s="139"/>
      <c r="G1383" s="1" t="str">
        <f>IFERROR(IF(ventas_b_mes1255[[#This Row],[CUIT]]="","-",VLOOKUP(ventas_b_mes1255[[#This Row],[CUIT]],Lista_CUIT[#All],2,0)),"CUIT NO CARGADO")</f>
        <v>-</v>
      </c>
      <c r="H1383" s="100">
        <f>ventas_b_mes1255[[#This Row],[TOTAL]]/1.21</f>
        <v>0</v>
      </c>
      <c r="I1383" s="64">
        <f>ventas_b_mes1255[[#This Row],[IMPORTE NETO]]*0.21</f>
        <v>0</v>
      </c>
      <c r="J1383" s="141"/>
      <c r="K1383" s="141"/>
      <c r="L1383" s="141"/>
      <c r="M1383" s="59"/>
    </row>
    <row r="1384" spans="2:13">
      <c r="B1384" s="135"/>
      <c r="C1384" s="41"/>
      <c r="D1384" s="137"/>
      <c r="E1384" s="138"/>
      <c r="F1384" s="139"/>
      <c r="G1384" s="1" t="str">
        <f>IFERROR(IF(ventas_b_mes1255[[#This Row],[CUIT]]="","-",VLOOKUP(ventas_b_mes1255[[#This Row],[CUIT]],Lista_CUIT[#All],2,0)),"CUIT NO CARGADO")</f>
        <v>-</v>
      </c>
      <c r="H1384" s="100">
        <f>ventas_b_mes1255[[#This Row],[TOTAL]]/1.21</f>
        <v>0</v>
      </c>
      <c r="I1384" s="64">
        <f>ventas_b_mes1255[[#This Row],[IMPORTE NETO]]*0.21</f>
        <v>0</v>
      </c>
      <c r="J1384" s="141"/>
      <c r="K1384" s="141"/>
      <c r="L1384" s="141"/>
      <c r="M1384" s="59"/>
    </row>
    <row r="1385" spans="2:13">
      <c r="B1385" s="135"/>
      <c r="C1385" s="41"/>
      <c r="D1385" s="137"/>
      <c r="E1385" s="138"/>
      <c r="F1385" s="139"/>
      <c r="G1385" s="1" t="str">
        <f>IFERROR(IF(ventas_b_mes1255[[#This Row],[CUIT]]="","-",VLOOKUP(ventas_b_mes1255[[#This Row],[CUIT]],Lista_CUIT[#All],2,0)),"CUIT NO CARGADO")</f>
        <v>-</v>
      </c>
      <c r="H1385" s="100">
        <f>ventas_b_mes1255[[#This Row],[TOTAL]]/1.21</f>
        <v>0</v>
      </c>
      <c r="I1385" s="64">
        <f>ventas_b_mes1255[[#This Row],[IMPORTE NETO]]*0.21</f>
        <v>0</v>
      </c>
      <c r="J1385" s="141"/>
      <c r="K1385" s="141"/>
      <c r="L1385" s="141"/>
      <c r="M1385" s="59"/>
    </row>
    <row r="1386" spans="2:13">
      <c r="B1386" s="135"/>
      <c r="C1386" s="41"/>
      <c r="D1386" s="137"/>
      <c r="E1386" s="138"/>
      <c r="F1386" s="139"/>
      <c r="G1386" s="1" t="str">
        <f>IFERROR(IF(ventas_b_mes1255[[#This Row],[CUIT]]="","-",VLOOKUP(ventas_b_mes1255[[#This Row],[CUIT]],Lista_CUIT[#All],2,0)),"CUIT NO CARGADO")</f>
        <v>-</v>
      </c>
      <c r="H1386" s="100">
        <f>ventas_b_mes1255[[#This Row],[TOTAL]]/1.21</f>
        <v>0</v>
      </c>
      <c r="I1386" s="64">
        <f>ventas_b_mes1255[[#This Row],[IMPORTE NETO]]*0.21</f>
        <v>0</v>
      </c>
      <c r="J1386" s="141"/>
      <c r="K1386" s="141"/>
      <c r="L1386" s="141"/>
      <c r="M1386" s="59"/>
    </row>
    <row r="1387" spans="2:13">
      <c r="B1387" s="135"/>
      <c r="C1387" s="41"/>
      <c r="D1387" s="137"/>
      <c r="E1387" s="138"/>
      <c r="F1387" s="139"/>
      <c r="G1387" s="1" t="str">
        <f>IFERROR(IF(ventas_b_mes1255[[#This Row],[CUIT]]="","-",VLOOKUP(ventas_b_mes1255[[#This Row],[CUIT]],Lista_CUIT[#All],2,0)),"CUIT NO CARGADO")</f>
        <v>-</v>
      </c>
      <c r="H1387" s="100">
        <f>ventas_b_mes1255[[#This Row],[TOTAL]]/1.21</f>
        <v>0</v>
      </c>
      <c r="I1387" s="64">
        <f>ventas_b_mes1255[[#This Row],[IMPORTE NETO]]*0.21</f>
        <v>0</v>
      </c>
      <c r="J1387" s="141"/>
      <c r="K1387" s="141"/>
      <c r="L1387" s="141"/>
      <c r="M1387" s="59"/>
    </row>
    <row r="1388" spans="2:13">
      <c r="B1388" s="135"/>
      <c r="C1388" s="41"/>
      <c r="D1388" s="137"/>
      <c r="E1388" s="138"/>
      <c r="F1388" s="139"/>
      <c r="G1388" s="1" t="str">
        <f>IFERROR(IF(ventas_b_mes1255[[#This Row],[CUIT]]="","-",VLOOKUP(ventas_b_mes1255[[#This Row],[CUIT]],Lista_CUIT[#All],2,0)),"CUIT NO CARGADO")</f>
        <v>-</v>
      </c>
      <c r="H1388" s="100">
        <f>ventas_b_mes1255[[#This Row],[TOTAL]]/1.21</f>
        <v>0</v>
      </c>
      <c r="I1388" s="64">
        <f>ventas_b_mes1255[[#This Row],[IMPORTE NETO]]*0.21</f>
        <v>0</v>
      </c>
      <c r="J1388" s="141"/>
      <c r="K1388" s="141"/>
      <c r="L1388" s="141"/>
      <c r="M1388" s="59"/>
    </row>
    <row r="1389" spans="2:13">
      <c r="B1389" s="135"/>
      <c r="C1389" s="41"/>
      <c r="D1389" s="137"/>
      <c r="E1389" s="138"/>
      <c r="F1389" s="139"/>
      <c r="G1389" s="1" t="str">
        <f>IFERROR(IF(ventas_b_mes1255[[#This Row],[CUIT]]="","-",VLOOKUP(ventas_b_mes1255[[#This Row],[CUIT]],Lista_CUIT[#All],2,0)),"CUIT NO CARGADO")</f>
        <v>-</v>
      </c>
      <c r="H1389" s="100">
        <f>ventas_b_mes1255[[#This Row],[TOTAL]]/1.21</f>
        <v>0</v>
      </c>
      <c r="I1389" s="64">
        <f>ventas_b_mes1255[[#This Row],[IMPORTE NETO]]*0.21</f>
        <v>0</v>
      </c>
      <c r="J1389" s="141"/>
      <c r="K1389" s="141"/>
      <c r="L1389" s="141"/>
      <c r="M1389" s="59"/>
    </row>
    <row r="1390" spans="2:13">
      <c r="B1390" s="135"/>
      <c r="C1390" s="41"/>
      <c r="D1390" s="137"/>
      <c r="E1390" s="138"/>
      <c r="F1390" s="139"/>
      <c r="G1390" s="1" t="str">
        <f>IFERROR(IF(ventas_b_mes1255[[#This Row],[CUIT]]="","-",VLOOKUP(ventas_b_mes1255[[#This Row],[CUIT]],Lista_CUIT[#All],2,0)),"CUIT NO CARGADO")</f>
        <v>-</v>
      </c>
      <c r="H1390" s="100">
        <f>ventas_b_mes1255[[#This Row],[TOTAL]]/1.21</f>
        <v>0</v>
      </c>
      <c r="I1390" s="64">
        <f>ventas_b_mes1255[[#This Row],[IMPORTE NETO]]*0.21</f>
        <v>0</v>
      </c>
      <c r="J1390" s="141"/>
      <c r="K1390" s="141"/>
      <c r="L1390" s="141"/>
      <c r="M1390" s="59"/>
    </row>
    <row r="1391" spans="2:13">
      <c r="B1391" s="135"/>
      <c r="C1391" s="41"/>
      <c r="D1391" s="137"/>
      <c r="E1391" s="138"/>
      <c r="F1391" s="139"/>
      <c r="G1391" s="1" t="str">
        <f>IFERROR(IF(ventas_b_mes1255[[#This Row],[CUIT]]="","-",VLOOKUP(ventas_b_mes1255[[#This Row],[CUIT]],Lista_CUIT[#All],2,0)),"CUIT NO CARGADO")</f>
        <v>-</v>
      </c>
      <c r="H1391" s="100">
        <f>ventas_b_mes1255[[#This Row],[TOTAL]]/1.21</f>
        <v>0</v>
      </c>
      <c r="I1391" s="64">
        <f>ventas_b_mes1255[[#This Row],[IMPORTE NETO]]*0.21</f>
        <v>0</v>
      </c>
      <c r="J1391" s="141"/>
      <c r="K1391" s="141"/>
      <c r="L1391" s="141"/>
      <c r="M1391" s="59"/>
    </row>
    <row r="1392" spans="2:13">
      <c r="B1392" s="135"/>
      <c r="C1392" s="41"/>
      <c r="D1392" s="137"/>
      <c r="E1392" s="138"/>
      <c r="F1392" s="139"/>
      <c r="G1392" s="1" t="str">
        <f>IFERROR(IF(ventas_b_mes1255[[#This Row],[CUIT]]="","-",VLOOKUP(ventas_b_mes1255[[#This Row],[CUIT]],Lista_CUIT[#All],2,0)),"CUIT NO CARGADO")</f>
        <v>-</v>
      </c>
      <c r="H1392" s="100">
        <f>ventas_b_mes1255[[#This Row],[TOTAL]]/1.21</f>
        <v>0</v>
      </c>
      <c r="I1392" s="64">
        <f>ventas_b_mes1255[[#This Row],[IMPORTE NETO]]*0.21</f>
        <v>0</v>
      </c>
      <c r="J1392" s="141"/>
      <c r="K1392" s="141"/>
      <c r="L1392" s="141"/>
      <c r="M1392" s="59"/>
    </row>
    <row r="1393" spans="2:13">
      <c r="B1393" s="135"/>
      <c r="C1393" s="41"/>
      <c r="D1393" s="137"/>
      <c r="E1393" s="138"/>
      <c r="F1393" s="139"/>
      <c r="G1393" s="1" t="str">
        <f>IFERROR(IF(ventas_b_mes1255[[#This Row],[CUIT]]="","-",VLOOKUP(ventas_b_mes1255[[#This Row],[CUIT]],Lista_CUIT[#All],2,0)),"CUIT NO CARGADO")</f>
        <v>-</v>
      </c>
      <c r="H1393" s="100">
        <f>ventas_b_mes1255[[#This Row],[TOTAL]]/1.21</f>
        <v>0</v>
      </c>
      <c r="I1393" s="64">
        <f>ventas_b_mes1255[[#This Row],[IMPORTE NETO]]*0.21</f>
        <v>0</v>
      </c>
      <c r="J1393" s="141"/>
      <c r="K1393" s="141"/>
      <c r="L1393" s="141"/>
      <c r="M1393" s="59"/>
    </row>
    <row r="1394" spans="2:13">
      <c r="B1394" s="135"/>
      <c r="C1394" s="41"/>
      <c r="D1394" s="137"/>
      <c r="E1394" s="138"/>
      <c r="F1394" s="139"/>
      <c r="G1394" s="1" t="str">
        <f>IFERROR(IF(ventas_b_mes1255[[#This Row],[CUIT]]="","-",VLOOKUP(ventas_b_mes1255[[#This Row],[CUIT]],Lista_CUIT[#All],2,0)),"CUIT NO CARGADO")</f>
        <v>-</v>
      </c>
      <c r="H1394" s="100">
        <f>ventas_b_mes1255[[#This Row],[TOTAL]]/1.21</f>
        <v>0</v>
      </c>
      <c r="I1394" s="64">
        <f>ventas_b_mes1255[[#This Row],[IMPORTE NETO]]*0.21</f>
        <v>0</v>
      </c>
      <c r="J1394" s="141"/>
      <c r="K1394" s="141"/>
      <c r="L1394" s="141"/>
      <c r="M1394" s="59"/>
    </row>
    <row r="1395" spans="2:13">
      <c r="B1395" s="135"/>
      <c r="C1395" s="41"/>
      <c r="D1395" s="137"/>
      <c r="E1395" s="138"/>
      <c r="F1395" s="139"/>
      <c r="G1395" s="1" t="str">
        <f>IFERROR(IF(ventas_b_mes1255[[#This Row],[CUIT]]="","-",VLOOKUP(ventas_b_mes1255[[#This Row],[CUIT]],Lista_CUIT[#All],2,0)),"CUIT NO CARGADO")</f>
        <v>-</v>
      </c>
      <c r="H1395" s="100">
        <f>ventas_b_mes1255[[#This Row],[TOTAL]]/1.21</f>
        <v>0</v>
      </c>
      <c r="I1395" s="64">
        <f>ventas_b_mes1255[[#This Row],[IMPORTE NETO]]*0.21</f>
        <v>0</v>
      </c>
      <c r="J1395" s="141"/>
      <c r="K1395" s="141"/>
      <c r="L1395" s="141"/>
      <c r="M1395" s="59"/>
    </row>
    <row r="1396" spans="2:13">
      <c r="B1396" s="135"/>
      <c r="C1396" s="41"/>
      <c r="D1396" s="137"/>
      <c r="E1396" s="138"/>
      <c r="F1396" s="139"/>
      <c r="G1396" s="1" t="str">
        <f>IFERROR(IF(ventas_b_mes1255[[#This Row],[CUIT]]="","-",VLOOKUP(ventas_b_mes1255[[#This Row],[CUIT]],Lista_CUIT[#All],2,0)),"CUIT NO CARGADO")</f>
        <v>-</v>
      </c>
      <c r="H1396" s="100">
        <f>ventas_b_mes1255[[#This Row],[TOTAL]]/1.21</f>
        <v>0</v>
      </c>
      <c r="I1396" s="64">
        <f>ventas_b_mes1255[[#This Row],[IMPORTE NETO]]*0.21</f>
        <v>0</v>
      </c>
      <c r="J1396" s="141"/>
      <c r="K1396" s="141"/>
      <c r="L1396" s="141"/>
      <c r="M1396" s="59"/>
    </row>
    <row r="1397" spans="2:13">
      <c r="B1397" s="135"/>
      <c r="C1397" s="41"/>
      <c r="D1397" s="137"/>
      <c r="E1397" s="138"/>
      <c r="F1397" s="139"/>
      <c r="G1397" s="1" t="str">
        <f>IFERROR(IF(ventas_b_mes1255[[#This Row],[CUIT]]="","-",VLOOKUP(ventas_b_mes1255[[#This Row],[CUIT]],Lista_CUIT[#All],2,0)),"CUIT NO CARGADO")</f>
        <v>-</v>
      </c>
      <c r="H1397" s="100">
        <f>ventas_b_mes1255[[#This Row],[TOTAL]]/1.21</f>
        <v>0</v>
      </c>
      <c r="I1397" s="64">
        <f>ventas_b_mes1255[[#This Row],[IMPORTE NETO]]*0.21</f>
        <v>0</v>
      </c>
      <c r="J1397" s="141"/>
      <c r="K1397" s="141"/>
      <c r="L1397" s="141"/>
      <c r="M1397" s="59"/>
    </row>
    <row r="1398" spans="2:13">
      <c r="B1398" s="135"/>
      <c r="C1398" s="41"/>
      <c r="D1398" s="137"/>
      <c r="E1398" s="138"/>
      <c r="F1398" s="139"/>
      <c r="G1398" s="1" t="str">
        <f>IFERROR(IF(ventas_b_mes1255[[#This Row],[CUIT]]="","-",VLOOKUP(ventas_b_mes1255[[#This Row],[CUIT]],Lista_CUIT[#All],2,0)),"CUIT NO CARGADO")</f>
        <v>-</v>
      </c>
      <c r="H1398" s="100">
        <f>ventas_b_mes1255[[#This Row],[TOTAL]]/1.21</f>
        <v>0</v>
      </c>
      <c r="I1398" s="64">
        <f>ventas_b_mes1255[[#This Row],[IMPORTE NETO]]*0.21</f>
        <v>0</v>
      </c>
      <c r="J1398" s="141"/>
      <c r="K1398" s="141"/>
      <c r="L1398" s="141"/>
      <c r="M1398" s="59"/>
    </row>
    <row r="1399" spans="2:13">
      <c r="B1399" s="135"/>
      <c r="C1399" s="41"/>
      <c r="D1399" s="137"/>
      <c r="E1399" s="138"/>
      <c r="F1399" s="139"/>
      <c r="G1399" s="1" t="str">
        <f>IFERROR(IF(ventas_b_mes1255[[#This Row],[CUIT]]="","-",VLOOKUP(ventas_b_mes1255[[#This Row],[CUIT]],Lista_CUIT[#All],2,0)),"CUIT NO CARGADO")</f>
        <v>-</v>
      </c>
      <c r="H1399" s="100">
        <f>ventas_b_mes1255[[#This Row],[TOTAL]]/1.21</f>
        <v>0</v>
      </c>
      <c r="I1399" s="64">
        <f>ventas_b_mes1255[[#This Row],[IMPORTE NETO]]*0.21</f>
        <v>0</v>
      </c>
      <c r="J1399" s="141"/>
      <c r="K1399" s="141"/>
      <c r="L1399" s="141"/>
      <c r="M1399" s="59"/>
    </row>
    <row r="1400" spans="2:13">
      <c r="B1400" s="135"/>
      <c r="C1400" s="41"/>
      <c r="D1400" s="137"/>
      <c r="E1400" s="138"/>
      <c r="F1400" s="139"/>
      <c r="G1400" s="1" t="str">
        <f>IFERROR(IF(ventas_b_mes1255[[#This Row],[CUIT]]="","-",VLOOKUP(ventas_b_mes1255[[#This Row],[CUIT]],Lista_CUIT[#All],2,0)),"CUIT NO CARGADO")</f>
        <v>-</v>
      </c>
      <c r="H1400" s="100">
        <f>ventas_b_mes1255[[#This Row],[TOTAL]]/1.21</f>
        <v>0</v>
      </c>
      <c r="I1400" s="64">
        <f>ventas_b_mes1255[[#This Row],[IMPORTE NETO]]*0.21</f>
        <v>0</v>
      </c>
      <c r="J1400" s="141"/>
      <c r="K1400" s="141"/>
      <c r="L1400" s="141"/>
      <c r="M1400" s="59"/>
    </row>
    <row r="1401" spans="2:13">
      <c r="B1401" s="135"/>
      <c r="C1401" s="41"/>
      <c r="D1401" s="137"/>
      <c r="E1401" s="138"/>
      <c r="F1401" s="139"/>
      <c r="G1401" s="1" t="str">
        <f>IFERROR(IF(ventas_b_mes1255[[#This Row],[CUIT]]="","-",VLOOKUP(ventas_b_mes1255[[#This Row],[CUIT]],Lista_CUIT[#All],2,0)),"CUIT NO CARGADO")</f>
        <v>-</v>
      </c>
      <c r="H1401" s="100">
        <f>ventas_b_mes1255[[#This Row],[TOTAL]]/1.21</f>
        <v>0</v>
      </c>
      <c r="I1401" s="64">
        <f>ventas_b_mes1255[[#This Row],[IMPORTE NETO]]*0.21</f>
        <v>0</v>
      </c>
      <c r="J1401" s="141"/>
      <c r="K1401" s="141"/>
      <c r="L1401" s="141"/>
      <c r="M1401" s="59"/>
    </row>
    <row r="1402" spans="2:13">
      <c r="B1402" s="135"/>
      <c r="C1402" s="41"/>
      <c r="D1402" s="137"/>
      <c r="E1402" s="138"/>
      <c r="F1402" s="139"/>
      <c r="G1402" s="1" t="str">
        <f>IFERROR(IF(ventas_b_mes1255[[#This Row],[CUIT]]="","-",VLOOKUP(ventas_b_mes1255[[#This Row],[CUIT]],Lista_CUIT[#All],2,0)),"CUIT NO CARGADO")</f>
        <v>-</v>
      </c>
      <c r="H1402" s="100">
        <f>ventas_b_mes1255[[#This Row],[TOTAL]]/1.21</f>
        <v>0</v>
      </c>
      <c r="I1402" s="64">
        <f>ventas_b_mes1255[[#This Row],[IMPORTE NETO]]*0.21</f>
        <v>0</v>
      </c>
      <c r="J1402" s="141"/>
      <c r="K1402" s="141"/>
      <c r="L1402" s="141"/>
      <c r="M1402" s="59"/>
    </row>
    <row r="1403" spans="2:13">
      <c r="B1403" s="135"/>
      <c r="C1403" s="41"/>
      <c r="D1403" s="137"/>
      <c r="E1403" s="138"/>
      <c r="F1403" s="139"/>
      <c r="G1403" s="1" t="str">
        <f>IFERROR(IF(ventas_b_mes1255[[#This Row],[CUIT]]="","-",VLOOKUP(ventas_b_mes1255[[#This Row],[CUIT]],Lista_CUIT[#All],2,0)),"CUIT NO CARGADO")</f>
        <v>-</v>
      </c>
      <c r="H1403" s="100">
        <f>ventas_b_mes1255[[#This Row],[TOTAL]]/1.21</f>
        <v>0</v>
      </c>
      <c r="I1403" s="64">
        <f>ventas_b_mes1255[[#This Row],[IMPORTE NETO]]*0.21</f>
        <v>0</v>
      </c>
      <c r="J1403" s="141"/>
      <c r="K1403" s="141"/>
      <c r="L1403" s="141"/>
      <c r="M1403" s="59"/>
    </row>
    <row r="1404" spans="2:13">
      <c r="B1404" s="135"/>
      <c r="C1404" s="41"/>
      <c r="D1404" s="137"/>
      <c r="E1404" s="138"/>
      <c r="F1404" s="139"/>
      <c r="G1404" s="1" t="str">
        <f>IFERROR(IF(ventas_b_mes1255[[#This Row],[CUIT]]="","-",VLOOKUP(ventas_b_mes1255[[#This Row],[CUIT]],Lista_CUIT[#All],2,0)),"CUIT NO CARGADO")</f>
        <v>-</v>
      </c>
      <c r="H1404" s="100">
        <f>ventas_b_mes1255[[#This Row],[TOTAL]]/1.21</f>
        <v>0</v>
      </c>
      <c r="I1404" s="64">
        <f>ventas_b_mes1255[[#This Row],[IMPORTE NETO]]*0.21</f>
        <v>0</v>
      </c>
      <c r="J1404" s="141"/>
      <c r="K1404" s="141"/>
      <c r="L1404" s="141"/>
      <c r="M1404" s="59"/>
    </row>
    <row r="1405" spans="2:13">
      <c r="B1405" s="135"/>
      <c r="C1405" s="41"/>
      <c r="D1405" s="137"/>
      <c r="E1405" s="138"/>
      <c r="F1405" s="139"/>
      <c r="G1405" s="1" t="str">
        <f>IFERROR(IF(ventas_b_mes1255[[#This Row],[CUIT]]="","-",VLOOKUP(ventas_b_mes1255[[#This Row],[CUIT]],Lista_CUIT[#All],2,0)),"CUIT NO CARGADO")</f>
        <v>-</v>
      </c>
      <c r="H1405" s="100">
        <f>ventas_b_mes1255[[#This Row],[TOTAL]]/1.21</f>
        <v>0</v>
      </c>
      <c r="I1405" s="64">
        <f>ventas_b_mes1255[[#This Row],[IMPORTE NETO]]*0.21</f>
        <v>0</v>
      </c>
      <c r="J1405" s="141"/>
      <c r="K1405" s="141"/>
      <c r="L1405" s="141"/>
      <c r="M1405" s="59"/>
    </row>
    <row r="1406" spans="2:13">
      <c r="B1406" s="135"/>
      <c r="C1406" s="41"/>
      <c r="D1406" s="137"/>
      <c r="E1406" s="138"/>
      <c r="F1406" s="139"/>
      <c r="G1406" s="1" t="str">
        <f>IFERROR(IF(ventas_b_mes1255[[#This Row],[CUIT]]="","-",VLOOKUP(ventas_b_mes1255[[#This Row],[CUIT]],Lista_CUIT[#All],2,0)),"CUIT NO CARGADO")</f>
        <v>-</v>
      </c>
      <c r="H1406" s="100">
        <f>ventas_b_mes1255[[#This Row],[TOTAL]]/1.21</f>
        <v>0</v>
      </c>
      <c r="I1406" s="64">
        <f>ventas_b_mes1255[[#This Row],[IMPORTE NETO]]*0.21</f>
        <v>0</v>
      </c>
      <c r="J1406" s="141"/>
      <c r="K1406" s="141"/>
      <c r="L1406" s="141"/>
      <c r="M1406" s="59"/>
    </row>
    <row r="1407" spans="2:13">
      <c r="B1407" s="135"/>
      <c r="C1407" s="41"/>
      <c r="D1407" s="137"/>
      <c r="E1407" s="138"/>
      <c r="F1407" s="139"/>
      <c r="G1407" s="1" t="str">
        <f>IFERROR(IF(ventas_b_mes1255[[#This Row],[CUIT]]="","-",VLOOKUP(ventas_b_mes1255[[#This Row],[CUIT]],Lista_CUIT[#All],2,0)),"CUIT NO CARGADO")</f>
        <v>-</v>
      </c>
      <c r="H1407" s="100">
        <f>ventas_b_mes1255[[#This Row],[TOTAL]]/1.21</f>
        <v>0</v>
      </c>
      <c r="I1407" s="64">
        <f>ventas_b_mes1255[[#This Row],[IMPORTE NETO]]*0.21</f>
        <v>0</v>
      </c>
      <c r="J1407" s="141"/>
      <c r="K1407" s="141"/>
      <c r="L1407" s="141"/>
      <c r="M1407" s="59"/>
    </row>
    <row r="1408" spans="2:13">
      <c r="B1408" s="135"/>
      <c r="C1408" s="41"/>
      <c r="D1408" s="137"/>
      <c r="E1408" s="138"/>
      <c r="F1408" s="139"/>
      <c r="G1408" s="1" t="str">
        <f>IFERROR(IF(ventas_b_mes1255[[#This Row],[CUIT]]="","-",VLOOKUP(ventas_b_mes1255[[#This Row],[CUIT]],Lista_CUIT[#All],2,0)),"CUIT NO CARGADO")</f>
        <v>-</v>
      </c>
      <c r="H1408" s="100">
        <f>ventas_b_mes1255[[#This Row],[TOTAL]]/1.21</f>
        <v>0</v>
      </c>
      <c r="I1408" s="64">
        <f>ventas_b_mes1255[[#This Row],[IMPORTE NETO]]*0.21</f>
        <v>0</v>
      </c>
      <c r="J1408" s="141"/>
      <c r="K1408" s="141"/>
      <c r="L1408" s="141"/>
      <c r="M1408" s="59"/>
    </row>
    <row r="1409" spans="2:13">
      <c r="B1409" s="135"/>
      <c r="C1409" s="41"/>
      <c r="D1409" s="137"/>
      <c r="E1409" s="138"/>
      <c r="F1409" s="139"/>
      <c r="G1409" s="1" t="str">
        <f>IFERROR(IF(ventas_b_mes1255[[#This Row],[CUIT]]="","-",VLOOKUP(ventas_b_mes1255[[#This Row],[CUIT]],Lista_CUIT[#All],2,0)),"CUIT NO CARGADO")</f>
        <v>-</v>
      </c>
      <c r="H1409" s="100">
        <f>ventas_b_mes1255[[#This Row],[TOTAL]]/1.21</f>
        <v>0</v>
      </c>
      <c r="I1409" s="64">
        <f>ventas_b_mes1255[[#This Row],[IMPORTE NETO]]*0.21</f>
        <v>0</v>
      </c>
      <c r="J1409" s="141"/>
      <c r="K1409" s="141"/>
      <c r="L1409" s="141"/>
      <c r="M1409" s="59"/>
    </row>
    <row r="1410" spans="2:13">
      <c r="B1410" s="135"/>
      <c r="C1410" s="41"/>
      <c r="D1410" s="137"/>
      <c r="E1410" s="138"/>
      <c r="F1410" s="139"/>
      <c r="G1410" s="1" t="str">
        <f>IFERROR(IF(ventas_b_mes1255[[#This Row],[CUIT]]="","-",VLOOKUP(ventas_b_mes1255[[#This Row],[CUIT]],Lista_CUIT[#All],2,0)),"CUIT NO CARGADO")</f>
        <v>-</v>
      </c>
      <c r="H1410" s="100">
        <f>ventas_b_mes1255[[#This Row],[TOTAL]]/1.21</f>
        <v>0</v>
      </c>
      <c r="I1410" s="64">
        <f>ventas_b_mes1255[[#This Row],[IMPORTE NETO]]*0.21</f>
        <v>0</v>
      </c>
      <c r="J1410" s="141"/>
      <c r="K1410" s="141"/>
      <c r="L1410" s="141"/>
      <c r="M1410" s="59"/>
    </row>
    <row r="1411" spans="2:13">
      <c r="B1411" s="135"/>
      <c r="C1411" s="41"/>
      <c r="D1411" s="137"/>
      <c r="E1411" s="138"/>
      <c r="F1411" s="139"/>
      <c r="G1411" s="1" t="str">
        <f>IFERROR(IF(ventas_b_mes1255[[#This Row],[CUIT]]="","-",VLOOKUP(ventas_b_mes1255[[#This Row],[CUIT]],Lista_CUIT[#All],2,0)),"CUIT NO CARGADO")</f>
        <v>-</v>
      </c>
      <c r="H1411" s="100">
        <f>ventas_b_mes1255[[#This Row],[TOTAL]]/1.21</f>
        <v>0</v>
      </c>
      <c r="I1411" s="64">
        <f>ventas_b_mes1255[[#This Row],[IMPORTE NETO]]*0.21</f>
        <v>0</v>
      </c>
      <c r="J1411" s="141"/>
      <c r="K1411" s="141"/>
      <c r="L1411" s="141"/>
      <c r="M1411" s="59"/>
    </row>
    <row r="1412" spans="2:13">
      <c r="B1412" s="135"/>
      <c r="C1412" s="41"/>
      <c r="D1412" s="137"/>
      <c r="E1412" s="138"/>
      <c r="F1412" s="139"/>
      <c r="G1412" s="1" t="str">
        <f>IFERROR(IF(ventas_b_mes1255[[#This Row],[CUIT]]="","-",VLOOKUP(ventas_b_mes1255[[#This Row],[CUIT]],Lista_CUIT[#All],2,0)),"CUIT NO CARGADO")</f>
        <v>-</v>
      </c>
      <c r="H1412" s="100">
        <f>ventas_b_mes1255[[#This Row],[TOTAL]]/1.21</f>
        <v>0</v>
      </c>
      <c r="I1412" s="64">
        <f>ventas_b_mes1255[[#This Row],[IMPORTE NETO]]*0.21</f>
        <v>0</v>
      </c>
      <c r="J1412" s="141"/>
      <c r="K1412" s="141"/>
      <c r="L1412" s="141"/>
      <c r="M1412" s="59"/>
    </row>
    <row r="1413" spans="2:13">
      <c r="B1413" s="135"/>
      <c r="C1413" s="41"/>
      <c r="D1413" s="137"/>
      <c r="E1413" s="138"/>
      <c r="F1413" s="139"/>
      <c r="G1413" s="1" t="str">
        <f>IFERROR(IF(ventas_b_mes1255[[#This Row],[CUIT]]="","-",VLOOKUP(ventas_b_mes1255[[#This Row],[CUIT]],Lista_CUIT[#All],2,0)),"CUIT NO CARGADO")</f>
        <v>-</v>
      </c>
      <c r="H1413" s="100">
        <f>ventas_b_mes1255[[#This Row],[TOTAL]]/1.21</f>
        <v>0</v>
      </c>
      <c r="I1413" s="64">
        <f>ventas_b_mes1255[[#This Row],[IMPORTE NETO]]*0.21</f>
        <v>0</v>
      </c>
      <c r="J1413" s="141"/>
      <c r="K1413" s="141"/>
      <c r="L1413" s="141"/>
      <c r="M1413" s="59"/>
    </row>
    <row r="1414" spans="2:13">
      <c r="B1414" s="135"/>
      <c r="C1414" s="41"/>
      <c r="D1414" s="137"/>
      <c r="E1414" s="138"/>
      <c r="F1414" s="139"/>
      <c r="G1414" s="1" t="str">
        <f>IFERROR(IF(ventas_b_mes1255[[#This Row],[CUIT]]="","-",VLOOKUP(ventas_b_mes1255[[#This Row],[CUIT]],Lista_CUIT[#All],2,0)),"CUIT NO CARGADO")</f>
        <v>-</v>
      </c>
      <c r="H1414" s="100">
        <f>ventas_b_mes1255[[#This Row],[TOTAL]]/1.21</f>
        <v>0</v>
      </c>
      <c r="I1414" s="64">
        <f>ventas_b_mes1255[[#This Row],[IMPORTE NETO]]*0.21</f>
        <v>0</v>
      </c>
      <c r="J1414" s="141"/>
      <c r="K1414" s="141"/>
      <c r="L1414" s="141"/>
      <c r="M1414" s="59"/>
    </row>
    <row r="1415" spans="2:13">
      <c r="B1415" s="135"/>
      <c r="C1415" s="41"/>
      <c r="D1415" s="137"/>
      <c r="E1415" s="138"/>
      <c r="F1415" s="139"/>
      <c r="G1415" s="1" t="str">
        <f>IFERROR(IF(ventas_b_mes1255[[#This Row],[CUIT]]="","-",VLOOKUP(ventas_b_mes1255[[#This Row],[CUIT]],Lista_CUIT[#All],2,0)),"CUIT NO CARGADO")</f>
        <v>-</v>
      </c>
      <c r="H1415" s="100">
        <f>ventas_b_mes1255[[#This Row],[TOTAL]]/1.21</f>
        <v>0</v>
      </c>
      <c r="I1415" s="64">
        <f>ventas_b_mes1255[[#This Row],[IMPORTE NETO]]*0.21</f>
        <v>0</v>
      </c>
      <c r="J1415" s="141"/>
      <c r="K1415" s="141"/>
      <c r="L1415" s="141"/>
      <c r="M1415" s="59"/>
    </row>
    <row r="1416" spans="2:13">
      <c r="B1416" s="135"/>
      <c r="C1416" s="41"/>
      <c r="D1416" s="137"/>
      <c r="E1416" s="138"/>
      <c r="F1416" s="139"/>
      <c r="G1416" s="1" t="str">
        <f>IFERROR(IF(ventas_b_mes1255[[#This Row],[CUIT]]="","-",VLOOKUP(ventas_b_mes1255[[#This Row],[CUIT]],Lista_CUIT[#All],2,0)),"CUIT NO CARGADO")</f>
        <v>-</v>
      </c>
      <c r="H1416" s="100">
        <f>ventas_b_mes1255[[#This Row],[TOTAL]]/1.21</f>
        <v>0</v>
      </c>
      <c r="I1416" s="64">
        <f>ventas_b_mes1255[[#This Row],[IMPORTE NETO]]*0.21</f>
        <v>0</v>
      </c>
      <c r="J1416" s="141"/>
      <c r="K1416" s="141"/>
      <c r="L1416" s="141"/>
      <c r="M1416" s="59"/>
    </row>
    <row r="1417" spans="2:13">
      <c r="B1417" s="135"/>
      <c r="C1417" s="41"/>
      <c r="D1417" s="137"/>
      <c r="E1417" s="138"/>
      <c r="F1417" s="139"/>
      <c r="G1417" s="1" t="str">
        <f>IFERROR(IF(ventas_b_mes1255[[#This Row],[CUIT]]="","-",VLOOKUP(ventas_b_mes1255[[#This Row],[CUIT]],Lista_CUIT[#All],2,0)),"CUIT NO CARGADO")</f>
        <v>-</v>
      </c>
      <c r="H1417" s="100">
        <f>ventas_b_mes1255[[#This Row],[TOTAL]]/1.21</f>
        <v>0</v>
      </c>
      <c r="I1417" s="64">
        <f>ventas_b_mes1255[[#This Row],[IMPORTE NETO]]*0.21</f>
        <v>0</v>
      </c>
      <c r="J1417" s="141"/>
      <c r="K1417" s="141"/>
      <c r="L1417" s="141"/>
      <c r="M1417" s="59"/>
    </row>
    <row r="1418" spans="2:13">
      <c r="B1418" s="135"/>
      <c r="C1418" s="41"/>
      <c r="D1418" s="137"/>
      <c r="E1418" s="138"/>
      <c r="F1418" s="139"/>
      <c r="G1418" s="1" t="str">
        <f>IFERROR(IF(ventas_b_mes1255[[#This Row],[CUIT]]="","-",VLOOKUP(ventas_b_mes1255[[#This Row],[CUIT]],Lista_CUIT[#All],2,0)),"CUIT NO CARGADO")</f>
        <v>-</v>
      </c>
      <c r="H1418" s="100">
        <f>ventas_b_mes1255[[#This Row],[TOTAL]]/1.21</f>
        <v>0</v>
      </c>
      <c r="I1418" s="64">
        <f>ventas_b_mes1255[[#This Row],[IMPORTE NETO]]*0.21</f>
        <v>0</v>
      </c>
      <c r="J1418" s="141"/>
      <c r="K1418" s="141"/>
      <c r="L1418" s="141"/>
      <c r="M1418" s="59"/>
    </row>
    <row r="1419" spans="2:13">
      <c r="B1419" s="135"/>
      <c r="C1419" s="41"/>
      <c r="D1419" s="137"/>
      <c r="E1419" s="138"/>
      <c r="F1419" s="139"/>
      <c r="G1419" s="1" t="str">
        <f>IFERROR(IF(ventas_b_mes1255[[#This Row],[CUIT]]="","-",VLOOKUP(ventas_b_mes1255[[#This Row],[CUIT]],Lista_CUIT[#All],2,0)),"CUIT NO CARGADO")</f>
        <v>-</v>
      </c>
      <c r="H1419" s="100">
        <f>ventas_b_mes1255[[#This Row],[TOTAL]]/1.21</f>
        <v>0</v>
      </c>
      <c r="I1419" s="64">
        <f>ventas_b_mes1255[[#This Row],[IMPORTE NETO]]*0.21</f>
        <v>0</v>
      </c>
      <c r="J1419" s="141"/>
      <c r="K1419" s="141"/>
      <c r="L1419" s="141"/>
      <c r="M1419" s="59"/>
    </row>
    <row r="1420" spans="2:13">
      <c r="B1420" s="135"/>
      <c r="C1420" s="41"/>
      <c r="D1420" s="137"/>
      <c r="E1420" s="138"/>
      <c r="F1420" s="139"/>
      <c r="G1420" s="1" t="str">
        <f>IFERROR(IF(ventas_b_mes1255[[#This Row],[CUIT]]="","-",VLOOKUP(ventas_b_mes1255[[#This Row],[CUIT]],Lista_CUIT[#All],2,0)),"CUIT NO CARGADO")</f>
        <v>-</v>
      </c>
      <c r="H1420" s="100">
        <f>ventas_b_mes1255[[#This Row],[TOTAL]]/1.21</f>
        <v>0</v>
      </c>
      <c r="I1420" s="64">
        <f>ventas_b_mes1255[[#This Row],[IMPORTE NETO]]*0.21</f>
        <v>0</v>
      </c>
      <c r="J1420" s="141"/>
      <c r="K1420" s="141"/>
      <c r="L1420" s="141"/>
      <c r="M1420" s="59"/>
    </row>
    <row r="1421" spans="2:13">
      <c r="B1421" s="135"/>
      <c r="C1421" s="41"/>
      <c r="D1421" s="137"/>
      <c r="E1421" s="138"/>
      <c r="F1421" s="139"/>
      <c r="G1421" s="1" t="str">
        <f>IFERROR(IF(ventas_b_mes1255[[#This Row],[CUIT]]="","-",VLOOKUP(ventas_b_mes1255[[#This Row],[CUIT]],Lista_CUIT[#All],2,0)),"CUIT NO CARGADO")</f>
        <v>-</v>
      </c>
      <c r="H1421" s="100">
        <f>ventas_b_mes1255[[#This Row],[TOTAL]]/1.21</f>
        <v>0</v>
      </c>
      <c r="I1421" s="64">
        <f>ventas_b_mes1255[[#This Row],[IMPORTE NETO]]*0.21</f>
        <v>0</v>
      </c>
      <c r="J1421" s="141"/>
      <c r="K1421" s="141"/>
      <c r="L1421" s="141"/>
      <c r="M1421" s="59"/>
    </row>
    <row r="1422" spans="2:13">
      <c r="B1422" s="135"/>
      <c r="C1422" s="41"/>
      <c r="D1422" s="137"/>
      <c r="E1422" s="138"/>
      <c r="F1422" s="139"/>
      <c r="G1422" s="1" t="str">
        <f>IFERROR(IF(ventas_b_mes1255[[#This Row],[CUIT]]="","-",VLOOKUP(ventas_b_mes1255[[#This Row],[CUIT]],Lista_CUIT[#All],2,0)),"CUIT NO CARGADO")</f>
        <v>-</v>
      </c>
      <c r="H1422" s="100">
        <f>ventas_b_mes1255[[#This Row],[TOTAL]]/1.21</f>
        <v>0</v>
      </c>
      <c r="I1422" s="64">
        <f>ventas_b_mes1255[[#This Row],[IMPORTE NETO]]*0.21</f>
        <v>0</v>
      </c>
      <c r="J1422" s="141"/>
      <c r="K1422" s="141"/>
      <c r="L1422" s="141"/>
      <c r="M1422" s="59"/>
    </row>
    <row r="1423" spans="2:13">
      <c r="B1423" s="135"/>
      <c r="C1423" s="41"/>
      <c r="D1423" s="137"/>
      <c r="E1423" s="138"/>
      <c r="F1423" s="139"/>
      <c r="G1423" s="1" t="str">
        <f>IFERROR(IF(ventas_b_mes1255[[#This Row],[CUIT]]="","-",VLOOKUP(ventas_b_mes1255[[#This Row],[CUIT]],Lista_CUIT[#All],2,0)),"CUIT NO CARGADO")</f>
        <v>-</v>
      </c>
      <c r="H1423" s="100">
        <f>ventas_b_mes1255[[#This Row],[TOTAL]]/1.21</f>
        <v>0</v>
      </c>
      <c r="I1423" s="64">
        <f>ventas_b_mes1255[[#This Row],[IMPORTE NETO]]*0.21</f>
        <v>0</v>
      </c>
      <c r="J1423" s="141"/>
      <c r="K1423" s="141"/>
      <c r="L1423" s="141"/>
      <c r="M1423" s="59"/>
    </row>
    <row r="1424" spans="2:13">
      <c r="B1424" s="135"/>
      <c r="C1424" s="41"/>
      <c r="D1424" s="137"/>
      <c r="E1424" s="138"/>
      <c r="F1424" s="139"/>
      <c r="G1424" s="1" t="str">
        <f>IFERROR(IF(ventas_b_mes1255[[#This Row],[CUIT]]="","-",VLOOKUP(ventas_b_mes1255[[#This Row],[CUIT]],Lista_CUIT[#All],2,0)),"CUIT NO CARGADO")</f>
        <v>-</v>
      </c>
      <c r="H1424" s="100">
        <f>ventas_b_mes1255[[#This Row],[TOTAL]]/1.21</f>
        <v>0</v>
      </c>
      <c r="I1424" s="64">
        <f>ventas_b_mes1255[[#This Row],[IMPORTE NETO]]*0.21</f>
        <v>0</v>
      </c>
      <c r="J1424" s="141"/>
      <c r="K1424" s="141"/>
      <c r="L1424" s="141"/>
      <c r="M1424" s="59"/>
    </row>
    <row r="1425" spans="2:13">
      <c r="B1425" s="135"/>
      <c r="C1425" s="41"/>
      <c r="D1425" s="137"/>
      <c r="E1425" s="138"/>
      <c r="F1425" s="139"/>
      <c r="G1425" s="1" t="str">
        <f>IFERROR(IF(ventas_b_mes1255[[#This Row],[CUIT]]="","-",VLOOKUP(ventas_b_mes1255[[#This Row],[CUIT]],Lista_CUIT[#All],2,0)),"CUIT NO CARGADO")</f>
        <v>-</v>
      </c>
      <c r="H1425" s="100">
        <f>ventas_b_mes1255[[#This Row],[TOTAL]]/1.21</f>
        <v>0</v>
      </c>
      <c r="I1425" s="64">
        <f>ventas_b_mes1255[[#This Row],[IMPORTE NETO]]*0.21</f>
        <v>0</v>
      </c>
      <c r="J1425" s="141"/>
      <c r="K1425" s="141"/>
      <c r="L1425" s="141"/>
      <c r="M1425" s="59"/>
    </row>
    <row r="1426" spans="2:13">
      <c r="B1426" s="135"/>
      <c r="C1426" s="41"/>
      <c r="D1426" s="137"/>
      <c r="E1426" s="138"/>
      <c r="F1426" s="139"/>
      <c r="G1426" s="1" t="str">
        <f>IFERROR(IF(ventas_b_mes1255[[#This Row],[CUIT]]="","-",VLOOKUP(ventas_b_mes1255[[#This Row],[CUIT]],Lista_CUIT[#All],2,0)),"CUIT NO CARGADO")</f>
        <v>-</v>
      </c>
      <c r="H1426" s="100">
        <f>ventas_b_mes1255[[#This Row],[TOTAL]]/1.21</f>
        <v>0</v>
      </c>
      <c r="I1426" s="64">
        <f>ventas_b_mes1255[[#This Row],[IMPORTE NETO]]*0.21</f>
        <v>0</v>
      </c>
      <c r="J1426" s="141"/>
      <c r="K1426" s="141"/>
      <c r="L1426" s="141"/>
      <c r="M1426" s="59"/>
    </row>
    <row r="1427" spans="2:13">
      <c r="B1427" s="135"/>
      <c r="C1427" s="41"/>
      <c r="D1427" s="137"/>
      <c r="E1427" s="138"/>
      <c r="F1427" s="139"/>
      <c r="G1427" s="1" t="str">
        <f>IFERROR(IF(ventas_b_mes1255[[#This Row],[CUIT]]="","-",VLOOKUP(ventas_b_mes1255[[#This Row],[CUIT]],Lista_CUIT[#All],2,0)),"CUIT NO CARGADO")</f>
        <v>-</v>
      </c>
      <c r="H1427" s="100">
        <f>ventas_b_mes1255[[#This Row],[TOTAL]]/1.21</f>
        <v>0</v>
      </c>
      <c r="I1427" s="64">
        <f>ventas_b_mes1255[[#This Row],[IMPORTE NETO]]*0.21</f>
        <v>0</v>
      </c>
      <c r="J1427" s="141"/>
      <c r="K1427" s="141"/>
      <c r="L1427" s="141"/>
      <c r="M1427" s="59"/>
    </row>
    <row r="1428" spans="2:13">
      <c r="B1428" s="135"/>
      <c r="C1428" s="41"/>
      <c r="D1428" s="137"/>
      <c r="E1428" s="138"/>
      <c r="F1428" s="139"/>
      <c r="G1428" s="1" t="str">
        <f>IFERROR(IF(ventas_b_mes1255[[#This Row],[CUIT]]="","-",VLOOKUP(ventas_b_mes1255[[#This Row],[CUIT]],Lista_CUIT[#All],2,0)),"CUIT NO CARGADO")</f>
        <v>-</v>
      </c>
      <c r="H1428" s="100">
        <f>ventas_b_mes1255[[#This Row],[TOTAL]]/1.21</f>
        <v>0</v>
      </c>
      <c r="I1428" s="64">
        <f>ventas_b_mes1255[[#This Row],[IMPORTE NETO]]*0.21</f>
        <v>0</v>
      </c>
      <c r="J1428" s="141"/>
      <c r="K1428" s="141"/>
      <c r="L1428" s="141"/>
      <c r="M1428" s="59"/>
    </row>
    <row r="1429" spans="2:13">
      <c r="B1429" s="135"/>
      <c r="C1429" s="41"/>
      <c r="D1429" s="137"/>
      <c r="E1429" s="138"/>
      <c r="F1429" s="139"/>
      <c r="G1429" s="1" t="str">
        <f>IFERROR(IF(ventas_b_mes1255[[#This Row],[CUIT]]="","-",VLOOKUP(ventas_b_mes1255[[#This Row],[CUIT]],Lista_CUIT[#All],2,0)),"CUIT NO CARGADO")</f>
        <v>-</v>
      </c>
      <c r="H1429" s="100">
        <f>ventas_b_mes1255[[#This Row],[TOTAL]]/1.21</f>
        <v>0</v>
      </c>
      <c r="I1429" s="64">
        <f>ventas_b_mes1255[[#This Row],[IMPORTE NETO]]*0.21</f>
        <v>0</v>
      </c>
      <c r="J1429" s="141"/>
      <c r="K1429" s="141"/>
      <c r="L1429" s="141"/>
      <c r="M1429" s="59"/>
    </row>
    <row r="1430" spans="2:13">
      <c r="B1430" s="135"/>
      <c r="C1430" s="41"/>
      <c r="D1430" s="137"/>
      <c r="E1430" s="138"/>
      <c r="F1430" s="139"/>
      <c r="G1430" s="1" t="str">
        <f>IFERROR(IF(ventas_b_mes1255[[#This Row],[CUIT]]="","-",VLOOKUP(ventas_b_mes1255[[#This Row],[CUIT]],Lista_CUIT[#All],2,0)),"CUIT NO CARGADO")</f>
        <v>-</v>
      </c>
      <c r="H1430" s="100">
        <f>ventas_b_mes1255[[#This Row],[TOTAL]]/1.21</f>
        <v>0</v>
      </c>
      <c r="I1430" s="64">
        <f>ventas_b_mes1255[[#This Row],[IMPORTE NETO]]*0.21</f>
        <v>0</v>
      </c>
      <c r="J1430" s="141"/>
      <c r="K1430" s="141"/>
      <c r="L1430" s="141"/>
      <c r="M1430" s="59"/>
    </row>
    <row r="1431" spans="2:13">
      <c r="B1431" s="135"/>
      <c r="C1431" s="41"/>
      <c r="D1431" s="137"/>
      <c r="E1431" s="138"/>
      <c r="F1431" s="139"/>
      <c r="G1431" s="1" t="str">
        <f>IFERROR(IF(ventas_b_mes1255[[#This Row],[CUIT]]="","-",VLOOKUP(ventas_b_mes1255[[#This Row],[CUIT]],Lista_CUIT[#All],2,0)),"CUIT NO CARGADO")</f>
        <v>-</v>
      </c>
      <c r="H1431" s="100">
        <f>ventas_b_mes1255[[#This Row],[TOTAL]]/1.21</f>
        <v>0</v>
      </c>
      <c r="I1431" s="64">
        <f>ventas_b_mes1255[[#This Row],[IMPORTE NETO]]*0.21</f>
        <v>0</v>
      </c>
      <c r="J1431" s="141"/>
      <c r="K1431" s="141"/>
      <c r="L1431" s="141"/>
      <c r="M1431" s="59"/>
    </row>
    <row r="1432" spans="2:13">
      <c r="B1432" s="135"/>
      <c r="C1432" s="41"/>
      <c r="D1432" s="137"/>
      <c r="E1432" s="138"/>
      <c r="F1432" s="139"/>
      <c r="G1432" s="1" t="str">
        <f>IFERROR(IF(ventas_b_mes1255[[#This Row],[CUIT]]="","-",VLOOKUP(ventas_b_mes1255[[#This Row],[CUIT]],Lista_CUIT[#All],2,0)),"CUIT NO CARGADO")</f>
        <v>-</v>
      </c>
      <c r="H1432" s="100">
        <f>ventas_b_mes1255[[#This Row],[TOTAL]]/1.21</f>
        <v>0</v>
      </c>
      <c r="I1432" s="64">
        <f>ventas_b_mes1255[[#This Row],[IMPORTE NETO]]*0.21</f>
        <v>0</v>
      </c>
      <c r="J1432" s="141"/>
      <c r="K1432" s="141"/>
      <c r="L1432" s="141"/>
      <c r="M1432" s="59"/>
    </row>
    <row r="1433" spans="2:13">
      <c r="B1433" s="135"/>
      <c r="C1433" s="41"/>
      <c r="D1433" s="137"/>
      <c r="E1433" s="138"/>
      <c r="F1433" s="139"/>
      <c r="G1433" s="1" t="str">
        <f>IFERROR(IF(ventas_b_mes1255[[#This Row],[CUIT]]="","-",VLOOKUP(ventas_b_mes1255[[#This Row],[CUIT]],Lista_CUIT[#All],2,0)),"CUIT NO CARGADO")</f>
        <v>-</v>
      </c>
      <c r="H1433" s="100">
        <f>ventas_b_mes1255[[#This Row],[TOTAL]]/1.21</f>
        <v>0</v>
      </c>
      <c r="I1433" s="64">
        <f>ventas_b_mes1255[[#This Row],[IMPORTE NETO]]*0.21</f>
        <v>0</v>
      </c>
      <c r="J1433" s="141"/>
      <c r="K1433" s="141"/>
      <c r="L1433" s="141"/>
      <c r="M1433" s="59"/>
    </row>
    <row r="1434" spans="2:13">
      <c r="B1434" s="135"/>
      <c r="C1434" s="41"/>
      <c r="D1434" s="137"/>
      <c r="E1434" s="138"/>
      <c r="F1434" s="139"/>
      <c r="G1434" s="1" t="str">
        <f>IFERROR(IF(ventas_b_mes1255[[#This Row],[CUIT]]="","-",VLOOKUP(ventas_b_mes1255[[#This Row],[CUIT]],Lista_CUIT[#All],2,0)),"CUIT NO CARGADO")</f>
        <v>-</v>
      </c>
      <c r="H1434" s="100">
        <f>ventas_b_mes1255[[#This Row],[TOTAL]]/1.21</f>
        <v>0</v>
      </c>
      <c r="I1434" s="64">
        <f>ventas_b_mes1255[[#This Row],[IMPORTE NETO]]*0.21</f>
        <v>0</v>
      </c>
      <c r="J1434" s="141"/>
      <c r="K1434" s="141"/>
      <c r="L1434" s="141"/>
      <c r="M1434" s="59"/>
    </row>
    <row r="1435" spans="2:13">
      <c r="B1435" s="135"/>
      <c r="C1435" s="41"/>
      <c r="D1435" s="137"/>
      <c r="E1435" s="138"/>
      <c r="F1435" s="139"/>
      <c r="G1435" s="1" t="str">
        <f>IFERROR(IF(ventas_b_mes1255[[#This Row],[CUIT]]="","-",VLOOKUP(ventas_b_mes1255[[#This Row],[CUIT]],Lista_CUIT[#All],2,0)),"CUIT NO CARGADO")</f>
        <v>-</v>
      </c>
      <c r="H1435" s="100">
        <f>ventas_b_mes1255[[#This Row],[TOTAL]]/1.21</f>
        <v>0</v>
      </c>
      <c r="I1435" s="64">
        <f>ventas_b_mes1255[[#This Row],[IMPORTE NETO]]*0.21</f>
        <v>0</v>
      </c>
      <c r="J1435" s="141"/>
      <c r="K1435" s="141"/>
      <c r="L1435" s="141"/>
      <c r="M1435" s="59"/>
    </row>
    <row r="1436" spans="2:13">
      <c r="B1436" s="135"/>
      <c r="C1436" s="41"/>
      <c r="D1436" s="137"/>
      <c r="E1436" s="138"/>
      <c r="F1436" s="139"/>
      <c r="G1436" s="1" t="str">
        <f>IFERROR(IF(ventas_b_mes1255[[#This Row],[CUIT]]="","-",VLOOKUP(ventas_b_mes1255[[#This Row],[CUIT]],Lista_CUIT[#All],2,0)),"CUIT NO CARGADO")</f>
        <v>-</v>
      </c>
      <c r="H1436" s="100">
        <f>ventas_b_mes1255[[#This Row],[TOTAL]]/1.21</f>
        <v>0</v>
      </c>
      <c r="I1436" s="64">
        <f>ventas_b_mes1255[[#This Row],[IMPORTE NETO]]*0.21</f>
        <v>0</v>
      </c>
      <c r="J1436" s="141"/>
      <c r="K1436" s="141"/>
      <c r="L1436" s="141"/>
      <c r="M1436" s="59"/>
    </row>
    <row r="1437" spans="2:13">
      <c r="B1437" s="135"/>
      <c r="C1437" s="41"/>
      <c r="D1437" s="137"/>
      <c r="E1437" s="138"/>
      <c r="F1437" s="139"/>
      <c r="G1437" s="1" t="str">
        <f>IFERROR(IF(ventas_b_mes1255[[#This Row],[CUIT]]="","-",VLOOKUP(ventas_b_mes1255[[#This Row],[CUIT]],Lista_CUIT[#All],2,0)),"CUIT NO CARGADO")</f>
        <v>-</v>
      </c>
      <c r="H1437" s="100">
        <f>ventas_b_mes1255[[#This Row],[TOTAL]]/1.21</f>
        <v>0</v>
      </c>
      <c r="I1437" s="64">
        <f>ventas_b_mes1255[[#This Row],[IMPORTE NETO]]*0.21</f>
        <v>0</v>
      </c>
      <c r="J1437" s="141"/>
      <c r="K1437" s="141"/>
      <c r="L1437" s="141"/>
      <c r="M1437" s="59"/>
    </row>
    <row r="1438" spans="2:13">
      <c r="B1438" s="135"/>
      <c r="C1438" s="41"/>
      <c r="D1438" s="137"/>
      <c r="E1438" s="138"/>
      <c r="F1438" s="139"/>
      <c r="G1438" s="1" t="str">
        <f>IFERROR(IF(ventas_b_mes1255[[#This Row],[CUIT]]="","-",VLOOKUP(ventas_b_mes1255[[#This Row],[CUIT]],Lista_CUIT[#All],2,0)),"CUIT NO CARGADO")</f>
        <v>-</v>
      </c>
      <c r="H1438" s="100">
        <f>ventas_b_mes1255[[#This Row],[TOTAL]]/1.21</f>
        <v>0</v>
      </c>
      <c r="I1438" s="64">
        <f>ventas_b_mes1255[[#This Row],[IMPORTE NETO]]*0.21</f>
        <v>0</v>
      </c>
      <c r="J1438" s="141"/>
      <c r="K1438" s="141"/>
      <c r="L1438" s="141"/>
      <c r="M1438" s="59"/>
    </row>
    <row r="1439" spans="2:13">
      <c r="B1439" s="135"/>
      <c r="C1439" s="41"/>
      <c r="D1439" s="137"/>
      <c r="E1439" s="138"/>
      <c r="F1439" s="139"/>
      <c r="G1439" s="1" t="str">
        <f>IFERROR(IF(ventas_b_mes1255[[#This Row],[CUIT]]="","-",VLOOKUP(ventas_b_mes1255[[#This Row],[CUIT]],Lista_CUIT[#All],2,0)),"CUIT NO CARGADO")</f>
        <v>-</v>
      </c>
      <c r="H1439" s="100">
        <f>ventas_b_mes1255[[#This Row],[TOTAL]]/1.21</f>
        <v>0</v>
      </c>
      <c r="I1439" s="64">
        <f>ventas_b_mes1255[[#This Row],[IMPORTE NETO]]*0.21</f>
        <v>0</v>
      </c>
      <c r="J1439" s="141"/>
      <c r="K1439" s="141"/>
      <c r="L1439" s="141"/>
      <c r="M1439" s="59"/>
    </row>
    <row r="1440" spans="2:13">
      <c r="B1440" s="135"/>
      <c r="C1440" s="41"/>
      <c r="D1440" s="137"/>
      <c r="E1440" s="138"/>
      <c r="F1440" s="139"/>
      <c r="G1440" s="1" t="str">
        <f>IFERROR(IF(ventas_b_mes1255[[#This Row],[CUIT]]="","-",VLOOKUP(ventas_b_mes1255[[#This Row],[CUIT]],Lista_CUIT[#All],2,0)),"CUIT NO CARGADO")</f>
        <v>-</v>
      </c>
      <c r="H1440" s="100">
        <f>ventas_b_mes1255[[#This Row],[TOTAL]]/1.21</f>
        <v>0</v>
      </c>
      <c r="I1440" s="64">
        <f>ventas_b_mes1255[[#This Row],[IMPORTE NETO]]*0.21</f>
        <v>0</v>
      </c>
      <c r="J1440" s="141"/>
      <c r="K1440" s="141"/>
      <c r="L1440" s="141"/>
      <c r="M1440" s="59"/>
    </row>
    <row r="1441" spans="2:13">
      <c r="B1441" s="135"/>
      <c r="C1441" s="41"/>
      <c r="D1441" s="137"/>
      <c r="E1441" s="138"/>
      <c r="F1441" s="139"/>
      <c r="G1441" s="1" t="str">
        <f>IFERROR(IF(ventas_b_mes1255[[#This Row],[CUIT]]="","-",VLOOKUP(ventas_b_mes1255[[#This Row],[CUIT]],Lista_CUIT[#All],2,0)),"CUIT NO CARGADO")</f>
        <v>-</v>
      </c>
      <c r="H1441" s="100">
        <f>ventas_b_mes1255[[#This Row],[TOTAL]]/1.21</f>
        <v>0</v>
      </c>
      <c r="I1441" s="64">
        <f>ventas_b_mes1255[[#This Row],[IMPORTE NETO]]*0.21</f>
        <v>0</v>
      </c>
      <c r="J1441" s="141"/>
      <c r="K1441" s="141"/>
      <c r="L1441" s="141"/>
      <c r="M1441" s="59"/>
    </row>
    <row r="1442" spans="2:13">
      <c r="B1442" s="135"/>
      <c r="C1442" s="41"/>
      <c r="D1442" s="137"/>
      <c r="E1442" s="138"/>
      <c r="F1442" s="139"/>
      <c r="G1442" s="1" t="str">
        <f>IFERROR(IF(ventas_b_mes1255[[#This Row],[CUIT]]="","-",VLOOKUP(ventas_b_mes1255[[#This Row],[CUIT]],Lista_CUIT[#All],2,0)),"CUIT NO CARGADO")</f>
        <v>-</v>
      </c>
      <c r="H1442" s="100">
        <f>ventas_b_mes1255[[#This Row],[TOTAL]]/1.21</f>
        <v>0</v>
      </c>
      <c r="I1442" s="64">
        <f>ventas_b_mes1255[[#This Row],[IMPORTE NETO]]*0.21</f>
        <v>0</v>
      </c>
      <c r="J1442" s="141"/>
      <c r="K1442" s="141"/>
      <c r="L1442" s="141"/>
      <c r="M1442" s="59"/>
    </row>
    <row r="1443" spans="2:13">
      <c r="B1443" s="135"/>
      <c r="C1443" s="41"/>
      <c r="D1443" s="137"/>
      <c r="E1443" s="138"/>
      <c r="F1443" s="139"/>
      <c r="G1443" s="1" t="str">
        <f>IFERROR(IF(ventas_b_mes1255[[#This Row],[CUIT]]="","-",VLOOKUP(ventas_b_mes1255[[#This Row],[CUIT]],Lista_CUIT[#All],2,0)),"CUIT NO CARGADO")</f>
        <v>-</v>
      </c>
      <c r="H1443" s="100">
        <f>ventas_b_mes1255[[#This Row],[TOTAL]]/1.21</f>
        <v>0</v>
      </c>
      <c r="I1443" s="64">
        <f>ventas_b_mes1255[[#This Row],[IMPORTE NETO]]*0.21</f>
        <v>0</v>
      </c>
      <c r="J1443" s="141"/>
      <c r="K1443" s="141"/>
      <c r="L1443" s="141"/>
      <c r="M1443" s="59"/>
    </row>
    <row r="1444" spans="2:13">
      <c r="B1444" s="135"/>
      <c r="C1444" s="41"/>
      <c r="D1444" s="137"/>
      <c r="E1444" s="138"/>
      <c r="F1444" s="139"/>
      <c r="G1444" s="1" t="str">
        <f>IFERROR(IF(ventas_b_mes1255[[#This Row],[CUIT]]="","-",VLOOKUP(ventas_b_mes1255[[#This Row],[CUIT]],Lista_CUIT[#All],2,0)),"CUIT NO CARGADO")</f>
        <v>-</v>
      </c>
      <c r="H1444" s="100">
        <f>ventas_b_mes1255[[#This Row],[TOTAL]]/1.21</f>
        <v>0</v>
      </c>
      <c r="I1444" s="64">
        <f>ventas_b_mes1255[[#This Row],[IMPORTE NETO]]*0.21</f>
        <v>0</v>
      </c>
      <c r="J1444" s="141"/>
      <c r="K1444" s="141"/>
      <c r="L1444" s="141"/>
      <c r="M1444" s="59"/>
    </row>
    <row r="1445" spans="2:13">
      <c r="B1445" s="135"/>
      <c r="C1445" s="41"/>
      <c r="D1445" s="137"/>
      <c r="E1445" s="138"/>
      <c r="F1445" s="139"/>
      <c r="G1445" s="1" t="str">
        <f>IFERROR(IF(ventas_b_mes1255[[#This Row],[CUIT]]="","-",VLOOKUP(ventas_b_mes1255[[#This Row],[CUIT]],Lista_CUIT[#All],2,0)),"CUIT NO CARGADO")</f>
        <v>-</v>
      </c>
      <c r="H1445" s="100">
        <f>ventas_b_mes1255[[#This Row],[TOTAL]]/1.21</f>
        <v>0</v>
      </c>
      <c r="I1445" s="64">
        <f>ventas_b_mes1255[[#This Row],[IMPORTE NETO]]*0.21</f>
        <v>0</v>
      </c>
      <c r="J1445" s="141"/>
      <c r="K1445" s="141"/>
      <c r="L1445" s="141"/>
      <c r="M1445" s="59"/>
    </row>
    <row r="1446" spans="2:13">
      <c r="B1446" s="135"/>
      <c r="C1446" s="41"/>
      <c r="D1446" s="137"/>
      <c r="E1446" s="138"/>
      <c r="F1446" s="139"/>
      <c r="G1446" s="1" t="str">
        <f>IFERROR(IF(ventas_b_mes1255[[#This Row],[CUIT]]="","-",VLOOKUP(ventas_b_mes1255[[#This Row],[CUIT]],Lista_CUIT[#All],2,0)),"CUIT NO CARGADO")</f>
        <v>-</v>
      </c>
      <c r="H1446" s="100">
        <f>ventas_b_mes1255[[#This Row],[TOTAL]]/1.21</f>
        <v>0</v>
      </c>
      <c r="I1446" s="64">
        <f>ventas_b_mes1255[[#This Row],[IMPORTE NETO]]*0.21</f>
        <v>0</v>
      </c>
      <c r="J1446" s="141"/>
      <c r="K1446" s="141"/>
      <c r="L1446" s="141"/>
      <c r="M1446" s="59"/>
    </row>
    <row r="1447" spans="2:13">
      <c r="B1447" s="135"/>
      <c r="C1447" s="41"/>
      <c r="D1447" s="137"/>
      <c r="E1447" s="138"/>
      <c r="F1447" s="139"/>
      <c r="G1447" s="1" t="str">
        <f>IFERROR(IF(ventas_b_mes1255[[#This Row],[CUIT]]="","-",VLOOKUP(ventas_b_mes1255[[#This Row],[CUIT]],Lista_CUIT[#All],2,0)),"CUIT NO CARGADO")</f>
        <v>-</v>
      </c>
      <c r="H1447" s="100">
        <f>ventas_b_mes1255[[#This Row],[TOTAL]]/1.21</f>
        <v>0</v>
      </c>
      <c r="I1447" s="64">
        <f>ventas_b_mes1255[[#This Row],[IMPORTE NETO]]*0.21</f>
        <v>0</v>
      </c>
      <c r="J1447" s="141"/>
      <c r="K1447" s="141"/>
      <c r="L1447" s="141"/>
      <c r="M1447" s="59"/>
    </row>
    <row r="1448" spans="2:13">
      <c r="B1448" s="135"/>
      <c r="C1448" s="41"/>
      <c r="D1448" s="137"/>
      <c r="E1448" s="138"/>
      <c r="F1448" s="139"/>
      <c r="G1448" s="1" t="str">
        <f>IFERROR(IF(ventas_b_mes1255[[#This Row],[CUIT]]="","-",VLOOKUP(ventas_b_mes1255[[#This Row],[CUIT]],Lista_CUIT[#All],2,0)),"CUIT NO CARGADO")</f>
        <v>-</v>
      </c>
      <c r="H1448" s="100">
        <f>ventas_b_mes1255[[#This Row],[TOTAL]]/1.21</f>
        <v>0</v>
      </c>
      <c r="I1448" s="64">
        <f>ventas_b_mes1255[[#This Row],[IMPORTE NETO]]*0.21</f>
        <v>0</v>
      </c>
      <c r="J1448" s="141"/>
      <c r="K1448" s="141"/>
      <c r="L1448" s="141"/>
      <c r="M1448" s="59"/>
    </row>
    <row r="1449" spans="2:13">
      <c r="B1449" s="135"/>
      <c r="C1449" s="41"/>
      <c r="D1449" s="137"/>
      <c r="E1449" s="138"/>
      <c r="F1449" s="139"/>
      <c r="G1449" s="1" t="str">
        <f>IFERROR(IF(ventas_b_mes1255[[#This Row],[CUIT]]="","-",VLOOKUP(ventas_b_mes1255[[#This Row],[CUIT]],Lista_CUIT[#All],2,0)),"CUIT NO CARGADO")</f>
        <v>-</v>
      </c>
      <c r="H1449" s="100">
        <f>ventas_b_mes1255[[#This Row],[TOTAL]]/1.21</f>
        <v>0</v>
      </c>
      <c r="I1449" s="64">
        <f>ventas_b_mes1255[[#This Row],[IMPORTE NETO]]*0.21</f>
        <v>0</v>
      </c>
      <c r="J1449" s="141"/>
      <c r="K1449" s="141"/>
      <c r="L1449" s="141"/>
      <c r="M1449" s="59"/>
    </row>
    <row r="1450" spans="2:13">
      <c r="B1450" s="135"/>
      <c r="C1450" s="41"/>
      <c r="D1450" s="137"/>
      <c r="E1450" s="138"/>
      <c r="F1450" s="139"/>
      <c r="G1450" s="1" t="str">
        <f>IFERROR(IF(ventas_b_mes1255[[#This Row],[CUIT]]="","-",VLOOKUP(ventas_b_mes1255[[#This Row],[CUIT]],Lista_CUIT[#All],2,0)),"CUIT NO CARGADO")</f>
        <v>-</v>
      </c>
      <c r="H1450" s="100">
        <f>ventas_b_mes1255[[#This Row],[TOTAL]]/1.21</f>
        <v>0</v>
      </c>
      <c r="I1450" s="64">
        <f>ventas_b_mes1255[[#This Row],[IMPORTE NETO]]*0.21</f>
        <v>0</v>
      </c>
      <c r="J1450" s="141"/>
      <c r="K1450" s="141"/>
      <c r="L1450" s="141"/>
      <c r="M1450" s="59"/>
    </row>
    <row r="1451" spans="2:13">
      <c r="B1451" s="135"/>
      <c r="C1451" s="41"/>
      <c r="D1451" s="137"/>
      <c r="E1451" s="138"/>
      <c r="F1451" s="139"/>
      <c r="G1451" s="1" t="str">
        <f>IFERROR(IF(ventas_b_mes1255[[#This Row],[CUIT]]="","-",VLOOKUP(ventas_b_mes1255[[#This Row],[CUIT]],Lista_CUIT[#All],2,0)),"CUIT NO CARGADO")</f>
        <v>-</v>
      </c>
      <c r="H1451" s="100">
        <f>ventas_b_mes1255[[#This Row],[TOTAL]]/1.21</f>
        <v>0</v>
      </c>
      <c r="I1451" s="64">
        <f>ventas_b_mes1255[[#This Row],[IMPORTE NETO]]*0.21</f>
        <v>0</v>
      </c>
      <c r="J1451" s="141"/>
      <c r="K1451" s="141"/>
      <c r="L1451" s="141"/>
      <c r="M1451" s="59"/>
    </row>
    <row r="1452" spans="2:13">
      <c r="B1452" s="135"/>
      <c r="C1452" s="41"/>
      <c r="D1452" s="137"/>
      <c r="E1452" s="138"/>
      <c r="F1452" s="139"/>
      <c r="G1452" s="1" t="str">
        <f>IFERROR(IF(ventas_b_mes1255[[#This Row],[CUIT]]="","-",VLOOKUP(ventas_b_mes1255[[#This Row],[CUIT]],Lista_CUIT[#All],2,0)),"CUIT NO CARGADO")</f>
        <v>-</v>
      </c>
      <c r="H1452" s="100">
        <f>ventas_b_mes1255[[#This Row],[TOTAL]]/1.21</f>
        <v>0</v>
      </c>
      <c r="I1452" s="64">
        <f>ventas_b_mes1255[[#This Row],[IMPORTE NETO]]*0.21</f>
        <v>0</v>
      </c>
      <c r="J1452" s="141"/>
      <c r="K1452" s="141"/>
      <c r="L1452" s="141"/>
      <c r="M1452" s="59"/>
    </row>
    <row r="1453" spans="2:13">
      <c r="B1453" s="135"/>
      <c r="C1453" s="41"/>
      <c r="D1453" s="137"/>
      <c r="E1453" s="138"/>
      <c r="F1453" s="139"/>
      <c r="G1453" s="1" t="str">
        <f>IFERROR(IF(ventas_b_mes1255[[#This Row],[CUIT]]="","-",VLOOKUP(ventas_b_mes1255[[#This Row],[CUIT]],Lista_CUIT[#All],2,0)),"CUIT NO CARGADO")</f>
        <v>-</v>
      </c>
      <c r="H1453" s="100">
        <f>ventas_b_mes1255[[#This Row],[TOTAL]]/1.21</f>
        <v>0</v>
      </c>
      <c r="I1453" s="64">
        <f>ventas_b_mes1255[[#This Row],[IMPORTE NETO]]*0.21</f>
        <v>0</v>
      </c>
      <c r="J1453" s="141"/>
      <c r="K1453" s="141"/>
      <c r="L1453" s="141"/>
      <c r="M1453" s="59"/>
    </row>
    <row r="1454" spans="2:13">
      <c r="B1454" s="135"/>
      <c r="C1454" s="41"/>
      <c r="D1454" s="137"/>
      <c r="E1454" s="138"/>
      <c r="F1454" s="139"/>
      <c r="G1454" s="1" t="str">
        <f>IFERROR(IF(ventas_b_mes1255[[#This Row],[CUIT]]="","-",VLOOKUP(ventas_b_mes1255[[#This Row],[CUIT]],Lista_CUIT[#All],2,0)),"CUIT NO CARGADO")</f>
        <v>-</v>
      </c>
      <c r="H1454" s="100">
        <f>ventas_b_mes1255[[#This Row],[TOTAL]]/1.21</f>
        <v>0</v>
      </c>
      <c r="I1454" s="64">
        <f>ventas_b_mes1255[[#This Row],[IMPORTE NETO]]*0.21</f>
        <v>0</v>
      </c>
      <c r="J1454" s="141"/>
      <c r="K1454" s="141"/>
      <c r="L1454" s="141"/>
      <c r="M1454" s="59"/>
    </row>
    <row r="1455" spans="2:13">
      <c r="B1455" s="135"/>
      <c r="C1455" s="41"/>
      <c r="D1455" s="137"/>
      <c r="E1455" s="138"/>
      <c r="F1455" s="139"/>
      <c r="G1455" s="1" t="str">
        <f>IFERROR(IF(ventas_b_mes1255[[#This Row],[CUIT]]="","-",VLOOKUP(ventas_b_mes1255[[#This Row],[CUIT]],Lista_CUIT[#All],2,0)),"CUIT NO CARGADO")</f>
        <v>-</v>
      </c>
      <c r="H1455" s="100">
        <f>ventas_b_mes1255[[#This Row],[TOTAL]]/1.21</f>
        <v>0</v>
      </c>
      <c r="I1455" s="64">
        <f>ventas_b_mes1255[[#This Row],[IMPORTE NETO]]*0.21</f>
        <v>0</v>
      </c>
      <c r="J1455" s="141"/>
      <c r="K1455" s="141"/>
      <c r="L1455" s="141"/>
      <c r="M1455" s="59"/>
    </row>
    <row r="1456" spans="2:13">
      <c r="B1456" s="135"/>
      <c r="C1456" s="41"/>
      <c r="D1456" s="137"/>
      <c r="E1456" s="138"/>
      <c r="F1456" s="139"/>
      <c r="G1456" s="1" t="str">
        <f>IFERROR(IF(ventas_b_mes1255[[#This Row],[CUIT]]="","-",VLOOKUP(ventas_b_mes1255[[#This Row],[CUIT]],Lista_CUIT[#All],2,0)),"CUIT NO CARGADO")</f>
        <v>-</v>
      </c>
      <c r="H1456" s="100">
        <f>ventas_b_mes1255[[#This Row],[TOTAL]]/1.21</f>
        <v>0</v>
      </c>
      <c r="I1456" s="64">
        <f>ventas_b_mes1255[[#This Row],[IMPORTE NETO]]*0.21</f>
        <v>0</v>
      </c>
      <c r="J1456" s="141"/>
      <c r="K1456" s="141"/>
      <c r="L1456" s="141"/>
      <c r="M1456" s="59"/>
    </row>
    <row r="1457" spans="2:13">
      <c r="B1457" s="135"/>
      <c r="C1457" s="41"/>
      <c r="D1457" s="137"/>
      <c r="E1457" s="138"/>
      <c r="F1457" s="139"/>
      <c r="G1457" s="1" t="str">
        <f>IFERROR(IF(ventas_b_mes1255[[#This Row],[CUIT]]="","-",VLOOKUP(ventas_b_mes1255[[#This Row],[CUIT]],Lista_CUIT[#All],2,0)),"CUIT NO CARGADO")</f>
        <v>-</v>
      </c>
      <c r="H1457" s="100">
        <f>ventas_b_mes1255[[#This Row],[TOTAL]]/1.21</f>
        <v>0</v>
      </c>
      <c r="I1457" s="64">
        <f>ventas_b_mes1255[[#This Row],[IMPORTE NETO]]*0.21</f>
        <v>0</v>
      </c>
      <c r="J1457" s="141"/>
      <c r="K1457" s="141"/>
      <c r="L1457" s="141"/>
      <c r="M1457" s="59"/>
    </row>
    <row r="1458" spans="2:13">
      <c r="B1458" s="135"/>
      <c r="C1458" s="41"/>
      <c r="D1458" s="137"/>
      <c r="E1458" s="138"/>
      <c r="F1458" s="139"/>
      <c r="G1458" s="1" t="str">
        <f>IFERROR(IF(ventas_b_mes1255[[#This Row],[CUIT]]="","-",VLOOKUP(ventas_b_mes1255[[#This Row],[CUIT]],Lista_CUIT[#All],2,0)),"CUIT NO CARGADO")</f>
        <v>-</v>
      </c>
      <c r="H1458" s="100">
        <f>ventas_b_mes1255[[#This Row],[TOTAL]]/1.21</f>
        <v>0</v>
      </c>
      <c r="I1458" s="64">
        <f>ventas_b_mes1255[[#This Row],[IMPORTE NETO]]*0.21</f>
        <v>0</v>
      </c>
      <c r="J1458" s="141"/>
      <c r="K1458" s="141"/>
      <c r="L1458" s="141"/>
      <c r="M1458" s="59"/>
    </row>
    <row r="1459" spans="2:13">
      <c r="B1459" s="135"/>
      <c r="C1459" s="41"/>
      <c r="D1459" s="137"/>
      <c r="E1459" s="138"/>
      <c r="F1459" s="139"/>
      <c r="G1459" s="1" t="str">
        <f>IFERROR(IF(ventas_b_mes1255[[#This Row],[CUIT]]="","-",VLOOKUP(ventas_b_mes1255[[#This Row],[CUIT]],Lista_CUIT[#All],2,0)),"CUIT NO CARGADO")</f>
        <v>-</v>
      </c>
      <c r="H1459" s="100">
        <f>ventas_b_mes1255[[#This Row],[TOTAL]]/1.21</f>
        <v>0</v>
      </c>
      <c r="I1459" s="64">
        <f>ventas_b_mes1255[[#This Row],[IMPORTE NETO]]*0.21</f>
        <v>0</v>
      </c>
      <c r="J1459" s="141"/>
      <c r="K1459" s="141"/>
      <c r="L1459" s="141"/>
      <c r="M1459" s="59"/>
    </row>
    <row r="1460" spans="2:13">
      <c r="B1460" s="135"/>
      <c r="C1460" s="41"/>
      <c r="D1460" s="137"/>
      <c r="E1460" s="138"/>
      <c r="F1460" s="139"/>
      <c r="G1460" s="1" t="str">
        <f>IFERROR(IF(ventas_b_mes1255[[#This Row],[CUIT]]="","-",VLOOKUP(ventas_b_mes1255[[#This Row],[CUIT]],Lista_CUIT[#All],2,0)),"CUIT NO CARGADO")</f>
        <v>-</v>
      </c>
      <c r="H1460" s="100">
        <f>ventas_b_mes1255[[#This Row],[TOTAL]]/1.21</f>
        <v>0</v>
      </c>
      <c r="I1460" s="64">
        <f>ventas_b_mes1255[[#This Row],[IMPORTE NETO]]*0.21</f>
        <v>0</v>
      </c>
      <c r="J1460" s="141"/>
      <c r="K1460" s="141"/>
      <c r="L1460" s="141"/>
      <c r="M1460" s="59"/>
    </row>
    <row r="1461" spans="2:13">
      <c r="B1461" s="135"/>
      <c r="C1461" s="41"/>
      <c r="D1461" s="137"/>
      <c r="E1461" s="138"/>
      <c r="F1461" s="139"/>
      <c r="G1461" s="1" t="str">
        <f>IFERROR(IF(ventas_b_mes1255[[#This Row],[CUIT]]="","-",VLOOKUP(ventas_b_mes1255[[#This Row],[CUIT]],Lista_CUIT[#All],2,0)),"CUIT NO CARGADO")</f>
        <v>-</v>
      </c>
      <c r="H1461" s="100">
        <f>ventas_b_mes1255[[#This Row],[TOTAL]]/1.21</f>
        <v>0</v>
      </c>
      <c r="I1461" s="64">
        <f>ventas_b_mes1255[[#This Row],[IMPORTE NETO]]*0.21</f>
        <v>0</v>
      </c>
      <c r="J1461" s="141"/>
      <c r="K1461" s="141"/>
      <c r="L1461" s="141"/>
      <c r="M1461" s="59"/>
    </row>
    <row r="1462" spans="2:13">
      <c r="B1462" s="135"/>
      <c r="C1462" s="41"/>
      <c r="D1462" s="137"/>
      <c r="E1462" s="138"/>
      <c r="F1462" s="139"/>
      <c r="G1462" s="1" t="str">
        <f>IFERROR(IF(ventas_b_mes1255[[#This Row],[CUIT]]="","-",VLOOKUP(ventas_b_mes1255[[#This Row],[CUIT]],Lista_CUIT[#All],2,0)),"CUIT NO CARGADO")</f>
        <v>-</v>
      </c>
      <c r="H1462" s="100">
        <f>ventas_b_mes1255[[#This Row],[TOTAL]]/1.21</f>
        <v>0</v>
      </c>
      <c r="I1462" s="64">
        <f>ventas_b_mes1255[[#This Row],[IMPORTE NETO]]*0.21</f>
        <v>0</v>
      </c>
      <c r="J1462" s="141"/>
      <c r="K1462" s="141"/>
      <c r="L1462" s="141"/>
      <c r="M1462" s="59"/>
    </row>
    <row r="1463" spans="2:13">
      <c r="B1463" s="135"/>
      <c r="C1463" s="41"/>
      <c r="D1463" s="137"/>
      <c r="E1463" s="138"/>
      <c r="F1463" s="139"/>
      <c r="G1463" s="1" t="str">
        <f>IFERROR(IF(ventas_b_mes1255[[#This Row],[CUIT]]="","-",VLOOKUP(ventas_b_mes1255[[#This Row],[CUIT]],Lista_CUIT[#All],2,0)),"CUIT NO CARGADO")</f>
        <v>-</v>
      </c>
      <c r="H1463" s="100">
        <f>ventas_b_mes1255[[#This Row],[TOTAL]]/1.21</f>
        <v>0</v>
      </c>
      <c r="I1463" s="64">
        <f>ventas_b_mes1255[[#This Row],[IMPORTE NETO]]*0.21</f>
        <v>0</v>
      </c>
      <c r="J1463" s="141"/>
      <c r="K1463" s="141"/>
      <c r="L1463" s="141"/>
      <c r="M1463" s="59"/>
    </row>
    <row r="1464" spans="2:13">
      <c r="B1464" s="135"/>
      <c r="C1464" s="41"/>
      <c r="D1464" s="137"/>
      <c r="E1464" s="138"/>
      <c r="F1464" s="139"/>
      <c r="G1464" s="1" t="str">
        <f>IFERROR(IF(ventas_b_mes1255[[#This Row],[CUIT]]="","-",VLOOKUP(ventas_b_mes1255[[#This Row],[CUIT]],Lista_CUIT[#All],2,0)),"CUIT NO CARGADO")</f>
        <v>-</v>
      </c>
      <c r="H1464" s="100">
        <f>ventas_b_mes1255[[#This Row],[TOTAL]]/1.21</f>
        <v>0</v>
      </c>
      <c r="I1464" s="64">
        <f>ventas_b_mes1255[[#This Row],[IMPORTE NETO]]*0.21</f>
        <v>0</v>
      </c>
      <c r="J1464" s="141"/>
      <c r="K1464" s="141"/>
      <c r="L1464" s="141"/>
      <c r="M1464" s="59"/>
    </row>
    <row r="1465" spans="2:13">
      <c r="B1465" s="135"/>
      <c r="C1465" s="41"/>
      <c r="D1465" s="137"/>
      <c r="E1465" s="138"/>
      <c r="F1465" s="139"/>
      <c r="G1465" s="1" t="str">
        <f>IFERROR(IF(ventas_b_mes1255[[#This Row],[CUIT]]="","-",VLOOKUP(ventas_b_mes1255[[#This Row],[CUIT]],Lista_CUIT[#All],2,0)),"CUIT NO CARGADO")</f>
        <v>-</v>
      </c>
      <c r="H1465" s="100">
        <f>ventas_b_mes1255[[#This Row],[TOTAL]]/1.21</f>
        <v>0</v>
      </c>
      <c r="I1465" s="64">
        <f>ventas_b_mes1255[[#This Row],[IMPORTE NETO]]*0.21</f>
        <v>0</v>
      </c>
      <c r="J1465" s="141"/>
      <c r="K1465" s="141"/>
      <c r="L1465" s="141"/>
      <c r="M1465" s="59"/>
    </row>
    <row r="1466" spans="2:13">
      <c r="B1466" s="135"/>
      <c r="C1466" s="41"/>
      <c r="D1466" s="137"/>
      <c r="E1466" s="138"/>
      <c r="F1466" s="139"/>
      <c r="G1466" s="1" t="str">
        <f>IFERROR(IF(ventas_b_mes1255[[#This Row],[CUIT]]="","-",VLOOKUP(ventas_b_mes1255[[#This Row],[CUIT]],Lista_CUIT[#All],2,0)),"CUIT NO CARGADO")</f>
        <v>-</v>
      </c>
      <c r="H1466" s="100">
        <f>ventas_b_mes1255[[#This Row],[TOTAL]]/1.21</f>
        <v>0</v>
      </c>
      <c r="I1466" s="64">
        <f>ventas_b_mes1255[[#This Row],[IMPORTE NETO]]*0.21</f>
        <v>0</v>
      </c>
      <c r="J1466" s="141"/>
      <c r="K1466" s="141"/>
      <c r="L1466" s="141"/>
      <c r="M1466" s="59"/>
    </row>
    <row r="1467" spans="2:13">
      <c r="B1467" s="135"/>
      <c r="C1467" s="41"/>
      <c r="D1467" s="137"/>
      <c r="E1467" s="138"/>
      <c r="F1467" s="139"/>
      <c r="G1467" s="1" t="str">
        <f>IFERROR(IF(ventas_b_mes1255[[#This Row],[CUIT]]="","-",VLOOKUP(ventas_b_mes1255[[#This Row],[CUIT]],Lista_CUIT[#All],2,0)),"CUIT NO CARGADO")</f>
        <v>-</v>
      </c>
      <c r="H1467" s="100">
        <f>ventas_b_mes1255[[#This Row],[TOTAL]]/1.21</f>
        <v>0</v>
      </c>
      <c r="I1467" s="64">
        <f>ventas_b_mes1255[[#This Row],[IMPORTE NETO]]*0.21</f>
        <v>0</v>
      </c>
      <c r="J1467" s="141"/>
      <c r="K1467" s="141"/>
      <c r="L1467" s="141"/>
      <c r="M1467" s="59"/>
    </row>
    <row r="1468" spans="2:13">
      <c r="B1468" s="135"/>
      <c r="C1468" s="41"/>
      <c r="D1468" s="137"/>
      <c r="E1468" s="138"/>
      <c r="F1468" s="139"/>
      <c r="G1468" s="1" t="str">
        <f>IFERROR(IF(ventas_b_mes1255[[#This Row],[CUIT]]="","-",VLOOKUP(ventas_b_mes1255[[#This Row],[CUIT]],Lista_CUIT[#All],2,0)),"CUIT NO CARGADO")</f>
        <v>-</v>
      </c>
      <c r="H1468" s="100">
        <f>ventas_b_mes1255[[#This Row],[TOTAL]]/1.21</f>
        <v>0</v>
      </c>
      <c r="I1468" s="64">
        <f>ventas_b_mes1255[[#This Row],[IMPORTE NETO]]*0.21</f>
        <v>0</v>
      </c>
      <c r="J1468" s="141"/>
      <c r="K1468" s="141"/>
      <c r="L1468" s="141"/>
      <c r="M1468" s="59"/>
    </row>
    <row r="1469" spans="2:13">
      <c r="B1469" s="135"/>
      <c r="C1469" s="41"/>
      <c r="D1469" s="137"/>
      <c r="E1469" s="138"/>
      <c r="F1469" s="139"/>
      <c r="G1469" s="1" t="str">
        <f>IFERROR(IF(ventas_b_mes1255[[#This Row],[CUIT]]="","-",VLOOKUP(ventas_b_mes1255[[#This Row],[CUIT]],Lista_CUIT[#All],2,0)),"CUIT NO CARGADO")</f>
        <v>-</v>
      </c>
      <c r="H1469" s="100">
        <f>ventas_b_mes1255[[#This Row],[TOTAL]]/1.21</f>
        <v>0</v>
      </c>
      <c r="I1469" s="64">
        <f>ventas_b_mes1255[[#This Row],[IMPORTE NETO]]*0.21</f>
        <v>0</v>
      </c>
      <c r="J1469" s="141"/>
      <c r="K1469" s="141"/>
      <c r="L1469" s="141"/>
      <c r="M1469" s="59"/>
    </row>
    <row r="1470" spans="2:13">
      <c r="B1470" s="135"/>
      <c r="C1470" s="41"/>
      <c r="D1470" s="137"/>
      <c r="E1470" s="138"/>
      <c r="F1470" s="139"/>
      <c r="G1470" s="1" t="str">
        <f>IFERROR(IF(ventas_b_mes1255[[#This Row],[CUIT]]="","-",VLOOKUP(ventas_b_mes1255[[#This Row],[CUIT]],Lista_CUIT[#All],2,0)),"CUIT NO CARGADO")</f>
        <v>-</v>
      </c>
      <c r="H1470" s="100">
        <f>ventas_b_mes1255[[#This Row],[TOTAL]]/1.21</f>
        <v>0</v>
      </c>
      <c r="I1470" s="64">
        <f>ventas_b_mes1255[[#This Row],[IMPORTE NETO]]*0.21</f>
        <v>0</v>
      </c>
      <c r="J1470" s="141"/>
      <c r="K1470" s="141"/>
      <c r="L1470" s="141"/>
      <c r="M1470" s="59"/>
    </row>
    <row r="1471" spans="2:13">
      <c r="B1471" s="135"/>
      <c r="C1471" s="41"/>
      <c r="D1471" s="137"/>
      <c r="E1471" s="138"/>
      <c r="F1471" s="139"/>
      <c r="G1471" s="1" t="str">
        <f>IFERROR(IF(ventas_b_mes1255[[#This Row],[CUIT]]="","-",VLOOKUP(ventas_b_mes1255[[#This Row],[CUIT]],Lista_CUIT[#All],2,0)),"CUIT NO CARGADO")</f>
        <v>-</v>
      </c>
      <c r="H1471" s="100">
        <f>ventas_b_mes1255[[#This Row],[TOTAL]]/1.21</f>
        <v>0</v>
      </c>
      <c r="I1471" s="64">
        <f>ventas_b_mes1255[[#This Row],[IMPORTE NETO]]*0.21</f>
        <v>0</v>
      </c>
      <c r="J1471" s="141"/>
      <c r="K1471" s="141"/>
      <c r="L1471" s="141"/>
      <c r="M1471" s="59"/>
    </row>
    <row r="1472" spans="2:13">
      <c r="B1472" s="135"/>
      <c r="C1472" s="41"/>
      <c r="D1472" s="137"/>
      <c r="E1472" s="138"/>
      <c r="F1472" s="139"/>
      <c r="G1472" s="1" t="str">
        <f>IFERROR(IF(ventas_b_mes1255[[#This Row],[CUIT]]="","-",VLOOKUP(ventas_b_mes1255[[#This Row],[CUIT]],Lista_CUIT[#All],2,0)),"CUIT NO CARGADO")</f>
        <v>-</v>
      </c>
      <c r="H1472" s="100">
        <f>ventas_b_mes1255[[#This Row],[TOTAL]]/1.21</f>
        <v>0</v>
      </c>
      <c r="I1472" s="64">
        <f>ventas_b_mes1255[[#This Row],[IMPORTE NETO]]*0.21</f>
        <v>0</v>
      </c>
      <c r="J1472" s="141"/>
      <c r="K1472" s="141"/>
      <c r="L1472" s="141"/>
      <c r="M1472" s="59"/>
    </row>
    <row r="1473" spans="2:13">
      <c r="B1473" s="135"/>
      <c r="C1473" s="41"/>
      <c r="D1473" s="137"/>
      <c r="E1473" s="138"/>
      <c r="F1473" s="139"/>
      <c r="G1473" s="1" t="str">
        <f>IFERROR(IF(ventas_b_mes1255[[#This Row],[CUIT]]="","-",VLOOKUP(ventas_b_mes1255[[#This Row],[CUIT]],Lista_CUIT[#All],2,0)),"CUIT NO CARGADO")</f>
        <v>-</v>
      </c>
      <c r="H1473" s="100">
        <f>ventas_b_mes1255[[#This Row],[TOTAL]]/1.21</f>
        <v>0</v>
      </c>
      <c r="I1473" s="64">
        <f>ventas_b_mes1255[[#This Row],[IMPORTE NETO]]*0.21</f>
        <v>0</v>
      </c>
      <c r="J1473" s="141"/>
      <c r="K1473" s="141"/>
      <c r="L1473" s="141"/>
      <c r="M1473" s="59"/>
    </row>
    <row r="1474" spans="2:13">
      <c r="B1474" s="135"/>
      <c r="C1474" s="41"/>
      <c r="D1474" s="137"/>
      <c r="E1474" s="138"/>
      <c r="F1474" s="139"/>
      <c r="G1474" s="1" t="str">
        <f>IFERROR(IF(ventas_b_mes1255[[#This Row],[CUIT]]="","-",VLOOKUP(ventas_b_mes1255[[#This Row],[CUIT]],Lista_CUIT[#All],2,0)),"CUIT NO CARGADO")</f>
        <v>-</v>
      </c>
      <c r="H1474" s="100">
        <f>ventas_b_mes1255[[#This Row],[TOTAL]]/1.21</f>
        <v>0</v>
      </c>
      <c r="I1474" s="64">
        <f>ventas_b_mes1255[[#This Row],[IMPORTE NETO]]*0.21</f>
        <v>0</v>
      </c>
      <c r="J1474" s="141"/>
      <c r="K1474" s="141"/>
      <c r="L1474" s="141"/>
      <c r="M1474" s="59"/>
    </row>
    <row r="1475" spans="2:13">
      <c r="B1475" s="135"/>
      <c r="C1475" s="41"/>
      <c r="D1475" s="137"/>
      <c r="E1475" s="138"/>
      <c r="F1475" s="139"/>
      <c r="G1475" s="1" t="str">
        <f>IFERROR(IF(ventas_b_mes1255[[#This Row],[CUIT]]="","-",VLOOKUP(ventas_b_mes1255[[#This Row],[CUIT]],Lista_CUIT[#All],2,0)),"CUIT NO CARGADO")</f>
        <v>-</v>
      </c>
      <c r="H1475" s="100">
        <f>ventas_b_mes1255[[#This Row],[TOTAL]]/1.21</f>
        <v>0</v>
      </c>
      <c r="I1475" s="64">
        <f>ventas_b_mes1255[[#This Row],[IMPORTE NETO]]*0.21</f>
        <v>0</v>
      </c>
      <c r="J1475" s="141"/>
      <c r="K1475" s="141"/>
      <c r="L1475" s="141"/>
      <c r="M1475" s="59"/>
    </row>
    <row r="1476" spans="2:13">
      <c r="B1476" s="135"/>
      <c r="C1476" s="41"/>
      <c r="D1476" s="137"/>
      <c r="E1476" s="138"/>
      <c r="F1476" s="139"/>
      <c r="G1476" s="1" t="str">
        <f>IFERROR(IF(ventas_b_mes1255[[#This Row],[CUIT]]="","-",VLOOKUP(ventas_b_mes1255[[#This Row],[CUIT]],Lista_CUIT[#All],2,0)),"CUIT NO CARGADO")</f>
        <v>-</v>
      </c>
      <c r="H1476" s="100">
        <f>ventas_b_mes1255[[#This Row],[TOTAL]]/1.21</f>
        <v>0</v>
      </c>
      <c r="I1476" s="64">
        <f>ventas_b_mes1255[[#This Row],[IMPORTE NETO]]*0.21</f>
        <v>0</v>
      </c>
      <c r="J1476" s="141"/>
      <c r="K1476" s="141"/>
      <c r="L1476" s="141"/>
      <c r="M1476" s="59"/>
    </row>
    <row r="1477" spans="2:13">
      <c r="B1477" s="135"/>
      <c r="C1477" s="41"/>
      <c r="D1477" s="137"/>
      <c r="E1477" s="138"/>
      <c r="F1477" s="139"/>
      <c r="G1477" s="1" t="str">
        <f>IFERROR(IF(ventas_b_mes1255[[#This Row],[CUIT]]="","-",VLOOKUP(ventas_b_mes1255[[#This Row],[CUIT]],Lista_CUIT[#All],2,0)),"CUIT NO CARGADO")</f>
        <v>-</v>
      </c>
      <c r="H1477" s="100">
        <f>ventas_b_mes1255[[#This Row],[TOTAL]]/1.21</f>
        <v>0</v>
      </c>
      <c r="I1477" s="64">
        <f>ventas_b_mes1255[[#This Row],[IMPORTE NETO]]*0.21</f>
        <v>0</v>
      </c>
      <c r="J1477" s="141"/>
      <c r="K1477" s="141"/>
      <c r="L1477" s="141"/>
      <c r="M1477" s="59"/>
    </row>
    <row r="1478" spans="2:13">
      <c r="B1478" s="135"/>
      <c r="C1478" s="41"/>
      <c r="D1478" s="137"/>
      <c r="E1478" s="138"/>
      <c r="F1478" s="139"/>
      <c r="G1478" s="1" t="str">
        <f>IFERROR(IF(ventas_b_mes1255[[#This Row],[CUIT]]="","-",VLOOKUP(ventas_b_mes1255[[#This Row],[CUIT]],Lista_CUIT[#All],2,0)),"CUIT NO CARGADO")</f>
        <v>-</v>
      </c>
      <c r="H1478" s="100">
        <f>ventas_b_mes1255[[#This Row],[TOTAL]]/1.21</f>
        <v>0</v>
      </c>
      <c r="I1478" s="64">
        <f>ventas_b_mes1255[[#This Row],[IMPORTE NETO]]*0.21</f>
        <v>0</v>
      </c>
      <c r="J1478" s="141"/>
      <c r="K1478" s="141"/>
      <c r="L1478" s="141"/>
      <c r="M1478" s="59"/>
    </row>
    <row r="1479" spans="2:13">
      <c r="B1479" s="135"/>
      <c r="C1479" s="41"/>
      <c r="D1479" s="137"/>
      <c r="E1479" s="138"/>
      <c r="F1479" s="139"/>
      <c r="G1479" s="1" t="str">
        <f>IFERROR(IF(ventas_b_mes1255[[#This Row],[CUIT]]="","-",VLOOKUP(ventas_b_mes1255[[#This Row],[CUIT]],Lista_CUIT[#All],2,0)),"CUIT NO CARGADO")</f>
        <v>-</v>
      </c>
      <c r="H1479" s="100">
        <f>ventas_b_mes1255[[#This Row],[TOTAL]]/1.21</f>
        <v>0</v>
      </c>
      <c r="I1479" s="64">
        <f>ventas_b_mes1255[[#This Row],[IMPORTE NETO]]*0.21</f>
        <v>0</v>
      </c>
      <c r="J1479" s="141"/>
      <c r="K1479" s="141"/>
      <c r="L1479" s="141"/>
      <c r="M1479" s="59"/>
    </row>
    <row r="1480" spans="2:13">
      <c r="B1480" s="135"/>
      <c r="C1480" s="41"/>
      <c r="D1480" s="137"/>
      <c r="E1480" s="138"/>
      <c r="F1480" s="139"/>
      <c r="G1480" s="1" t="str">
        <f>IFERROR(IF(ventas_b_mes1255[[#This Row],[CUIT]]="","-",VLOOKUP(ventas_b_mes1255[[#This Row],[CUIT]],Lista_CUIT[#All],2,0)),"CUIT NO CARGADO")</f>
        <v>-</v>
      </c>
      <c r="H1480" s="100">
        <f>ventas_b_mes1255[[#This Row],[TOTAL]]/1.21</f>
        <v>0</v>
      </c>
      <c r="I1480" s="64">
        <f>ventas_b_mes1255[[#This Row],[IMPORTE NETO]]*0.21</f>
        <v>0</v>
      </c>
      <c r="J1480" s="141"/>
      <c r="K1480" s="141"/>
      <c r="L1480" s="141"/>
      <c r="M1480" s="59"/>
    </row>
    <row r="1481" spans="2:13">
      <c r="B1481" s="135"/>
      <c r="C1481" s="41"/>
      <c r="D1481" s="137"/>
      <c r="E1481" s="138"/>
      <c r="F1481" s="139"/>
      <c r="G1481" s="1" t="str">
        <f>IFERROR(IF(ventas_b_mes1255[[#This Row],[CUIT]]="","-",VLOOKUP(ventas_b_mes1255[[#This Row],[CUIT]],Lista_CUIT[#All],2,0)),"CUIT NO CARGADO")</f>
        <v>-</v>
      </c>
      <c r="H1481" s="100">
        <f>ventas_b_mes1255[[#This Row],[TOTAL]]/1.21</f>
        <v>0</v>
      </c>
      <c r="I1481" s="64">
        <f>ventas_b_mes1255[[#This Row],[IMPORTE NETO]]*0.21</f>
        <v>0</v>
      </c>
      <c r="J1481" s="141"/>
      <c r="K1481" s="141"/>
      <c r="L1481" s="141"/>
      <c r="M1481" s="59"/>
    </row>
    <row r="1482" spans="2:13">
      <c r="B1482" s="135"/>
      <c r="C1482" s="41"/>
      <c r="D1482" s="137"/>
      <c r="E1482" s="138"/>
      <c r="F1482" s="139"/>
      <c r="G1482" s="1" t="str">
        <f>IFERROR(IF(ventas_b_mes1255[[#This Row],[CUIT]]="","-",VLOOKUP(ventas_b_mes1255[[#This Row],[CUIT]],Lista_CUIT[#All],2,0)),"CUIT NO CARGADO")</f>
        <v>-</v>
      </c>
      <c r="H1482" s="100">
        <f>ventas_b_mes1255[[#This Row],[TOTAL]]/1.21</f>
        <v>0</v>
      </c>
      <c r="I1482" s="64">
        <f>ventas_b_mes1255[[#This Row],[IMPORTE NETO]]*0.21</f>
        <v>0</v>
      </c>
      <c r="J1482" s="141"/>
      <c r="K1482" s="141"/>
      <c r="L1482" s="141"/>
      <c r="M1482" s="59"/>
    </row>
    <row r="1483" spans="2:13">
      <c r="B1483" s="135"/>
      <c r="C1483" s="41"/>
      <c r="D1483" s="137"/>
      <c r="E1483" s="138"/>
      <c r="F1483" s="139"/>
      <c r="G1483" s="1" t="str">
        <f>IFERROR(IF(ventas_b_mes1255[[#This Row],[CUIT]]="","-",VLOOKUP(ventas_b_mes1255[[#This Row],[CUIT]],Lista_CUIT[#All],2,0)),"CUIT NO CARGADO")</f>
        <v>-</v>
      </c>
      <c r="H1483" s="100">
        <f>ventas_b_mes1255[[#This Row],[TOTAL]]/1.21</f>
        <v>0</v>
      </c>
      <c r="I1483" s="64">
        <f>ventas_b_mes1255[[#This Row],[IMPORTE NETO]]*0.21</f>
        <v>0</v>
      </c>
      <c r="J1483" s="141"/>
      <c r="K1483" s="141"/>
      <c r="L1483" s="141"/>
      <c r="M1483" s="59"/>
    </row>
    <row r="1484" spans="2:13">
      <c r="B1484" s="135"/>
      <c r="C1484" s="41"/>
      <c r="D1484" s="137"/>
      <c r="E1484" s="138"/>
      <c r="F1484" s="139"/>
      <c r="G1484" s="1" t="str">
        <f>IFERROR(IF(ventas_b_mes1255[[#This Row],[CUIT]]="","-",VLOOKUP(ventas_b_mes1255[[#This Row],[CUIT]],Lista_CUIT[#All],2,0)),"CUIT NO CARGADO")</f>
        <v>-</v>
      </c>
      <c r="H1484" s="100">
        <f>ventas_b_mes1255[[#This Row],[TOTAL]]/1.21</f>
        <v>0</v>
      </c>
      <c r="I1484" s="64">
        <f>ventas_b_mes1255[[#This Row],[IMPORTE NETO]]*0.21</f>
        <v>0</v>
      </c>
      <c r="J1484" s="141"/>
      <c r="K1484" s="141"/>
      <c r="L1484" s="141"/>
      <c r="M1484" s="59"/>
    </row>
    <row r="1485" spans="2:13">
      <c r="B1485" s="135"/>
      <c r="C1485" s="41"/>
      <c r="D1485" s="137"/>
      <c r="E1485" s="138"/>
      <c r="F1485" s="139"/>
      <c r="G1485" s="1" t="str">
        <f>IFERROR(IF(ventas_b_mes1255[[#This Row],[CUIT]]="","-",VLOOKUP(ventas_b_mes1255[[#This Row],[CUIT]],Lista_CUIT[#All],2,0)),"CUIT NO CARGADO")</f>
        <v>-</v>
      </c>
      <c r="H1485" s="100">
        <f>ventas_b_mes1255[[#This Row],[TOTAL]]/1.21</f>
        <v>0</v>
      </c>
      <c r="I1485" s="64">
        <f>ventas_b_mes1255[[#This Row],[IMPORTE NETO]]*0.21</f>
        <v>0</v>
      </c>
      <c r="J1485" s="141"/>
      <c r="K1485" s="141"/>
      <c r="L1485" s="141"/>
      <c r="M1485" s="59"/>
    </row>
    <row r="1486" spans="2:13">
      <c r="B1486" s="135"/>
      <c r="C1486" s="41"/>
      <c r="D1486" s="137"/>
      <c r="E1486" s="138"/>
      <c r="F1486" s="139"/>
      <c r="G1486" s="1" t="str">
        <f>IFERROR(IF(ventas_b_mes1255[[#This Row],[CUIT]]="","-",VLOOKUP(ventas_b_mes1255[[#This Row],[CUIT]],Lista_CUIT[#All],2,0)),"CUIT NO CARGADO")</f>
        <v>-</v>
      </c>
      <c r="H1486" s="100">
        <f>ventas_b_mes1255[[#This Row],[TOTAL]]/1.21</f>
        <v>0</v>
      </c>
      <c r="I1486" s="64">
        <f>ventas_b_mes1255[[#This Row],[IMPORTE NETO]]*0.21</f>
        <v>0</v>
      </c>
      <c r="J1486" s="141"/>
      <c r="K1486" s="141"/>
      <c r="L1486" s="141"/>
      <c r="M1486" s="59"/>
    </row>
    <row r="1487" spans="2:13">
      <c r="B1487" s="135"/>
      <c r="C1487" s="41"/>
      <c r="D1487" s="137"/>
      <c r="E1487" s="138"/>
      <c r="F1487" s="139"/>
      <c r="G1487" s="1" t="str">
        <f>IFERROR(IF(ventas_b_mes1255[[#This Row],[CUIT]]="","-",VLOOKUP(ventas_b_mes1255[[#This Row],[CUIT]],Lista_CUIT[#All],2,0)),"CUIT NO CARGADO")</f>
        <v>-</v>
      </c>
      <c r="H1487" s="100">
        <f>ventas_b_mes1255[[#This Row],[TOTAL]]/1.21</f>
        <v>0</v>
      </c>
      <c r="I1487" s="64">
        <f>ventas_b_mes1255[[#This Row],[IMPORTE NETO]]*0.21</f>
        <v>0</v>
      </c>
      <c r="J1487" s="141"/>
      <c r="K1487" s="141"/>
      <c r="L1487" s="141"/>
      <c r="M1487" s="59"/>
    </row>
    <row r="1488" spans="2:13">
      <c r="B1488" s="135"/>
      <c r="C1488" s="41"/>
      <c r="D1488" s="137"/>
      <c r="E1488" s="138"/>
      <c r="F1488" s="139"/>
      <c r="G1488" s="1" t="str">
        <f>IFERROR(IF(ventas_b_mes1255[[#This Row],[CUIT]]="","-",VLOOKUP(ventas_b_mes1255[[#This Row],[CUIT]],Lista_CUIT[#All],2,0)),"CUIT NO CARGADO")</f>
        <v>-</v>
      </c>
      <c r="H1488" s="100">
        <f>ventas_b_mes1255[[#This Row],[TOTAL]]/1.21</f>
        <v>0</v>
      </c>
      <c r="I1488" s="64">
        <f>ventas_b_mes1255[[#This Row],[IMPORTE NETO]]*0.21</f>
        <v>0</v>
      </c>
      <c r="J1488" s="141"/>
      <c r="K1488" s="141"/>
      <c r="L1488" s="141"/>
      <c r="M1488" s="59"/>
    </row>
    <row r="1489" spans="2:13">
      <c r="B1489" s="135"/>
      <c r="C1489" s="41"/>
      <c r="D1489" s="137"/>
      <c r="E1489" s="138"/>
      <c r="F1489" s="139"/>
      <c r="G1489" s="1" t="str">
        <f>IFERROR(IF(ventas_b_mes1255[[#This Row],[CUIT]]="","-",VLOOKUP(ventas_b_mes1255[[#This Row],[CUIT]],Lista_CUIT[#All],2,0)),"CUIT NO CARGADO")</f>
        <v>-</v>
      </c>
      <c r="H1489" s="100">
        <f>ventas_b_mes1255[[#This Row],[TOTAL]]/1.21</f>
        <v>0</v>
      </c>
      <c r="I1489" s="64">
        <f>ventas_b_mes1255[[#This Row],[IMPORTE NETO]]*0.21</f>
        <v>0</v>
      </c>
      <c r="J1489" s="141"/>
      <c r="K1489" s="141"/>
      <c r="L1489" s="141"/>
      <c r="M1489" s="59"/>
    </row>
    <row r="1490" spans="2:13">
      <c r="B1490" s="135"/>
      <c r="C1490" s="41"/>
      <c r="D1490" s="137"/>
      <c r="E1490" s="138"/>
      <c r="F1490" s="139"/>
      <c r="G1490" s="1" t="str">
        <f>IFERROR(IF(ventas_b_mes1255[[#This Row],[CUIT]]="","-",VLOOKUP(ventas_b_mes1255[[#This Row],[CUIT]],Lista_CUIT[#All],2,0)),"CUIT NO CARGADO")</f>
        <v>-</v>
      </c>
      <c r="H1490" s="100">
        <f>ventas_b_mes1255[[#This Row],[TOTAL]]/1.21</f>
        <v>0</v>
      </c>
      <c r="I1490" s="64">
        <f>ventas_b_mes1255[[#This Row],[IMPORTE NETO]]*0.21</f>
        <v>0</v>
      </c>
      <c r="J1490" s="141"/>
      <c r="K1490" s="141"/>
      <c r="L1490" s="141"/>
      <c r="M1490" s="59"/>
    </row>
    <row r="1491" spans="2:13">
      <c r="B1491" s="135"/>
      <c r="C1491" s="41"/>
      <c r="D1491" s="137"/>
      <c r="E1491" s="138"/>
      <c r="F1491" s="139"/>
      <c r="G1491" s="1" t="str">
        <f>IFERROR(IF(ventas_b_mes1255[[#This Row],[CUIT]]="","-",VLOOKUP(ventas_b_mes1255[[#This Row],[CUIT]],Lista_CUIT[#All],2,0)),"CUIT NO CARGADO")</f>
        <v>-</v>
      </c>
      <c r="H1491" s="100">
        <f>ventas_b_mes1255[[#This Row],[TOTAL]]/1.21</f>
        <v>0</v>
      </c>
      <c r="I1491" s="64">
        <f>ventas_b_mes1255[[#This Row],[IMPORTE NETO]]*0.21</f>
        <v>0</v>
      </c>
      <c r="J1491" s="141"/>
      <c r="K1491" s="141"/>
      <c r="L1491" s="141"/>
      <c r="M1491" s="59"/>
    </row>
    <row r="1492" spans="2:13">
      <c r="B1492" s="135"/>
      <c r="C1492" s="41"/>
      <c r="D1492" s="137"/>
      <c r="E1492" s="138"/>
      <c r="F1492" s="139"/>
      <c r="G1492" s="1" t="str">
        <f>IFERROR(IF(ventas_b_mes1255[[#This Row],[CUIT]]="","-",VLOOKUP(ventas_b_mes1255[[#This Row],[CUIT]],Lista_CUIT[#All],2,0)),"CUIT NO CARGADO")</f>
        <v>-</v>
      </c>
      <c r="H1492" s="100">
        <f>ventas_b_mes1255[[#This Row],[TOTAL]]/1.21</f>
        <v>0</v>
      </c>
      <c r="I1492" s="64">
        <f>ventas_b_mes1255[[#This Row],[IMPORTE NETO]]*0.21</f>
        <v>0</v>
      </c>
      <c r="J1492" s="141"/>
      <c r="K1492" s="141"/>
      <c r="L1492" s="141"/>
      <c r="M1492" s="59"/>
    </row>
    <row r="1493" spans="2:13">
      <c r="B1493" s="135"/>
      <c r="C1493" s="41"/>
      <c r="D1493" s="137"/>
      <c r="E1493" s="138"/>
      <c r="F1493" s="139"/>
      <c r="G1493" s="1" t="str">
        <f>IFERROR(IF(ventas_b_mes1255[[#This Row],[CUIT]]="","-",VLOOKUP(ventas_b_mes1255[[#This Row],[CUIT]],Lista_CUIT[#All],2,0)),"CUIT NO CARGADO")</f>
        <v>-</v>
      </c>
      <c r="H1493" s="100">
        <f>ventas_b_mes1255[[#This Row],[TOTAL]]/1.21</f>
        <v>0</v>
      </c>
      <c r="I1493" s="64">
        <f>ventas_b_mes1255[[#This Row],[IMPORTE NETO]]*0.21</f>
        <v>0</v>
      </c>
      <c r="J1493" s="141"/>
      <c r="K1493" s="141"/>
      <c r="L1493" s="141"/>
      <c r="M1493" s="59"/>
    </row>
    <row r="1494" spans="2:13">
      <c r="B1494" s="135"/>
      <c r="C1494" s="41"/>
      <c r="D1494" s="137"/>
      <c r="E1494" s="138"/>
      <c r="F1494" s="139"/>
      <c r="G1494" s="1" t="str">
        <f>IFERROR(IF(ventas_b_mes1255[[#This Row],[CUIT]]="","-",VLOOKUP(ventas_b_mes1255[[#This Row],[CUIT]],Lista_CUIT[#All],2,0)),"CUIT NO CARGADO")</f>
        <v>-</v>
      </c>
      <c r="H1494" s="100">
        <f>ventas_b_mes1255[[#This Row],[TOTAL]]/1.21</f>
        <v>0</v>
      </c>
      <c r="I1494" s="64">
        <f>ventas_b_mes1255[[#This Row],[IMPORTE NETO]]*0.21</f>
        <v>0</v>
      </c>
      <c r="J1494" s="141"/>
      <c r="K1494" s="141"/>
      <c r="L1494" s="141"/>
      <c r="M1494" s="59"/>
    </row>
    <row r="1495" spans="2:13">
      <c r="B1495" s="135"/>
      <c r="C1495" s="41"/>
      <c r="D1495" s="137"/>
      <c r="E1495" s="138"/>
      <c r="F1495" s="139"/>
      <c r="G1495" s="1" t="str">
        <f>IFERROR(IF(ventas_b_mes1255[[#This Row],[CUIT]]="","-",VLOOKUP(ventas_b_mes1255[[#This Row],[CUIT]],Lista_CUIT[#All],2,0)),"CUIT NO CARGADO")</f>
        <v>-</v>
      </c>
      <c r="H1495" s="100">
        <f>ventas_b_mes1255[[#This Row],[TOTAL]]/1.21</f>
        <v>0</v>
      </c>
      <c r="I1495" s="64">
        <f>ventas_b_mes1255[[#This Row],[IMPORTE NETO]]*0.21</f>
        <v>0</v>
      </c>
      <c r="J1495" s="141"/>
      <c r="K1495" s="141"/>
      <c r="L1495" s="141"/>
      <c r="M1495" s="59"/>
    </row>
    <row r="1496" spans="2:13">
      <c r="B1496" s="135"/>
      <c r="C1496" s="41"/>
      <c r="D1496" s="137"/>
      <c r="E1496" s="138"/>
      <c r="F1496" s="139"/>
      <c r="G1496" s="1" t="str">
        <f>IFERROR(IF(ventas_b_mes1255[[#This Row],[CUIT]]="","-",VLOOKUP(ventas_b_mes1255[[#This Row],[CUIT]],Lista_CUIT[#All],2,0)),"CUIT NO CARGADO")</f>
        <v>-</v>
      </c>
      <c r="H1496" s="100">
        <f>ventas_b_mes1255[[#This Row],[TOTAL]]/1.21</f>
        <v>0</v>
      </c>
      <c r="I1496" s="64">
        <f>ventas_b_mes1255[[#This Row],[IMPORTE NETO]]*0.21</f>
        <v>0</v>
      </c>
      <c r="J1496" s="141"/>
      <c r="K1496" s="141"/>
      <c r="L1496" s="141"/>
      <c r="M1496" s="59"/>
    </row>
    <row r="1497" spans="2:13">
      <c r="B1497" s="135"/>
      <c r="C1497" s="41"/>
      <c r="D1497" s="137"/>
      <c r="E1497" s="138"/>
      <c r="F1497" s="139"/>
      <c r="G1497" s="1" t="str">
        <f>IFERROR(IF(ventas_b_mes1255[[#This Row],[CUIT]]="","-",VLOOKUP(ventas_b_mes1255[[#This Row],[CUIT]],Lista_CUIT[#All],2,0)),"CUIT NO CARGADO")</f>
        <v>-</v>
      </c>
      <c r="H1497" s="100">
        <f>ventas_b_mes1255[[#This Row],[TOTAL]]/1.21</f>
        <v>0</v>
      </c>
      <c r="I1497" s="64">
        <f>ventas_b_mes1255[[#This Row],[IMPORTE NETO]]*0.21</f>
        <v>0</v>
      </c>
      <c r="J1497" s="141"/>
      <c r="K1497" s="141"/>
      <c r="L1497" s="141"/>
      <c r="M1497" s="59"/>
    </row>
    <row r="1498" spans="2:13">
      <c r="B1498" s="135"/>
      <c r="C1498" s="41"/>
      <c r="D1498" s="137"/>
      <c r="E1498" s="138"/>
      <c r="F1498" s="139"/>
      <c r="G1498" s="1" t="str">
        <f>IFERROR(IF(ventas_b_mes1255[[#This Row],[CUIT]]="","-",VLOOKUP(ventas_b_mes1255[[#This Row],[CUIT]],Lista_CUIT[#All],2,0)),"CUIT NO CARGADO")</f>
        <v>-</v>
      </c>
      <c r="H1498" s="100">
        <f>ventas_b_mes1255[[#This Row],[TOTAL]]/1.21</f>
        <v>0</v>
      </c>
      <c r="I1498" s="64">
        <f>ventas_b_mes1255[[#This Row],[IMPORTE NETO]]*0.21</f>
        <v>0</v>
      </c>
      <c r="J1498" s="141"/>
      <c r="K1498" s="141"/>
      <c r="L1498" s="141"/>
      <c r="M1498" s="59"/>
    </row>
    <row r="1499" spans="2:13">
      <c r="B1499" s="135"/>
      <c r="C1499" s="41"/>
      <c r="D1499" s="137"/>
      <c r="E1499" s="138"/>
      <c r="F1499" s="139"/>
      <c r="G1499" s="1" t="str">
        <f>IFERROR(IF(ventas_b_mes1255[[#This Row],[CUIT]]="","-",VLOOKUP(ventas_b_mes1255[[#This Row],[CUIT]],Lista_CUIT[#All],2,0)),"CUIT NO CARGADO")</f>
        <v>-</v>
      </c>
      <c r="H1499" s="100">
        <f>ventas_b_mes1255[[#This Row],[TOTAL]]/1.21</f>
        <v>0</v>
      </c>
      <c r="I1499" s="64">
        <f>ventas_b_mes1255[[#This Row],[IMPORTE NETO]]*0.21</f>
        <v>0</v>
      </c>
      <c r="J1499" s="141"/>
      <c r="K1499" s="141"/>
      <c r="L1499" s="141"/>
      <c r="M1499" s="59"/>
    </row>
    <row r="1500" spans="2:13">
      <c r="B1500" s="135"/>
      <c r="C1500" s="41"/>
      <c r="D1500" s="137"/>
      <c r="E1500" s="138"/>
      <c r="F1500" s="139"/>
      <c r="G1500" s="1" t="str">
        <f>IFERROR(IF(ventas_b_mes1255[[#This Row],[CUIT]]="","-",VLOOKUP(ventas_b_mes1255[[#This Row],[CUIT]],Lista_CUIT[#All],2,0)),"CUIT NO CARGADO")</f>
        <v>-</v>
      </c>
      <c r="H1500" s="100">
        <f>ventas_b_mes1255[[#This Row],[TOTAL]]/1.21</f>
        <v>0</v>
      </c>
      <c r="I1500" s="64">
        <f>ventas_b_mes1255[[#This Row],[IMPORTE NETO]]*0.21</f>
        <v>0</v>
      </c>
      <c r="J1500" s="141"/>
      <c r="K1500" s="141"/>
      <c r="L1500" s="141"/>
      <c r="M1500" s="59"/>
    </row>
    <row r="1501" spans="2:13">
      <c r="B1501" s="135"/>
      <c r="C1501" s="41"/>
      <c r="D1501" s="137"/>
      <c r="E1501" s="138"/>
      <c r="F1501" s="139"/>
      <c r="G1501" s="1" t="str">
        <f>IFERROR(IF(ventas_b_mes1255[[#This Row],[CUIT]]="","-",VLOOKUP(ventas_b_mes1255[[#This Row],[CUIT]],Lista_CUIT[#All],2,0)),"CUIT NO CARGADO")</f>
        <v>-</v>
      </c>
      <c r="H1501" s="100">
        <f>ventas_b_mes1255[[#This Row],[TOTAL]]/1.21</f>
        <v>0</v>
      </c>
      <c r="I1501" s="64">
        <f>ventas_b_mes1255[[#This Row],[IMPORTE NETO]]*0.21</f>
        <v>0</v>
      </c>
      <c r="J1501" s="141"/>
      <c r="K1501" s="141"/>
      <c r="L1501" s="141"/>
      <c r="M1501" s="59"/>
    </row>
    <row r="1502" spans="2:13">
      <c r="B1502" s="135"/>
      <c r="C1502" s="41"/>
      <c r="D1502" s="137"/>
      <c r="E1502" s="138"/>
      <c r="F1502" s="139"/>
      <c r="G1502" s="1" t="str">
        <f>IFERROR(IF(ventas_b_mes1255[[#This Row],[CUIT]]="","-",VLOOKUP(ventas_b_mes1255[[#This Row],[CUIT]],Lista_CUIT[#All],2,0)),"CUIT NO CARGADO")</f>
        <v>-</v>
      </c>
      <c r="H1502" s="100">
        <f>ventas_b_mes1255[[#This Row],[TOTAL]]/1.21</f>
        <v>0</v>
      </c>
      <c r="I1502" s="64">
        <f>ventas_b_mes1255[[#This Row],[IMPORTE NETO]]*0.21</f>
        <v>0</v>
      </c>
      <c r="J1502" s="141"/>
      <c r="K1502" s="141"/>
      <c r="L1502" s="141"/>
      <c r="M1502" s="59"/>
    </row>
    <row r="1503" spans="2:13">
      <c r="B1503" s="135"/>
      <c r="C1503" s="41"/>
      <c r="D1503" s="137"/>
      <c r="E1503" s="138"/>
      <c r="F1503" s="139"/>
      <c r="G1503" s="1" t="str">
        <f>IFERROR(IF(ventas_b_mes1255[[#This Row],[CUIT]]="","-",VLOOKUP(ventas_b_mes1255[[#This Row],[CUIT]],Lista_CUIT[#All],2,0)),"CUIT NO CARGADO")</f>
        <v>-</v>
      </c>
      <c r="H1503" s="100">
        <f>ventas_b_mes1255[[#This Row],[TOTAL]]/1.21</f>
        <v>0</v>
      </c>
      <c r="I1503" s="64">
        <f>ventas_b_mes1255[[#This Row],[IMPORTE NETO]]*0.21</f>
        <v>0</v>
      </c>
      <c r="J1503" s="141"/>
      <c r="K1503" s="141"/>
      <c r="L1503" s="141"/>
      <c r="M1503" s="59"/>
    </row>
    <row r="1504" spans="2:13">
      <c r="B1504" s="135"/>
      <c r="C1504" s="41"/>
      <c r="D1504" s="137"/>
      <c r="E1504" s="138"/>
      <c r="F1504" s="139"/>
      <c r="G1504" s="1" t="str">
        <f>IFERROR(IF(ventas_b_mes1255[[#This Row],[CUIT]]="","-",VLOOKUP(ventas_b_mes1255[[#This Row],[CUIT]],Lista_CUIT[#All],2,0)),"CUIT NO CARGADO")</f>
        <v>-</v>
      </c>
      <c r="H1504" s="100">
        <f>ventas_b_mes1255[[#This Row],[TOTAL]]/1.21</f>
        <v>0</v>
      </c>
      <c r="I1504" s="64">
        <f>ventas_b_mes1255[[#This Row],[IMPORTE NETO]]*0.21</f>
        <v>0</v>
      </c>
      <c r="J1504" s="141"/>
      <c r="K1504" s="141"/>
      <c r="L1504" s="141"/>
      <c r="M1504" s="59"/>
    </row>
    <row r="1505" spans="2:13">
      <c r="B1505" s="135"/>
      <c r="C1505" s="41"/>
      <c r="D1505" s="137"/>
      <c r="E1505" s="138"/>
      <c r="F1505" s="139"/>
      <c r="G1505" s="1" t="str">
        <f>IFERROR(IF(ventas_b_mes1255[[#This Row],[CUIT]]="","-",VLOOKUP(ventas_b_mes1255[[#This Row],[CUIT]],Lista_CUIT[#All],2,0)),"CUIT NO CARGADO")</f>
        <v>-</v>
      </c>
      <c r="H1505" s="100">
        <f>ventas_b_mes1255[[#This Row],[TOTAL]]/1.21</f>
        <v>0</v>
      </c>
      <c r="I1505" s="64">
        <f>ventas_b_mes1255[[#This Row],[IMPORTE NETO]]*0.21</f>
        <v>0</v>
      </c>
      <c r="J1505" s="141"/>
      <c r="K1505" s="141"/>
      <c r="L1505" s="141"/>
      <c r="M1505" s="59"/>
    </row>
    <row r="1506" spans="2:13">
      <c r="B1506" s="135"/>
      <c r="C1506" s="41"/>
      <c r="D1506" s="137"/>
      <c r="E1506" s="138"/>
      <c r="F1506" s="139"/>
      <c r="G1506" s="1" t="str">
        <f>IFERROR(IF(ventas_b_mes1255[[#This Row],[CUIT]]="","-",VLOOKUP(ventas_b_mes1255[[#This Row],[CUIT]],Lista_CUIT[#All],2,0)),"CUIT NO CARGADO")</f>
        <v>-</v>
      </c>
      <c r="H1506" s="100">
        <f>ventas_b_mes1255[[#This Row],[TOTAL]]/1.21</f>
        <v>0</v>
      </c>
      <c r="I1506" s="64">
        <f>ventas_b_mes1255[[#This Row],[IMPORTE NETO]]*0.21</f>
        <v>0</v>
      </c>
      <c r="J1506" s="141"/>
      <c r="K1506" s="141"/>
      <c r="L1506" s="141"/>
      <c r="M1506" s="59"/>
    </row>
    <row r="1507" spans="2:13">
      <c r="B1507" s="135"/>
      <c r="C1507" s="41"/>
      <c r="D1507" s="137"/>
      <c r="E1507" s="138"/>
      <c r="F1507" s="139"/>
      <c r="G1507" s="1" t="str">
        <f>IFERROR(IF(ventas_b_mes1255[[#This Row],[CUIT]]="","-",VLOOKUP(ventas_b_mes1255[[#This Row],[CUIT]],Lista_CUIT[#All],2,0)),"CUIT NO CARGADO")</f>
        <v>-</v>
      </c>
      <c r="H1507" s="100">
        <f>ventas_b_mes1255[[#This Row],[TOTAL]]/1.21</f>
        <v>0</v>
      </c>
      <c r="I1507" s="64">
        <f>ventas_b_mes1255[[#This Row],[IMPORTE NETO]]*0.21</f>
        <v>0</v>
      </c>
      <c r="J1507" s="141"/>
      <c r="K1507" s="141"/>
      <c r="L1507" s="141"/>
      <c r="M1507" s="59"/>
    </row>
    <row r="1508" spans="2:13">
      <c r="B1508" s="135"/>
      <c r="C1508" s="41"/>
      <c r="D1508" s="137"/>
      <c r="E1508" s="138"/>
      <c r="F1508" s="139"/>
      <c r="G1508" s="1" t="str">
        <f>IFERROR(IF(ventas_b_mes1255[[#This Row],[CUIT]]="","-",VLOOKUP(ventas_b_mes1255[[#This Row],[CUIT]],Lista_CUIT[#All],2,0)),"CUIT NO CARGADO")</f>
        <v>-</v>
      </c>
      <c r="H1508" s="100">
        <f>ventas_b_mes1255[[#This Row],[TOTAL]]/1.21</f>
        <v>0</v>
      </c>
      <c r="I1508" s="64">
        <f>ventas_b_mes1255[[#This Row],[IMPORTE NETO]]*0.21</f>
        <v>0</v>
      </c>
      <c r="J1508" s="141"/>
      <c r="K1508" s="141"/>
      <c r="L1508" s="141"/>
      <c r="M1508" s="59"/>
    </row>
    <row r="1509" spans="2:13">
      <c r="B1509" s="135"/>
      <c r="C1509" s="41"/>
      <c r="D1509" s="137"/>
      <c r="E1509" s="138"/>
      <c r="F1509" s="139"/>
      <c r="G1509" s="1" t="str">
        <f>IFERROR(IF(ventas_b_mes1255[[#This Row],[CUIT]]="","-",VLOOKUP(ventas_b_mes1255[[#This Row],[CUIT]],Lista_CUIT[#All],2,0)),"CUIT NO CARGADO")</f>
        <v>-</v>
      </c>
      <c r="H1509" s="100">
        <f>ventas_b_mes1255[[#This Row],[TOTAL]]/1.21</f>
        <v>0</v>
      </c>
      <c r="I1509" s="64">
        <f>ventas_b_mes1255[[#This Row],[IMPORTE NETO]]*0.21</f>
        <v>0</v>
      </c>
      <c r="J1509" s="141"/>
      <c r="K1509" s="141"/>
      <c r="L1509" s="141"/>
      <c r="M1509" s="59"/>
    </row>
    <row r="1510" spans="2:13">
      <c r="B1510" s="135"/>
      <c r="C1510" s="41"/>
      <c r="D1510" s="137"/>
      <c r="E1510" s="138"/>
      <c r="F1510" s="139"/>
      <c r="G1510" s="1" t="str">
        <f>IFERROR(IF(ventas_b_mes1255[[#This Row],[CUIT]]="","-",VLOOKUP(ventas_b_mes1255[[#This Row],[CUIT]],Lista_CUIT[#All],2,0)),"CUIT NO CARGADO")</f>
        <v>-</v>
      </c>
      <c r="H1510" s="100">
        <f>ventas_b_mes1255[[#This Row],[TOTAL]]/1.21</f>
        <v>0</v>
      </c>
      <c r="I1510" s="64">
        <f>ventas_b_mes1255[[#This Row],[IMPORTE NETO]]*0.21</f>
        <v>0</v>
      </c>
      <c r="J1510" s="141"/>
      <c r="K1510" s="141"/>
      <c r="L1510" s="141"/>
      <c r="M1510" s="59"/>
    </row>
    <row r="1511" spans="2:13">
      <c r="B1511" s="135"/>
      <c r="C1511" s="41"/>
      <c r="D1511" s="137"/>
      <c r="E1511" s="138"/>
      <c r="F1511" s="139"/>
      <c r="G1511" s="1" t="str">
        <f>IFERROR(IF(ventas_b_mes1255[[#This Row],[CUIT]]="","-",VLOOKUP(ventas_b_mes1255[[#This Row],[CUIT]],Lista_CUIT[#All],2,0)),"CUIT NO CARGADO")</f>
        <v>-</v>
      </c>
      <c r="H1511" s="100">
        <f>ventas_b_mes1255[[#This Row],[TOTAL]]/1.21</f>
        <v>0</v>
      </c>
      <c r="I1511" s="64">
        <f>ventas_b_mes1255[[#This Row],[IMPORTE NETO]]*0.21</f>
        <v>0</v>
      </c>
      <c r="J1511" s="141"/>
      <c r="K1511" s="141"/>
      <c r="L1511" s="141"/>
      <c r="M1511" s="59"/>
    </row>
    <row r="1512" spans="2:13">
      <c r="B1512" s="135"/>
      <c r="C1512" s="41"/>
      <c r="D1512" s="137"/>
      <c r="E1512" s="138"/>
      <c r="F1512" s="139"/>
      <c r="G1512" s="1" t="str">
        <f>IFERROR(IF(ventas_b_mes1255[[#This Row],[CUIT]]="","-",VLOOKUP(ventas_b_mes1255[[#This Row],[CUIT]],Lista_CUIT[#All],2,0)),"CUIT NO CARGADO")</f>
        <v>-</v>
      </c>
      <c r="H1512" s="100">
        <f>ventas_b_mes1255[[#This Row],[TOTAL]]/1.21</f>
        <v>0</v>
      </c>
      <c r="I1512" s="64">
        <f>ventas_b_mes1255[[#This Row],[IMPORTE NETO]]*0.21</f>
        <v>0</v>
      </c>
      <c r="J1512" s="141"/>
      <c r="K1512" s="141"/>
      <c r="L1512" s="141"/>
      <c r="M1512" s="59"/>
    </row>
    <row r="1513" spans="2:13">
      <c r="B1513" s="135"/>
      <c r="C1513" s="41"/>
      <c r="D1513" s="137"/>
      <c r="E1513" s="138"/>
      <c r="F1513" s="139"/>
      <c r="G1513" s="1" t="str">
        <f>IFERROR(IF(ventas_b_mes1255[[#This Row],[CUIT]]="","-",VLOOKUP(ventas_b_mes1255[[#This Row],[CUIT]],Lista_CUIT[#All],2,0)),"CUIT NO CARGADO")</f>
        <v>-</v>
      </c>
      <c r="H1513" s="100">
        <f>ventas_b_mes1255[[#This Row],[TOTAL]]/1.21</f>
        <v>0</v>
      </c>
      <c r="I1513" s="64">
        <f>ventas_b_mes1255[[#This Row],[IMPORTE NETO]]*0.21</f>
        <v>0</v>
      </c>
      <c r="J1513" s="141"/>
      <c r="K1513" s="141"/>
      <c r="L1513" s="141"/>
      <c r="M1513" s="59"/>
    </row>
    <row r="1514" spans="2:13">
      <c r="B1514" s="135"/>
      <c r="C1514" s="41"/>
      <c r="D1514" s="137"/>
      <c r="E1514" s="138"/>
      <c r="F1514" s="139"/>
      <c r="G1514" s="1" t="str">
        <f>IFERROR(IF(ventas_b_mes1255[[#This Row],[CUIT]]="","-",VLOOKUP(ventas_b_mes1255[[#This Row],[CUIT]],Lista_CUIT[#All],2,0)),"CUIT NO CARGADO")</f>
        <v>-</v>
      </c>
      <c r="H1514" s="100">
        <f>ventas_b_mes1255[[#This Row],[TOTAL]]/1.21</f>
        <v>0</v>
      </c>
      <c r="I1514" s="64">
        <f>ventas_b_mes1255[[#This Row],[IMPORTE NETO]]*0.21</f>
        <v>0</v>
      </c>
      <c r="J1514" s="141"/>
      <c r="K1514" s="141"/>
      <c r="L1514" s="141"/>
      <c r="M1514" s="59"/>
    </row>
    <row r="1515" spans="2:13">
      <c r="B1515" s="135"/>
      <c r="C1515" s="41"/>
      <c r="D1515" s="137"/>
      <c r="E1515" s="138"/>
      <c r="F1515" s="139"/>
      <c r="G1515" s="1" t="str">
        <f>IFERROR(IF(ventas_b_mes1255[[#This Row],[CUIT]]="","-",VLOOKUP(ventas_b_mes1255[[#This Row],[CUIT]],Lista_CUIT[#All],2,0)),"CUIT NO CARGADO")</f>
        <v>-</v>
      </c>
      <c r="H1515" s="100">
        <f>ventas_b_mes1255[[#This Row],[TOTAL]]/1.21</f>
        <v>0</v>
      </c>
      <c r="I1515" s="64">
        <f>ventas_b_mes1255[[#This Row],[IMPORTE NETO]]*0.21</f>
        <v>0</v>
      </c>
      <c r="J1515" s="141"/>
      <c r="K1515" s="141"/>
      <c r="L1515" s="141"/>
      <c r="M1515" s="59"/>
    </row>
    <row r="1516" spans="2:13">
      <c r="B1516" s="135"/>
      <c r="C1516" s="41"/>
      <c r="D1516" s="137"/>
      <c r="E1516" s="138"/>
      <c r="F1516" s="139"/>
      <c r="G1516" s="1" t="str">
        <f>IFERROR(IF(ventas_b_mes1255[[#This Row],[CUIT]]="","-",VLOOKUP(ventas_b_mes1255[[#This Row],[CUIT]],Lista_CUIT[#All],2,0)),"CUIT NO CARGADO")</f>
        <v>-</v>
      </c>
      <c r="H1516" s="100">
        <f>ventas_b_mes1255[[#This Row],[TOTAL]]/1.21</f>
        <v>0</v>
      </c>
      <c r="I1516" s="64">
        <f>ventas_b_mes1255[[#This Row],[IMPORTE NETO]]*0.21</f>
        <v>0</v>
      </c>
      <c r="J1516" s="141"/>
      <c r="K1516" s="141"/>
      <c r="L1516" s="141"/>
      <c r="M1516" s="59"/>
    </row>
    <row r="1517" spans="2:13">
      <c r="B1517" s="135"/>
      <c r="C1517" s="41"/>
      <c r="D1517" s="137"/>
      <c r="E1517" s="138"/>
      <c r="F1517" s="139"/>
      <c r="G1517" s="1" t="str">
        <f>IFERROR(IF(ventas_b_mes1255[[#This Row],[CUIT]]="","-",VLOOKUP(ventas_b_mes1255[[#This Row],[CUIT]],Lista_CUIT[#All],2,0)),"CUIT NO CARGADO")</f>
        <v>-</v>
      </c>
      <c r="H1517" s="100">
        <f>ventas_b_mes1255[[#This Row],[TOTAL]]/1.21</f>
        <v>0</v>
      </c>
      <c r="I1517" s="64">
        <f>ventas_b_mes1255[[#This Row],[IMPORTE NETO]]*0.21</f>
        <v>0</v>
      </c>
      <c r="J1517" s="141"/>
      <c r="K1517" s="141"/>
      <c r="L1517" s="141"/>
      <c r="M1517" s="59"/>
    </row>
    <row r="1518" spans="2:13">
      <c r="B1518" s="135"/>
      <c r="C1518" s="41"/>
      <c r="D1518" s="137"/>
      <c r="E1518" s="138"/>
      <c r="F1518" s="139"/>
      <c r="G1518" s="1" t="str">
        <f>IFERROR(IF(ventas_b_mes1255[[#This Row],[CUIT]]="","-",VLOOKUP(ventas_b_mes1255[[#This Row],[CUIT]],Lista_CUIT[#All],2,0)),"CUIT NO CARGADO")</f>
        <v>-</v>
      </c>
      <c r="H1518" s="100">
        <f>ventas_b_mes1255[[#This Row],[TOTAL]]/1.21</f>
        <v>0</v>
      </c>
      <c r="I1518" s="64">
        <f>ventas_b_mes1255[[#This Row],[IMPORTE NETO]]*0.21</f>
        <v>0</v>
      </c>
      <c r="J1518" s="141"/>
      <c r="K1518" s="141"/>
      <c r="L1518" s="141"/>
      <c r="M1518" s="59"/>
    </row>
    <row r="1519" spans="2:13">
      <c r="B1519" s="135"/>
      <c r="C1519" s="41"/>
      <c r="D1519" s="137"/>
      <c r="E1519" s="138"/>
      <c r="F1519" s="139"/>
      <c r="G1519" s="1" t="str">
        <f>IFERROR(IF(ventas_b_mes1255[[#This Row],[CUIT]]="","-",VLOOKUP(ventas_b_mes1255[[#This Row],[CUIT]],Lista_CUIT[#All],2,0)),"CUIT NO CARGADO")</f>
        <v>-</v>
      </c>
      <c r="H1519" s="100">
        <f>ventas_b_mes1255[[#This Row],[TOTAL]]/1.21</f>
        <v>0</v>
      </c>
      <c r="I1519" s="64">
        <f>ventas_b_mes1255[[#This Row],[IMPORTE NETO]]*0.21</f>
        <v>0</v>
      </c>
      <c r="J1519" s="141"/>
      <c r="K1519" s="141"/>
      <c r="L1519" s="141"/>
      <c r="M1519" s="59"/>
    </row>
    <row r="1520" spans="2:13">
      <c r="B1520" s="135"/>
      <c r="C1520" s="41"/>
      <c r="D1520" s="137"/>
      <c r="E1520" s="138"/>
      <c r="F1520" s="139"/>
      <c r="G1520" s="1" t="str">
        <f>IFERROR(IF(ventas_b_mes1255[[#This Row],[CUIT]]="","-",VLOOKUP(ventas_b_mes1255[[#This Row],[CUIT]],Lista_CUIT[#All],2,0)),"CUIT NO CARGADO")</f>
        <v>-</v>
      </c>
      <c r="H1520" s="100">
        <f>ventas_b_mes1255[[#This Row],[TOTAL]]/1.21</f>
        <v>0</v>
      </c>
      <c r="I1520" s="64">
        <f>ventas_b_mes1255[[#This Row],[IMPORTE NETO]]*0.21</f>
        <v>0</v>
      </c>
      <c r="J1520" s="141"/>
      <c r="K1520" s="141"/>
      <c r="L1520" s="141"/>
      <c r="M1520" s="59"/>
    </row>
    <row r="1521" spans="2:13">
      <c r="B1521" s="135"/>
      <c r="C1521" s="41"/>
      <c r="D1521" s="137"/>
      <c r="E1521" s="138"/>
      <c r="F1521" s="139"/>
      <c r="G1521" s="1" t="str">
        <f>IFERROR(IF(ventas_b_mes1255[[#This Row],[CUIT]]="","-",VLOOKUP(ventas_b_mes1255[[#This Row],[CUIT]],Lista_CUIT[#All],2,0)),"CUIT NO CARGADO")</f>
        <v>-</v>
      </c>
      <c r="H1521" s="100">
        <f>ventas_b_mes1255[[#This Row],[TOTAL]]/1.21</f>
        <v>0</v>
      </c>
      <c r="I1521" s="64">
        <f>ventas_b_mes1255[[#This Row],[IMPORTE NETO]]*0.21</f>
        <v>0</v>
      </c>
      <c r="J1521" s="141"/>
      <c r="K1521" s="141"/>
      <c r="L1521" s="141"/>
      <c r="M1521" s="59"/>
    </row>
    <row r="1522" spans="2:13">
      <c r="B1522" s="135"/>
      <c r="C1522" s="41"/>
      <c r="D1522" s="137"/>
      <c r="E1522" s="138"/>
      <c r="F1522" s="139"/>
      <c r="G1522" s="1" t="str">
        <f>IFERROR(IF(ventas_b_mes1255[[#This Row],[CUIT]]="","-",VLOOKUP(ventas_b_mes1255[[#This Row],[CUIT]],Lista_CUIT[#All],2,0)),"CUIT NO CARGADO")</f>
        <v>-</v>
      </c>
      <c r="H1522" s="100">
        <f>ventas_b_mes1255[[#This Row],[TOTAL]]/1.21</f>
        <v>0</v>
      </c>
      <c r="I1522" s="64">
        <f>ventas_b_mes1255[[#This Row],[IMPORTE NETO]]*0.21</f>
        <v>0</v>
      </c>
      <c r="J1522" s="141"/>
      <c r="K1522" s="141"/>
      <c r="L1522" s="141"/>
      <c r="M1522" s="59"/>
    </row>
    <row r="1523" spans="2:13">
      <c r="B1523" s="135"/>
      <c r="C1523" s="41"/>
      <c r="D1523" s="137"/>
      <c r="E1523" s="138"/>
      <c r="F1523" s="139"/>
      <c r="G1523" s="1" t="str">
        <f>IFERROR(IF(ventas_b_mes1255[[#This Row],[CUIT]]="","-",VLOOKUP(ventas_b_mes1255[[#This Row],[CUIT]],Lista_CUIT[#All],2,0)),"CUIT NO CARGADO")</f>
        <v>-</v>
      </c>
      <c r="H1523" s="100">
        <f>ventas_b_mes1255[[#This Row],[TOTAL]]/1.21</f>
        <v>0</v>
      </c>
      <c r="I1523" s="64">
        <f>ventas_b_mes1255[[#This Row],[IMPORTE NETO]]*0.21</f>
        <v>0</v>
      </c>
      <c r="J1523" s="141"/>
      <c r="K1523" s="141"/>
      <c r="L1523" s="141"/>
      <c r="M1523" s="59"/>
    </row>
    <row r="1524" spans="2:13">
      <c r="B1524" s="135"/>
      <c r="C1524" s="41"/>
      <c r="D1524" s="137"/>
      <c r="E1524" s="138"/>
      <c r="F1524" s="139"/>
      <c r="G1524" s="1" t="str">
        <f>IFERROR(IF(ventas_b_mes1255[[#This Row],[CUIT]]="","-",VLOOKUP(ventas_b_mes1255[[#This Row],[CUIT]],Lista_CUIT[#All],2,0)),"CUIT NO CARGADO")</f>
        <v>-</v>
      </c>
      <c r="H1524" s="100">
        <f>ventas_b_mes1255[[#This Row],[TOTAL]]/1.21</f>
        <v>0</v>
      </c>
      <c r="I1524" s="64">
        <f>ventas_b_mes1255[[#This Row],[IMPORTE NETO]]*0.21</f>
        <v>0</v>
      </c>
      <c r="J1524" s="141"/>
      <c r="K1524" s="141"/>
      <c r="L1524" s="141"/>
      <c r="M1524" s="59"/>
    </row>
    <row r="1525" spans="2:13">
      <c r="B1525" s="135"/>
      <c r="C1525" s="41"/>
      <c r="D1525" s="137"/>
      <c r="E1525" s="138"/>
      <c r="F1525" s="139"/>
      <c r="G1525" s="1" t="str">
        <f>IFERROR(IF(ventas_b_mes1255[[#This Row],[CUIT]]="","-",VLOOKUP(ventas_b_mes1255[[#This Row],[CUIT]],Lista_CUIT[#All],2,0)),"CUIT NO CARGADO")</f>
        <v>-</v>
      </c>
      <c r="H1525" s="100">
        <f>ventas_b_mes1255[[#This Row],[TOTAL]]/1.21</f>
        <v>0</v>
      </c>
      <c r="I1525" s="64">
        <f>ventas_b_mes1255[[#This Row],[IMPORTE NETO]]*0.21</f>
        <v>0</v>
      </c>
      <c r="J1525" s="141"/>
      <c r="K1525" s="141"/>
      <c r="L1525" s="141"/>
      <c r="M1525" s="59"/>
    </row>
    <row r="1526" spans="2:13">
      <c r="B1526" s="135"/>
      <c r="C1526" s="41"/>
      <c r="D1526" s="137"/>
      <c r="E1526" s="138"/>
      <c r="F1526" s="139"/>
      <c r="G1526" s="1" t="str">
        <f>IFERROR(IF(ventas_b_mes1255[[#This Row],[CUIT]]="","-",VLOOKUP(ventas_b_mes1255[[#This Row],[CUIT]],Lista_CUIT[#All],2,0)),"CUIT NO CARGADO")</f>
        <v>-</v>
      </c>
      <c r="H1526" s="100">
        <f>ventas_b_mes1255[[#This Row],[TOTAL]]/1.21</f>
        <v>0</v>
      </c>
      <c r="I1526" s="64">
        <f>ventas_b_mes1255[[#This Row],[IMPORTE NETO]]*0.21</f>
        <v>0</v>
      </c>
      <c r="J1526" s="141"/>
      <c r="K1526" s="141"/>
      <c r="L1526" s="141"/>
      <c r="M1526" s="59"/>
    </row>
    <row r="1527" spans="2:13">
      <c r="B1527" s="135"/>
      <c r="C1527" s="41"/>
      <c r="D1527" s="137"/>
      <c r="E1527" s="138"/>
      <c r="F1527" s="139"/>
      <c r="G1527" s="1" t="str">
        <f>IFERROR(IF(ventas_b_mes1255[[#This Row],[CUIT]]="","-",VLOOKUP(ventas_b_mes1255[[#This Row],[CUIT]],Lista_CUIT[#All],2,0)),"CUIT NO CARGADO")</f>
        <v>-</v>
      </c>
      <c r="H1527" s="100">
        <f>ventas_b_mes1255[[#This Row],[TOTAL]]/1.21</f>
        <v>0</v>
      </c>
      <c r="I1527" s="64">
        <f>ventas_b_mes1255[[#This Row],[IMPORTE NETO]]*0.21</f>
        <v>0</v>
      </c>
      <c r="J1527" s="141"/>
      <c r="K1527" s="141"/>
      <c r="L1527" s="141"/>
      <c r="M1527" s="59"/>
    </row>
    <row r="1528" spans="2:13">
      <c r="B1528" s="135"/>
      <c r="C1528" s="41"/>
      <c r="D1528" s="137"/>
      <c r="E1528" s="138"/>
      <c r="F1528" s="139"/>
      <c r="G1528" s="1" t="str">
        <f>IFERROR(IF(ventas_b_mes1255[[#This Row],[CUIT]]="","-",VLOOKUP(ventas_b_mes1255[[#This Row],[CUIT]],Lista_CUIT[#All],2,0)),"CUIT NO CARGADO")</f>
        <v>-</v>
      </c>
      <c r="H1528" s="100">
        <f>ventas_b_mes1255[[#This Row],[TOTAL]]/1.21</f>
        <v>0</v>
      </c>
      <c r="I1528" s="64">
        <f>ventas_b_mes1255[[#This Row],[IMPORTE NETO]]*0.21</f>
        <v>0</v>
      </c>
      <c r="J1528" s="141"/>
      <c r="K1528" s="141"/>
      <c r="L1528" s="141"/>
      <c r="M1528" s="59"/>
    </row>
    <row r="1529" spans="2:13">
      <c r="B1529" s="135"/>
      <c r="C1529" s="41"/>
      <c r="D1529" s="137"/>
      <c r="E1529" s="138"/>
      <c r="F1529" s="139"/>
      <c r="G1529" s="1" t="str">
        <f>IFERROR(IF(ventas_b_mes1255[[#This Row],[CUIT]]="","-",VLOOKUP(ventas_b_mes1255[[#This Row],[CUIT]],Lista_CUIT[#All],2,0)),"CUIT NO CARGADO")</f>
        <v>-</v>
      </c>
      <c r="H1529" s="100">
        <f>ventas_b_mes1255[[#This Row],[TOTAL]]/1.21</f>
        <v>0</v>
      </c>
      <c r="I1529" s="64">
        <f>ventas_b_mes1255[[#This Row],[IMPORTE NETO]]*0.21</f>
        <v>0</v>
      </c>
      <c r="J1529" s="141"/>
      <c r="K1529" s="141"/>
      <c r="L1529" s="141"/>
      <c r="M1529" s="59"/>
    </row>
    <row r="1530" spans="2:13">
      <c r="B1530" s="135"/>
      <c r="C1530" s="41"/>
      <c r="D1530" s="137"/>
      <c r="E1530" s="138"/>
      <c r="F1530" s="139"/>
      <c r="G1530" s="1" t="str">
        <f>IFERROR(IF(ventas_b_mes1255[[#This Row],[CUIT]]="","-",VLOOKUP(ventas_b_mes1255[[#This Row],[CUIT]],Lista_CUIT[#All],2,0)),"CUIT NO CARGADO")</f>
        <v>-</v>
      </c>
      <c r="H1530" s="100">
        <f>ventas_b_mes1255[[#This Row],[TOTAL]]/1.21</f>
        <v>0</v>
      </c>
      <c r="I1530" s="64">
        <f>ventas_b_mes1255[[#This Row],[IMPORTE NETO]]*0.21</f>
        <v>0</v>
      </c>
      <c r="J1530" s="141"/>
      <c r="K1530" s="141"/>
      <c r="L1530" s="141"/>
      <c r="M1530" s="59"/>
    </row>
    <row r="1531" spans="2:13">
      <c r="B1531" s="135"/>
      <c r="C1531" s="41"/>
      <c r="D1531" s="137"/>
      <c r="E1531" s="138"/>
      <c r="F1531" s="139"/>
      <c r="G1531" s="1" t="str">
        <f>IFERROR(IF(ventas_b_mes1255[[#This Row],[CUIT]]="","-",VLOOKUP(ventas_b_mes1255[[#This Row],[CUIT]],Lista_CUIT[#All],2,0)),"CUIT NO CARGADO")</f>
        <v>-</v>
      </c>
      <c r="H1531" s="100">
        <f>ventas_b_mes1255[[#This Row],[TOTAL]]/1.21</f>
        <v>0</v>
      </c>
      <c r="I1531" s="64">
        <f>ventas_b_mes1255[[#This Row],[IMPORTE NETO]]*0.21</f>
        <v>0</v>
      </c>
      <c r="J1531" s="141"/>
      <c r="K1531" s="141"/>
      <c r="L1531" s="141"/>
      <c r="M1531" s="59"/>
    </row>
    <row r="1532" spans="2:13">
      <c r="B1532" s="135"/>
      <c r="C1532" s="41"/>
      <c r="D1532" s="137"/>
      <c r="E1532" s="138"/>
      <c r="F1532" s="139"/>
      <c r="G1532" s="1" t="str">
        <f>IFERROR(IF(ventas_b_mes1255[[#This Row],[CUIT]]="","-",VLOOKUP(ventas_b_mes1255[[#This Row],[CUIT]],Lista_CUIT[#All],2,0)),"CUIT NO CARGADO")</f>
        <v>-</v>
      </c>
      <c r="H1532" s="100">
        <f>ventas_b_mes1255[[#This Row],[TOTAL]]/1.21</f>
        <v>0</v>
      </c>
      <c r="I1532" s="64">
        <f>ventas_b_mes1255[[#This Row],[IMPORTE NETO]]*0.21</f>
        <v>0</v>
      </c>
      <c r="J1532" s="141"/>
      <c r="K1532" s="141"/>
      <c r="L1532" s="141"/>
      <c r="M1532" s="59"/>
    </row>
    <row r="1533" spans="2:13">
      <c r="B1533" s="135"/>
      <c r="C1533" s="41"/>
      <c r="D1533" s="137"/>
      <c r="E1533" s="138"/>
      <c r="F1533" s="139"/>
      <c r="G1533" s="1" t="str">
        <f>IFERROR(IF(ventas_b_mes1255[[#This Row],[CUIT]]="","-",VLOOKUP(ventas_b_mes1255[[#This Row],[CUIT]],Lista_CUIT[#All],2,0)),"CUIT NO CARGADO")</f>
        <v>-</v>
      </c>
      <c r="H1533" s="100">
        <f>ventas_b_mes1255[[#This Row],[TOTAL]]/1.21</f>
        <v>0</v>
      </c>
      <c r="I1533" s="64">
        <f>ventas_b_mes1255[[#This Row],[IMPORTE NETO]]*0.21</f>
        <v>0</v>
      </c>
      <c r="J1533" s="141"/>
      <c r="K1533" s="141"/>
      <c r="L1533" s="141"/>
      <c r="M1533" s="59"/>
    </row>
    <row r="1534" spans="2:13">
      <c r="B1534" s="135"/>
      <c r="C1534" s="41"/>
      <c r="D1534" s="137"/>
      <c r="E1534" s="138"/>
      <c r="F1534" s="139"/>
      <c r="G1534" s="1" t="str">
        <f>IFERROR(IF(ventas_b_mes1255[[#This Row],[CUIT]]="","-",VLOOKUP(ventas_b_mes1255[[#This Row],[CUIT]],Lista_CUIT[#All],2,0)),"CUIT NO CARGADO")</f>
        <v>-</v>
      </c>
      <c r="H1534" s="100">
        <f>ventas_b_mes1255[[#This Row],[TOTAL]]/1.21</f>
        <v>0</v>
      </c>
      <c r="I1534" s="64">
        <f>ventas_b_mes1255[[#This Row],[IMPORTE NETO]]*0.21</f>
        <v>0</v>
      </c>
      <c r="J1534" s="141"/>
      <c r="K1534" s="141"/>
      <c r="L1534" s="141"/>
      <c r="M1534" s="59"/>
    </row>
    <row r="1535" spans="2:13">
      <c r="B1535" s="135"/>
      <c r="C1535" s="41"/>
      <c r="D1535" s="137"/>
      <c r="E1535" s="138"/>
      <c r="F1535" s="139"/>
      <c r="G1535" s="1" t="str">
        <f>IFERROR(IF(ventas_b_mes1255[[#This Row],[CUIT]]="","-",VLOOKUP(ventas_b_mes1255[[#This Row],[CUIT]],Lista_CUIT[#All],2,0)),"CUIT NO CARGADO")</f>
        <v>-</v>
      </c>
      <c r="H1535" s="100">
        <f>ventas_b_mes1255[[#This Row],[TOTAL]]/1.21</f>
        <v>0</v>
      </c>
      <c r="I1535" s="64">
        <f>ventas_b_mes1255[[#This Row],[IMPORTE NETO]]*0.21</f>
        <v>0</v>
      </c>
      <c r="J1535" s="141"/>
      <c r="K1535" s="141"/>
      <c r="L1535" s="141"/>
      <c r="M1535" s="59"/>
    </row>
    <row r="1536" spans="2:13">
      <c r="B1536" s="135"/>
      <c r="C1536" s="41"/>
      <c r="D1536" s="137"/>
      <c r="E1536" s="138"/>
      <c r="F1536" s="139"/>
      <c r="G1536" s="1" t="str">
        <f>IFERROR(IF(ventas_b_mes1255[[#This Row],[CUIT]]="","-",VLOOKUP(ventas_b_mes1255[[#This Row],[CUIT]],Lista_CUIT[#All],2,0)),"CUIT NO CARGADO")</f>
        <v>-</v>
      </c>
      <c r="H1536" s="100">
        <f>ventas_b_mes1255[[#This Row],[TOTAL]]/1.21</f>
        <v>0</v>
      </c>
      <c r="I1536" s="64">
        <f>ventas_b_mes1255[[#This Row],[IMPORTE NETO]]*0.21</f>
        <v>0</v>
      </c>
      <c r="J1536" s="141"/>
      <c r="K1536" s="141"/>
      <c r="L1536" s="141"/>
      <c r="M1536" s="59"/>
    </row>
    <row r="1537" spans="2:13">
      <c r="B1537" s="135"/>
      <c r="C1537" s="41"/>
      <c r="D1537" s="137"/>
      <c r="E1537" s="138"/>
      <c r="F1537" s="139"/>
      <c r="G1537" s="1" t="str">
        <f>IFERROR(IF(ventas_b_mes1255[[#This Row],[CUIT]]="","-",VLOOKUP(ventas_b_mes1255[[#This Row],[CUIT]],Lista_CUIT[#All],2,0)),"CUIT NO CARGADO")</f>
        <v>-</v>
      </c>
      <c r="H1537" s="100">
        <f>ventas_b_mes1255[[#This Row],[TOTAL]]/1.21</f>
        <v>0</v>
      </c>
      <c r="I1537" s="64">
        <f>ventas_b_mes1255[[#This Row],[IMPORTE NETO]]*0.21</f>
        <v>0</v>
      </c>
      <c r="J1537" s="141"/>
      <c r="K1537" s="141"/>
      <c r="L1537" s="141"/>
      <c r="M1537" s="59"/>
    </row>
    <row r="1538" spans="2:13">
      <c r="B1538" s="135"/>
      <c r="C1538" s="41"/>
      <c r="D1538" s="137"/>
      <c r="E1538" s="138"/>
      <c r="F1538" s="139"/>
      <c r="G1538" s="1" t="str">
        <f>IFERROR(IF(ventas_b_mes1255[[#This Row],[CUIT]]="","-",VLOOKUP(ventas_b_mes1255[[#This Row],[CUIT]],Lista_CUIT[#All],2,0)),"CUIT NO CARGADO")</f>
        <v>-</v>
      </c>
      <c r="H1538" s="100">
        <f>ventas_b_mes1255[[#This Row],[TOTAL]]/1.21</f>
        <v>0</v>
      </c>
      <c r="I1538" s="64">
        <f>ventas_b_mes1255[[#This Row],[IMPORTE NETO]]*0.21</f>
        <v>0</v>
      </c>
      <c r="J1538" s="141"/>
      <c r="K1538" s="141"/>
      <c r="L1538" s="141"/>
      <c r="M1538" s="59"/>
    </row>
    <row r="1539" spans="2:13">
      <c r="B1539" s="135"/>
      <c r="C1539" s="41"/>
      <c r="D1539" s="137"/>
      <c r="E1539" s="138"/>
      <c r="F1539" s="139"/>
      <c r="G1539" s="1" t="str">
        <f>IFERROR(IF(ventas_b_mes1255[[#This Row],[CUIT]]="","-",VLOOKUP(ventas_b_mes1255[[#This Row],[CUIT]],Lista_CUIT[#All],2,0)),"CUIT NO CARGADO")</f>
        <v>-</v>
      </c>
      <c r="H1539" s="100">
        <f>ventas_b_mes1255[[#This Row],[TOTAL]]/1.21</f>
        <v>0</v>
      </c>
      <c r="I1539" s="64">
        <f>ventas_b_mes1255[[#This Row],[IMPORTE NETO]]*0.21</f>
        <v>0</v>
      </c>
      <c r="J1539" s="141"/>
      <c r="K1539" s="141"/>
      <c r="L1539" s="141"/>
      <c r="M1539" s="59"/>
    </row>
    <row r="1540" spans="2:13">
      <c r="B1540" s="135"/>
      <c r="C1540" s="41"/>
      <c r="D1540" s="137"/>
      <c r="E1540" s="138"/>
      <c r="F1540" s="139"/>
      <c r="G1540" s="1" t="str">
        <f>IFERROR(IF(ventas_b_mes1255[[#This Row],[CUIT]]="","-",VLOOKUP(ventas_b_mes1255[[#This Row],[CUIT]],Lista_CUIT[#All],2,0)),"CUIT NO CARGADO")</f>
        <v>-</v>
      </c>
      <c r="H1540" s="100">
        <f>ventas_b_mes1255[[#This Row],[TOTAL]]/1.21</f>
        <v>0</v>
      </c>
      <c r="I1540" s="64">
        <f>ventas_b_mes1255[[#This Row],[IMPORTE NETO]]*0.21</f>
        <v>0</v>
      </c>
      <c r="J1540" s="141"/>
      <c r="K1540" s="141"/>
      <c r="L1540" s="141"/>
      <c r="M1540" s="59"/>
    </row>
    <row r="1541" spans="2:13">
      <c r="B1541" s="135"/>
      <c r="C1541" s="41"/>
      <c r="D1541" s="137"/>
      <c r="E1541" s="138"/>
      <c r="F1541" s="139"/>
      <c r="G1541" s="1" t="str">
        <f>IFERROR(IF(ventas_b_mes1255[[#This Row],[CUIT]]="","-",VLOOKUP(ventas_b_mes1255[[#This Row],[CUIT]],Lista_CUIT[#All],2,0)),"CUIT NO CARGADO")</f>
        <v>-</v>
      </c>
      <c r="H1541" s="100">
        <f>ventas_b_mes1255[[#This Row],[TOTAL]]/1.21</f>
        <v>0</v>
      </c>
      <c r="I1541" s="64">
        <f>ventas_b_mes1255[[#This Row],[IMPORTE NETO]]*0.21</f>
        <v>0</v>
      </c>
      <c r="J1541" s="141"/>
      <c r="K1541" s="141"/>
      <c r="L1541" s="141"/>
      <c r="M1541" s="59"/>
    </row>
    <row r="1542" spans="2:13">
      <c r="B1542" s="135"/>
      <c r="C1542" s="41"/>
      <c r="D1542" s="137"/>
      <c r="E1542" s="138"/>
      <c r="F1542" s="139"/>
      <c r="G1542" s="1" t="str">
        <f>IFERROR(IF(ventas_b_mes1255[[#This Row],[CUIT]]="","-",VLOOKUP(ventas_b_mes1255[[#This Row],[CUIT]],Lista_CUIT[#All],2,0)),"CUIT NO CARGADO")</f>
        <v>-</v>
      </c>
      <c r="H1542" s="100">
        <f>ventas_b_mes1255[[#This Row],[TOTAL]]/1.21</f>
        <v>0</v>
      </c>
      <c r="I1542" s="64">
        <f>ventas_b_mes1255[[#This Row],[IMPORTE NETO]]*0.21</f>
        <v>0</v>
      </c>
      <c r="J1542" s="141"/>
      <c r="K1542" s="141"/>
      <c r="L1542" s="141"/>
      <c r="M1542" s="59"/>
    </row>
    <row r="1543" spans="2:13">
      <c r="B1543" s="135"/>
      <c r="C1543" s="41"/>
      <c r="D1543" s="137"/>
      <c r="E1543" s="138"/>
      <c r="F1543" s="139"/>
      <c r="G1543" s="1" t="str">
        <f>IFERROR(IF(ventas_b_mes1255[[#This Row],[CUIT]]="","-",VLOOKUP(ventas_b_mes1255[[#This Row],[CUIT]],Lista_CUIT[#All],2,0)),"CUIT NO CARGADO")</f>
        <v>-</v>
      </c>
      <c r="H1543" s="100">
        <f>ventas_b_mes1255[[#This Row],[TOTAL]]/1.21</f>
        <v>0</v>
      </c>
      <c r="I1543" s="64">
        <f>ventas_b_mes1255[[#This Row],[IMPORTE NETO]]*0.21</f>
        <v>0</v>
      </c>
      <c r="J1543" s="141"/>
      <c r="K1543" s="141"/>
      <c r="L1543" s="141"/>
      <c r="M1543" s="59"/>
    </row>
    <row r="1544" spans="2:13">
      <c r="B1544" s="135"/>
      <c r="C1544" s="41"/>
      <c r="D1544" s="137"/>
      <c r="E1544" s="138"/>
      <c r="F1544" s="139"/>
      <c r="G1544" s="1" t="str">
        <f>IFERROR(IF(ventas_b_mes1255[[#This Row],[CUIT]]="","-",VLOOKUP(ventas_b_mes1255[[#This Row],[CUIT]],Lista_CUIT[#All],2,0)),"CUIT NO CARGADO")</f>
        <v>-</v>
      </c>
      <c r="H1544" s="100">
        <f>ventas_b_mes1255[[#This Row],[TOTAL]]/1.21</f>
        <v>0</v>
      </c>
      <c r="I1544" s="64">
        <f>ventas_b_mes1255[[#This Row],[IMPORTE NETO]]*0.21</f>
        <v>0</v>
      </c>
      <c r="J1544" s="141"/>
      <c r="K1544" s="141"/>
      <c r="L1544" s="141"/>
      <c r="M1544" s="59"/>
    </row>
    <row r="1545" spans="2:13">
      <c r="B1545" s="135"/>
      <c r="C1545" s="41"/>
      <c r="D1545" s="137"/>
      <c r="E1545" s="138"/>
      <c r="F1545" s="139"/>
      <c r="G1545" s="1" t="str">
        <f>IFERROR(IF(ventas_b_mes1255[[#This Row],[CUIT]]="","-",VLOOKUP(ventas_b_mes1255[[#This Row],[CUIT]],Lista_CUIT[#All],2,0)),"CUIT NO CARGADO")</f>
        <v>-</v>
      </c>
      <c r="H1545" s="100">
        <f>ventas_b_mes1255[[#This Row],[TOTAL]]/1.21</f>
        <v>0</v>
      </c>
      <c r="I1545" s="64">
        <f>ventas_b_mes1255[[#This Row],[IMPORTE NETO]]*0.21</f>
        <v>0</v>
      </c>
      <c r="J1545" s="141"/>
      <c r="K1545" s="141"/>
      <c r="L1545" s="141"/>
      <c r="M1545" s="59"/>
    </row>
    <row r="1546" spans="2:13">
      <c r="B1546" s="135"/>
      <c r="C1546" s="41"/>
      <c r="D1546" s="137"/>
      <c r="E1546" s="138"/>
      <c r="F1546" s="139"/>
      <c r="G1546" s="1" t="str">
        <f>IFERROR(IF(ventas_b_mes1255[[#This Row],[CUIT]]="","-",VLOOKUP(ventas_b_mes1255[[#This Row],[CUIT]],Lista_CUIT[#All],2,0)),"CUIT NO CARGADO")</f>
        <v>-</v>
      </c>
      <c r="H1546" s="100">
        <f>ventas_b_mes1255[[#This Row],[TOTAL]]/1.21</f>
        <v>0</v>
      </c>
      <c r="I1546" s="64">
        <f>ventas_b_mes1255[[#This Row],[IMPORTE NETO]]*0.21</f>
        <v>0</v>
      </c>
      <c r="J1546" s="141"/>
      <c r="K1546" s="141"/>
      <c r="L1546" s="141"/>
      <c r="M1546" s="59"/>
    </row>
    <row r="1547" spans="2:13">
      <c r="B1547" s="135"/>
      <c r="C1547" s="41"/>
      <c r="D1547" s="137"/>
      <c r="E1547" s="138"/>
      <c r="F1547" s="139"/>
      <c r="G1547" s="1" t="str">
        <f>IFERROR(IF(ventas_b_mes1255[[#This Row],[CUIT]]="","-",VLOOKUP(ventas_b_mes1255[[#This Row],[CUIT]],Lista_CUIT[#All],2,0)),"CUIT NO CARGADO")</f>
        <v>-</v>
      </c>
      <c r="H1547" s="100">
        <f>ventas_b_mes1255[[#This Row],[TOTAL]]/1.21</f>
        <v>0</v>
      </c>
      <c r="I1547" s="64">
        <f>ventas_b_mes1255[[#This Row],[IMPORTE NETO]]*0.21</f>
        <v>0</v>
      </c>
      <c r="J1547" s="141"/>
      <c r="K1547" s="141"/>
      <c r="L1547" s="141"/>
      <c r="M1547" s="59"/>
    </row>
    <row r="1548" spans="2:13">
      <c r="B1548" s="135"/>
      <c r="C1548" s="41"/>
      <c r="D1548" s="137"/>
      <c r="E1548" s="138"/>
      <c r="F1548" s="139"/>
      <c r="G1548" s="1" t="str">
        <f>IFERROR(IF(ventas_b_mes1255[[#This Row],[CUIT]]="","-",VLOOKUP(ventas_b_mes1255[[#This Row],[CUIT]],Lista_CUIT[#All],2,0)),"CUIT NO CARGADO")</f>
        <v>-</v>
      </c>
      <c r="H1548" s="100">
        <f>ventas_b_mes1255[[#This Row],[TOTAL]]/1.21</f>
        <v>0</v>
      </c>
      <c r="I1548" s="64">
        <f>ventas_b_mes1255[[#This Row],[IMPORTE NETO]]*0.21</f>
        <v>0</v>
      </c>
      <c r="J1548" s="141"/>
      <c r="K1548" s="141"/>
      <c r="L1548" s="141"/>
      <c r="M1548" s="59"/>
    </row>
    <row r="1549" spans="2:13">
      <c r="B1549" s="135"/>
      <c r="C1549" s="41"/>
      <c r="D1549" s="137"/>
      <c r="E1549" s="138"/>
      <c r="F1549" s="139"/>
      <c r="G1549" s="1" t="str">
        <f>IFERROR(IF(ventas_b_mes1255[[#This Row],[CUIT]]="","-",VLOOKUP(ventas_b_mes1255[[#This Row],[CUIT]],Lista_CUIT[#All],2,0)),"CUIT NO CARGADO")</f>
        <v>-</v>
      </c>
      <c r="H1549" s="100">
        <f>ventas_b_mes1255[[#This Row],[TOTAL]]/1.21</f>
        <v>0</v>
      </c>
      <c r="I1549" s="64">
        <f>ventas_b_mes1255[[#This Row],[IMPORTE NETO]]*0.21</f>
        <v>0</v>
      </c>
      <c r="J1549" s="141"/>
      <c r="K1549" s="141"/>
      <c r="L1549" s="141"/>
      <c r="M1549" s="59"/>
    </row>
    <row r="1550" spans="2:13">
      <c r="B1550" s="135"/>
      <c r="C1550" s="41"/>
      <c r="D1550" s="137"/>
      <c r="E1550" s="138"/>
      <c r="F1550" s="139"/>
      <c r="G1550" s="1" t="str">
        <f>IFERROR(IF(ventas_b_mes1255[[#This Row],[CUIT]]="","-",VLOOKUP(ventas_b_mes1255[[#This Row],[CUIT]],Lista_CUIT[#All],2,0)),"CUIT NO CARGADO")</f>
        <v>-</v>
      </c>
      <c r="H1550" s="100">
        <f>ventas_b_mes1255[[#This Row],[TOTAL]]/1.21</f>
        <v>0</v>
      </c>
      <c r="I1550" s="64">
        <f>ventas_b_mes1255[[#This Row],[IMPORTE NETO]]*0.21</f>
        <v>0</v>
      </c>
      <c r="J1550" s="141"/>
      <c r="K1550" s="141"/>
      <c r="L1550" s="141"/>
      <c r="M1550" s="59"/>
    </row>
    <row r="1551" spans="2:13">
      <c r="B1551" s="135"/>
      <c r="C1551" s="41"/>
      <c r="D1551" s="137"/>
      <c r="E1551" s="138"/>
      <c r="F1551" s="139"/>
      <c r="G1551" s="1" t="str">
        <f>IFERROR(IF(ventas_b_mes1255[[#This Row],[CUIT]]="","-",VLOOKUP(ventas_b_mes1255[[#This Row],[CUIT]],Lista_CUIT[#All],2,0)),"CUIT NO CARGADO")</f>
        <v>-</v>
      </c>
      <c r="H1551" s="100">
        <f>ventas_b_mes1255[[#This Row],[TOTAL]]/1.21</f>
        <v>0</v>
      </c>
      <c r="I1551" s="64">
        <f>ventas_b_mes1255[[#This Row],[IMPORTE NETO]]*0.21</f>
        <v>0</v>
      </c>
      <c r="J1551" s="141"/>
      <c r="K1551" s="141"/>
      <c r="L1551" s="141"/>
      <c r="M1551" s="59"/>
    </row>
    <row r="1552" spans="2:13">
      <c r="B1552" s="135"/>
      <c r="C1552" s="41"/>
      <c r="D1552" s="137"/>
      <c r="E1552" s="138"/>
      <c r="F1552" s="139"/>
      <c r="G1552" s="1" t="str">
        <f>IFERROR(IF(ventas_b_mes1255[[#This Row],[CUIT]]="","-",VLOOKUP(ventas_b_mes1255[[#This Row],[CUIT]],Lista_CUIT[#All],2,0)),"CUIT NO CARGADO")</f>
        <v>-</v>
      </c>
      <c r="H1552" s="100">
        <f>ventas_b_mes1255[[#This Row],[TOTAL]]/1.21</f>
        <v>0</v>
      </c>
      <c r="I1552" s="64">
        <f>ventas_b_mes1255[[#This Row],[IMPORTE NETO]]*0.21</f>
        <v>0</v>
      </c>
      <c r="J1552" s="141"/>
      <c r="K1552" s="141"/>
      <c r="L1552" s="141"/>
      <c r="M1552" s="59"/>
    </row>
    <row r="1553" spans="2:13">
      <c r="B1553" s="135"/>
      <c r="C1553" s="41"/>
      <c r="D1553" s="137"/>
      <c r="E1553" s="138"/>
      <c r="F1553" s="139"/>
      <c r="G1553" s="1" t="str">
        <f>IFERROR(IF(ventas_b_mes1255[[#This Row],[CUIT]]="","-",VLOOKUP(ventas_b_mes1255[[#This Row],[CUIT]],Lista_CUIT[#All],2,0)),"CUIT NO CARGADO")</f>
        <v>-</v>
      </c>
      <c r="H1553" s="100">
        <f>ventas_b_mes1255[[#This Row],[TOTAL]]/1.21</f>
        <v>0</v>
      </c>
      <c r="I1553" s="64">
        <f>ventas_b_mes1255[[#This Row],[IMPORTE NETO]]*0.21</f>
        <v>0</v>
      </c>
      <c r="J1553" s="141"/>
      <c r="K1553" s="141"/>
      <c r="L1553" s="141"/>
      <c r="M1553" s="59"/>
    </row>
    <row r="1554" spans="2:13">
      <c r="B1554" s="135"/>
      <c r="C1554" s="41"/>
      <c r="D1554" s="137"/>
      <c r="E1554" s="138"/>
      <c r="F1554" s="139"/>
      <c r="G1554" s="1" t="str">
        <f>IFERROR(IF(ventas_b_mes1255[[#This Row],[CUIT]]="","-",VLOOKUP(ventas_b_mes1255[[#This Row],[CUIT]],Lista_CUIT[#All],2,0)),"CUIT NO CARGADO")</f>
        <v>-</v>
      </c>
      <c r="H1554" s="100">
        <f>ventas_b_mes1255[[#This Row],[TOTAL]]/1.21</f>
        <v>0</v>
      </c>
      <c r="I1554" s="64">
        <f>ventas_b_mes1255[[#This Row],[IMPORTE NETO]]*0.21</f>
        <v>0</v>
      </c>
      <c r="J1554" s="141"/>
      <c r="K1554" s="141"/>
      <c r="L1554" s="141"/>
      <c r="M1554" s="59"/>
    </row>
    <row r="1555" spans="2:13">
      <c r="B1555" s="135"/>
      <c r="C1555" s="41"/>
      <c r="D1555" s="137"/>
      <c r="E1555" s="138"/>
      <c r="F1555" s="139"/>
      <c r="G1555" s="1" t="str">
        <f>IFERROR(IF(ventas_b_mes1255[[#This Row],[CUIT]]="","-",VLOOKUP(ventas_b_mes1255[[#This Row],[CUIT]],Lista_CUIT[#All],2,0)),"CUIT NO CARGADO")</f>
        <v>-</v>
      </c>
      <c r="H1555" s="100">
        <f>ventas_b_mes1255[[#This Row],[TOTAL]]/1.21</f>
        <v>0</v>
      </c>
      <c r="I1555" s="64">
        <f>ventas_b_mes1255[[#This Row],[IMPORTE NETO]]*0.21</f>
        <v>0</v>
      </c>
      <c r="J1555" s="141"/>
      <c r="K1555" s="141"/>
      <c r="L1555" s="141"/>
      <c r="M1555" s="59"/>
    </row>
    <row r="1556" spans="2:13">
      <c r="B1556" s="135"/>
      <c r="C1556" s="41"/>
      <c r="D1556" s="137"/>
      <c r="E1556" s="138"/>
      <c r="F1556" s="139"/>
      <c r="G1556" s="1" t="str">
        <f>IFERROR(IF(ventas_b_mes1255[[#This Row],[CUIT]]="","-",VLOOKUP(ventas_b_mes1255[[#This Row],[CUIT]],Lista_CUIT[#All],2,0)),"CUIT NO CARGADO")</f>
        <v>-</v>
      </c>
      <c r="H1556" s="100">
        <f>ventas_b_mes1255[[#This Row],[TOTAL]]/1.21</f>
        <v>0</v>
      </c>
      <c r="I1556" s="64">
        <f>ventas_b_mes1255[[#This Row],[IMPORTE NETO]]*0.21</f>
        <v>0</v>
      </c>
      <c r="J1556" s="141"/>
      <c r="K1556" s="141"/>
      <c r="L1556" s="141"/>
      <c r="M1556" s="59"/>
    </row>
    <row r="1557" spans="2:13">
      <c r="B1557" s="135"/>
      <c r="C1557" s="41"/>
      <c r="D1557" s="137"/>
      <c r="E1557" s="138"/>
      <c r="F1557" s="139"/>
      <c r="G1557" s="1" t="str">
        <f>IFERROR(IF(ventas_b_mes1255[[#This Row],[CUIT]]="","-",VLOOKUP(ventas_b_mes1255[[#This Row],[CUIT]],Lista_CUIT[#All],2,0)),"CUIT NO CARGADO")</f>
        <v>-</v>
      </c>
      <c r="H1557" s="100">
        <f>ventas_b_mes1255[[#This Row],[TOTAL]]/1.21</f>
        <v>0</v>
      </c>
      <c r="I1557" s="64">
        <f>ventas_b_mes1255[[#This Row],[IMPORTE NETO]]*0.21</f>
        <v>0</v>
      </c>
      <c r="J1557" s="141"/>
      <c r="K1557" s="141"/>
      <c r="L1557" s="141"/>
      <c r="M1557" s="59"/>
    </row>
    <row r="1558" spans="2:13">
      <c r="B1558" s="135"/>
      <c r="C1558" s="41"/>
      <c r="D1558" s="137"/>
      <c r="E1558" s="138"/>
      <c r="F1558" s="139"/>
      <c r="G1558" s="1" t="str">
        <f>IFERROR(IF(ventas_b_mes1255[[#This Row],[CUIT]]="","-",VLOOKUP(ventas_b_mes1255[[#This Row],[CUIT]],Lista_CUIT[#All],2,0)),"CUIT NO CARGADO")</f>
        <v>-</v>
      </c>
      <c r="H1558" s="100">
        <f>ventas_b_mes1255[[#This Row],[TOTAL]]/1.21</f>
        <v>0</v>
      </c>
      <c r="I1558" s="64">
        <f>ventas_b_mes1255[[#This Row],[IMPORTE NETO]]*0.21</f>
        <v>0</v>
      </c>
      <c r="J1558" s="141"/>
      <c r="K1558" s="141"/>
      <c r="L1558" s="141"/>
      <c r="M1558" s="59"/>
    </row>
    <row r="1559" spans="2:13">
      <c r="B1559" s="135"/>
      <c r="C1559" s="41"/>
      <c r="D1559" s="137"/>
      <c r="E1559" s="138"/>
      <c r="F1559" s="139"/>
      <c r="G1559" s="1" t="str">
        <f>IFERROR(IF(ventas_b_mes1255[[#This Row],[CUIT]]="","-",VLOOKUP(ventas_b_mes1255[[#This Row],[CUIT]],Lista_CUIT[#All],2,0)),"CUIT NO CARGADO")</f>
        <v>-</v>
      </c>
      <c r="H1559" s="100">
        <f>ventas_b_mes1255[[#This Row],[TOTAL]]/1.21</f>
        <v>0</v>
      </c>
      <c r="I1559" s="64">
        <f>ventas_b_mes1255[[#This Row],[IMPORTE NETO]]*0.21</f>
        <v>0</v>
      </c>
      <c r="J1559" s="141"/>
      <c r="K1559" s="141"/>
      <c r="L1559" s="141"/>
      <c r="M1559" s="59"/>
    </row>
    <row r="1560" spans="2:13">
      <c r="B1560" s="135"/>
      <c r="C1560" s="41"/>
      <c r="D1560" s="137"/>
      <c r="E1560" s="138"/>
      <c r="F1560" s="139"/>
      <c r="G1560" s="1" t="str">
        <f>IFERROR(IF(ventas_b_mes1255[[#This Row],[CUIT]]="","-",VLOOKUP(ventas_b_mes1255[[#This Row],[CUIT]],Lista_CUIT[#All],2,0)),"CUIT NO CARGADO")</f>
        <v>-</v>
      </c>
      <c r="H1560" s="100">
        <f>ventas_b_mes1255[[#This Row],[TOTAL]]/1.21</f>
        <v>0</v>
      </c>
      <c r="I1560" s="64">
        <f>ventas_b_mes1255[[#This Row],[IMPORTE NETO]]*0.21</f>
        <v>0</v>
      </c>
      <c r="J1560" s="141"/>
      <c r="K1560" s="141"/>
      <c r="L1560" s="141"/>
      <c r="M1560" s="59"/>
    </row>
    <row r="1561" spans="2:13">
      <c r="B1561" s="135"/>
      <c r="C1561" s="41"/>
      <c r="D1561" s="137"/>
      <c r="E1561" s="138"/>
      <c r="F1561" s="139"/>
      <c r="G1561" s="1" t="str">
        <f>IFERROR(IF(ventas_b_mes1255[[#This Row],[CUIT]]="","-",VLOOKUP(ventas_b_mes1255[[#This Row],[CUIT]],Lista_CUIT[#All],2,0)),"CUIT NO CARGADO")</f>
        <v>-</v>
      </c>
      <c r="H1561" s="100">
        <f>ventas_b_mes1255[[#This Row],[TOTAL]]/1.21</f>
        <v>0</v>
      </c>
      <c r="I1561" s="64">
        <f>ventas_b_mes1255[[#This Row],[IMPORTE NETO]]*0.21</f>
        <v>0</v>
      </c>
      <c r="J1561" s="141"/>
      <c r="K1561" s="141"/>
      <c r="L1561" s="141"/>
      <c r="M1561" s="59"/>
    </row>
    <row r="1562" spans="2:13">
      <c r="B1562" s="135"/>
      <c r="C1562" s="41"/>
      <c r="D1562" s="137"/>
      <c r="E1562" s="138"/>
      <c r="F1562" s="139"/>
      <c r="G1562" s="1" t="str">
        <f>IFERROR(IF(ventas_b_mes1255[[#This Row],[CUIT]]="","-",VLOOKUP(ventas_b_mes1255[[#This Row],[CUIT]],Lista_CUIT[#All],2,0)),"CUIT NO CARGADO")</f>
        <v>-</v>
      </c>
      <c r="H1562" s="100">
        <f>ventas_b_mes1255[[#This Row],[TOTAL]]/1.21</f>
        <v>0</v>
      </c>
      <c r="I1562" s="64">
        <f>ventas_b_mes1255[[#This Row],[IMPORTE NETO]]*0.21</f>
        <v>0</v>
      </c>
      <c r="J1562" s="141"/>
      <c r="K1562" s="141"/>
      <c r="L1562" s="141"/>
      <c r="M1562" s="59"/>
    </row>
    <row r="1563" spans="2:13">
      <c r="B1563" s="135"/>
      <c r="C1563" s="41"/>
      <c r="D1563" s="137"/>
      <c r="E1563" s="138"/>
      <c r="F1563" s="139"/>
      <c r="G1563" s="1" t="str">
        <f>IFERROR(IF(ventas_b_mes1255[[#This Row],[CUIT]]="","-",VLOOKUP(ventas_b_mes1255[[#This Row],[CUIT]],Lista_CUIT[#All],2,0)),"CUIT NO CARGADO")</f>
        <v>-</v>
      </c>
      <c r="H1563" s="100">
        <f>ventas_b_mes1255[[#This Row],[TOTAL]]/1.21</f>
        <v>0</v>
      </c>
      <c r="I1563" s="64">
        <f>ventas_b_mes1255[[#This Row],[IMPORTE NETO]]*0.21</f>
        <v>0</v>
      </c>
      <c r="J1563" s="141"/>
      <c r="K1563" s="141"/>
      <c r="L1563" s="141"/>
      <c r="M1563" s="59"/>
    </row>
    <row r="1564" spans="2:13">
      <c r="B1564" s="135"/>
      <c r="C1564" s="41"/>
      <c r="D1564" s="137"/>
      <c r="E1564" s="138"/>
      <c r="F1564" s="139"/>
      <c r="G1564" s="1" t="str">
        <f>IFERROR(IF(ventas_b_mes1255[[#This Row],[CUIT]]="","-",VLOOKUP(ventas_b_mes1255[[#This Row],[CUIT]],Lista_CUIT[#All],2,0)),"CUIT NO CARGADO")</f>
        <v>-</v>
      </c>
      <c r="H1564" s="100">
        <f>ventas_b_mes1255[[#This Row],[TOTAL]]/1.21</f>
        <v>0</v>
      </c>
      <c r="I1564" s="64">
        <f>ventas_b_mes1255[[#This Row],[IMPORTE NETO]]*0.21</f>
        <v>0</v>
      </c>
      <c r="J1564" s="141"/>
      <c r="K1564" s="141"/>
      <c r="L1564" s="141"/>
      <c r="M1564" s="59"/>
    </row>
    <row r="1565" spans="2:13">
      <c r="B1565" s="135"/>
      <c r="C1565" s="41"/>
      <c r="D1565" s="137"/>
      <c r="E1565" s="138"/>
      <c r="F1565" s="139"/>
      <c r="G1565" s="1" t="str">
        <f>IFERROR(IF(ventas_b_mes1255[[#This Row],[CUIT]]="","-",VLOOKUP(ventas_b_mes1255[[#This Row],[CUIT]],Lista_CUIT[#All],2,0)),"CUIT NO CARGADO")</f>
        <v>-</v>
      </c>
      <c r="H1565" s="100">
        <f>ventas_b_mes1255[[#This Row],[TOTAL]]/1.21</f>
        <v>0</v>
      </c>
      <c r="I1565" s="64">
        <f>ventas_b_mes1255[[#This Row],[IMPORTE NETO]]*0.21</f>
        <v>0</v>
      </c>
      <c r="J1565" s="141"/>
      <c r="K1565" s="141"/>
      <c r="L1565" s="141"/>
      <c r="M1565" s="59"/>
    </row>
    <row r="1566" spans="2:13">
      <c r="B1566" s="135"/>
      <c r="C1566" s="41"/>
      <c r="D1566" s="137"/>
      <c r="E1566" s="138"/>
      <c r="F1566" s="139"/>
      <c r="G1566" s="1" t="str">
        <f>IFERROR(IF(ventas_b_mes1255[[#This Row],[CUIT]]="","-",VLOOKUP(ventas_b_mes1255[[#This Row],[CUIT]],Lista_CUIT[#All],2,0)),"CUIT NO CARGADO")</f>
        <v>-</v>
      </c>
      <c r="H1566" s="100">
        <f>ventas_b_mes1255[[#This Row],[TOTAL]]/1.21</f>
        <v>0</v>
      </c>
      <c r="I1566" s="64">
        <f>ventas_b_mes1255[[#This Row],[IMPORTE NETO]]*0.21</f>
        <v>0</v>
      </c>
      <c r="J1566" s="141"/>
      <c r="K1566" s="141"/>
      <c r="L1566" s="141"/>
      <c r="M1566" s="59"/>
    </row>
    <row r="1567" spans="2:13">
      <c r="B1567" s="135"/>
      <c r="C1567" s="41"/>
      <c r="D1567" s="137"/>
      <c r="E1567" s="138"/>
      <c r="F1567" s="139"/>
      <c r="G1567" s="1" t="str">
        <f>IFERROR(IF(ventas_b_mes1255[[#This Row],[CUIT]]="","-",VLOOKUP(ventas_b_mes1255[[#This Row],[CUIT]],Lista_CUIT[#All],2,0)),"CUIT NO CARGADO")</f>
        <v>-</v>
      </c>
      <c r="H1567" s="100">
        <f>ventas_b_mes1255[[#This Row],[TOTAL]]/1.21</f>
        <v>0</v>
      </c>
      <c r="I1567" s="64">
        <f>ventas_b_mes1255[[#This Row],[IMPORTE NETO]]*0.21</f>
        <v>0</v>
      </c>
      <c r="J1567" s="141"/>
      <c r="K1567" s="141"/>
      <c r="L1567" s="141"/>
      <c r="M1567" s="59"/>
    </row>
    <row r="1568" spans="2:13">
      <c r="B1568" s="135"/>
      <c r="C1568" s="41"/>
      <c r="D1568" s="137"/>
      <c r="E1568" s="138"/>
      <c r="F1568" s="139"/>
      <c r="G1568" s="1" t="str">
        <f>IFERROR(IF(ventas_b_mes1255[[#This Row],[CUIT]]="","-",VLOOKUP(ventas_b_mes1255[[#This Row],[CUIT]],Lista_CUIT[#All],2,0)),"CUIT NO CARGADO")</f>
        <v>-</v>
      </c>
      <c r="H1568" s="100">
        <f>ventas_b_mes1255[[#This Row],[TOTAL]]/1.21</f>
        <v>0</v>
      </c>
      <c r="I1568" s="64">
        <f>ventas_b_mes1255[[#This Row],[IMPORTE NETO]]*0.21</f>
        <v>0</v>
      </c>
      <c r="J1568" s="141"/>
      <c r="K1568" s="141"/>
      <c r="L1568" s="141"/>
      <c r="M1568" s="59"/>
    </row>
    <row r="1569" spans="2:13">
      <c r="B1569" s="135"/>
      <c r="C1569" s="41"/>
      <c r="D1569" s="137"/>
      <c r="E1569" s="138"/>
      <c r="F1569" s="139"/>
      <c r="G1569" s="1" t="str">
        <f>IFERROR(IF(ventas_b_mes1255[[#This Row],[CUIT]]="","-",VLOOKUP(ventas_b_mes1255[[#This Row],[CUIT]],Lista_CUIT[#All],2,0)),"CUIT NO CARGADO")</f>
        <v>-</v>
      </c>
      <c r="H1569" s="100">
        <f>ventas_b_mes1255[[#This Row],[TOTAL]]/1.21</f>
        <v>0</v>
      </c>
      <c r="I1569" s="64">
        <f>ventas_b_mes1255[[#This Row],[IMPORTE NETO]]*0.21</f>
        <v>0</v>
      </c>
      <c r="J1569" s="141"/>
      <c r="K1569" s="141"/>
      <c r="L1569" s="141"/>
      <c r="M1569" s="59"/>
    </row>
    <row r="1570" spans="2:13">
      <c r="B1570" s="135"/>
      <c r="C1570" s="41"/>
      <c r="D1570" s="137"/>
      <c r="E1570" s="138"/>
      <c r="F1570" s="139"/>
      <c r="G1570" s="1" t="str">
        <f>IFERROR(IF(ventas_b_mes1255[[#This Row],[CUIT]]="","-",VLOOKUP(ventas_b_mes1255[[#This Row],[CUIT]],Lista_CUIT[#All],2,0)),"CUIT NO CARGADO")</f>
        <v>-</v>
      </c>
      <c r="H1570" s="100">
        <f>ventas_b_mes1255[[#This Row],[TOTAL]]/1.21</f>
        <v>0</v>
      </c>
      <c r="I1570" s="64">
        <f>ventas_b_mes1255[[#This Row],[IMPORTE NETO]]*0.21</f>
        <v>0</v>
      </c>
      <c r="J1570" s="141"/>
      <c r="K1570" s="141"/>
      <c r="L1570" s="141"/>
      <c r="M1570" s="59"/>
    </row>
    <row r="1571" spans="2:13">
      <c r="B1571" s="135"/>
      <c r="C1571" s="41"/>
      <c r="D1571" s="137"/>
      <c r="E1571" s="138"/>
      <c r="F1571" s="139"/>
      <c r="G1571" s="1" t="str">
        <f>IFERROR(IF(ventas_b_mes1255[[#This Row],[CUIT]]="","-",VLOOKUP(ventas_b_mes1255[[#This Row],[CUIT]],Lista_CUIT[#All],2,0)),"CUIT NO CARGADO")</f>
        <v>-</v>
      </c>
      <c r="H1571" s="100">
        <f>ventas_b_mes1255[[#This Row],[TOTAL]]/1.21</f>
        <v>0</v>
      </c>
      <c r="I1571" s="64">
        <f>ventas_b_mes1255[[#This Row],[IMPORTE NETO]]*0.21</f>
        <v>0</v>
      </c>
      <c r="J1571" s="141"/>
      <c r="K1571" s="141"/>
      <c r="L1571" s="141"/>
      <c r="M1571" s="59"/>
    </row>
    <row r="1572" spans="2:13">
      <c r="B1572" s="135"/>
      <c r="C1572" s="41"/>
      <c r="D1572" s="137"/>
      <c r="E1572" s="138"/>
      <c r="F1572" s="139"/>
      <c r="G1572" s="1" t="str">
        <f>IFERROR(IF(ventas_b_mes1255[[#This Row],[CUIT]]="","-",VLOOKUP(ventas_b_mes1255[[#This Row],[CUIT]],Lista_CUIT[#All],2,0)),"CUIT NO CARGADO")</f>
        <v>-</v>
      </c>
      <c r="H1572" s="100">
        <f>ventas_b_mes1255[[#This Row],[TOTAL]]/1.21</f>
        <v>0</v>
      </c>
      <c r="I1572" s="64">
        <f>ventas_b_mes1255[[#This Row],[IMPORTE NETO]]*0.21</f>
        <v>0</v>
      </c>
      <c r="J1572" s="141"/>
      <c r="K1572" s="141"/>
      <c r="L1572" s="141"/>
      <c r="M1572" s="59"/>
    </row>
    <row r="1573" spans="2:13">
      <c r="B1573" s="135"/>
      <c r="C1573" s="41"/>
      <c r="D1573" s="137"/>
      <c r="E1573" s="138"/>
      <c r="F1573" s="139"/>
      <c r="G1573" s="1" t="str">
        <f>IFERROR(IF(ventas_b_mes1255[[#This Row],[CUIT]]="","-",VLOOKUP(ventas_b_mes1255[[#This Row],[CUIT]],Lista_CUIT[#All],2,0)),"CUIT NO CARGADO")</f>
        <v>-</v>
      </c>
      <c r="H1573" s="100">
        <f>ventas_b_mes1255[[#This Row],[TOTAL]]/1.21</f>
        <v>0</v>
      </c>
      <c r="I1573" s="64">
        <f>ventas_b_mes1255[[#This Row],[IMPORTE NETO]]*0.21</f>
        <v>0</v>
      </c>
      <c r="J1573" s="141"/>
      <c r="K1573" s="141"/>
      <c r="L1573" s="141"/>
      <c r="M1573" s="59"/>
    </row>
    <row r="1574" spans="2:13">
      <c r="B1574" s="135"/>
      <c r="C1574" s="41"/>
      <c r="D1574" s="137"/>
      <c r="E1574" s="138"/>
      <c r="F1574" s="139"/>
      <c r="G1574" s="1" t="str">
        <f>IFERROR(IF(ventas_b_mes1255[[#This Row],[CUIT]]="","-",VLOOKUP(ventas_b_mes1255[[#This Row],[CUIT]],Lista_CUIT[#All],2,0)),"CUIT NO CARGADO")</f>
        <v>-</v>
      </c>
      <c r="H1574" s="100">
        <f>ventas_b_mes1255[[#This Row],[TOTAL]]/1.21</f>
        <v>0</v>
      </c>
      <c r="I1574" s="64">
        <f>ventas_b_mes1255[[#This Row],[IMPORTE NETO]]*0.21</f>
        <v>0</v>
      </c>
      <c r="J1574" s="141"/>
      <c r="K1574" s="141"/>
      <c r="L1574" s="141"/>
      <c r="M1574" s="59"/>
    </row>
    <row r="1575" spans="2:13">
      <c r="B1575" s="135"/>
      <c r="C1575" s="41"/>
      <c r="D1575" s="137"/>
      <c r="E1575" s="138"/>
      <c r="F1575" s="139"/>
      <c r="G1575" s="1" t="str">
        <f>IFERROR(IF(ventas_b_mes1255[[#This Row],[CUIT]]="","-",VLOOKUP(ventas_b_mes1255[[#This Row],[CUIT]],Lista_CUIT[#All],2,0)),"CUIT NO CARGADO")</f>
        <v>-</v>
      </c>
      <c r="H1575" s="100">
        <f>ventas_b_mes1255[[#This Row],[TOTAL]]/1.21</f>
        <v>0</v>
      </c>
      <c r="I1575" s="64">
        <f>ventas_b_mes1255[[#This Row],[IMPORTE NETO]]*0.21</f>
        <v>0</v>
      </c>
      <c r="J1575" s="141"/>
      <c r="K1575" s="141"/>
      <c r="L1575" s="141"/>
      <c r="M1575" s="59"/>
    </row>
    <row r="1576" spans="2:13">
      <c r="B1576" s="135"/>
      <c r="C1576" s="41"/>
      <c r="D1576" s="137"/>
      <c r="E1576" s="138"/>
      <c r="F1576" s="139"/>
      <c r="G1576" s="1" t="str">
        <f>IFERROR(IF(ventas_b_mes1255[[#This Row],[CUIT]]="","-",VLOOKUP(ventas_b_mes1255[[#This Row],[CUIT]],Lista_CUIT[#All],2,0)),"CUIT NO CARGADO")</f>
        <v>-</v>
      </c>
      <c r="H1576" s="100">
        <f>ventas_b_mes1255[[#This Row],[TOTAL]]/1.21</f>
        <v>0</v>
      </c>
      <c r="I1576" s="64">
        <f>ventas_b_mes1255[[#This Row],[IMPORTE NETO]]*0.21</f>
        <v>0</v>
      </c>
      <c r="J1576" s="141"/>
      <c r="K1576" s="141"/>
      <c r="L1576" s="141"/>
      <c r="M1576" s="59"/>
    </row>
    <row r="1577" spans="2:13">
      <c r="B1577" s="135"/>
      <c r="C1577" s="41"/>
      <c r="D1577" s="137"/>
      <c r="E1577" s="138"/>
      <c r="F1577" s="139"/>
      <c r="G1577" s="1" t="str">
        <f>IFERROR(IF(ventas_b_mes1255[[#This Row],[CUIT]]="","-",VLOOKUP(ventas_b_mes1255[[#This Row],[CUIT]],Lista_CUIT[#All],2,0)),"CUIT NO CARGADO")</f>
        <v>-</v>
      </c>
      <c r="H1577" s="100">
        <f>ventas_b_mes1255[[#This Row],[TOTAL]]/1.21</f>
        <v>0</v>
      </c>
      <c r="I1577" s="64">
        <f>ventas_b_mes1255[[#This Row],[IMPORTE NETO]]*0.21</f>
        <v>0</v>
      </c>
      <c r="J1577" s="141"/>
      <c r="K1577" s="141"/>
      <c r="L1577" s="141"/>
      <c r="M1577" s="59"/>
    </row>
    <row r="1578" spans="2:13">
      <c r="B1578" s="135"/>
      <c r="C1578" s="41"/>
      <c r="D1578" s="137"/>
      <c r="E1578" s="138"/>
      <c r="F1578" s="139"/>
      <c r="G1578" s="1" t="str">
        <f>IFERROR(IF(ventas_b_mes1255[[#This Row],[CUIT]]="","-",VLOOKUP(ventas_b_mes1255[[#This Row],[CUIT]],Lista_CUIT[#All],2,0)),"CUIT NO CARGADO")</f>
        <v>-</v>
      </c>
      <c r="H1578" s="100">
        <f>ventas_b_mes1255[[#This Row],[TOTAL]]/1.21</f>
        <v>0</v>
      </c>
      <c r="I1578" s="64">
        <f>ventas_b_mes1255[[#This Row],[IMPORTE NETO]]*0.21</f>
        <v>0</v>
      </c>
      <c r="J1578" s="141"/>
      <c r="K1578" s="141"/>
      <c r="L1578" s="141"/>
      <c r="M1578" s="59"/>
    </row>
    <row r="1579" spans="2:13">
      <c r="B1579" s="135"/>
      <c r="C1579" s="41"/>
      <c r="D1579" s="137"/>
      <c r="E1579" s="138"/>
      <c r="F1579" s="139"/>
      <c r="G1579" s="1" t="str">
        <f>IFERROR(IF(ventas_b_mes1255[[#This Row],[CUIT]]="","-",VLOOKUP(ventas_b_mes1255[[#This Row],[CUIT]],Lista_CUIT[#All],2,0)),"CUIT NO CARGADO")</f>
        <v>-</v>
      </c>
      <c r="H1579" s="100">
        <f>ventas_b_mes1255[[#This Row],[TOTAL]]/1.21</f>
        <v>0</v>
      </c>
      <c r="I1579" s="64">
        <f>ventas_b_mes1255[[#This Row],[IMPORTE NETO]]*0.21</f>
        <v>0</v>
      </c>
      <c r="J1579" s="141"/>
      <c r="K1579" s="141"/>
      <c r="L1579" s="141"/>
      <c r="M1579" s="59"/>
    </row>
    <row r="1580" spans="2:13">
      <c r="B1580" s="135"/>
      <c r="C1580" s="41"/>
      <c r="D1580" s="137"/>
      <c r="E1580" s="138"/>
      <c r="F1580" s="139"/>
      <c r="G1580" s="1" t="str">
        <f>IFERROR(IF(ventas_b_mes1255[[#This Row],[CUIT]]="","-",VLOOKUP(ventas_b_mes1255[[#This Row],[CUIT]],Lista_CUIT[#All],2,0)),"CUIT NO CARGADO")</f>
        <v>-</v>
      </c>
      <c r="H1580" s="100">
        <f>ventas_b_mes1255[[#This Row],[TOTAL]]/1.21</f>
        <v>0</v>
      </c>
      <c r="I1580" s="64">
        <f>ventas_b_mes1255[[#This Row],[IMPORTE NETO]]*0.21</f>
        <v>0</v>
      </c>
      <c r="J1580" s="141"/>
      <c r="K1580" s="141"/>
      <c r="L1580" s="141"/>
      <c r="M1580" s="59"/>
    </row>
    <row r="1581" spans="2:13">
      <c r="B1581" s="135"/>
      <c r="C1581" s="41"/>
      <c r="D1581" s="137"/>
      <c r="E1581" s="138"/>
      <c r="F1581" s="139"/>
      <c r="G1581" s="1" t="str">
        <f>IFERROR(IF(ventas_b_mes1255[[#This Row],[CUIT]]="","-",VLOOKUP(ventas_b_mes1255[[#This Row],[CUIT]],Lista_CUIT[#All],2,0)),"CUIT NO CARGADO")</f>
        <v>-</v>
      </c>
      <c r="H1581" s="100">
        <f>ventas_b_mes1255[[#This Row],[TOTAL]]/1.21</f>
        <v>0</v>
      </c>
      <c r="I1581" s="64">
        <f>ventas_b_mes1255[[#This Row],[IMPORTE NETO]]*0.21</f>
        <v>0</v>
      </c>
      <c r="J1581" s="141"/>
      <c r="K1581" s="141"/>
      <c r="L1581" s="141"/>
      <c r="M1581" s="59"/>
    </row>
    <row r="1582" spans="2:13">
      <c r="B1582" s="135"/>
      <c r="C1582" s="41"/>
      <c r="D1582" s="137"/>
      <c r="E1582" s="138"/>
      <c r="F1582" s="139"/>
      <c r="G1582" s="1" t="str">
        <f>IFERROR(IF(ventas_b_mes1255[[#This Row],[CUIT]]="","-",VLOOKUP(ventas_b_mes1255[[#This Row],[CUIT]],Lista_CUIT[#All],2,0)),"CUIT NO CARGADO")</f>
        <v>-</v>
      </c>
      <c r="H1582" s="100">
        <f>ventas_b_mes1255[[#This Row],[TOTAL]]/1.21</f>
        <v>0</v>
      </c>
      <c r="I1582" s="64">
        <f>ventas_b_mes1255[[#This Row],[IMPORTE NETO]]*0.21</f>
        <v>0</v>
      </c>
      <c r="J1582" s="141"/>
      <c r="K1582" s="141"/>
      <c r="L1582" s="141"/>
      <c r="M1582" s="59"/>
    </row>
    <row r="1583" spans="2:13">
      <c r="B1583" s="135"/>
      <c r="C1583" s="41"/>
      <c r="D1583" s="137"/>
      <c r="E1583" s="138"/>
      <c r="F1583" s="139"/>
      <c r="G1583" s="1" t="str">
        <f>IFERROR(IF(ventas_b_mes1255[[#This Row],[CUIT]]="","-",VLOOKUP(ventas_b_mes1255[[#This Row],[CUIT]],Lista_CUIT[#All],2,0)),"CUIT NO CARGADO")</f>
        <v>-</v>
      </c>
      <c r="H1583" s="100">
        <f>ventas_b_mes1255[[#This Row],[TOTAL]]/1.21</f>
        <v>0</v>
      </c>
      <c r="I1583" s="64">
        <f>ventas_b_mes1255[[#This Row],[IMPORTE NETO]]*0.21</f>
        <v>0</v>
      </c>
      <c r="J1583" s="141"/>
      <c r="K1583" s="141"/>
      <c r="L1583" s="141"/>
      <c r="M1583" s="59"/>
    </row>
    <row r="1584" spans="2:13">
      <c r="B1584" s="135"/>
      <c r="C1584" s="41"/>
      <c r="D1584" s="137"/>
      <c r="E1584" s="138"/>
      <c r="F1584" s="139"/>
      <c r="G1584" s="1" t="str">
        <f>IFERROR(IF(ventas_b_mes1255[[#This Row],[CUIT]]="","-",VLOOKUP(ventas_b_mes1255[[#This Row],[CUIT]],Lista_CUIT[#All],2,0)),"CUIT NO CARGADO")</f>
        <v>-</v>
      </c>
      <c r="H1584" s="100">
        <f>ventas_b_mes1255[[#This Row],[TOTAL]]/1.21</f>
        <v>0</v>
      </c>
      <c r="I1584" s="64">
        <f>ventas_b_mes1255[[#This Row],[IMPORTE NETO]]*0.21</f>
        <v>0</v>
      </c>
      <c r="J1584" s="141"/>
      <c r="K1584" s="141"/>
      <c r="L1584" s="141"/>
      <c r="M1584" s="59"/>
    </row>
    <row r="1585" spans="2:13">
      <c r="B1585" s="135"/>
      <c r="C1585" s="41"/>
      <c r="D1585" s="137"/>
      <c r="E1585" s="138"/>
      <c r="F1585" s="139"/>
      <c r="G1585" s="1" t="str">
        <f>IFERROR(IF(ventas_b_mes1255[[#This Row],[CUIT]]="","-",VLOOKUP(ventas_b_mes1255[[#This Row],[CUIT]],Lista_CUIT[#All],2,0)),"CUIT NO CARGADO")</f>
        <v>-</v>
      </c>
      <c r="H1585" s="100">
        <f>ventas_b_mes1255[[#This Row],[TOTAL]]/1.21</f>
        <v>0</v>
      </c>
      <c r="I1585" s="64">
        <f>ventas_b_mes1255[[#This Row],[IMPORTE NETO]]*0.21</f>
        <v>0</v>
      </c>
      <c r="J1585" s="141"/>
      <c r="K1585" s="141"/>
      <c r="L1585" s="141"/>
      <c r="M1585" s="59"/>
    </row>
    <row r="1586" spans="2:13">
      <c r="B1586" s="135"/>
      <c r="C1586" s="41"/>
      <c r="D1586" s="137"/>
      <c r="E1586" s="138"/>
      <c r="F1586" s="139"/>
      <c r="G1586" s="1" t="str">
        <f>IFERROR(IF(ventas_b_mes1255[[#This Row],[CUIT]]="","-",VLOOKUP(ventas_b_mes1255[[#This Row],[CUIT]],Lista_CUIT[#All],2,0)),"CUIT NO CARGADO")</f>
        <v>-</v>
      </c>
      <c r="H1586" s="100">
        <f>ventas_b_mes1255[[#This Row],[TOTAL]]/1.21</f>
        <v>0</v>
      </c>
      <c r="I1586" s="64">
        <f>ventas_b_mes1255[[#This Row],[IMPORTE NETO]]*0.21</f>
        <v>0</v>
      </c>
      <c r="J1586" s="141"/>
      <c r="K1586" s="141"/>
      <c r="L1586" s="141"/>
      <c r="M1586" s="59"/>
    </row>
    <row r="1587" spans="2:13">
      <c r="B1587" s="135"/>
      <c r="C1587" s="41"/>
      <c r="D1587" s="137"/>
      <c r="E1587" s="138"/>
      <c r="F1587" s="139"/>
      <c r="G1587" s="1" t="str">
        <f>IFERROR(IF(ventas_b_mes1255[[#This Row],[CUIT]]="","-",VLOOKUP(ventas_b_mes1255[[#This Row],[CUIT]],Lista_CUIT[#All],2,0)),"CUIT NO CARGADO")</f>
        <v>-</v>
      </c>
      <c r="H1587" s="100">
        <f>ventas_b_mes1255[[#This Row],[TOTAL]]/1.21</f>
        <v>0</v>
      </c>
      <c r="I1587" s="64">
        <f>ventas_b_mes1255[[#This Row],[IMPORTE NETO]]*0.21</f>
        <v>0</v>
      </c>
      <c r="J1587" s="141"/>
      <c r="K1587" s="141"/>
      <c r="L1587" s="141"/>
      <c r="M1587" s="59"/>
    </row>
    <row r="1588" spans="2:13">
      <c r="B1588" s="135"/>
      <c r="C1588" s="41"/>
      <c r="D1588" s="137"/>
      <c r="E1588" s="138"/>
      <c r="F1588" s="139"/>
      <c r="G1588" s="1" t="str">
        <f>IFERROR(IF(ventas_b_mes1255[[#This Row],[CUIT]]="","-",VLOOKUP(ventas_b_mes1255[[#This Row],[CUIT]],Lista_CUIT[#All],2,0)),"CUIT NO CARGADO")</f>
        <v>-</v>
      </c>
      <c r="H1588" s="100">
        <f>ventas_b_mes1255[[#This Row],[TOTAL]]/1.21</f>
        <v>0</v>
      </c>
      <c r="I1588" s="64">
        <f>ventas_b_mes1255[[#This Row],[IMPORTE NETO]]*0.21</f>
        <v>0</v>
      </c>
      <c r="J1588" s="141"/>
      <c r="K1588" s="141"/>
      <c r="L1588" s="141"/>
      <c r="M1588" s="59"/>
    </row>
    <row r="1589" spans="2:13">
      <c r="B1589" s="135"/>
      <c r="C1589" s="41"/>
      <c r="D1589" s="137"/>
      <c r="E1589" s="138"/>
      <c r="F1589" s="139"/>
      <c r="G1589" s="1" t="str">
        <f>IFERROR(IF(ventas_b_mes1255[[#This Row],[CUIT]]="","-",VLOOKUP(ventas_b_mes1255[[#This Row],[CUIT]],Lista_CUIT[#All],2,0)),"CUIT NO CARGADO")</f>
        <v>-</v>
      </c>
      <c r="H1589" s="100">
        <f>ventas_b_mes1255[[#This Row],[TOTAL]]/1.21</f>
        <v>0</v>
      </c>
      <c r="I1589" s="64">
        <f>ventas_b_mes1255[[#This Row],[IMPORTE NETO]]*0.21</f>
        <v>0</v>
      </c>
      <c r="J1589" s="141"/>
      <c r="K1589" s="141"/>
      <c r="L1589" s="141"/>
      <c r="M1589" s="59"/>
    </row>
    <row r="1590" spans="2:13">
      <c r="B1590" s="135"/>
      <c r="C1590" s="41"/>
      <c r="D1590" s="137"/>
      <c r="E1590" s="138"/>
      <c r="F1590" s="139"/>
      <c r="G1590" s="1" t="str">
        <f>IFERROR(IF(ventas_b_mes1255[[#This Row],[CUIT]]="","-",VLOOKUP(ventas_b_mes1255[[#This Row],[CUIT]],Lista_CUIT[#All],2,0)),"CUIT NO CARGADO")</f>
        <v>-</v>
      </c>
      <c r="H1590" s="100">
        <f>ventas_b_mes1255[[#This Row],[TOTAL]]/1.21</f>
        <v>0</v>
      </c>
      <c r="I1590" s="64">
        <f>ventas_b_mes1255[[#This Row],[IMPORTE NETO]]*0.21</f>
        <v>0</v>
      </c>
      <c r="J1590" s="141"/>
      <c r="K1590" s="141"/>
      <c r="L1590" s="141"/>
      <c r="M1590" s="59"/>
    </row>
    <row r="1591" spans="2:13">
      <c r="B1591" s="135"/>
      <c r="C1591" s="41"/>
      <c r="D1591" s="137"/>
      <c r="E1591" s="138"/>
      <c r="F1591" s="139"/>
      <c r="G1591" s="1" t="str">
        <f>IFERROR(IF(ventas_b_mes1255[[#This Row],[CUIT]]="","-",VLOOKUP(ventas_b_mes1255[[#This Row],[CUIT]],Lista_CUIT[#All],2,0)),"CUIT NO CARGADO")</f>
        <v>-</v>
      </c>
      <c r="H1591" s="100">
        <f>ventas_b_mes1255[[#This Row],[TOTAL]]/1.21</f>
        <v>0</v>
      </c>
      <c r="I1591" s="64">
        <f>ventas_b_mes1255[[#This Row],[IMPORTE NETO]]*0.21</f>
        <v>0</v>
      </c>
      <c r="J1591" s="141"/>
      <c r="K1591" s="141"/>
      <c r="L1591" s="141"/>
      <c r="M1591" s="59"/>
    </row>
    <row r="1592" spans="2:13">
      <c r="B1592" s="135"/>
      <c r="C1592" s="41"/>
      <c r="D1592" s="137"/>
      <c r="E1592" s="138"/>
      <c r="F1592" s="139"/>
      <c r="G1592" s="1" t="str">
        <f>IFERROR(IF(ventas_b_mes1255[[#This Row],[CUIT]]="","-",VLOOKUP(ventas_b_mes1255[[#This Row],[CUIT]],Lista_CUIT[#All],2,0)),"CUIT NO CARGADO")</f>
        <v>-</v>
      </c>
      <c r="H1592" s="100">
        <f>ventas_b_mes1255[[#This Row],[TOTAL]]/1.21</f>
        <v>0</v>
      </c>
      <c r="I1592" s="64">
        <f>ventas_b_mes1255[[#This Row],[IMPORTE NETO]]*0.21</f>
        <v>0</v>
      </c>
      <c r="J1592" s="141"/>
      <c r="K1592" s="141"/>
      <c r="L1592" s="141"/>
      <c r="M1592" s="59"/>
    </row>
    <row r="1593" spans="2:13">
      <c r="B1593" s="135"/>
      <c r="C1593" s="41"/>
      <c r="D1593" s="137"/>
      <c r="E1593" s="138"/>
      <c r="F1593" s="139"/>
      <c r="G1593" s="1" t="str">
        <f>IFERROR(IF(ventas_b_mes1255[[#This Row],[CUIT]]="","-",VLOOKUP(ventas_b_mes1255[[#This Row],[CUIT]],Lista_CUIT[#All],2,0)),"CUIT NO CARGADO")</f>
        <v>-</v>
      </c>
      <c r="H1593" s="100">
        <f>ventas_b_mes1255[[#This Row],[TOTAL]]/1.21</f>
        <v>0</v>
      </c>
      <c r="I1593" s="64">
        <f>ventas_b_mes1255[[#This Row],[IMPORTE NETO]]*0.21</f>
        <v>0</v>
      </c>
      <c r="J1593" s="141"/>
      <c r="K1593" s="141"/>
      <c r="L1593" s="141"/>
      <c r="M1593" s="59"/>
    </row>
    <row r="1594" spans="2:13">
      <c r="B1594" s="135"/>
      <c r="C1594" s="41"/>
      <c r="D1594" s="137"/>
      <c r="E1594" s="138"/>
      <c r="F1594" s="139"/>
      <c r="G1594" s="1" t="str">
        <f>IFERROR(IF(ventas_b_mes1255[[#This Row],[CUIT]]="","-",VLOOKUP(ventas_b_mes1255[[#This Row],[CUIT]],Lista_CUIT[#All],2,0)),"CUIT NO CARGADO")</f>
        <v>-</v>
      </c>
      <c r="H1594" s="100">
        <f>ventas_b_mes1255[[#This Row],[TOTAL]]/1.21</f>
        <v>0</v>
      </c>
      <c r="I1594" s="64">
        <f>ventas_b_mes1255[[#This Row],[IMPORTE NETO]]*0.21</f>
        <v>0</v>
      </c>
      <c r="J1594" s="141"/>
      <c r="K1594" s="141"/>
      <c r="L1594" s="141"/>
      <c r="M1594" s="59"/>
    </row>
    <row r="1595" spans="2:13">
      <c r="B1595" s="135"/>
      <c r="C1595" s="41"/>
      <c r="D1595" s="137"/>
      <c r="E1595" s="138"/>
      <c r="F1595" s="139"/>
      <c r="G1595" s="1" t="str">
        <f>IFERROR(IF(ventas_b_mes1255[[#This Row],[CUIT]]="","-",VLOOKUP(ventas_b_mes1255[[#This Row],[CUIT]],Lista_CUIT[#All],2,0)),"CUIT NO CARGADO")</f>
        <v>-</v>
      </c>
      <c r="H1595" s="100">
        <f>ventas_b_mes1255[[#This Row],[TOTAL]]/1.21</f>
        <v>0</v>
      </c>
      <c r="I1595" s="64">
        <f>ventas_b_mes1255[[#This Row],[IMPORTE NETO]]*0.21</f>
        <v>0</v>
      </c>
      <c r="J1595" s="141"/>
      <c r="K1595" s="141"/>
      <c r="L1595" s="141"/>
      <c r="M1595" s="59"/>
    </row>
    <row r="1596" spans="2:13">
      <c r="B1596" s="135"/>
      <c r="C1596" s="41"/>
      <c r="D1596" s="137"/>
      <c r="E1596" s="138"/>
      <c r="F1596" s="139"/>
      <c r="G1596" s="1" t="str">
        <f>IFERROR(IF(ventas_b_mes1255[[#This Row],[CUIT]]="","-",VLOOKUP(ventas_b_mes1255[[#This Row],[CUIT]],Lista_CUIT[#All],2,0)),"CUIT NO CARGADO")</f>
        <v>-</v>
      </c>
      <c r="H1596" s="100">
        <f>ventas_b_mes1255[[#This Row],[TOTAL]]/1.21</f>
        <v>0</v>
      </c>
      <c r="I1596" s="64">
        <f>ventas_b_mes1255[[#This Row],[IMPORTE NETO]]*0.21</f>
        <v>0</v>
      </c>
      <c r="J1596" s="141"/>
      <c r="K1596" s="141"/>
      <c r="L1596" s="141"/>
      <c r="M1596" s="59"/>
    </row>
    <row r="1597" spans="2:13">
      <c r="B1597" s="135"/>
      <c r="C1597" s="41"/>
      <c r="D1597" s="137"/>
      <c r="E1597" s="138"/>
      <c r="F1597" s="139"/>
      <c r="G1597" s="1" t="str">
        <f>IFERROR(IF(ventas_b_mes1255[[#This Row],[CUIT]]="","-",VLOOKUP(ventas_b_mes1255[[#This Row],[CUIT]],Lista_CUIT[#All],2,0)),"CUIT NO CARGADO")</f>
        <v>-</v>
      </c>
      <c r="H1597" s="100">
        <f>ventas_b_mes1255[[#This Row],[TOTAL]]/1.21</f>
        <v>0</v>
      </c>
      <c r="I1597" s="64">
        <f>ventas_b_mes1255[[#This Row],[IMPORTE NETO]]*0.21</f>
        <v>0</v>
      </c>
      <c r="J1597" s="141"/>
      <c r="K1597" s="141"/>
      <c r="L1597" s="141"/>
      <c r="M1597" s="59"/>
    </row>
    <row r="1598" spans="2:13">
      <c r="B1598" s="135"/>
      <c r="C1598" s="41"/>
      <c r="D1598" s="137"/>
      <c r="E1598" s="138"/>
      <c r="F1598" s="139"/>
      <c r="G1598" s="1" t="str">
        <f>IFERROR(IF(ventas_b_mes1255[[#This Row],[CUIT]]="","-",VLOOKUP(ventas_b_mes1255[[#This Row],[CUIT]],Lista_CUIT[#All],2,0)),"CUIT NO CARGADO")</f>
        <v>-</v>
      </c>
      <c r="H1598" s="100">
        <f>ventas_b_mes1255[[#This Row],[TOTAL]]/1.21</f>
        <v>0</v>
      </c>
      <c r="I1598" s="64">
        <f>ventas_b_mes1255[[#This Row],[IMPORTE NETO]]*0.21</f>
        <v>0</v>
      </c>
      <c r="J1598" s="141"/>
      <c r="K1598" s="141"/>
      <c r="L1598" s="141"/>
      <c r="M1598" s="59"/>
    </row>
    <row r="1599" spans="2:13">
      <c r="B1599" s="135"/>
      <c r="C1599" s="41"/>
      <c r="D1599" s="137"/>
      <c r="E1599" s="138"/>
      <c r="F1599" s="139"/>
      <c r="G1599" s="1" t="str">
        <f>IFERROR(IF(ventas_b_mes1255[[#This Row],[CUIT]]="","-",VLOOKUP(ventas_b_mes1255[[#This Row],[CUIT]],Lista_CUIT[#All],2,0)),"CUIT NO CARGADO")</f>
        <v>-</v>
      </c>
      <c r="H1599" s="100">
        <f>ventas_b_mes1255[[#This Row],[TOTAL]]/1.21</f>
        <v>0</v>
      </c>
      <c r="I1599" s="64">
        <f>ventas_b_mes1255[[#This Row],[IMPORTE NETO]]*0.21</f>
        <v>0</v>
      </c>
      <c r="J1599" s="141"/>
      <c r="K1599" s="141"/>
      <c r="L1599" s="141"/>
      <c r="M1599" s="59"/>
    </row>
    <row r="1600" spans="2:13">
      <c r="B1600" s="135"/>
      <c r="C1600" s="41"/>
      <c r="D1600" s="137"/>
      <c r="E1600" s="138"/>
      <c r="F1600" s="139"/>
      <c r="G1600" s="1" t="str">
        <f>IFERROR(IF(ventas_b_mes1255[[#This Row],[CUIT]]="","-",VLOOKUP(ventas_b_mes1255[[#This Row],[CUIT]],Lista_CUIT[#All],2,0)),"CUIT NO CARGADO")</f>
        <v>-</v>
      </c>
      <c r="H1600" s="100">
        <f>ventas_b_mes1255[[#This Row],[TOTAL]]/1.21</f>
        <v>0</v>
      </c>
      <c r="I1600" s="64">
        <f>ventas_b_mes1255[[#This Row],[IMPORTE NETO]]*0.21</f>
        <v>0</v>
      </c>
      <c r="J1600" s="141"/>
      <c r="K1600" s="141"/>
      <c r="L1600" s="141"/>
      <c r="M1600" s="59"/>
    </row>
    <row r="1601" spans="2:13">
      <c r="B1601" s="135"/>
      <c r="C1601" s="41"/>
      <c r="D1601" s="137"/>
      <c r="E1601" s="138"/>
      <c r="F1601" s="139"/>
      <c r="G1601" s="1" t="str">
        <f>IFERROR(IF(ventas_b_mes1255[[#This Row],[CUIT]]="","-",VLOOKUP(ventas_b_mes1255[[#This Row],[CUIT]],Lista_CUIT[#All],2,0)),"CUIT NO CARGADO")</f>
        <v>-</v>
      </c>
      <c r="H1601" s="100">
        <f>ventas_b_mes1255[[#This Row],[TOTAL]]/1.21</f>
        <v>0</v>
      </c>
      <c r="I1601" s="64">
        <f>ventas_b_mes1255[[#This Row],[IMPORTE NETO]]*0.21</f>
        <v>0</v>
      </c>
      <c r="J1601" s="141"/>
      <c r="K1601" s="141"/>
      <c r="L1601" s="141"/>
      <c r="M1601" s="59"/>
    </row>
    <row r="1602" spans="2:13">
      <c r="B1602" s="135"/>
      <c r="C1602" s="41"/>
      <c r="D1602" s="137"/>
      <c r="E1602" s="138"/>
      <c r="F1602" s="139"/>
      <c r="G1602" s="1" t="str">
        <f>IFERROR(IF(ventas_b_mes1255[[#This Row],[CUIT]]="","-",VLOOKUP(ventas_b_mes1255[[#This Row],[CUIT]],Lista_CUIT[#All],2,0)),"CUIT NO CARGADO")</f>
        <v>-</v>
      </c>
      <c r="H1602" s="100">
        <f>ventas_b_mes1255[[#This Row],[TOTAL]]/1.21</f>
        <v>0</v>
      </c>
      <c r="I1602" s="64">
        <f>ventas_b_mes1255[[#This Row],[IMPORTE NETO]]*0.21</f>
        <v>0</v>
      </c>
      <c r="J1602" s="141"/>
      <c r="K1602" s="141"/>
      <c r="L1602" s="141"/>
      <c r="M1602" s="59"/>
    </row>
    <row r="1603" spans="2:13">
      <c r="B1603" s="135"/>
      <c r="C1603" s="41"/>
      <c r="D1603" s="137"/>
      <c r="E1603" s="138"/>
      <c r="F1603" s="139"/>
      <c r="G1603" s="1" t="str">
        <f>IFERROR(IF(ventas_b_mes1255[[#This Row],[CUIT]]="","-",VLOOKUP(ventas_b_mes1255[[#This Row],[CUIT]],Lista_CUIT[#All],2,0)),"CUIT NO CARGADO")</f>
        <v>-</v>
      </c>
      <c r="H1603" s="100">
        <f>ventas_b_mes1255[[#This Row],[TOTAL]]/1.21</f>
        <v>0</v>
      </c>
      <c r="I1603" s="64">
        <f>ventas_b_mes1255[[#This Row],[IMPORTE NETO]]*0.21</f>
        <v>0</v>
      </c>
      <c r="J1603" s="141"/>
      <c r="K1603" s="141"/>
      <c r="L1603" s="141"/>
      <c r="M1603" s="59"/>
    </row>
    <row r="1604" spans="2:13">
      <c r="B1604" s="135"/>
      <c r="C1604" s="41"/>
      <c r="D1604" s="137"/>
      <c r="E1604" s="138"/>
      <c r="F1604" s="139"/>
      <c r="G1604" s="1" t="str">
        <f>IFERROR(IF(ventas_b_mes1255[[#This Row],[CUIT]]="","-",VLOOKUP(ventas_b_mes1255[[#This Row],[CUIT]],Lista_CUIT[#All],2,0)),"CUIT NO CARGADO")</f>
        <v>-</v>
      </c>
      <c r="H1604" s="100">
        <f>ventas_b_mes1255[[#This Row],[TOTAL]]/1.21</f>
        <v>0</v>
      </c>
      <c r="I1604" s="64">
        <f>ventas_b_mes1255[[#This Row],[IMPORTE NETO]]*0.21</f>
        <v>0</v>
      </c>
      <c r="J1604" s="141"/>
      <c r="K1604" s="141"/>
      <c r="L1604" s="141"/>
      <c r="M1604" s="59"/>
    </row>
    <row r="1605" spans="2:13">
      <c r="B1605" s="135"/>
      <c r="C1605" s="41"/>
      <c r="D1605" s="137"/>
      <c r="E1605" s="138"/>
      <c r="F1605" s="139"/>
      <c r="G1605" s="1" t="str">
        <f>IFERROR(IF(ventas_b_mes1255[[#This Row],[CUIT]]="","-",VLOOKUP(ventas_b_mes1255[[#This Row],[CUIT]],Lista_CUIT[#All],2,0)),"CUIT NO CARGADO")</f>
        <v>-</v>
      </c>
      <c r="H1605" s="100">
        <f>ventas_b_mes1255[[#This Row],[TOTAL]]/1.21</f>
        <v>0</v>
      </c>
      <c r="I1605" s="64">
        <f>ventas_b_mes1255[[#This Row],[IMPORTE NETO]]*0.21</f>
        <v>0</v>
      </c>
      <c r="J1605" s="141"/>
      <c r="K1605" s="141"/>
      <c r="L1605" s="141"/>
      <c r="M1605" s="59"/>
    </row>
    <row r="1606" spans="2:13">
      <c r="B1606" s="135"/>
      <c r="C1606" s="41"/>
      <c r="D1606" s="137"/>
      <c r="E1606" s="138"/>
      <c r="F1606" s="139"/>
      <c r="G1606" s="1" t="str">
        <f>IFERROR(IF(ventas_b_mes1255[[#This Row],[CUIT]]="","-",VLOOKUP(ventas_b_mes1255[[#This Row],[CUIT]],Lista_CUIT[#All],2,0)),"CUIT NO CARGADO")</f>
        <v>-</v>
      </c>
      <c r="H1606" s="100">
        <f>ventas_b_mes1255[[#This Row],[TOTAL]]/1.21</f>
        <v>0</v>
      </c>
      <c r="I1606" s="64">
        <f>ventas_b_mes1255[[#This Row],[IMPORTE NETO]]*0.21</f>
        <v>0</v>
      </c>
      <c r="J1606" s="141"/>
      <c r="K1606" s="141"/>
      <c r="L1606" s="141"/>
      <c r="M1606" s="59"/>
    </row>
    <row r="1607" spans="2:13">
      <c r="B1607" s="135"/>
      <c r="C1607" s="41"/>
      <c r="D1607" s="137"/>
      <c r="E1607" s="138"/>
      <c r="F1607" s="139"/>
      <c r="G1607" s="1" t="str">
        <f>IFERROR(IF(ventas_b_mes1255[[#This Row],[CUIT]]="","-",VLOOKUP(ventas_b_mes1255[[#This Row],[CUIT]],Lista_CUIT[#All],2,0)),"CUIT NO CARGADO")</f>
        <v>-</v>
      </c>
      <c r="H1607" s="100">
        <f>ventas_b_mes1255[[#This Row],[TOTAL]]/1.21</f>
        <v>0</v>
      </c>
      <c r="I1607" s="64">
        <f>ventas_b_mes1255[[#This Row],[IMPORTE NETO]]*0.21</f>
        <v>0</v>
      </c>
      <c r="J1607" s="141"/>
      <c r="K1607" s="141"/>
      <c r="L1607" s="141"/>
      <c r="M1607" s="59"/>
    </row>
    <row r="1608" spans="2:13">
      <c r="B1608" s="135"/>
      <c r="C1608" s="41"/>
      <c r="D1608" s="137"/>
      <c r="E1608" s="138"/>
      <c r="F1608" s="139"/>
      <c r="G1608" s="1" t="str">
        <f>IFERROR(IF(ventas_b_mes1255[[#This Row],[CUIT]]="","-",VLOOKUP(ventas_b_mes1255[[#This Row],[CUIT]],Lista_CUIT[#All],2,0)),"CUIT NO CARGADO")</f>
        <v>-</v>
      </c>
      <c r="H1608" s="100">
        <f>ventas_b_mes1255[[#This Row],[TOTAL]]/1.21</f>
        <v>0</v>
      </c>
      <c r="I1608" s="64">
        <f>ventas_b_mes1255[[#This Row],[IMPORTE NETO]]*0.21</f>
        <v>0</v>
      </c>
      <c r="J1608" s="141"/>
      <c r="K1608" s="141"/>
      <c r="L1608" s="141"/>
      <c r="M1608" s="59"/>
    </row>
    <row r="1609" spans="2:13">
      <c r="B1609" s="135"/>
      <c r="C1609" s="41"/>
      <c r="D1609" s="137"/>
      <c r="E1609" s="138"/>
      <c r="F1609" s="139"/>
      <c r="G1609" s="1" t="str">
        <f>IFERROR(IF(ventas_b_mes1255[[#This Row],[CUIT]]="","-",VLOOKUP(ventas_b_mes1255[[#This Row],[CUIT]],Lista_CUIT[#All],2,0)),"CUIT NO CARGADO")</f>
        <v>-</v>
      </c>
      <c r="H1609" s="100">
        <f>ventas_b_mes1255[[#This Row],[TOTAL]]/1.21</f>
        <v>0</v>
      </c>
      <c r="I1609" s="64">
        <f>ventas_b_mes1255[[#This Row],[IMPORTE NETO]]*0.21</f>
        <v>0</v>
      </c>
      <c r="J1609" s="141"/>
      <c r="K1609" s="141"/>
      <c r="L1609" s="141"/>
      <c r="M1609" s="59"/>
    </row>
    <row r="1610" spans="2:13">
      <c r="B1610" s="135"/>
      <c r="C1610" s="41"/>
      <c r="D1610" s="137"/>
      <c r="E1610" s="138"/>
      <c r="F1610" s="139"/>
      <c r="G1610" s="1" t="str">
        <f>IFERROR(IF(ventas_b_mes1255[[#This Row],[CUIT]]="","-",VLOOKUP(ventas_b_mes1255[[#This Row],[CUIT]],Lista_CUIT[#All],2,0)),"CUIT NO CARGADO")</f>
        <v>-</v>
      </c>
      <c r="H1610" s="100">
        <f>ventas_b_mes1255[[#This Row],[TOTAL]]/1.21</f>
        <v>0</v>
      </c>
      <c r="I1610" s="64">
        <f>ventas_b_mes1255[[#This Row],[IMPORTE NETO]]*0.21</f>
        <v>0</v>
      </c>
      <c r="J1610" s="141"/>
      <c r="K1610" s="141"/>
      <c r="L1610" s="141"/>
      <c r="M1610" s="59"/>
    </row>
    <row r="1611" spans="2:13">
      <c r="B1611" s="135"/>
      <c r="C1611" s="41"/>
      <c r="D1611" s="137"/>
      <c r="E1611" s="138"/>
      <c r="F1611" s="139"/>
      <c r="G1611" s="1" t="str">
        <f>IFERROR(IF(ventas_b_mes1255[[#This Row],[CUIT]]="","-",VLOOKUP(ventas_b_mes1255[[#This Row],[CUIT]],Lista_CUIT[#All],2,0)),"CUIT NO CARGADO")</f>
        <v>-</v>
      </c>
      <c r="H1611" s="100">
        <f>ventas_b_mes1255[[#This Row],[TOTAL]]/1.21</f>
        <v>0</v>
      </c>
      <c r="I1611" s="64">
        <f>ventas_b_mes1255[[#This Row],[IMPORTE NETO]]*0.21</f>
        <v>0</v>
      </c>
      <c r="J1611" s="141"/>
      <c r="K1611" s="141"/>
      <c r="L1611" s="141"/>
      <c r="M1611" s="59"/>
    </row>
    <row r="1612" spans="2:13">
      <c r="B1612" s="135"/>
      <c r="C1612" s="41"/>
      <c r="D1612" s="137"/>
      <c r="E1612" s="138"/>
      <c r="F1612" s="139"/>
      <c r="G1612" s="1" t="str">
        <f>IFERROR(IF(ventas_b_mes1255[[#This Row],[CUIT]]="","-",VLOOKUP(ventas_b_mes1255[[#This Row],[CUIT]],Lista_CUIT[#All],2,0)),"CUIT NO CARGADO")</f>
        <v>-</v>
      </c>
      <c r="H1612" s="100">
        <f>ventas_b_mes1255[[#This Row],[TOTAL]]/1.21</f>
        <v>0</v>
      </c>
      <c r="I1612" s="64">
        <f>ventas_b_mes1255[[#This Row],[IMPORTE NETO]]*0.21</f>
        <v>0</v>
      </c>
      <c r="J1612" s="141"/>
      <c r="K1612" s="141"/>
      <c r="L1612" s="141"/>
      <c r="M1612" s="59"/>
    </row>
    <row r="1613" spans="2:13">
      <c r="B1613" s="135"/>
      <c r="C1613" s="41"/>
      <c r="D1613" s="137"/>
      <c r="E1613" s="138"/>
      <c r="F1613" s="139"/>
      <c r="G1613" s="1" t="str">
        <f>IFERROR(IF(ventas_b_mes1255[[#This Row],[CUIT]]="","-",VLOOKUP(ventas_b_mes1255[[#This Row],[CUIT]],Lista_CUIT[#All],2,0)),"CUIT NO CARGADO")</f>
        <v>-</v>
      </c>
      <c r="H1613" s="100">
        <f>ventas_b_mes1255[[#This Row],[TOTAL]]/1.21</f>
        <v>0</v>
      </c>
      <c r="I1613" s="64">
        <f>ventas_b_mes1255[[#This Row],[IMPORTE NETO]]*0.21</f>
        <v>0</v>
      </c>
      <c r="J1613" s="141"/>
      <c r="K1613" s="141"/>
      <c r="L1613" s="141"/>
      <c r="M1613" s="59"/>
    </row>
    <row r="1614" spans="2:13">
      <c r="B1614" s="135"/>
      <c r="C1614" s="41"/>
      <c r="D1614" s="137"/>
      <c r="E1614" s="138"/>
      <c r="F1614" s="139"/>
      <c r="G1614" s="1" t="str">
        <f>IFERROR(IF(ventas_b_mes1255[[#This Row],[CUIT]]="","-",VLOOKUP(ventas_b_mes1255[[#This Row],[CUIT]],Lista_CUIT[#All],2,0)),"CUIT NO CARGADO")</f>
        <v>-</v>
      </c>
      <c r="H1614" s="100">
        <f>ventas_b_mes1255[[#This Row],[TOTAL]]/1.21</f>
        <v>0</v>
      </c>
      <c r="I1614" s="64">
        <f>ventas_b_mes1255[[#This Row],[IMPORTE NETO]]*0.21</f>
        <v>0</v>
      </c>
      <c r="J1614" s="141"/>
      <c r="K1614" s="141"/>
      <c r="L1614" s="141"/>
      <c r="M1614" s="59"/>
    </row>
    <row r="1615" spans="2:13">
      <c r="B1615" s="135"/>
      <c r="C1615" s="41"/>
      <c r="D1615" s="137"/>
      <c r="E1615" s="138"/>
      <c r="F1615" s="139"/>
      <c r="G1615" s="1" t="str">
        <f>IFERROR(IF(ventas_b_mes1255[[#This Row],[CUIT]]="","-",VLOOKUP(ventas_b_mes1255[[#This Row],[CUIT]],Lista_CUIT[#All],2,0)),"CUIT NO CARGADO")</f>
        <v>-</v>
      </c>
      <c r="H1615" s="100">
        <f>ventas_b_mes1255[[#This Row],[TOTAL]]/1.21</f>
        <v>0</v>
      </c>
      <c r="I1615" s="64">
        <f>ventas_b_mes1255[[#This Row],[IMPORTE NETO]]*0.21</f>
        <v>0</v>
      </c>
      <c r="J1615" s="141"/>
      <c r="K1615" s="141"/>
      <c r="L1615" s="141"/>
      <c r="M1615" s="59"/>
    </row>
    <row r="1616" spans="2:13">
      <c r="B1616" s="135"/>
      <c r="C1616" s="41"/>
      <c r="D1616" s="137"/>
      <c r="E1616" s="138"/>
      <c r="F1616" s="139"/>
      <c r="G1616" s="1" t="str">
        <f>IFERROR(IF(ventas_b_mes1255[[#This Row],[CUIT]]="","-",VLOOKUP(ventas_b_mes1255[[#This Row],[CUIT]],Lista_CUIT[#All],2,0)),"CUIT NO CARGADO")</f>
        <v>-</v>
      </c>
      <c r="H1616" s="100">
        <f>ventas_b_mes1255[[#This Row],[TOTAL]]/1.21</f>
        <v>0</v>
      </c>
      <c r="I1616" s="64">
        <f>ventas_b_mes1255[[#This Row],[IMPORTE NETO]]*0.21</f>
        <v>0</v>
      </c>
      <c r="J1616" s="141"/>
      <c r="K1616" s="141"/>
      <c r="L1616" s="141"/>
      <c r="M1616" s="59"/>
    </row>
    <row r="1617" spans="2:13">
      <c r="B1617" s="135"/>
      <c r="C1617" s="41"/>
      <c r="D1617" s="137"/>
      <c r="E1617" s="138"/>
      <c r="F1617" s="139"/>
      <c r="G1617" s="1" t="str">
        <f>IFERROR(IF(ventas_b_mes1255[[#This Row],[CUIT]]="","-",VLOOKUP(ventas_b_mes1255[[#This Row],[CUIT]],Lista_CUIT[#All],2,0)),"CUIT NO CARGADO")</f>
        <v>-</v>
      </c>
      <c r="H1617" s="100">
        <f>ventas_b_mes1255[[#This Row],[TOTAL]]/1.21</f>
        <v>0</v>
      </c>
      <c r="I1617" s="64">
        <f>ventas_b_mes1255[[#This Row],[IMPORTE NETO]]*0.21</f>
        <v>0</v>
      </c>
      <c r="J1617" s="141"/>
      <c r="K1617" s="141"/>
      <c r="L1617" s="141"/>
      <c r="M1617" s="59"/>
    </row>
    <row r="1618" spans="2:13">
      <c r="B1618" s="135"/>
      <c r="C1618" s="41"/>
      <c r="D1618" s="137"/>
      <c r="E1618" s="138"/>
      <c r="F1618" s="139"/>
      <c r="G1618" s="1" t="str">
        <f>IFERROR(IF(ventas_b_mes1255[[#This Row],[CUIT]]="","-",VLOOKUP(ventas_b_mes1255[[#This Row],[CUIT]],Lista_CUIT[#All],2,0)),"CUIT NO CARGADO")</f>
        <v>-</v>
      </c>
      <c r="H1618" s="100">
        <f>ventas_b_mes1255[[#This Row],[TOTAL]]/1.21</f>
        <v>0</v>
      </c>
      <c r="I1618" s="64">
        <f>ventas_b_mes1255[[#This Row],[IMPORTE NETO]]*0.21</f>
        <v>0</v>
      </c>
      <c r="J1618" s="141"/>
      <c r="K1618" s="141"/>
      <c r="L1618" s="141"/>
      <c r="M1618" s="59"/>
    </row>
    <row r="1619" spans="2:13">
      <c r="B1619" s="135"/>
      <c r="C1619" s="41"/>
      <c r="D1619" s="137"/>
      <c r="E1619" s="138"/>
      <c r="F1619" s="139"/>
      <c r="G1619" s="1" t="str">
        <f>IFERROR(IF(ventas_b_mes1255[[#This Row],[CUIT]]="","-",VLOOKUP(ventas_b_mes1255[[#This Row],[CUIT]],Lista_CUIT[#All],2,0)),"CUIT NO CARGADO")</f>
        <v>-</v>
      </c>
      <c r="H1619" s="100">
        <f>ventas_b_mes1255[[#This Row],[TOTAL]]/1.21</f>
        <v>0</v>
      </c>
      <c r="I1619" s="64">
        <f>ventas_b_mes1255[[#This Row],[IMPORTE NETO]]*0.21</f>
        <v>0</v>
      </c>
      <c r="J1619" s="141"/>
      <c r="K1619" s="141"/>
      <c r="L1619" s="141"/>
      <c r="M1619" s="59"/>
    </row>
    <row r="1620" spans="2:13">
      <c r="B1620" s="135"/>
      <c r="C1620" s="41"/>
      <c r="D1620" s="137"/>
      <c r="E1620" s="138"/>
      <c r="F1620" s="139"/>
      <c r="G1620" s="1" t="str">
        <f>IFERROR(IF(ventas_b_mes1255[[#This Row],[CUIT]]="","-",VLOOKUP(ventas_b_mes1255[[#This Row],[CUIT]],Lista_CUIT[#All],2,0)),"CUIT NO CARGADO")</f>
        <v>-</v>
      </c>
      <c r="H1620" s="100">
        <f>ventas_b_mes1255[[#This Row],[TOTAL]]/1.21</f>
        <v>0</v>
      </c>
      <c r="I1620" s="64">
        <f>ventas_b_mes1255[[#This Row],[IMPORTE NETO]]*0.21</f>
        <v>0</v>
      </c>
      <c r="J1620" s="141"/>
      <c r="K1620" s="141"/>
      <c r="L1620" s="141"/>
      <c r="M1620" s="59"/>
    </row>
    <row r="1621" spans="2:13">
      <c r="B1621" s="135"/>
      <c r="C1621" s="41"/>
      <c r="D1621" s="137"/>
      <c r="E1621" s="138"/>
      <c r="F1621" s="139"/>
      <c r="G1621" s="1" t="str">
        <f>IFERROR(IF(ventas_b_mes1255[[#This Row],[CUIT]]="","-",VLOOKUP(ventas_b_mes1255[[#This Row],[CUIT]],Lista_CUIT[#All],2,0)),"CUIT NO CARGADO")</f>
        <v>-</v>
      </c>
      <c r="H1621" s="100">
        <f>ventas_b_mes1255[[#This Row],[TOTAL]]/1.21</f>
        <v>0</v>
      </c>
      <c r="I1621" s="64">
        <f>ventas_b_mes1255[[#This Row],[IMPORTE NETO]]*0.21</f>
        <v>0</v>
      </c>
      <c r="J1621" s="141"/>
      <c r="K1621" s="141"/>
      <c r="L1621" s="141"/>
      <c r="M1621" s="59"/>
    </row>
    <row r="1622" spans="2:13">
      <c r="B1622" s="135"/>
      <c r="C1622" s="41"/>
      <c r="D1622" s="137"/>
      <c r="E1622" s="138"/>
      <c r="F1622" s="139"/>
      <c r="G1622" s="1" t="str">
        <f>IFERROR(IF(ventas_b_mes1255[[#This Row],[CUIT]]="","-",VLOOKUP(ventas_b_mes1255[[#This Row],[CUIT]],Lista_CUIT[#All],2,0)),"CUIT NO CARGADO")</f>
        <v>-</v>
      </c>
      <c r="H1622" s="100">
        <f>ventas_b_mes1255[[#This Row],[TOTAL]]/1.21</f>
        <v>0</v>
      </c>
      <c r="I1622" s="64">
        <f>ventas_b_mes1255[[#This Row],[IMPORTE NETO]]*0.21</f>
        <v>0</v>
      </c>
      <c r="J1622" s="141"/>
      <c r="K1622" s="141"/>
      <c r="L1622" s="141"/>
      <c r="M1622" s="59"/>
    </row>
    <row r="1623" spans="2:13">
      <c r="B1623" s="135"/>
      <c r="C1623" s="41"/>
      <c r="D1623" s="137"/>
      <c r="E1623" s="138"/>
      <c r="F1623" s="139"/>
      <c r="G1623" s="1" t="str">
        <f>IFERROR(IF(ventas_b_mes1255[[#This Row],[CUIT]]="","-",VLOOKUP(ventas_b_mes1255[[#This Row],[CUIT]],Lista_CUIT[#All],2,0)),"CUIT NO CARGADO")</f>
        <v>-</v>
      </c>
      <c r="H1623" s="100">
        <f>ventas_b_mes1255[[#This Row],[TOTAL]]/1.21</f>
        <v>0</v>
      </c>
      <c r="I1623" s="64">
        <f>ventas_b_mes1255[[#This Row],[IMPORTE NETO]]*0.21</f>
        <v>0</v>
      </c>
      <c r="J1623" s="141"/>
      <c r="K1623" s="141"/>
      <c r="L1623" s="141"/>
      <c r="M1623" s="59"/>
    </row>
    <row r="1624" spans="2:13">
      <c r="B1624" s="135"/>
      <c r="C1624" s="41"/>
      <c r="D1624" s="137"/>
      <c r="E1624" s="138"/>
      <c r="F1624" s="139"/>
      <c r="G1624" s="1" t="str">
        <f>IFERROR(IF(ventas_b_mes1255[[#This Row],[CUIT]]="","-",VLOOKUP(ventas_b_mes1255[[#This Row],[CUIT]],Lista_CUIT[#All],2,0)),"CUIT NO CARGADO")</f>
        <v>-</v>
      </c>
      <c r="H1624" s="100">
        <f>ventas_b_mes1255[[#This Row],[TOTAL]]/1.21</f>
        <v>0</v>
      </c>
      <c r="I1624" s="64">
        <f>ventas_b_mes1255[[#This Row],[IMPORTE NETO]]*0.21</f>
        <v>0</v>
      </c>
      <c r="J1624" s="141"/>
      <c r="K1624" s="141"/>
      <c r="L1624" s="141"/>
      <c r="M1624" s="59"/>
    </row>
    <row r="1625" spans="2:13">
      <c r="B1625" s="135"/>
      <c r="C1625" s="41"/>
      <c r="D1625" s="137"/>
      <c r="E1625" s="138"/>
      <c r="F1625" s="139"/>
      <c r="G1625" s="1" t="str">
        <f>IFERROR(IF(ventas_b_mes1255[[#This Row],[CUIT]]="","-",VLOOKUP(ventas_b_mes1255[[#This Row],[CUIT]],Lista_CUIT[#All],2,0)),"CUIT NO CARGADO")</f>
        <v>-</v>
      </c>
      <c r="H1625" s="100">
        <f>ventas_b_mes1255[[#This Row],[TOTAL]]/1.21</f>
        <v>0</v>
      </c>
      <c r="I1625" s="64">
        <f>ventas_b_mes1255[[#This Row],[IMPORTE NETO]]*0.21</f>
        <v>0</v>
      </c>
      <c r="J1625" s="141"/>
      <c r="K1625" s="141"/>
      <c r="L1625" s="141"/>
      <c r="M1625" s="59"/>
    </row>
    <row r="1626" spans="2:13">
      <c r="B1626" s="135"/>
      <c r="C1626" s="41"/>
      <c r="D1626" s="137"/>
      <c r="E1626" s="138"/>
      <c r="F1626" s="139"/>
      <c r="G1626" s="1" t="str">
        <f>IFERROR(IF(ventas_b_mes1255[[#This Row],[CUIT]]="","-",VLOOKUP(ventas_b_mes1255[[#This Row],[CUIT]],Lista_CUIT[#All],2,0)),"CUIT NO CARGADO")</f>
        <v>-</v>
      </c>
      <c r="H1626" s="100">
        <f>ventas_b_mes1255[[#This Row],[TOTAL]]/1.21</f>
        <v>0</v>
      </c>
      <c r="I1626" s="64">
        <f>ventas_b_mes1255[[#This Row],[IMPORTE NETO]]*0.21</f>
        <v>0</v>
      </c>
      <c r="J1626" s="141"/>
      <c r="K1626" s="141"/>
      <c r="L1626" s="141"/>
      <c r="M1626" s="59"/>
    </row>
    <row r="1627" spans="2:13">
      <c r="B1627" s="135"/>
      <c r="C1627" s="41"/>
      <c r="D1627" s="137"/>
      <c r="E1627" s="138"/>
      <c r="F1627" s="139"/>
      <c r="G1627" s="1" t="str">
        <f>IFERROR(IF(ventas_b_mes1255[[#This Row],[CUIT]]="","-",VLOOKUP(ventas_b_mes1255[[#This Row],[CUIT]],Lista_CUIT[#All],2,0)),"CUIT NO CARGADO")</f>
        <v>-</v>
      </c>
      <c r="H1627" s="100">
        <f>ventas_b_mes1255[[#This Row],[TOTAL]]/1.21</f>
        <v>0</v>
      </c>
      <c r="I1627" s="64">
        <f>ventas_b_mes1255[[#This Row],[IMPORTE NETO]]*0.21</f>
        <v>0</v>
      </c>
      <c r="J1627" s="141"/>
      <c r="K1627" s="141"/>
      <c r="L1627" s="141"/>
      <c r="M1627" s="59"/>
    </row>
    <row r="1628" spans="2:13">
      <c r="B1628" s="135"/>
      <c r="C1628" s="41"/>
      <c r="D1628" s="137"/>
      <c r="E1628" s="138"/>
      <c r="F1628" s="139"/>
      <c r="G1628" s="1" t="str">
        <f>IFERROR(IF(ventas_b_mes1255[[#This Row],[CUIT]]="","-",VLOOKUP(ventas_b_mes1255[[#This Row],[CUIT]],Lista_CUIT[#All],2,0)),"CUIT NO CARGADO")</f>
        <v>-</v>
      </c>
      <c r="H1628" s="100">
        <f>ventas_b_mes1255[[#This Row],[TOTAL]]/1.21</f>
        <v>0</v>
      </c>
      <c r="I1628" s="64">
        <f>ventas_b_mes1255[[#This Row],[IMPORTE NETO]]*0.21</f>
        <v>0</v>
      </c>
      <c r="J1628" s="141"/>
      <c r="K1628" s="141"/>
      <c r="L1628" s="141"/>
      <c r="M1628" s="59"/>
    </row>
    <row r="1629" spans="2:13">
      <c r="B1629" s="135"/>
      <c r="C1629" s="41"/>
      <c r="D1629" s="137"/>
      <c r="E1629" s="138"/>
      <c r="F1629" s="139"/>
      <c r="G1629" s="1" t="str">
        <f>IFERROR(IF(ventas_b_mes1255[[#This Row],[CUIT]]="","-",VLOOKUP(ventas_b_mes1255[[#This Row],[CUIT]],Lista_CUIT[#All],2,0)),"CUIT NO CARGADO")</f>
        <v>-</v>
      </c>
      <c r="H1629" s="100">
        <f>ventas_b_mes1255[[#This Row],[TOTAL]]/1.21</f>
        <v>0</v>
      </c>
      <c r="I1629" s="64">
        <f>ventas_b_mes1255[[#This Row],[IMPORTE NETO]]*0.21</f>
        <v>0</v>
      </c>
      <c r="J1629" s="141"/>
      <c r="K1629" s="141"/>
      <c r="L1629" s="141"/>
      <c r="M1629" s="59"/>
    </row>
    <row r="1630" spans="2:13">
      <c r="B1630" s="135"/>
      <c r="C1630" s="41"/>
      <c r="D1630" s="137"/>
      <c r="E1630" s="138"/>
      <c r="F1630" s="139"/>
      <c r="G1630" s="1" t="str">
        <f>IFERROR(IF(ventas_b_mes1255[[#This Row],[CUIT]]="","-",VLOOKUP(ventas_b_mes1255[[#This Row],[CUIT]],Lista_CUIT[#All],2,0)),"CUIT NO CARGADO")</f>
        <v>-</v>
      </c>
      <c r="H1630" s="100">
        <f>ventas_b_mes1255[[#This Row],[TOTAL]]/1.21</f>
        <v>0</v>
      </c>
      <c r="I1630" s="64">
        <f>ventas_b_mes1255[[#This Row],[IMPORTE NETO]]*0.21</f>
        <v>0</v>
      </c>
      <c r="J1630" s="141"/>
      <c r="K1630" s="141"/>
      <c r="L1630" s="141"/>
      <c r="M1630" s="59"/>
    </row>
    <row r="1631" spans="2:13">
      <c r="B1631" s="135"/>
      <c r="C1631" s="41"/>
      <c r="D1631" s="137"/>
      <c r="E1631" s="138"/>
      <c r="F1631" s="139"/>
      <c r="G1631" s="1" t="str">
        <f>IFERROR(IF(ventas_b_mes1255[[#This Row],[CUIT]]="","-",VLOOKUP(ventas_b_mes1255[[#This Row],[CUIT]],Lista_CUIT[#All],2,0)),"CUIT NO CARGADO")</f>
        <v>-</v>
      </c>
      <c r="H1631" s="100">
        <f>ventas_b_mes1255[[#This Row],[TOTAL]]/1.21</f>
        <v>0</v>
      </c>
      <c r="I1631" s="64">
        <f>ventas_b_mes1255[[#This Row],[IMPORTE NETO]]*0.21</f>
        <v>0</v>
      </c>
      <c r="J1631" s="141"/>
      <c r="K1631" s="141"/>
      <c r="L1631" s="141"/>
      <c r="M1631" s="59"/>
    </row>
    <row r="1632" spans="2:13">
      <c r="B1632" s="135"/>
      <c r="C1632" s="41"/>
      <c r="D1632" s="137"/>
      <c r="E1632" s="138"/>
      <c r="F1632" s="139"/>
      <c r="G1632" s="1" t="str">
        <f>IFERROR(IF(ventas_b_mes1255[[#This Row],[CUIT]]="","-",VLOOKUP(ventas_b_mes1255[[#This Row],[CUIT]],Lista_CUIT[#All],2,0)),"CUIT NO CARGADO")</f>
        <v>-</v>
      </c>
      <c r="H1632" s="100">
        <f>ventas_b_mes1255[[#This Row],[TOTAL]]/1.21</f>
        <v>0</v>
      </c>
      <c r="I1632" s="64">
        <f>ventas_b_mes1255[[#This Row],[IMPORTE NETO]]*0.21</f>
        <v>0</v>
      </c>
      <c r="J1632" s="141"/>
      <c r="K1632" s="141"/>
      <c r="L1632" s="141"/>
      <c r="M1632" s="59"/>
    </row>
    <row r="1633" spans="2:13">
      <c r="B1633" s="135"/>
      <c r="C1633" s="41"/>
      <c r="D1633" s="137"/>
      <c r="E1633" s="138"/>
      <c r="F1633" s="139"/>
      <c r="G1633" s="1" t="str">
        <f>IFERROR(IF(ventas_b_mes1255[[#This Row],[CUIT]]="","-",VLOOKUP(ventas_b_mes1255[[#This Row],[CUIT]],Lista_CUIT[#All],2,0)),"CUIT NO CARGADO")</f>
        <v>-</v>
      </c>
      <c r="H1633" s="100">
        <f>ventas_b_mes1255[[#This Row],[TOTAL]]/1.21</f>
        <v>0</v>
      </c>
      <c r="I1633" s="64">
        <f>ventas_b_mes1255[[#This Row],[IMPORTE NETO]]*0.21</f>
        <v>0</v>
      </c>
      <c r="J1633" s="141"/>
      <c r="K1633" s="141"/>
      <c r="L1633" s="141"/>
      <c r="M1633" s="59"/>
    </row>
    <row r="1634" spans="2:13">
      <c r="B1634" s="135"/>
      <c r="C1634" s="41"/>
      <c r="D1634" s="137"/>
      <c r="E1634" s="138"/>
      <c r="F1634" s="139"/>
      <c r="G1634" s="1" t="str">
        <f>IFERROR(IF(ventas_b_mes1255[[#This Row],[CUIT]]="","-",VLOOKUP(ventas_b_mes1255[[#This Row],[CUIT]],Lista_CUIT[#All],2,0)),"CUIT NO CARGADO")</f>
        <v>-</v>
      </c>
      <c r="H1634" s="100">
        <f>ventas_b_mes1255[[#This Row],[TOTAL]]/1.21</f>
        <v>0</v>
      </c>
      <c r="I1634" s="64">
        <f>ventas_b_mes1255[[#This Row],[IMPORTE NETO]]*0.21</f>
        <v>0</v>
      </c>
      <c r="J1634" s="141"/>
      <c r="K1634" s="141"/>
      <c r="L1634" s="141"/>
      <c r="M1634" s="59"/>
    </row>
    <row r="1635" spans="2:13">
      <c r="B1635" s="135"/>
      <c r="C1635" s="41"/>
      <c r="D1635" s="137"/>
      <c r="E1635" s="138"/>
      <c r="F1635" s="139"/>
      <c r="G1635" s="1" t="str">
        <f>IFERROR(IF(ventas_b_mes1255[[#This Row],[CUIT]]="","-",VLOOKUP(ventas_b_mes1255[[#This Row],[CUIT]],Lista_CUIT[#All],2,0)),"CUIT NO CARGADO")</f>
        <v>-</v>
      </c>
      <c r="H1635" s="100">
        <f>ventas_b_mes1255[[#This Row],[TOTAL]]/1.21</f>
        <v>0</v>
      </c>
      <c r="I1635" s="64">
        <f>ventas_b_mes1255[[#This Row],[IMPORTE NETO]]*0.21</f>
        <v>0</v>
      </c>
      <c r="J1635" s="141"/>
      <c r="K1635" s="141"/>
      <c r="L1635" s="141"/>
      <c r="M1635" s="59"/>
    </row>
    <row r="1636" spans="2:13">
      <c r="B1636" s="135"/>
      <c r="C1636" s="41"/>
      <c r="D1636" s="137"/>
      <c r="E1636" s="138"/>
      <c r="F1636" s="139"/>
      <c r="G1636" s="1" t="str">
        <f>IFERROR(IF(ventas_b_mes1255[[#This Row],[CUIT]]="","-",VLOOKUP(ventas_b_mes1255[[#This Row],[CUIT]],Lista_CUIT[#All],2,0)),"CUIT NO CARGADO")</f>
        <v>-</v>
      </c>
      <c r="H1636" s="100">
        <f>ventas_b_mes1255[[#This Row],[TOTAL]]/1.21</f>
        <v>0</v>
      </c>
      <c r="I1636" s="64">
        <f>ventas_b_mes1255[[#This Row],[IMPORTE NETO]]*0.21</f>
        <v>0</v>
      </c>
      <c r="J1636" s="141"/>
      <c r="K1636" s="141"/>
      <c r="L1636" s="141"/>
      <c r="M1636" s="59"/>
    </row>
    <row r="1637" spans="2:13">
      <c r="B1637" s="135"/>
      <c r="C1637" s="41"/>
      <c r="D1637" s="137"/>
      <c r="E1637" s="138"/>
      <c r="F1637" s="139"/>
      <c r="G1637" s="1" t="str">
        <f>IFERROR(IF(ventas_b_mes1255[[#This Row],[CUIT]]="","-",VLOOKUP(ventas_b_mes1255[[#This Row],[CUIT]],Lista_CUIT[#All],2,0)),"CUIT NO CARGADO")</f>
        <v>-</v>
      </c>
      <c r="H1637" s="100">
        <f>ventas_b_mes1255[[#This Row],[TOTAL]]/1.21</f>
        <v>0</v>
      </c>
      <c r="I1637" s="64">
        <f>ventas_b_mes1255[[#This Row],[IMPORTE NETO]]*0.21</f>
        <v>0</v>
      </c>
      <c r="J1637" s="141"/>
      <c r="K1637" s="141"/>
      <c r="L1637" s="141"/>
      <c r="M1637" s="59"/>
    </row>
    <row r="1638" spans="2:13">
      <c r="B1638" s="135"/>
      <c r="C1638" s="41"/>
      <c r="D1638" s="137"/>
      <c r="E1638" s="138"/>
      <c r="F1638" s="139"/>
      <c r="G1638" s="1" t="str">
        <f>IFERROR(IF(ventas_b_mes1255[[#This Row],[CUIT]]="","-",VLOOKUP(ventas_b_mes1255[[#This Row],[CUIT]],Lista_CUIT[#All],2,0)),"CUIT NO CARGADO")</f>
        <v>-</v>
      </c>
      <c r="H1638" s="100">
        <f>ventas_b_mes1255[[#This Row],[TOTAL]]/1.21</f>
        <v>0</v>
      </c>
      <c r="I1638" s="64">
        <f>ventas_b_mes1255[[#This Row],[IMPORTE NETO]]*0.21</f>
        <v>0</v>
      </c>
      <c r="J1638" s="141"/>
      <c r="K1638" s="141"/>
      <c r="L1638" s="141"/>
      <c r="M1638" s="59"/>
    </row>
    <row r="1639" spans="2:13">
      <c r="B1639" s="135"/>
      <c r="C1639" s="41"/>
      <c r="D1639" s="137"/>
      <c r="E1639" s="138"/>
      <c r="F1639" s="139"/>
      <c r="G1639" s="1" t="str">
        <f>IFERROR(IF(ventas_b_mes1255[[#This Row],[CUIT]]="","-",VLOOKUP(ventas_b_mes1255[[#This Row],[CUIT]],Lista_CUIT[#All],2,0)),"CUIT NO CARGADO")</f>
        <v>-</v>
      </c>
      <c r="H1639" s="100">
        <f>ventas_b_mes1255[[#This Row],[TOTAL]]/1.21</f>
        <v>0</v>
      </c>
      <c r="I1639" s="64">
        <f>ventas_b_mes1255[[#This Row],[IMPORTE NETO]]*0.21</f>
        <v>0</v>
      </c>
      <c r="J1639" s="141"/>
      <c r="K1639" s="141"/>
      <c r="L1639" s="141"/>
      <c r="M1639" s="59"/>
    </row>
    <row r="1640" spans="2:13">
      <c r="B1640" s="135"/>
      <c r="C1640" s="41"/>
      <c r="D1640" s="137"/>
      <c r="E1640" s="138"/>
      <c r="F1640" s="139"/>
      <c r="G1640" s="1" t="str">
        <f>IFERROR(IF(ventas_b_mes1255[[#This Row],[CUIT]]="","-",VLOOKUP(ventas_b_mes1255[[#This Row],[CUIT]],Lista_CUIT[#All],2,0)),"CUIT NO CARGADO")</f>
        <v>-</v>
      </c>
      <c r="H1640" s="100">
        <f>ventas_b_mes1255[[#This Row],[TOTAL]]/1.21</f>
        <v>0</v>
      </c>
      <c r="I1640" s="64">
        <f>ventas_b_mes1255[[#This Row],[IMPORTE NETO]]*0.21</f>
        <v>0</v>
      </c>
      <c r="J1640" s="141"/>
      <c r="K1640" s="141"/>
      <c r="L1640" s="141"/>
      <c r="M1640" s="59"/>
    </row>
    <row r="1641" spans="2:13">
      <c r="B1641" s="135"/>
      <c r="C1641" s="41"/>
      <c r="D1641" s="137"/>
      <c r="E1641" s="138"/>
      <c r="F1641" s="139"/>
      <c r="G1641" s="1" t="str">
        <f>IFERROR(IF(ventas_b_mes1255[[#This Row],[CUIT]]="","-",VLOOKUP(ventas_b_mes1255[[#This Row],[CUIT]],Lista_CUIT[#All],2,0)),"CUIT NO CARGADO")</f>
        <v>-</v>
      </c>
      <c r="H1641" s="100">
        <f>ventas_b_mes1255[[#This Row],[TOTAL]]/1.21</f>
        <v>0</v>
      </c>
      <c r="I1641" s="64">
        <f>ventas_b_mes1255[[#This Row],[IMPORTE NETO]]*0.21</f>
        <v>0</v>
      </c>
      <c r="J1641" s="141"/>
      <c r="K1641" s="141"/>
      <c r="L1641" s="141"/>
      <c r="M1641" s="59"/>
    </row>
    <row r="1642" spans="2:13">
      <c r="B1642" s="135"/>
      <c r="C1642" s="41"/>
      <c r="D1642" s="137"/>
      <c r="E1642" s="138"/>
      <c r="F1642" s="139"/>
      <c r="G1642" s="1" t="str">
        <f>IFERROR(IF(ventas_b_mes1255[[#This Row],[CUIT]]="","-",VLOOKUP(ventas_b_mes1255[[#This Row],[CUIT]],Lista_CUIT[#All],2,0)),"CUIT NO CARGADO")</f>
        <v>-</v>
      </c>
      <c r="H1642" s="100">
        <f>ventas_b_mes1255[[#This Row],[TOTAL]]/1.21</f>
        <v>0</v>
      </c>
      <c r="I1642" s="64">
        <f>ventas_b_mes1255[[#This Row],[IMPORTE NETO]]*0.21</f>
        <v>0</v>
      </c>
      <c r="J1642" s="141"/>
      <c r="K1642" s="141"/>
      <c r="L1642" s="141"/>
      <c r="M1642" s="59"/>
    </row>
    <row r="1643" spans="2:13">
      <c r="B1643" s="135"/>
      <c r="C1643" s="41"/>
      <c r="D1643" s="137"/>
      <c r="E1643" s="138"/>
      <c r="F1643" s="139"/>
      <c r="G1643" s="1" t="str">
        <f>IFERROR(IF(ventas_b_mes1255[[#This Row],[CUIT]]="","-",VLOOKUP(ventas_b_mes1255[[#This Row],[CUIT]],Lista_CUIT[#All],2,0)),"CUIT NO CARGADO")</f>
        <v>-</v>
      </c>
      <c r="H1643" s="100">
        <f>ventas_b_mes1255[[#This Row],[TOTAL]]/1.21</f>
        <v>0</v>
      </c>
      <c r="I1643" s="64">
        <f>ventas_b_mes1255[[#This Row],[IMPORTE NETO]]*0.21</f>
        <v>0</v>
      </c>
      <c r="J1643" s="141"/>
      <c r="K1643" s="141"/>
      <c r="L1643" s="141"/>
      <c r="M1643" s="59"/>
    </row>
    <row r="1644" spans="2:13">
      <c r="B1644" s="135"/>
      <c r="C1644" s="41"/>
      <c r="D1644" s="137"/>
      <c r="E1644" s="138"/>
      <c r="F1644" s="139"/>
      <c r="G1644" s="1" t="str">
        <f>IFERROR(IF(ventas_b_mes1255[[#This Row],[CUIT]]="","-",VLOOKUP(ventas_b_mes1255[[#This Row],[CUIT]],Lista_CUIT[#All],2,0)),"CUIT NO CARGADO")</f>
        <v>-</v>
      </c>
      <c r="H1644" s="100">
        <f>ventas_b_mes1255[[#This Row],[TOTAL]]/1.21</f>
        <v>0</v>
      </c>
      <c r="I1644" s="64">
        <f>ventas_b_mes1255[[#This Row],[IMPORTE NETO]]*0.21</f>
        <v>0</v>
      </c>
      <c r="J1644" s="141"/>
      <c r="K1644" s="141"/>
      <c r="L1644" s="141"/>
      <c r="M1644" s="59"/>
    </row>
    <row r="1645" spans="2:13">
      <c r="B1645" s="135"/>
      <c r="C1645" s="41"/>
      <c r="D1645" s="137"/>
      <c r="E1645" s="138"/>
      <c r="F1645" s="139"/>
      <c r="G1645" s="1" t="str">
        <f>IFERROR(IF(ventas_b_mes1255[[#This Row],[CUIT]]="","-",VLOOKUP(ventas_b_mes1255[[#This Row],[CUIT]],Lista_CUIT[#All],2,0)),"CUIT NO CARGADO")</f>
        <v>-</v>
      </c>
      <c r="H1645" s="100">
        <f>ventas_b_mes1255[[#This Row],[TOTAL]]/1.21</f>
        <v>0</v>
      </c>
      <c r="I1645" s="64">
        <f>ventas_b_mes1255[[#This Row],[IMPORTE NETO]]*0.21</f>
        <v>0</v>
      </c>
      <c r="J1645" s="141"/>
      <c r="K1645" s="141"/>
      <c r="L1645" s="141"/>
      <c r="M1645" s="59"/>
    </row>
    <row r="1646" spans="2:13">
      <c r="B1646" s="135"/>
      <c r="C1646" s="41"/>
      <c r="D1646" s="137"/>
      <c r="E1646" s="138"/>
      <c r="F1646" s="139"/>
      <c r="G1646" s="1" t="str">
        <f>IFERROR(IF(ventas_b_mes1255[[#This Row],[CUIT]]="","-",VLOOKUP(ventas_b_mes1255[[#This Row],[CUIT]],Lista_CUIT[#All],2,0)),"CUIT NO CARGADO")</f>
        <v>-</v>
      </c>
      <c r="H1646" s="100">
        <f>ventas_b_mes1255[[#This Row],[TOTAL]]/1.21</f>
        <v>0</v>
      </c>
      <c r="I1646" s="64">
        <f>ventas_b_mes1255[[#This Row],[IMPORTE NETO]]*0.21</f>
        <v>0</v>
      </c>
      <c r="J1646" s="141"/>
      <c r="K1646" s="141"/>
      <c r="L1646" s="141"/>
      <c r="M1646" s="59"/>
    </row>
    <row r="1647" spans="2:13">
      <c r="B1647" s="135"/>
      <c r="C1647" s="41"/>
      <c r="D1647" s="137"/>
      <c r="E1647" s="138"/>
      <c r="F1647" s="139"/>
      <c r="G1647" s="1" t="str">
        <f>IFERROR(IF(ventas_b_mes1255[[#This Row],[CUIT]]="","-",VLOOKUP(ventas_b_mes1255[[#This Row],[CUIT]],Lista_CUIT[#All],2,0)),"CUIT NO CARGADO")</f>
        <v>-</v>
      </c>
      <c r="H1647" s="100">
        <f>ventas_b_mes1255[[#This Row],[TOTAL]]/1.21</f>
        <v>0</v>
      </c>
      <c r="I1647" s="64">
        <f>ventas_b_mes1255[[#This Row],[IMPORTE NETO]]*0.21</f>
        <v>0</v>
      </c>
      <c r="J1647" s="141"/>
      <c r="K1647" s="141"/>
      <c r="L1647" s="141"/>
      <c r="M1647" s="59"/>
    </row>
    <row r="1648" spans="2:13">
      <c r="B1648" s="135"/>
      <c r="C1648" s="41"/>
      <c r="D1648" s="137"/>
      <c r="E1648" s="138"/>
      <c r="F1648" s="139"/>
      <c r="G1648" s="1" t="str">
        <f>IFERROR(IF(ventas_b_mes1255[[#This Row],[CUIT]]="","-",VLOOKUP(ventas_b_mes1255[[#This Row],[CUIT]],Lista_CUIT[#All],2,0)),"CUIT NO CARGADO")</f>
        <v>-</v>
      </c>
      <c r="H1648" s="100">
        <f>ventas_b_mes1255[[#This Row],[TOTAL]]/1.21</f>
        <v>0</v>
      </c>
      <c r="I1648" s="64">
        <f>ventas_b_mes1255[[#This Row],[IMPORTE NETO]]*0.21</f>
        <v>0</v>
      </c>
      <c r="J1648" s="141"/>
      <c r="K1648" s="141"/>
      <c r="L1648" s="141"/>
      <c r="M1648" s="59"/>
    </row>
    <row r="1649" spans="2:13">
      <c r="B1649" s="135"/>
      <c r="C1649" s="41"/>
      <c r="D1649" s="137"/>
      <c r="E1649" s="138"/>
      <c r="F1649" s="139"/>
      <c r="G1649" s="1" t="str">
        <f>IFERROR(IF(ventas_b_mes1255[[#This Row],[CUIT]]="","-",VLOOKUP(ventas_b_mes1255[[#This Row],[CUIT]],Lista_CUIT[#All],2,0)),"CUIT NO CARGADO")</f>
        <v>-</v>
      </c>
      <c r="H1649" s="100">
        <f>ventas_b_mes1255[[#This Row],[TOTAL]]/1.21</f>
        <v>0</v>
      </c>
      <c r="I1649" s="64">
        <f>ventas_b_mes1255[[#This Row],[IMPORTE NETO]]*0.21</f>
        <v>0</v>
      </c>
      <c r="J1649" s="141"/>
      <c r="K1649" s="141"/>
      <c r="L1649" s="141"/>
      <c r="M1649" s="59"/>
    </row>
    <row r="1650" spans="2:13">
      <c r="B1650" s="135"/>
      <c r="C1650" s="41"/>
      <c r="D1650" s="137"/>
      <c r="E1650" s="138"/>
      <c r="F1650" s="139"/>
      <c r="G1650" s="1" t="str">
        <f>IFERROR(IF(ventas_b_mes1255[[#This Row],[CUIT]]="","-",VLOOKUP(ventas_b_mes1255[[#This Row],[CUIT]],Lista_CUIT[#All],2,0)),"CUIT NO CARGADO")</f>
        <v>-</v>
      </c>
      <c r="H1650" s="100">
        <f>ventas_b_mes1255[[#This Row],[TOTAL]]/1.21</f>
        <v>0</v>
      </c>
      <c r="I1650" s="64">
        <f>ventas_b_mes1255[[#This Row],[IMPORTE NETO]]*0.21</f>
        <v>0</v>
      </c>
      <c r="J1650" s="141"/>
      <c r="K1650" s="141"/>
      <c r="L1650" s="141"/>
      <c r="M1650" s="59"/>
    </row>
    <row r="1651" spans="2:13">
      <c r="B1651" s="135"/>
      <c r="C1651" s="41"/>
      <c r="D1651" s="137"/>
      <c r="E1651" s="138"/>
      <c r="F1651" s="139"/>
      <c r="G1651" s="1" t="str">
        <f>IFERROR(IF(ventas_b_mes1255[[#This Row],[CUIT]]="","-",VLOOKUP(ventas_b_mes1255[[#This Row],[CUIT]],Lista_CUIT[#All],2,0)),"CUIT NO CARGADO")</f>
        <v>-</v>
      </c>
      <c r="H1651" s="100">
        <f>ventas_b_mes1255[[#This Row],[TOTAL]]/1.21</f>
        <v>0</v>
      </c>
      <c r="I1651" s="64">
        <f>ventas_b_mes1255[[#This Row],[IMPORTE NETO]]*0.21</f>
        <v>0</v>
      </c>
      <c r="J1651" s="141"/>
      <c r="K1651" s="141"/>
      <c r="L1651" s="141"/>
      <c r="M1651" s="59"/>
    </row>
    <row r="1652" spans="2:13">
      <c r="B1652" s="135"/>
      <c r="C1652" s="41"/>
      <c r="D1652" s="137"/>
      <c r="E1652" s="138"/>
      <c r="F1652" s="139"/>
      <c r="G1652" s="1" t="str">
        <f>IFERROR(IF(ventas_b_mes1255[[#This Row],[CUIT]]="","-",VLOOKUP(ventas_b_mes1255[[#This Row],[CUIT]],Lista_CUIT[#All],2,0)),"CUIT NO CARGADO")</f>
        <v>-</v>
      </c>
      <c r="H1652" s="100">
        <f>ventas_b_mes1255[[#This Row],[TOTAL]]/1.21</f>
        <v>0</v>
      </c>
      <c r="I1652" s="64">
        <f>ventas_b_mes1255[[#This Row],[IMPORTE NETO]]*0.21</f>
        <v>0</v>
      </c>
      <c r="J1652" s="141"/>
      <c r="K1652" s="141"/>
      <c r="L1652" s="141"/>
      <c r="M1652" s="59"/>
    </row>
    <row r="1653" spans="2:13">
      <c r="B1653" s="135"/>
      <c r="C1653" s="41"/>
      <c r="D1653" s="137"/>
      <c r="E1653" s="138"/>
      <c r="F1653" s="139"/>
      <c r="G1653" s="1" t="str">
        <f>IFERROR(IF(ventas_b_mes1255[[#This Row],[CUIT]]="","-",VLOOKUP(ventas_b_mes1255[[#This Row],[CUIT]],Lista_CUIT[#All],2,0)),"CUIT NO CARGADO")</f>
        <v>-</v>
      </c>
      <c r="H1653" s="100">
        <f>ventas_b_mes1255[[#This Row],[TOTAL]]/1.21</f>
        <v>0</v>
      </c>
      <c r="I1653" s="64">
        <f>ventas_b_mes1255[[#This Row],[IMPORTE NETO]]*0.21</f>
        <v>0</v>
      </c>
      <c r="J1653" s="141"/>
      <c r="K1653" s="141"/>
      <c r="L1653" s="141"/>
      <c r="M1653" s="59"/>
    </row>
    <row r="1654" spans="2:13">
      <c r="B1654" s="135"/>
      <c r="C1654" s="41"/>
      <c r="D1654" s="137"/>
      <c r="E1654" s="138"/>
      <c r="F1654" s="139"/>
      <c r="G1654" s="1" t="str">
        <f>IFERROR(IF(ventas_b_mes1255[[#This Row],[CUIT]]="","-",VLOOKUP(ventas_b_mes1255[[#This Row],[CUIT]],Lista_CUIT[#All],2,0)),"CUIT NO CARGADO")</f>
        <v>-</v>
      </c>
      <c r="H1654" s="100">
        <f>ventas_b_mes1255[[#This Row],[TOTAL]]/1.21</f>
        <v>0</v>
      </c>
      <c r="I1654" s="64"/>
      <c r="J1654" s="141"/>
      <c r="K1654" s="141"/>
      <c r="L1654" s="141"/>
      <c r="M1654" s="59"/>
    </row>
    <row r="1655" spans="2:13">
      <c r="B1655" s="135"/>
      <c r="C1655" s="41"/>
      <c r="D1655" s="137"/>
      <c r="E1655" s="138"/>
      <c r="F1655" s="139"/>
      <c r="G1655" s="1" t="str">
        <f>IFERROR(IF(ventas_b_mes1255[[#This Row],[CUIT]]="","-",VLOOKUP(ventas_b_mes1255[[#This Row],[CUIT]],Lista_CUIT[#All],2,0)),"CUIT NO CARGADO")</f>
        <v>-</v>
      </c>
      <c r="H1655" s="100">
        <f>ventas_b_mes1255[[#This Row],[TOTAL]]/1.21</f>
        <v>0</v>
      </c>
      <c r="I1655" s="64">
        <f>ventas_b_mes1255[[#This Row],[IMPORTE NETO]]*0.21</f>
        <v>0</v>
      </c>
      <c r="J1655" s="141"/>
      <c r="K1655" s="141"/>
      <c r="L1655" s="141"/>
      <c r="M1655" s="59"/>
    </row>
    <row r="1656" spans="2:13">
      <c r="B1656" s="135"/>
      <c r="C1656" s="41"/>
      <c r="D1656" s="137"/>
      <c r="E1656" s="138"/>
      <c r="F1656" s="139"/>
      <c r="G1656" s="1" t="str">
        <f>IFERROR(IF(ventas_b_mes1255[[#This Row],[CUIT]]="","-",VLOOKUP(ventas_b_mes1255[[#This Row],[CUIT]],Lista_CUIT[#All],2,0)),"CUIT NO CARGADO")</f>
        <v>-</v>
      </c>
      <c r="H1656" s="100">
        <f>ventas_b_mes1255[[#This Row],[TOTAL]]/1.21</f>
        <v>0</v>
      </c>
      <c r="I1656" s="64">
        <f>ventas_b_mes1255[[#This Row],[IMPORTE NETO]]*0.21</f>
        <v>0</v>
      </c>
      <c r="J1656" s="141"/>
      <c r="K1656" s="141"/>
      <c r="L1656" s="141"/>
      <c r="M1656" s="59"/>
    </row>
    <row r="1657" spans="2:13">
      <c r="B1657" s="135"/>
      <c r="C1657" s="41"/>
      <c r="D1657" s="137"/>
      <c r="E1657" s="138"/>
      <c r="F1657" s="139"/>
      <c r="G1657" s="1" t="str">
        <f>IFERROR(IF(ventas_b_mes1255[[#This Row],[CUIT]]="","-",VLOOKUP(ventas_b_mes1255[[#This Row],[CUIT]],Lista_CUIT[#All],2,0)),"CUIT NO CARGADO")</f>
        <v>-</v>
      </c>
      <c r="H1657" s="100">
        <f>ventas_b_mes1255[[#This Row],[TOTAL]]/1.21</f>
        <v>0</v>
      </c>
      <c r="I1657" s="64">
        <f>ventas_b_mes1255[[#This Row],[IMPORTE NETO]]*0.21</f>
        <v>0</v>
      </c>
      <c r="J1657" s="141"/>
      <c r="K1657" s="141"/>
      <c r="L1657" s="141"/>
      <c r="M1657" s="59"/>
    </row>
    <row r="1658" spans="2:13">
      <c r="B1658" s="135"/>
      <c r="C1658" s="41"/>
      <c r="D1658" s="137"/>
      <c r="E1658" s="138"/>
      <c r="F1658" s="139"/>
      <c r="G1658" s="1" t="str">
        <f>IFERROR(IF(ventas_b_mes1255[[#This Row],[CUIT]]="","-",VLOOKUP(ventas_b_mes1255[[#This Row],[CUIT]],Lista_CUIT[#All],2,0)),"CUIT NO CARGADO")</f>
        <v>-</v>
      </c>
      <c r="H1658" s="100">
        <f>ventas_b_mes1255[[#This Row],[TOTAL]]/1.21</f>
        <v>0</v>
      </c>
      <c r="I1658" s="64">
        <f>ventas_b_mes1255[[#This Row],[IMPORTE NETO]]*0.21</f>
        <v>0</v>
      </c>
      <c r="J1658" s="141"/>
      <c r="K1658" s="141"/>
      <c r="L1658" s="141"/>
      <c r="M1658" s="59"/>
    </row>
    <row r="1659" spans="2:13">
      <c r="B1659" s="135"/>
      <c r="C1659" s="41"/>
      <c r="D1659" s="137"/>
      <c r="E1659" s="138"/>
      <c r="F1659" s="139"/>
      <c r="G1659" s="1" t="str">
        <f>IFERROR(IF(ventas_b_mes1255[[#This Row],[CUIT]]="","-",VLOOKUP(ventas_b_mes1255[[#This Row],[CUIT]],Lista_CUIT[#All],2,0)),"CUIT NO CARGADO")</f>
        <v>-</v>
      </c>
      <c r="H1659" s="100">
        <f>ventas_b_mes1255[[#This Row],[TOTAL]]/1.21</f>
        <v>0</v>
      </c>
      <c r="I1659" s="64">
        <f>ventas_b_mes1255[[#This Row],[IMPORTE NETO]]*0.21</f>
        <v>0</v>
      </c>
      <c r="J1659" s="141"/>
      <c r="K1659" s="141"/>
      <c r="L1659" s="141"/>
      <c r="M1659" s="59"/>
    </row>
    <row r="1660" spans="2:13">
      <c r="B1660" s="135"/>
      <c r="C1660" s="41"/>
      <c r="D1660" s="137"/>
      <c r="E1660" s="138"/>
      <c r="F1660" s="139"/>
      <c r="G1660" s="1" t="str">
        <f>IFERROR(IF(ventas_b_mes1255[[#This Row],[CUIT]]="","-",VLOOKUP(ventas_b_mes1255[[#This Row],[CUIT]],Lista_CUIT[#All],2,0)),"CUIT NO CARGADO")</f>
        <v>-</v>
      </c>
      <c r="H1660" s="100">
        <f>ventas_b_mes1255[[#This Row],[TOTAL]]/1.21</f>
        <v>0</v>
      </c>
      <c r="I1660" s="64">
        <f>ventas_b_mes1255[[#This Row],[IMPORTE NETO]]*0.21</f>
        <v>0</v>
      </c>
      <c r="J1660" s="141"/>
      <c r="K1660" s="141"/>
      <c r="L1660" s="141"/>
      <c r="M1660" s="59"/>
    </row>
    <row r="1661" spans="2:13">
      <c r="B1661" s="135"/>
      <c r="C1661" s="41"/>
      <c r="D1661" s="137"/>
      <c r="E1661" s="138"/>
      <c r="F1661" s="139"/>
      <c r="G1661" s="1" t="str">
        <f>IFERROR(IF(ventas_b_mes1255[[#This Row],[CUIT]]="","-",VLOOKUP(ventas_b_mes1255[[#This Row],[CUIT]],Lista_CUIT[#All],2,0)),"CUIT NO CARGADO")</f>
        <v>-</v>
      </c>
      <c r="H1661" s="100">
        <f>ventas_b_mes1255[[#This Row],[TOTAL]]/1.21</f>
        <v>0</v>
      </c>
      <c r="I1661" s="64">
        <f>ventas_b_mes1255[[#This Row],[IMPORTE NETO]]*0.21</f>
        <v>0</v>
      </c>
      <c r="J1661" s="141"/>
      <c r="K1661" s="141"/>
      <c r="L1661" s="141"/>
      <c r="M1661" s="59"/>
    </row>
    <row r="1662" spans="2:13">
      <c r="B1662" s="135"/>
      <c r="C1662" s="41"/>
      <c r="D1662" s="137"/>
      <c r="E1662" s="138"/>
      <c r="F1662" s="139"/>
      <c r="G1662" s="1" t="str">
        <f>IFERROR(IF(ventas_b_mes1255[[#This Row],[CUIT]]="","-",VLOOKUP(ventas_b_mes1255[[#This Row],[CUIT]],Lista_CUIT[#All],2,0)),"CUIT NO CARGADO")</f>
        <v>-</v>
      </c>
      <c r="H1662" s="100">
        <f>ventas_b_mes1255[[#This Row],[TOTAL]]/1.21</f>
        <v>0</v>
      </c>
      <c r="I1662" s="64">
        <f>ventas_b_mes1255[[#This Row],[IMPORTE NETO]]*0.21</f>
        <v>0</v>
      </c>
      <c r="J1662" s="141"/>
      <c r="K1662" s="141"/>
      <c r="L1662" s="141"/>
      <c r="M1662" s="59"/>
    </row>
    <row r="1663" spans="2:13">
      <c r="B1663" s="135"/>
      <c r="C1663" s="41"/>
      <c r="D1663" s="137"/>
      <c r="E1663" s="138"/>
      <c r="F1663" s="139"/>
      <c r="G1663" s="1" t="str">
        <f>IFERROR(IF(ventas_b_mes1255[[#This Row],[CUIT]]="","-",VLOOKUP(ventas_b_mes1255[[#This Row],[CUIT]],Lista_CUIT[#All],2,0)),"CUIT NO CARGADO")</f>
        <v>-</v>
      </c>
      <c r="H1663" s="100">
        <f>ventas_b_mes1255[[#This Row],[TOTAL]]/1.21</f>
        <v>0</v>
      </c>
      <c r="I1663" s="64">
        <f>ventas_b_mes1255[[#This Row],[IMPORTE NETO]]*0.21</f>
        <v>0</v>
      </c>
      <c r="J1663" s="141"/>
      <c r="K1663" s="141"/>
      <c r="L1663" s="141"/>
      <c r="M1663" s="59"/>
    </row>
    <row r="1664" spans="2:13">
      <c r="B1664" s="135"/>
      <c r="C1664" s="41"/>
      <c r="D1664" s="137"/>
      <c r="E1664" s="138"/>
      <c r="F1664" s="139"/>
      <c r="G1664" s="1" t="str">
        <f>IFERROR(IF(ventas_b_mes1255[[#This Row],[CUIT]]="","-",VLOOKUP(ventas_b_mes1255[[#This Row],[CUIT]],Lista_CUIT[#All],2,0)),"CUIT NO CARGADO")</f>
        <v>-</v>
      </c>
      <c r="H1664" s="100">
        <f>ventas_b_mes1255[[#This Row],[TOTAL]]/1.21</f>
        <v>0</v>
      </c>
      <c r="I1664" s="64">
        <f>ventas_b_mes1255[[#This Row],[IMPORTE NETO]]*0.21</f>
        <v>0</v>
      </c>
      <c r="J1664" s="141"/>
      <c r="K1664" s="141"/>
      <c r="L1664" s="141"/>
      <c r="M1664" s="59"/>
    </row>
    <row r="1665" spans="2:13">
      <c r="B1665" s="135"/>
      <c r="C1665" s="41"/>
      <c r="D1665" s="137"/>
      <c r="E1665" s="138"/>
      <c r="F1665" s="139"/>
      <c r="G1665" s="1" t="str">
        <f>IFERROR(IF(ventas_b_mes1255[[#This Row],[CUIT]]="","-",VLOOKUP(ventas_b_mes1255[[#This Row],[CUIT]],Lista_CUIT[#All],2,0)),"CUIT NO CARGADO")</f>
        <v>-</v>
      </c>
      <c r="H1665" s="100">
        <f>ventas_b_mes1255[[#This Row],[TOTAL]]/1.21</f>
        <v>0</v>
      </c>
      <c r="I1665" s="64">
        <f>ventas_b_mes1255[[#This Row],[IMPORTE NETO]]*0.21</f>
        <v>0</v>
      </c>
      <c r="J1665" s="141"/>
      <c r="K1665" s="141"/>
      <c r="L1665" s="141"/>
      <c r="M1665" s="59"/>
    </row>
    <row r="1666" spans="2:13">
      <c r="B1666" s="135"/>
      <c r="C1666" s="41"/>
      <c r="D1666" s="137"/>
      <c r="E1666" s="138"/>
      <c r="F1666" s="139"/>
      <c r="G1666" s="1" t="str">
        <f>IFERROR(IF(ventas_b_mes1255[[#This Row],[CUIT]]="","-",VLOOKUP(ventas_b_mes1255[[#This Row],[CUIT]],Lista_CUIT[#All],2,0)),"CUIT NO CARGADO")</f>
        <v>-</v>
      </c>
      <c r="H1666" s="100">
        <f>ventas_b_mes1255[[#This Row],[TOTAL]]/1.21</f>
        <v>0</v>
      </c>
      <c r="I1666" s="64">
        <f>ventas_b_mes1255[[#This Row],[IMPORTE NETO]]*0.21</f>
        <v>0</v>
      </c>
      <c r="J1666" s="141"/>
      <c r="K1666" s="141"/>
      <c r="L1666" s="141"/>
      <c r="M1666" s="59"/>
    </row>
    <row r="1667" spans="2:13">
      <c r="B1667" s="135"/>
      <c r="C1667" s="41"/>
      <c r="D1667" s="137"/>
      <c r="E1667" s="138"/>
      <c r="F1667" s="139"/>
      <c r="G1667" s="1" t="str">
        <f>IFERROR(IF(ventas_b_mes1255[[#This Row],[CUIT]]="","-",VLOOKUP(ventas_b_mes1255[[#This Row],[CUIT]],Lista_CUIT[#All],2,0)),"CUIT NO CARGADO")</f>
        <v>-</v>
      </c>
      <c r="H1667" s="100">
        <f>ventas_b_mes1255[[#This Row],[TOTAL]]/1.21</f>
        <v>0</v>
      </c>
      <c r="I1667" s="64">
        <f>ventas_b_mes1255[[#This Row],[IMPORTE NETO]]*0.21</f>
        <v>0</v>
      </c>
      <c r="J1667" s="141"/>
      <c r="K1667" s="141"/>
      <c r="L1667" s="141"/>
      <c r="M1667" s="59"/>
    </row>
    <row r="1668" spans="2:13">
      <c r="B1668" s="135"/>
      <c r="C1668" s="41"/>
      <c r="D1668" s="137"/>
      <c r="E1668" s="138"/>
      <c r="F1668" s="139"/>
      <c r="G1668" s="1" t="str">
        <f>IFERROR(IF(ventas_b_mes1255[[#This Row],[CUIT]]="","-",VLOOKUP(ventas_b_mes1255[[#This Row],[CUIT]],Lista_CUIT[#All],2,0)),"CUIT NO CARGADO")</f>
        <v>-</v>
      </c>
      <c r="H1668" s="100">
        <f>ventas_b_mes1255[[#This Row],[TOTAL]]/1.21</f>
        <v>0</v>
      </c>
      <c r="I1668" s="64">
        <f>ventas_b_mes1255[[#This Row],[IMPORTE NETO]]*0.21</f>
        <v>0</v>
      </c>
      <c r="J1668" s="141"/>
      <c r="K1668" s="141"/>
      <c r="L1668" s="141"/>
      <c r="M1668" s="59"/>
    </row>
    <row r="1669" spans="2:13">
      <c r="B1669" s="135"/>
      <c r="C1669" s="41"/>
      <c r="D1669" s="137"/>
      <c r="E1669" s="138"/>
      <c r="F1669" s="139"/>
      <c r="G1669" s="1" t="str">
        <f>IFERROR(IF(ventas_b_mes1255[[#This Row],[CUIT]]="","-",VLOOKUP(ventas_b_mes1255[[#This Row],[CUIT]],Lista_CUIT[#All],2,0)),"CUIT NO CARGADO")</f>
        <v>-</v>
      </c>
      <c r="H1669" s="100">
        <f>ventas_b_mes1255[[#This Row],[TOTAL]]/1.21</f>
        <v>0</v>
      </c>
      <c r="I1669" s="64">
        <f>ventas_b_mes1255[[#This Row],[IMPORTE NETO]]*0.21</f>
        <v>0</v>
      </c>
      <c r="J1669" s="141"/>
      <c r="K1669" s="141"/>
      <c r="L1669" s="141"/>
      <c r="M1669" s="59"/>
    </row>
    <row r="1670" spans="2:13">
      <c r="B1670" s="135"/>
      <c r="C1670" s="41"/>
      <c r="D1670" s="137"/>
      <c r="E1670" s="138"/>
      <c r="F1670" s="139"/>
      <c r="G1670" s="1" t="str">
        <f>IFERROR(IF(ventas_b_mes1255[[#This Row],[CUIT]]="","-",VLOOKUP(ventas_b_mes1255[[#This Row],[CUIT]],Lista_CUIT[#All],2,0)),"CUIT NO CARGADO")</f>
        <v>-</v>
      </c>
      <c r="H1670" s="100">
        <f>ventas_b_mes1255[[#This Row],[TOTAL]]/1.21</f>
        <v>0</v>
      </c>
      <c r="I1670" s="64">
        <f>ventas_b_mes1255[[#This Row],[IMPORTE NETO]]*0.21</f>
        <v>0</v>
      </c>
      <c r="J1670" s="141"/>
      <c r="K1670" s="141"/>
      <c r="L1670" s="141"/>
      <c r="M1670" s="59"/>
    </row>
    <row r="1671" spans="2:13">
      <c r="B1671" s="135"/>
      <c r="C1671" s="41"/>
      <c r="D1671" s="137"/>
      <c r="E1671" s="138"/>
      <c r="F1671" s="139"/>
      <c r="G1671" s="1" t="str">
        <f>IFERROR(IF(ventas_b_mes1255[[#This Row],[CUIT]]="","-",VLOOKUP(ventas_b_mes1255[[#This Row],[CUIT]],Lista_CUIT[#All],2,0)),"CUIT NO CARGADO")</f>
        <v>-</v>
      </c>
      <c r="H1671" s="100">
        <f>ventas_b_mes1255[[#This Row],[TOTAL]]/1.21</f>
        <v>0</v>
      </c>
      <c r="I1671" s="64">
        <f>ventas_b_mes1255[[#This Row],[IMPORTE NETO]]*0.21</f>
        <v>0</v>
      </c>
      <c r="J1671" s="141"/>
      <c r="K1671" s="141"/>
      <c r="L1671" s="141"/>
      <c r="M1671" s="59"/>
    </row>
    <row r="1672" spans="2:13">
      <c r="B1672" s="135"/>
      <c r="C1672" s="41"/>
      <c r="D1672" s="137"/>
      <c r="E1672" s="138"/>
      <c r="F1672" s="139"/>
      <c r="G1672" s="1" t="str">
        <f>IFERROR(IF(ventas_b_mes1255[[#This Row],[CUIT]]="","-",VLOOKUP(ventas_b_mes1255[[#This Row],[CUIT]],Lista_CUIT[#All],2,0)),"CUIT NO CARGADO")</f>
        <v>-</v>
      </c>
      <c r="H1672" s="100">
        <f>ventas_b_mes1255[[#This Row],[TOTAL]]/1.21</f>
        <v>0</v>
      </c>
      <c r="I1672" s="64">
        <f>ventas_b_mes1255[[#This Row],[IMPORTE NETO]]*0.21</f>
        <v>0</v>
      </c>
      <c r="J1672" s="141"/>
      <c r="K1672" s="141"/>
      <c r="L1672" s="141"/>
      <c r="M1672" s="59"/>
    </row>
    <row r="1673" spans="2:13">
      <c r="B1673" s="135"/>
      <c r="C1673" s="41"/>
      <c r="D1673" s="137"/>
      <c r="E1673" s="138"/>
      <c r="F1673" s="139"/>
      <c r="G1673" s="1" t="str">
        <f>IFERROR(IF(ventas_b_mes1255[[#This Row],[CUIT]]="","-",VLOOKUP(ventas_b_mes1255[[#This Row],[CUIT]],Lista_CUIT[#All],2,0)),"CUIT NO CARGADO")</f>
        <v>-</v>
      </c>
      <c r="H1673" s="100">
        <f>ventas_b_mes1255[[#This Row],[TOTAL]]/1.21</f>
        <v>0</v>
      </c>
      <c r="I1673" s="64">
        <f>ventas_b_mes1255[[#This Row],[IMPORTE NETO]]*0.21</f>
        <v>0</v>
      </c>
      <c r="J1673" s="141"/>
      <c r="K1673" s="141"/>
      <c r="L1673" s="141"/>
      <c r="M1673" s="59"/>
    </row>
    <row r="1674" spans="2:13">
      <c r="B1674" s="135"/>
      <c r="C1674" s="41"/>
      <c r="D1674" s="137"/>
      <c r="E1674" s="138"/>
      <c r="F1674" s="139"/>
      <c r="G1674" s="1" t="str">
        <f>IFERROR(IF(ventas_b_mes1255[[#This Row],[CUIT]]="","-",VLOOKUP(ventas_b_mes1255[[#This Row],[CUIT]],Lista_CUIT[#All],2,0)),"CUIT NO CARGADO")</f>
        <v>-</v>
      </c>
      <c r="H1674" s="100">
        <f>ventas_b_mes1255[[#This Row],[TOTAL]]/1.21</f>
        <v>0</v>
      </c>
      <c r="I1674" s="64">
        <f>ventas_b_mes1255[[#This Row],[IMPORTE NETO]]*0.21</f>
        <v>0</v>
      </c>
      <c r="J1674" s="141"/>
      <c r="K1674" s="141"/>
      <c r="L1674" s="141"/>
      <c r="M1674" s="59"/>
    </row>
    <row r="1675" spans="2:13">
      <c r="B1675" s="135"/>
      <c r="C1675" s="41"/>
      <c r="D1675" s="137"/>
      <c r="E1675" s="138"/>
      <c r="F1675" s="139"/>
      <c r="G1675" s="1" t="str">
        <f>IFERROR(IF(ventas_b_mes1255[[#This Row],[CUIT]]="","-",VLOOKUP(ventas_b_mes1255[[#This Row],[CUIT]],Lista_CUIT[#All],2,0)),"CUIT NO CARGADO")</f>
        <v>-</v>
      </c>
      <c r="H1675" s="100">
        <f>ventas_b_mes1255[[#This Row],[TOTAL]]/1.21</f>
        <v>0</v>
      </c>
      <c r="I1675" s="64">
        <f>ventas_b_mes1255[[#This Row],[IMPORTE NETO]]*0.21</f>
        <v>0</v>
      </c>
      <c r="J1675" s="141"/>
      <c r="K1675" s="141"/>
      <c r="L1675" s="141"/>
      <c r="M1675" s="59"/>
    </row>
    <row r="1676" spans="2:13">
      <c r="B1676" s="135"/>
      <c r="C1676" s="41"/>
      <c r="D1676" s="137"/>
      <c r="E1676" s="138"/>
      <c r="F1676" s="139"/>
      <c r="G1676" s="1" t="str">
        <f>IFERROR(IF(ventas_b_mes1255[[#This Row],[CUIT]]="","-",VLOOKUP(ventas_b_mes1255[[#This Row],[CUIT]],Lista_CUIT[#All],2,0)),"CUIT NO CARGADO")</f>
        <v>-</v>
      </c>
      <c r="H1676" s="100">
        <f>ventas_b_mes1255[[#This Row],[TOTAL]]/1.21</f>
        <v>0</v>
      </c>
      <c r="I1676" s="64">
        <f>ventas_b_mes1255[[#This Row],[IMPORTE NETO]]*0.21</f>
        <v>0</v>
      </c>
      <c r="J1676" s="141"/>
      <c r="K1676" s="141"/>
      <c r="L1676" s="141"/>
      <c r="M1676" s="59"/>
    </row>
    <row r="1677" spans="2:13">
      <c r="B1677" s="135"/>
      <c r="C1677" s="41"/>
      <c r="D1677" s="137"/>
      <c r="E1677" s="138"/>
      <c r="F1677" s="139"/>
      <c r="G1677" s="1" t="str">
        <f>IFERROR(IF(ventas_b_mes1255[[#This Row],[CUIT]]="","-",VLOOKUP(ventas_b_mes1255[[#This Row],[CUIT]],Lista_CUIT[#All],2,0)),"CUIT NO CARGADO")</f>
        <v>-</v>
      </c>
      <c r="H1677" s="100">
        <f>ventas_b_mes1255[[#This Row],[TOTAL]]/1.21</f>
        <v>0</v>
      </c>
      <c r="I1677" s="64">
        <f>ventas_b_mes1255[[#This Row],[IMPORTE NETO]]*0.21</f>
        <v>0</v>
      </c>
      <c r="J1677" s="141"/>
      <c r="K1677" s="141"/>
      <c r="L1677" s="141"/>
      <c r="M1677" s="59"/>
    </row>
    <row r="1678" spans="2:13">
      <c r="B1678" s="135"/>
      <c r="C1678" s="41"/>
      <c r="D1678" s="137"/>
      <c r="E1678" s="138"/>
      <c r="F1678" s="139"/>
      <c r="G1678" s="1" t="str">
        <f>IFERROR(IF(ventas_b_mes1255[[#This Row],[CUIT]]="","-",VLOOKUP(ventas_b_mes1255[[#This Row],[CUIT]],Lista_CUIT[#All],2,0)),"CUIT NO CARGADO")</f>
        <v>-</v>
      </c>
      <c r="H1678" s="100">
        <f>ventas_b_mes1255[[#This Row],[TOTAL]]/1.21</f>
        <v>0</v>
      </c>
      <c r="I1678" s="64">
        <f>ventas_b_mes1255[[#This Row],[IMPORTE NETO]]*0.21</f>
        <v>0</v>
      </c>
      <c r="J1678" s="141"/>
      <c r="K1678" s="141"/>
      <c r="L1678" s="141"/>
      <c r="M1678" s="59"/>
    </row>
    <row r="1679" spans="2:13">
      <c r="B1679" s="135"/>
      <c r="C1679" s="41"/>
      <c r="D1679" s="137"/>
      <c r="E1679" s="138"/>
      <c r="F1679" s="139"/>
      <c r="G1679" s="1" t="str">
        <f>IFERROR(IF(ventas_b_mes1255[[#This Row],[CUIT]]="","-",VLOOKUP(ventas_b_mes1255[[#This Row],[CUIT]],Lista_CUIT[#All],2,0)),"CUIT NO CARGADO")</f>
        <v>-</v>
      </c>
      <c r="H1679" s="100">
        <f>ventas_b_mes1255[[#This Row],[TOTAL]]/1.21</f>
        <v>0</v>
      </c>
      <c r="I1679" s="64">
        <f>ventas_b_mes1255[[#This Row],[IMPORTE NETO]]*0.21</f>
        <v>0</v>
      </c>
      <c r="J1679" s="141"/>
      <c r="K1679" s="141"/>
      <c r="L1679" s="141"/>
      <c r="M1679" s="59"/>
    </row>
    <row r="1680" spans="2:13">
      <c r="B1680" s="135"/>
      <c r="C1680" s="41"/>
      <c r="D1680" s="137"/>
      <c r="E1680" s="138"/>
      <c r="F1680" s="139"/>
      <c r="G1680" s="1" t="str">
        <f>IFERROR(IF(ventas_b_mes1255[[#This Row],[CUIT]]="","-",VLOOKUP(ventas_b_mes1255[[#This Row],[CUIT]],Lista_CUIT[#All],2,0)),"CUIT NO CARGADO")</f>
        <v>-</v>
      </c>
      <c r="H1680" s="100">
        <f>ventas_b_mes1255[[#This Row],[TOTAL]]/1.21</f>
        <v>0</v>
      </c>
      <c r="I1680" s="64">
        <f>ventas_b_mes1255[[#This Row],[IMPORTE NETO]]*0.21</f>
        <v>0</v>
      </c>
      <c r="J1680" s="141"/>
      <c r="K1680" s="141"/>
      <c r="L1680" s="141"/>
      <c r="M1680" s="59"/>
    </row>
    <row r="1681" spans="2:13">
      <c r="B1681" s="135"/>
      <c r="C1681" s="41"/>
      <c r="D1681" s="137"/>
      <c r="E1681" s="138"/>
      <c r="F1681" s="139"/>
      <c r="G1681" s="1" t="str">
        <f>IFERROR(IF(ventas_b_mes1255[[#This Row],[CUIT]]="","-",VLOOKUP(ventas_b_mes1255[[#This Row],[CUIT]],Lista_CUIT[#All],2,0)),"CUIT NO CARGADO")</f>
        <v>-</v>
      </c>
      <c r="H1681" s="100">
        <f>ventas_b_mes1255[[#This Row],[TOTAL]]/1.21</f>
        <v>0</v>
      </c>
      <c r="I1681" s="64">
        <f>ventas_b_mes1255[[#This Row],[IMPORTE NETO]]*0.21</f>
        <v>0</v>
      </c>
      <c r="J1681" s="141"/>
      <c r="K1681" s="141"/>
      <c r="L1681" s="141"/>
      <c r="M1681" s="59"/>
    </row>
    <row r="1682" spans="2:13">
      <c r="B1682" s="135"/>
      <c r="C1682" s="41"/>
      <c r="D1682" s="137"/>
      <c r="E1682" s="138"/>
      <c r="F1682" s="139"/>
      <c r="G1682" s="1" t="str">
        <f>IFERROR(IF(ventas_b_mes1255[[#This Row],[CUIT]]="","-",VLOOKUP(ventas_b_mes1255[[#This Row],[CUIT]],Lista_CUIT[#All],2,0)),"CUIT NO CARGADO")</f>
        <v>-</v>
      </c>
      <c r="H1682" s="100">
        <f>ventas_b_mes1255[[#This Row],[TOTAL]]/1.21</f>
        <v>0</v>
      </c>
      <c r="I1682" s="64">
        <f>ventas_b_mes1255[[#This Row],[IMPORTE NETO]]*0.21</f>
        <v>0</v>
      </c>
      <c r="J1682" s="141"/>
      <c r="K1682" s="141"/>
      <c r="L1682" s="141"/>
      <c r="M1682" s="59"/>
    </row>
    <row r="1683" spans="2:13">
      <c r="B1683" s="135"/>
      <c r="C1683" s="41"/>
      <c r="D1683" s="137"/>
      <c r="E1683" s="138"/>
      <c r="F1683" s="139"/>
      <c r="G1683" s="1" t="str">
        <f>IFERROR(IF(ventas_b_mes1255[[#This Row],[CUIT]]="","-",VLOOKUP(ventas_b_mes1255[[#This Row],[CUIT]],Lista_CUIT[#All],2,0)),"CUIT NO CARGADO")</f>
        <v>-</v>
      </c>
      <c r="H1683" s="100">
        <f>ventas_b_mes1255[[#This Row],[TOTAL]]/1.21</f>
        <v>0</v>
      </c>
      <c r="I1683" s="64">
        <f>ventas_b_mes1255[[#This Row],[IMPORTE NETO]]*0.21</f>
        <v>0</v>
      </c>
      <c r="J1683" s="141"/>
      <c r="K1683" s="141"/>
      <c r="L1683" s="141"/>
      <c r="M1683" s="59"/>
    </row>
    <row r="1684" spans="2:13">
      <c r="B1684" s="135"/>
      <c r="C1684" s="41"/>
      <c r="D1684" s="137"/>
      <c r="E1684" s="138"/>
      <c r="F1684" s="139"/>
      <c r="G1684" s="1" t="str">
        <f>IFERROR(IF(ventas_b_mes1255[[#This Row],[CUIT]]="","-",VLOOKUP(ventas_b_mes1255[[#This Row],[CUIT]],Lista_CUIT[#All],2,0)),"CUIT NO CARGADO")</f>
        <v>-</v>
      </c>
      <c r="H1684" s="100">
        <f>ventas_b_mes1255[[#This Row],[TOTAL]]/1.21</f>
        <v>0</v>
      </c>
      <c r="I1684" s="64">
        <f>ventas_b_mes1255[[#This Row],[IMPORTE NETO]]*0.21</f>
        <v>0</v>
      </c>
      <c r="J1684" s="141"/>
      <c r="K1684" s="141"/>
      <c r="L1684" s="141"/>
      <c r="M1684" s="59"/>
    </row>
    <row r="1685" spans="2:13">
      <c r="B1685" s="135"/>
      <c r="C1685" s="41"/>
      <c r="D1685" s="137"/>
      <c r="E1685" s="138"/>
      <c r="F1685" s="139"/>
      <c r="G1685" s="1" t="str">
        <f>IFERROR(IF(ventas_b_mes1255[[#This Row],[CUIT]]="","-",VLOOKUP(ventas_b_mes1255[[#This Row],[CUIT]],Lista_CUIT[#All],2,0)),"CUIT NO CARGADO")</f>
        <v>-</v>
      </c>
      <c r="H1685" s="100">
        <f>ventas_b_mes1255[[#This Row],[TOTAL]]/1.21</f>
        <v>0</v>
      </c>
      <c r="I1685" s="64">
        <f>ventas_b_mes1255[[#This Row],[IMPORTE NETO]]*0.21</f>
        <v>0</v>
      </c>
      <c r="J1685" s="141"/>
      <c r="K1685" s="141"/>
      <c r="L1685" s="141"/>
      <c r="M1685" s="59"/>
    </row>
    <row r="1686" spans="2:13">
      <c r="B1686" s="135"/>
      <c r="C1686" s="41"/>
      <c r="D1686" s="137"/>
      <c r="E1686" s="138"/>
      <c r="F1686" s="139"/>
      <c r="G1686" s="1" t="str">
        <f>IFERROR(IF(ventas_b_mes1255[[#This Row],[CUIT]]="","-",VLOOKUP(ventas_b_mes1255[[#This Row],[CUIT]],Lista_CUIT[#All],2,0)),"CUIT NO CARGADO")</f>
        <v>-</v>
      </c>
      <c r="H1686" s="100">
        <f>ventas_b_mes1255[[#This Row],[TOTAL]]/1.21</f>
        <v>0</v>
      </c>
      <c r="I1686" s="64">
        <f>ventas_b_mes1255[[#This Row],[IMPORTE NETO]]*0.21</f>
        <v>0</v>
      </c>
      <c r="J1686" s="141"/>
      <c r="K1686" s="141"/>
      <c r="L1686" s="141"/>
      <c r="M1686" s="59"/>
    </row>
    <row r="1687" spans="2:13">
      <c r="B1687" s="135"/>
      <c r="C1687" s="41"/>
      <c r="D1687" s="137"/>
      <c r="E1687" s="138"/>
      <c r="F1687" s="139"/>
      <c r="G1687" s="1" t="str">
        <f>IFERROR(IF(ventas_b_mes1255[[#This Row],[CUIT]]="","-",VLOOKUP(ventas_b_mes1255[[#This Row],[CUIT]],Lista_CUIT[#All],2,0)),"CUIT NO CARGADO")</f>
        <v>-</v>
      </c>
      <c r="H1687" s="100">
        <f>ventas_b_mes1255[[#This Row],[TOTAL]]/1.21</f>
        <v>0</v>
      </c>
      <c r="I1687" s="64">
        <f>ventas_b_mes1255[[#This Row],[IMPORTE NETO]]*0.21</f>
        <v>0</v>
      </c>
      <c r="J1687" s="141"/>
      <c r="K1687" s="141"/>
      <c r="L1687" s="141"/>
      <c r="M1687" s="59"/>
    </row>
    <row r="1688" spans="2:13">
      <c r="B1688" s="135"/>
      <c r="C1688" s="41"/>
      <c r="D1688" s="137"/>
      <c r="E1688" s="138"/>
      <c r="F1688" s="139"/>
      <c r="G1688" s="1" t="str">
        <f>IFERROR(IF(ventas_b_mes1255[[#This Row],[CUIT]]="","-",VLOOKUP(ventas_b_mes1255[[#This Row],[CUIT]],Lista_CUIT[#All],2,0)),"CUIT NO CARGADO")</f>
        <v>-</v>
      </c>
      <c r="H1688" s="100">
        <f>ventas_b_mes1255[[#This Row],[TOTAL]]/1.21</f>
        <v>0</v>
      </c>
      <c r="I1688" s="64">
        <f>ventas_b_mes1255[[#This Row],[IMPORTE NETO]]*0.21</f>
        <v>0</v>
      </c>
      <c r="J1688" s="141"/>
      <c r="K1688" s="141"/>
      <c r="L1688" s="141"/>
      <c r="M1688" s="59"/>
    </row>
    <row r="1689" spans="2:13">
      <c r="B1689" s="135"/>
      <c r="C1689" s="41"/>
      <c r="D1689" s="137"/>
      <c r="E1689" s="138"/>
      <c r="F1689" s="139"/>
      <c r="G1689" s="1" t="str">
        <f>IFERROR(IF(ventas_b_mes1255[[#This Row],[CUIT]]="","-",VLOOKUP(ventas_b_mes1255[[#This Row],[CUIT]],Lista_CUIT[#All],2,0)),"CUIT NO CARGADO")</f>
        <v>-</v>
      </c>
      <c r="H1689" s="100">
        <f>ventas_b_mes1255[[#This Row],[TOTAL]]/1.21</f>
        <v>0</v>
      </c>
      <c r="I1689" s="64">
        <f>ventas_b_mes1255[[#This Row],[IMPORTE NETO]]*0.21</f>
        <v>0</v>
      </c>
      <c r="J1689" s="141"/>
      <c r="K1689" s="141"/>
      <c r="L1689" s="141"/>
      <c r="M1689" s="59"/>
    </row>
    <row r="1690" spans="2:13">
      <c r="B1690" s="135"/>
      <c r="C1690" s="41"/>
      <c r="D1690" s="137"/>
      <c r="E1690" s="138"/>
      <c r="F1690" s="139"/>
      <c r="G1690" s="1" t="str">
        <f>IFERROR(IF(ventas_b_mes1255[[#This Row],[CUIT]]="","-",VLOOKUP(ventas_b_mes1255[[#This Row],[CUIT]],Lista_CUIT[#All],2,0)),"CUIT NO CARGADO")</f>
        <v>-</v>
      </c>
      <c r="H1690" s="100">
        <f>ventas_b_mes1255[[#This Row],[TOTAL]]/1.21</f>
        <v>0</v>
      </c>
      <c r="I1690" s="64">
        <f>ventas_b_mes1255[[#This Row],[IMPORTE NETO]]*0.21</f>
        <v>0</v>
      </c>
      <c r="J1690" s="141"/>
      <c r="K1690" s="141"/>
      <c r="L1690" s="141"/>
      <c r="M1690" s="59"/>
    </row>
    <row r="1691" spans="2:13">
      <c r="B1691" s="135"/>
      <c r="C1691" s="41"/>
      <c r="D1691" s="137"/>
      <c r="E1691" s="138"/>
      <c r="F1691" s="139"/>
      <c r="G1691" s="1" t="str">
        <f>IFERROR(IF(ventas_b_mes1255[[#This Row],[CUIT]]="","-",VLOOKUP(ventas_b_mes1255[[#This Row],[CUIT]],Lista_CUIT[#All],2,0)),"CUIT NO CARGADO")</f>
        <v>-</v>
      </c>
      <c r="H1691" s="100">
        <f>ventas_b_mes1255[[#This Row],[TOTAL]]/1.21</f>
        <v>0</v>
      </c>
      <c r="I1691" s="64">
        <f>ventas_b_mes1255[[#This Row],[IMPORTE NETO]]*0.21</f>
        <v>0</v>
      </c>
      <c r="J1691" s="141"/>
      <c r="K1691" s="141"/>
      <c r="L1691" s="141"/>
      <c r="M1691" s="59"/>
    </row>
    <row r="1692" spans="2:13">
      <c r="B1692" s="135"/>
      <c r="C1692" s="41"/>
      <c r="D1692" s="137"/>
      <c r="E1692" s="138"/>
      <c r="F1692" s="139"/>
      <c r="G1692" s="1" t="str">
        <f>IFERROR(IF(ventas_b_mes1255[[#This Row],[CUIT]]="","-",VLOOKUP(ventas_b_mes1255[[#This Row],[CUIT]],Lista_CUIT[#All],2,0)),"CUIT NO CARGADO")</f>
        <v>-</v>
      </c>
      <c r="H1692" s="100">
        <f>ventas_b_mes1255[[#This Row],[TOTAL]]/1.21</f>
        <v>0</v>
      </c>
      <c r="I1692" s="64">
        <f>ventas_b_mes1255[[#This Row],[IMPORTE NETO]]*0.21</f>
        <v>0</v>
      </c>
      <c r="J1692" s="141"/>
      <c r="K1692" s="141"/>
      <c r="L1692" s="141"/>
      <c r="M1692" s="59"/>
    </row>
    <row r="1693" spans="2:13">
      <c r="B1693" s="135"/>
      <c r="C1693" s="41"/>
      <c r="D1693" s="137"/>
      <c r="E1693" s="138"/>
      <c r="F1693" s="139"/>
      <c r="G1693" s="1" t="str">
        <f>IFERROR(IF(ventas_b_mes1255[[#This Row],[CUIT]]="","-",VLOOKUP(ventas_b_mes1255[[#This Row],[CUIT]],Lista_CUIT[#All],2,0)),"CUIT NO CARGADO")</f>
        <v>-</v>
      </c>
      <c r="H1693" s="100">
        <f>ventas_b_mes1255[[#This Row],[TOTAL]]/1.21</f>
        <v>0</v>
      </c>
      <c r="I1693" s="64">
        <f>ventas_b_mes1255[[#This Row],[IMPORTE NETO]]*0.21</f>
        <v>0</v>
      </c>
      <c r="J1693" s="141"/>
      <c r="K1693" s="141"/>
      <c r="L1693" s="141"/>
      <c r="M1693" s="59"/>
    </row>
    <row r="1694" spans="2:13">
      <c r="B1694" s="135"/>
      <c r="C1694" s="41"/>
      <c r="D1694" s="137"/>
      <c r="E1694" s="138"/>
      <c r="F1694" s="139"/>
      <c r="G1694" s="1" t="str">
        <f>IFERROR(IF(ventas_b_mes1255[[#This Row],[CUIT]]="","-",VLOOKUP(ventas_b_mes1255[[#This Row],[CUIT]],Lista_CUIT[#All],2,0)),"CUIT NO CARGADO")</f>
        <v>-</v>
      </c>
      <c r="H1694" s="100">
        <f>ventas_b_mes1255[[#This Row],[TOTAL]]/1.21</f>
        <v>0</v>
      </c>
      <c r="I1694" s="64">
        <f>ventas_b_mes1255[[#This Row],[IMPORTE NETO]]*0.21</f>
        <v>0</v>
      </c>
      <c r="J1694" s="141"/>
      <c r="K1694" s="141"/>
      <c r="L1694" s="141"/>
      <c r="M1694" s="59"/>
    </row>
    <row r="1695" spans="2:13">
      <c r="B1695" s="135"/>
      <c r="C1695" s="41"/>
      <c r="D1695" s="137"/>
      <c r="E1695" s="138"/>
      <c r="F1695" s="139"/>
      <c r="G1695" s="1" t="str">
        <f>IFERROR(IF(ventas_b_mes1255[[#This Row],[CUIT]]="","-",VLOOKUP(ventas_b_mes1255[[#This Row],[CUIT]],Lista_CUIT[#All],2,0)),"CUIT NO CARGADO")</f>
        <v>-</v>
      </c>
      <c r="H1695" s="100">
        <f>ventas_b_mes1255[[#This Row],[TOTAL]]/1.21</f>
        <v>0</v>
      </c>
      <c r="I1695" s="64">
        <f>ventas_b_mes1255[[#This Row],[IMPORTE NETO]]*0.21</f>
        <v>0</v>
      </c>
      <c r="J1695" s="141"/>
      <c r="K1695" s="141"/>
      <c r="L1695" s="141"/>
      <c r="M1695" s="59"/>
    </row>
    <row r="1696" spans="2:13">
      <c r="B1696" s="135"/>
      <c r="C1696" s="41"/>
      <c r="D1696" s="137"/>
      <c r="E1696" s="138"/>
      <c r="F1696" s="139"/>
      <c r="G1696" s="1" t="str">
        <f>IFERROR(IF(ventas_b_mes1255[[#This Row],[CUIT]]="","-",VLOOKUP(ventas_b_mes1255[[#This Row],[CUIT]],Lista_CUIT[#All],2,0)),"CUIT NO CARGADO")</f>
        <v>-</v>
      </c>
      <c r="H1696" s="100">
        <f>ventas_b_mes1255[[#This Row],[TOTAL]]/1.21</f>
        <v>0</v>
      </c>
      <c r="I1696" s="64">
        <f>ventas_b_mes1255[[#This Row],[IMPORTE NETO]]*0.21</f>
        <v>0</v>
      </c>
      <c r="J1696" s="141"/>
      <c r="K1696" s="141"/>
      <c r="L1696" s="141"/>
      <c r="M1696" s="59"/>
    </row>
    <row r="1697" spans="2:13">
      <c r="B1697" s="135"/>
      <c r="C1697" s="41"/>
      <c r="D1697" s="137"/>
      <c r="E1697" s="138"/>
      <c r="F1697" s="139"/>
      <c r="G1697" s="1" t="str">
        <f>IFERROR(IF(ventas_b_mes1255[[#This Row],[CUIT]]="","-",VLOOKUP(ventas_b_mes1255[[#This Row],[CUIT]],Lista_CUIT[#All],2,0)),"CUIT NO CARGADO")</f>
        <v>-</v>
      </c>
      <c r="H1697" s="100">
        <f>ventas_b_mes1255[[#This Row],[TOTAL]]/1.21</f>
        <v>0</v>
      </c>
      <c r="I1697" s="64">
        <f>ventas_b_mes1255[[#This Row],[IMPORTE NETO]]*0.21</f>
        <v>0</v>
      </c>
      <c r="J1697" s="141"/>
      <c r="K1697" s="141"/>
      <c r="L1697" s="141"/>
      <c r="M1697" s="59"/>
    </row>
    <row r="1698" spans="2:13">
      <c r="B1698" s="135"/>
      <c r="C1698" s="41"/>
      <c r="D1698" s="137"/>
      <c r="E1698" s="138"/>
      <c r="F1698" s="139"/>
      <c r="G1698" s="1" t="str">
        <f>IFERROR(IF(ventas_b_mes1255[[#This Row],[CUIT]]="","-",VLOOKUP(ventas_b_mes1255[[#This Row],[CUIT]],Lista_CUIT[#All],2,0)),"CUIT NO CARGADO")</f>
        <v>-</v>
      </c>
      <c r="H1698" s="100">
        <f>ventas_b_mes1255[[#This Row],[TOTAL]]/1.21</f>
        <v>0</v>
      </c>
      <c r="I1698" s="64">
        <f>ventas_b_mes1255[[#This Row],[IMPORTE NETO]]*0.21</f>
        <v>0</v>
      </c>
      <c r="J1698" s="141"/>
      <c r="K1698" s="141"/>
      <c r="L1698" s="141"/>
      <c r="M1698" s="59"/>
    </row>
    <row r="1699" spans="2:13">
      <c r="B1699" s="135"/>
      <c r="C1699" s="41"/>
      <c r="D1699" s="137"/>
      <c r="E1699" s="138"/>
      <c r="F1699" s="139"/>
      <c r="G1699" s="1" t="str">
        <f>IFERROR(IF(ventas_b_mes1255[[#This Row],[CUIT]]="","-",VLOOKUP(ventas_b_mes1255[[#This Row],[CUIT]],Lista_CUIT[#All],2,0)),"CUIT NO CARGADO")</f>
        <v>-</v>
      </c>
      <c r="H1699" s="100">
        <f>ventas_b_mes1255[[#This Row],[TOTAL]]/1.21</f>
        <v>0</v>
      </c>
      <c r="I1699" s="64">
        <f>ventas_b_mes1255[[#This Row],[IMPORTE NETO]]*0.21</f>
        <v>0</v>
      </c>
      <c r="J1699" s="141"/>
      <c r="K1699" s="141"/>
      <c r="L1699" s="141"/>
      <c r="M1699" s="59"/>
    </row>
    <row r="1700" spans="2:13">
      <c r="B1700" s="135"/>
      <c r="C1700" s="41"/>
      <c r="D1700" s="137"/>
      <c r="E1700" s="138"/>
      <c r="F1700" s="139"/>
      <c r="G1700" s="1" t="str">
        <f>IFERROR(IF(ventas_b_mes1255[[#This Row],[CUIT]]="","-",VLOOKUP(ventas_b_mes1255[[#This Row],[CUIT]],Lista_CUIT[#All],2,0)),"CUIT NO CARGADO")</f>
        <v>-</v>
      </c>
      <c r="H1700" s="100">
        <f>ventas_b_mes1255[[#This Row],[TOTAL]]/1.21</f>
        <v>0</v>
      </c>
      <c r="I1700" s="64">
        <f>ventas_b_mes1255[[#This Row],[IMPORTE NETO]]*0.21</f>
        <v>0</v>
      </c>
      <c r="J1700" s="141"/>
      <c r="K1700" s="141"/>
      <c r="L1700" s="141"/>
      <c r="M1700" s="59"/>
    </row>
    <row r="1701" spans="2:13">
      <c r="B1701" s="135"/>
      <c r="C1701" s="41"/>
      <c r="D1701" s="137"/>
      <c r="E1701" s="138"/>
      <c r="F1701" s="139"/>
      <c r="G1701" s="1" t="str">
        <f>IFERROR(IF(ventas_b_mes1255[[#This Row],[CUIT]]="","-",VLOOKUP(ventas_b_mes1255[[#This Row],[CUIT]],Lista_CUIT[#All],2,0)),"CUIT NO CARGADO")</f>
        <v>-</v>
      </c>
      <c r="H1701" s="100">
        <f>ventas_b_mes1255[[#This Row],[TOTAL]]/1.21</f>
        <v>0</v>
      </c>
      <c r="I1701" s="64">
        <f>ventas_b_mes1255[[#This Row],[IMPORTE NETO]]*0.21</f>
        <v>0</v>
      </c>
      <c r="J1701" s="141"/>
      <c r="K1701" s="141"/>
      <c r="L1701" s="141"/>
      <c r="M1701" s="59"/>
    </row>
    <row r="1702" spans="2:13">
      <c r="B1702" s="135"/>
      <c r="C1702" s="41"/>
      <c r="D1702" s="137"/>
      <c r="E1702" s="138"/>
      <c r="F1702" s="139"/>
      <c r="G1702" s="1" t="str">
        <f>IFERROR(IF(ventas_b_mes1255[[#This Row],[CUIT]]="","-",VLOOKUP(ventas_b_mes1255[[#This Row],[CUIT]],Lista_CUIT[#All],2,0)),"CUIT NO CARGADO")</f>
        <v>-</v>
      </c>
      <c r="H1702" s="100">
        <f>ventas_b_mes1255[[#This Row],[TOTAL]]/1.21</f>
        <v>0</v>
      </c>
      <c r="I1702" s="64">
        <f>ventas_b_mes1255[[#This Row],[IMPORTE NETO]]*0.21</f>
        <v>0</v>
      </c>
      <c r="J1702" s="141"/>
      <c r="K1702" s="141"/>
      <c r="L1702" s="141"/>
      <c r="M1702" s="59"/>
    </row>
    <row r="1703" spans="2:13">
      <c r="B1703" s="135"/>
      <c r="C1703" s="41"/>
      <c r="D1703" s="137"/>
      <c r="E1703" s="138"/>
      <c r="F1703" s="139"/>
      <c r="G1703" s="1" t="str">
        <f>IFERROR(IF(ventas_b_mes1255[[#This Row],[CUIT]]="","-",VLOOKUP(ventas_b_mes1255[[#This Row],[CUIT]],Lista_CUIT[#All],2,0)),"CUIT NO CARGADO")</f>
        <v>-</v>
      </c>
      <c r="H1703" s="100">
        <f>ventas_b_mes1255[[#This Row],[TOTAL]]/1.21</f>
        <v>0</v>
      </c>
      <c r="I1703" s="64">
        <f>ventas_b_mes1255[[#This Row],[IMPORTE NETO]]*0.21</f>
        <v>0</v>
      </c>
      <c r="J1703" s="141"/>
      <c r="K1703" s="141"/>
      <c r="L1703" s="141"/>
      <c r="M1703" s="59"/>
    </row>
    <row r="1704" spans="2:13">
      <c r="B1704" s="135"/>
      <c r="C1704" s="41"/>
      <c r="D1704" s="137"/>
      <c r="E1704" s="138"/>
      <c r="F1704" s="139"/>
      <c r="G1704" s="1" t="str">
        <f>IFERROR(IF(ventas_b_mes1255[[#This Row],[CUIT]]="","-",VLOOKUP(ventas_b_mes1255[[#This Row],[CUIT]],Lista_CUIT[#All],2,0)),"CUIT NO CARGADO")</f>
        <v>-</v>
      </c>
      <c r="H1704" s="100">
        <f>ventas_b_mes1255[[#This Row],[TOTAL]]/1.21</f>
        <v>0</v>
      </c>
      <c r="I1704" s="64">
        <f>ventas_b_mes1255[[#This Row],[IMPORTE NETO]]*0.21</f>
        <v>0</v>
      </c>
      <c r="J1704" s="141"/>
      <c r="K1704" s="141"/>
      <c r="L1704" s="141"/>
      <c r="M1704" s="59"/>
    </row>
    <row r="1705" spans="2:13">
      <c r="B1705" s="135"/>
      <c r="C1705" s="41"/>
      <c r="D1705" s="137"/>
      <c r="E1705" s="138"/>
      <c r="F1705" s="139"/>
      <c r="G1705" s="1" t="str">
        <f>IFERROR(IF(ventas_b_mes1255[[#This Row],[CUIT]]="","-",VLOOKUP(ventas_b_mes1255[[#This Row],[CUIT]],Lista_CUIT[#All],2,0)),"CUIT NO CARGADO")</f>
        <v>-</v>
      </c>
      <c r="H1705" s="100">
        <f>ventas_b_mes1255[[#This Row],[TOTAL]]/1.21</f>
        <v>0</v>
      </c>
      <c r="I1705" s="64">
        <f>ventas_b_mes1255[[#This Row],[IMPORTE NETO]]*0.21</f>
        <v>0</v>
      </c>
      <c r="J1705" s="141"/>
      <c r="K1705" s="141"/>
      <c r="L1705" s="141"/>
      <c r="M1705" s="59"/>
    </row>
    <row r="1706" spans="2:13">
      <c r="B1706" s="135"/>
      <c r="C1706" s="41"/>
      <c r="D1706" s="137"/>
      <c r="E1706" s="138"/>
      <c r="F1706" s="139"/>
      <c r="G1706" s="1" t="str">
        <f>IFERROR(IF(ventas_b_mes1255[[#This Row],[CUIT]]="","-",VLOOKUP(ventas_b_mes1255[[#This Row],[CUIT]],Lista_CUIT[#All],2,0)),"CUIT NO CARGADO")</f>
        <v>-</v>
      </c>
      <c r="H1706" s="100">
        <f>ventas_b_mes1255[[#This Row],[TOTAL]]/1.21</f>
        <v>0</v>
      </c>
      <c r="I1706" s="64">
        <f>ventas_b_mes1255[[#This Row],[IMPORTE NETO]]*0.21</f>
        <v>0</v>
      </c>
      <c r="J1706" s="141"/>
      <c r="K1706" s="141"/>
      <c r="L1706" s="141"/>
      <c r="M1706" s="59"/>
    </row>
    <row r="1707" spans="2:13">
      <c r="B1707" s="135"/>
      <c r="C1707" s="41"/>
      <c r="D1707" s="137"/>
      <c r="E1707" s="138"/>
      <c r="F1707" s="139"/>
      <c r="G1707" s="1" t="str">
        <f>IFERROR(IF(ventas_b_mes1255[[#This Row],[CUIT]]="","-",VLOOKUP(ventas_b_mes1255[[#This Row],[CUIT]],Lista_CUIT[#All],2,0)),"CUIT NO CARGADO")</f>
        <v>-</v>
      </c>
      <c r="H1707" s="100">
        <f>ventas_b_mes1255[[#This Row],[TOTAL]]/1.21</f>
        <v>0</v>
      </c>
      <c r="I1707" s="64">
        <f>ventas_b_mes1255[[#This Row],[IMPORTE NETO]]*0.21</f>
        <v>0</v>
      </c>
      <c r="J1707" s="141"/>
      <c r="K1707" s="141"/>
      <c r="L1707" s="141"/>
      <c r="M1707" s="59"/>
    </row>
    <row r="1708" spans="2:13">
      <c r="B1708" s="135"/>
      <c r="C1708" s="41"/>
      <c r="D1708" s="137"/>
      <c r="E1708" s="138"/>
      <c r="F1708" s="139"/>
      <c r="G1708" s="1" t="str">
        <f>IFERROR(IF(ventas_b_mes1255[[#This Row],[CUIT]]="","-",VLOOKUP(ventas_b_mes1255[[#This Row],[CUIT]],Lista_CUIT[#All],2,0)),"CUIT NO CARGADO")</f>
        <v>-</v>
      </c>
      <c r="H1708" s="100">
        <f>ventas_b_mes1255[[#This Row],[TOTAL]]/1.21</f>
        <v>0</v>
      </c>
      <c r="I1708" s="64">
        <f>ventas_b_mes1255[[#This Row],[IMPORTE NETO]]*0.21</f>
        <v>0</v>
      </c>
      <c r="J1708" s="141"/>
      <c r="K1708" s="141"/>
      <c r="L1708" s="141"/>
      <c r="M1708" s="59"/>
    </row>
    <row r="1709" spans="2:13">
      <c r="B1709" s="135"/>
      <c r="C1709" s="41"/>
      <c r="D1709" s="137"/>
      <c r="E1709" s="138"/>
      <c r="F1709" s="139"/>
      <c r="G1709" s="1" t="str">
        <f>IFERROR(IF(ventas_b_mes1255[[#This Row],[CUIT]]="","-",VLOOKUP(ventas_b_mes1255[[#This Row],[CUIT]],Lista_CUIT[#All],2,0)),"CUIT NO CARGADO")</f>
        <v>-</v>
      </c>
      <c r="H1709" s="100">
        <f>ventas_b_mes1255[[#This Row],[TOTAL]]/1.21</f>
        <v>0</v>
      </c>
      <c r="I1709" s="64">
        <f>ventas_b_mes1255[[#This Row],[IMPORTE NETO]]*0.21</f>
        <v>0</v>
      </c>
      <c r="J1709" s="141"/>
      <c r="K1709" s="141"/>
      <c r="L1709" s="141"/>
      <c r="M1709" s="59"/>
    </row>
    <row r="1710" spans="2:13">
      <c r="B1710" s="135"/>
      <c r="C1710" s="41"/>
      <c r="D1710" s="137"/>
      <c r="E1710" s="138"/>
      <c r="F1710" s="139"/>
      <c r="G1710" s="1" t="str">
        <f>IFERROR(IF(ventas_b_mes1255[[#This Row],[CUIT]]="","-",VLOOKUP(ventas_b_mes1255[[#This Row],[CUIT]],Lista_CUIT[#All],2,0)),"CUIT NO CARGADO")</f>
        <v>-</v>
      </c>
      <c r="H1710" s="100">
        <f>ventas_b_mes1255[[#This Row],[TOTAL]]/1.21</f>
        <v>0</v>
      </c>
      <c r="I1710" s="64">
        <f>ventas_b_mes1255[[#This Row],[IMPORTE NETO]]*0.21</f>
        <v>0</v>
      </c>
      <c r="J1710" s="141"/>
      <c r="K1710" s="141"/>
      <c r="L1710" s="141"/>
      <c r="M1710" s="59"/>
    </row>
    <row r="1711" spans="2:13">
      <c r="B1711" s="135"/>
      <c r="C1711" s="41"/>
      <c r="D1711" s="137"/>
      <c r="E1711" s="138"/>
      <c r="F1711" s="139"/>
      <c r="G1711" s="1" t="str">
        <f>IFERROR(IF(ventas_b_mes1255[[#This Row],[CUIT]]="","-",VLOOKUP(ventas_b_mes1255[[#This Row],[CUIT]],Lista_CUIT[#All],2,0)),"CUIT NO CARGADO")</f>
        <v>-</v>
      </c>
      <c r="H1711" s="100">
        <f>ventas_b_mes1255[[#This Row],[TOTAL]]/1.21</f>
        <v>0</v>
      </c>
      <c r="I1711" s="64">
        <f>ventas_b_mes1255[[#This Row],[IMPORTE NETO]]*0.21</f>
        <v>0</v>
      </c>
      <c r="J1711" s="141"/>
      <c r="K1711" s="141"/>
      <c r="L1711" s="141"/>
      <c r="M1711" s="59"/>
    </row>
    <row r="1712" spans="2:13">
      <c r="B1712" s="135"/>
      <c r="C1712" s="41"/>
      <c r="D1712" s="137"/>
      <c r="E1712" s="138"/>
      <c r="F1712" s="139"/>
      <c r="G1712" s="1" t="str">
        <f>IFERROR(IF(ventas_b_mes1255[[#This Row],[CUIT]]="","-",VLOOKUP(ventas_b_mes1255[[#This Row],[CUIT]],Lista_CUIT[#All],2,0)),"CUIT NO CARGADO")</f>
        <v>-</v>
      </c>
      <c r="H1712" s="100">
        <f>ventas_b_mes1255[[#This Row],[TOTAL]]/1.21</f>
        <v>0</v>
      </c>
      <c r="I1712" s="64">
        <f>ventas_b_mes1255[[#This Row],[IMPORTE NETO]]*0.21</f>
        <v>0</v>
      </c>
      <c r="J1712" s="141"/>
      <c r="K1712" s="141"/>
      <c r="L1712" s="141"/>
      <c r="M1712" s="59"/>
    </row>
    <row r="1713" spans="2:13">
      <c r="B1713" s="135"/>
      <c r="C1713" s="41"/>
      <c r="D1713" s="137"/>
      <c r="E1713" s="138"/>
      <c r="F1713" s="139"/>
      <c r="G1713" s="1" t="str">
        <f>IFERROR(IF(ventas_b_mes1255[[#This Row],[CUIT]]="","-",VLOOKUP(ventas_b_mes1255[[#This Row],[CUIT]],Lista_CUIT[#All],2,0)),"CUIT NO CARGADO")</f>
        <v>-</v>
      </c>
      <c r="H1713" s="100">
        <f>ventas_b_mes1255[[#This Row],[TOTAL]]/1.21</f>
        <v>0</v>
      </c>
      <c r="I1713" s="64">
        <f>ventas_b_mes1255[[#This Row],[IMPORTE NETO]]*0.21</f>
        <v>0</v>
      </c>
      <c r="J1713" s="141"/>
      <c r="K1713" s="141"/>
      <c r="L1713" s="141"/>
      <c r="M1713" s="59"/>
    </row>
    <row r="1714" spans="2:13">
      <c r="B1714" s="135"/>
      <c r="C1714" s="41"/>
      <c r="D1714" s="137"/>
      <c r="E1714" s="138"/>
      <c r="F1714" s="139"/>
      <c r="G1714" s="1" t="str">
        <f>IFERROR(IF(ventas_b_mes1255[[#This Row],[CUIT]]="","-",VLOOKUP(ventas_b_mes1255[[#This Row],[CUIT]],Lista_CUIT[#All],2,0)),"CUIT NO CARGADO")</f>
        <v>-</v>
      </c>
      <c r="H1714" s="100">
        <f>ventas_b_mes1255[[#This Row],[TOTAL]]/1.21</f>
        <v>0</v>
      </c>
      <c r="I1714" s="64">
        <f>ventas_b_mes1255[[#This Row],[IMPORTE NETO]]*0.21</f>
        <v>0</v>
      </c>
      <c r="J1714" s="141"/>
      <c r="K1714" s="141"/>
      <c r="L1714" s="141"/>
      <c r="M1714" s="59"/>
    </row>
    <row r="1715" spans="2:13">
      <c r="B1715" s="135"/>
      <c r="C1715" s="41"/>
      <c r="D1715" s="137"/>
      <c r="E1715" s="138"/>
      <c r="F1715" s="139"/>
      <c r="G1715" s="1" t="str">
        <f>IFERROR(IF(ventas_b_mes1255[[#This Row],[CUIT]]="","-",VLOOKUP(ventas_b_mes1255[[#This Row],[CUIT]],Lista_CUIT[#All],2,0)),"CUIT NO CARGADO")</f>
        <v>-</v>
      </c>
      <c r="H1715" s="100">
        <f>ventas_b_mes1255[[#This Row],[TOTAL]]/1.21</f>
        <v>0</v>
      </c>
      <c r="I1715" s="64">
        <f>ventas_b_mes1255[[#This Row],[IMPORTE NETO]]*0.21</f>
        <v>0</v>
      </c>
      <c r="J1715" s="141"/>
      <c r="K1715" s="141"/>
      <c r="L1715" s="141"/>
      <c r="M1715" s="59"/>
    </row>
    <row r="1716" spans="2:13">
      <c r="B1716" s="135"/>
      <c r="C1716" s="41"/>
      <c r="D1716" s="137"/>
      <c r="E1716" s="138"/>
      <c r="F1716" s="139"/>
      <c r="G1716" s="1" t="str">
        <f>IFERROR(IF(ventas_b_mes1255[[#This Row],[CUIT]]="","-",VLOOKUP(ventas_b_mes1255[[#This Row],[CUIT]],Lista_CUIT[#All],2,0)),"CUIT NO CARGADO")</f>
        <v>-</v>
      </c>
      <c r="H1716" s="100">
        <f>ventas_b_mes1255[[#This Row],[TOTAL]]/1.21</f>
        <v>0</v>
      </c>
      <c r="I1716" s="64">
        <f>ventas_b_mes1255[[#This Row],[IMPORTE NETO]]*0.21</f>
        <v>0</v>
      </c>
      <c r="J1716" s="141"/>
      <c r="K1716" s="141"/>
      <c r="L1716" s="141"/>
      <c r="M1716" s="59"/>
    </row>
    <row r="1717" spans="2:13">
      <c r="B1717" s="135"/>
      <c r="C1717" s="41"/>
      <c r="D1717" s="137"/>
      <c r="E1717" s="138"/>
      <c r="F1717" s="139"/>
      <c r="G1717" s="1" t="str">
        <f>IFERROR(IF(ventas_b_mes1255[[#This Row],[CUIT]]="","-",VLOOKUP(ventas_b_mes1255[[#This Row],[CUIT]],Lista_CUIT[#All],2,0)),"CUIT NO CARGADO")</f>
        <v>-</v>
      </c>
      <c r="H1717" s="100">
        <f>ventas_b_mes1255[[#This Row],[TOTAL]]/1.21</f>
        <v>0</v>
      </c>
      <c r="I1717" s="64">
        <f>ventas_b_mes1255[[#This Row],[IMPORTE NETO]]*0.21</f>
        <v>0</v>
      </c>
      <c r="J1717" s="141"/>
      <c r="K1717" s="141"/>
      <c r="L1717" s="141"/>
      <c r="M1717" s="59"/>
    </row>
    <row r="1718" spans="2:13">
      <c r="B1718" s="135"/>
      <c r="C1718" s="41"/>
      <c r="D1718" s="137"/>
      <c r="E1718" s="138"/>
      <c r="F1718" s="139"/>
      <c r="G1718" s="1" t="str">
        <f>IFERROR(IF(ventas_b_mes1255[[#This Row],[CUIT]]="","-",VLOOKUP(ventas_b_mes1255[[#This Row],[CUIT]],Lista_CUIT[#All],2,0)),"CUIT NO CARGADO")</f>
        <v>-</v>
      </c>
      <c r="H1718" s="100">
        <f>ventas_b_mes1255[[#This Row],[TOTAL]]/1.21</f>
        <v>0</v>
      </c>
      <c r="I1718" s="64">
        <f>ventas_b_mes1255[[#This Row],[IMPORTE NETO]]*0.21</f>
        <v>0</v>
      </c>
      <c r="J1718" s="141"/>
      <c r="K1718" s="141"/>
      <c r="L1718" s="141"/>
      <c r="M1718" s="59"/>
    </row>
    <row r="1719" spans="2:13">
      <c r="B1719" s="135"/>
      <c r="C1719" s="41"/>
      <c r="D1719" s="137"/>
      <c r="E1719" s="138"/>
      <c r="F1719" s="139"/>
      <c r="G1719" s="1" t="str">
        <f>IFERROR(IF(ventas_b_mes1255[[#This Row],[CUIT]]="","-",VLOOKUP(ventas_b_mes1255[[#This Row],[CUIT]],Lista_CUIT[#All],2,0)),"CUIT NO CARGADO")</f>
        <v>-</v>
      </c>
      <c r="H1719" s="100">
        <f>ventas_b_mes1255[[#This Row],[TOTAL]]/1.21</f>
        <v>0</v>
      </c>
      <c r="I1719" s="64">
        <f>ventas_b_mes1255[[#This Row],[IMPORTE NETO]]*0.21</f>
        <v>0</v>
      </c>
      <c r="J1719" s="141"/>
      <c r="K1719" s="141"/>
      <c r="L1719" s="141"/>
      <c r="M1719" s="59"/>
    </row>
    <row r="1720" spans="2:13">
      <c r="B1720" s="135"/>
      <c r="C1720" s="41"/>
      <c r="D1720" s="137"/>
      <c r="E1720" s="138"/>
      <c r="F1720" s="139"/>
      <c r="G1720" s="1" t="str">
        <f>IFERROR(IF(ventas_b_mes1255[[#This Row],[CUIT]]="","-",VLOOKUP(ventas_b_mes1255[[#This Row],[CUIT]],Lista_CUIT[#All],2,0)),"CUIT NO CARGADO")</f>
        <v>-</v>
      </c>
      <c r="H1720" s="100">
        <f>ventas_b_mes1255[[#This Row],[TOTAL]]/1.21</f>
        <v>0</v>
      </c>
      <c r="I1720" s="64">
        <f>ventas_b_mes1255[[#This Row],[IMPORTE NETO]]*0.21</f>
        <v>0</v>
      </c>
      <c r="J1720" s="141"/>
      <c r="K1720" s="141"/>
      <c r="L1720" s="141"/>
      <c r="M1720" s="59"/>
    </row>
    <row r="1721" spans="2:13">
      <c r="B1721" s="135"/>
      <c r="C1721" s="41"/>
      <c r="D1721" s="137"/>
      <c r="E1721" s="138"/>
      <c r="F1721" s="139"/>
      <c r="G1721" s="1" t="str">
        <f>IFERROR(IF(ventas_b_mes1255[[#This Row],[CUIT]]="","-",VLOOKUP(ventas_b_mes1255[[#This Row],[CUIT]],Lista_CUIT[#All],2,0)),"CUIT NO CARGADO")</f>
        <v>-</v>
      </c>
      <c r="H1721" s="100">
        <f>ventas_b_mes1255[[#This Row],[TOTAL]]/1.21</f>
        <v>0</v>
      </c>
      <c r="I1721" s="64">
        <f>ventas_b_mes1255[[#This Row],[IMPORTE NETO]]*0.21</f>
        <v>0</v>
      </c>
      <c r="J1721" s="141"/>
      <c r="K1721" s="141"/>
      <c r="L1721" s="141"/>
      <c r="M1721" s="59"/>
    </row>
    <row r="1722" spans="2:13">
      <c r="B1722" s="135"/>
      <c r="C1722" s="41"/>
      <c r="D1722" s="137"/>
      <c r="E1722" s="138"/>
      <c r="F1722" s="139"/>
      <c r="G1722" s="1" t="str">
        <f>IFERROR(IF(ventas_b_mes1255[[#This Row],[CUIT]]="","-",VLOOKUP(ventas_b_mes1255[[#This Row],[CUIT]],Lista_CUIT[#All],2,0)),"CUIT NO CARGADO")</f>
        <v>-</v>
      </c>
      <c r="H1722" s="100">
        <f>ventas_b_mes1255[[#This Row],[TOTAL]]/1.21</f>
        <v>0</v>
      </c>
      <c r="I1722" s="64">
        <f>ventas_b_mes1255[[#This Row],[IMPORTE NETO]]*0.21</f>
        <v>0</v>
      </c>
      <c r="J1722" s="141"/>
      <c r="K1722" s="141"/>
      <c r="L1722" s="141"/>
      <c r="M1722" s="59"/>
    </row>
    <row r="1723" spans="2:13">
      <c r="B1723" s="135"/>
      <c r="C1723" s="41"/>
      <c r="D1723" s="137"/>
      <c r="E1723" s="138"/>
      <c r="F1723" s="139"/>
      <c r="G1723" s="1" t="str">
        <f>IFERROR(IF(ventas_b_mes1255[[#This Row],[CUIT]]="","-",VLOOKUP(ventas_b_mes1255[[#This Row],[CUIT]],Lista_CUIT[#All],2,0)),"CUIT NO CARGADO")</f>
        <v>-</v>
      </c>
      <c r="H1723" s="100">
        <f>ventas_b_mes1255[[#This Row],[TOTAL]]/1.21</f>
        <v>0</v>
      </c>
      <c r="I1723" s="64">
        <f>ventas_b_mes1255[[#This Row],[IMPORTE NETO]]*0.21</f>
        <v>0</v>
      </c>
      <c r="J1723" s="141"/>
      <c r="K1723" s="141"/>
      <c r="L1723" s="141"/>
      <c r="M1723" s="59"/>
    </row>
    <row r="1724" spans="2:13">
      <c r="B1724" s="135"/>
      <c r="C1724" s="41"/>
      <c r="D1724" s="137"/>
      <c r="E1724" s="138"/>
      <c r="F1724" s="139"/>
      <c r="G1724" s="1" t="str">
        <f>IFERROR(IF(ventas_b_mes1255[[#This Row],[CUIT]]="","-",VLOOKUP(ventas_b_mes1255[[#This Row],[CUIT]],Lista_CUIT[#All],2,0)),"CUIT NO CARGADO")</f>
        <v>-</v>
      </c>
      <c r="H1724" s="100">
        <f>ventas_b_mes1255[[#This Row],[TOTAL]]/1.21</f>
        <v>0</v>
      </c>
      <c r="I1724" s="64">
        <f>ventas_b_mes1255[[#This Row],[IMPORTE NETO]]*0.21</f>
        <v>0</v>
      </c>
      <c r="J1724" s="141"/>
      <c r="K1724" s="141"/>
      <c r="L1724" s="141"/>
      <c r="M1724" s="59"/>
    </row>
    <row r="1725" spans="2:13">
      <c r="B1725" s="135"/>
      <c r="C1725" s="41"/>
      <c r="D1725" s="137"/>
      <c r="E1725" s="138"/>
      <c r="F1725" s="139"/>
      <c r="G1725" s="1" t="str">
        <f>IFERROR(IF(ventas_b_mes1255[[#This Row],[CUIT]]="","-",VLOOKUP(ventas_b_mes1255[[#This Row],[CUIT]],Lista_CUIT[#All],2,0)),"CUIT NO CARGADO")</f>
        <v>-</v>
      </c>
      <c r="H1725" s="100">
        <f>ventas_b_mes1255[[#This Row],[TOTAL]]/1.21</f>
        <v>0</v>
      </c>
      <c r="I1725" s="64">
        <f>ventas_b_mes1255[[#This Row],[IMPORTE NETO]]*0.21</f>
        <v>0</v>
      </c>
      <c r="J1725" s="141"/>
      <c r="K1725" s="141"/>
      <c r="L1725" s="141"/>
      <c r="M1725" s="59"/>
    </row>
    <row r="1726" spans="2:13">
      <c r="B1726" s="135"/>
      <c r="C1726" s="41"/>
      <c r="D1726" s="137"/>
      <c r="E1726" s="138"/>
      <c r="F1726" s="139"/>
      <c r="G1726" s="1" t="str">
        <f>IFERROR(IF(ventas_b_mes1255[[#This Row],[CUIT]]="","-",VLOOKUP(ventas_b_mes1255[[#This Row],[CUIT]],Lista_CUIT[#All],2,0)),"CUIT NO CARGADO")</f>
        <v>-</v>
      </c>
      <c r="H1726" s="100">
        <f>ventas_b_mes1255[[#This Row],[TOTAL]]/1.21</f>
        <v>0</v>
      </c>
      <c r="I1726" s="64">
        <f>ventas_b_mes1255[[#This Row],[IMPORTE NETO]]*0.21</f>
        <v>0</v>
      </c>
      <c r="J1726" s="141"/>
      <c r="K1726" s="141"/>
      <c r="L1726" s="141"/>
      <c r="M1726" s="59"/>
    </row>
    <row r="1727" spans="2:13">
      <c r="B1727" s="135"/>
      <c r="C1727" s="41"/>
      <c r="D1727" s="137"/>
      <c r="E1727" s="138"/>
      <c r="F1727" s="139"/>
      <c r="G1727" s="1" t="str">
        <f>IFERROR(IF(ventas_b_mes1255[[#This Row],[CUIT]]="","-",VLOOKUP(ventas_b_mes1255[[#This Row],[CUIT]],Lista_CUIT[#All],2,0)),"CUIT NO CARGADO")</f>
        <v>-</v>
      </c>
      <c r="H1727" s="100">
        <f>ventas_b_mes1255[[#This Row],[TOTAL]]/1.21</f>
        <v>0</v>
      </c>
      <c r="I1727" s="64">
        <f>ventas_b_mes1255[[#This Row],[IMPORTE NETO]]*0.21</f>
        <v>0</v>
      </c>
      <c r="J1727" s="141"/>
      <c r="K1727" s="141"/>
      <c r="L1727" s="141"/>
      <c r="M1727" s="59"/>
    </row>
    <row r="1728" spans="2:13">
      <c r="B1728" s="135"/>
      <c r="C1728" s="41"/>
      <c r="D1728" s="137"/>
      <c r="E1728" s="138"/>
      <c r="F1728" s="139"/>
      <c r="G1728" s="1" t="str">
        <f>IFERROR(IF(ventas_b_mes1255[[#This Row],[CUIT]]="","-",VLOOKUP(ventas_b_mes1255[[#This Row],[CUIT]],Lista_CUIT[#All],2,0)),"CUIT NO CARGADO")</f>
        <v>-</v>
      </c>
      <c r="H1728" s="100">
        <f>ventas_b_mes1255[[#This Row],[TOTAL]]/1.21</f>
        <v>0</v>
      </c>
      <c r="I1728" s="64">
        <f>ventas_b_mes1255[[#This Row],[IMPORTE NETO]]*0.21</f>
        <v>0</v>
      </c>
      <c r="J1728" s="141"/>
      <c r="K1728" s="141"/>
      <c r="L1728" s="141"/>
      <c r="M1728" s="59"/>
    </row>
    <row r="1729" spans="2:13">
      <c r="B1729" s="135"/>
      <c r="C1729" s="41"/>
      <c r="D1729" s="137"/>
      <c r="E1729" s="138"/>
      <c r="F1729" s="139"/>
      <c r="G1729" s="1" t="str">
        <f>IFERROR(IF(ventas_b_mes1255[[#This Row],[CUIT]]="","-",VLOOKUP(ventas_b_mes1255[[#This Row],[CUIT]],Lista_CUIT[#All],2,0)),"CUIT NO CARGADO")</f>
        <v>-</v>
      </c>
      <c r="H1729" s="100">
        <f>ventas_b_mes1255[[#This Row],[TOTAL]]/1.21</f>
        <v>0</v>
      </c>
      <c r="I1729" s="64">
        <f>ventas_b_mes1255[[#This Row],[IMPORTE NETO]]*0.21</f>
        <v>0</v>
      </c>
      <c r="J1729" s="141"/>
      <c r="K1729" s="141"/>
      <c r="L1729" s="141"/>
      <c r="M1729" s="59"/>
    </row>
    <row r="1730" spans="2:13">
      <c r="B1730" s="135"/>
      <c r="C1730" s="41"/>
      <c r="D1730" s="137"/>
      <c r="E1730" s="138"/>
      <c r="F1730" s="139"/>
      <c r="G1730" s="1" t="str">
        <f>IFERROR(IF(ventas_b_mes1255[[#This Row],[CUIT]]="","-",VLOOKUP(ventas_b_mes1255[[#This Row],[CUIT]],Lista_CUIT[#All],2,0)),"CUIT NO CARGADO")</f>
        <v>-</v>
      </c>
      <c r="H1730" s="100">
        <f>ventas_b_mes1255[[#This Row],[TOTAL]]/1.21</f>
        <v>0</v>
      </c>
      <c r="I1730" s="64">
        <f>ventas_b_mes1255[[#This Row],[IMPORTE NETO]]*0.21</f>
        <v>0</v>
      </c>
      <c r="J1730" s="141"/>
      <c r="K1730" s="141"/>
      <c r="L1730" s="141"/>
      <c r="M1730" s="59"/>
    </row>
    <row r="1731" spans="2:13">
      <c r="B1731" s="135"/>
      <c r="C1731" s="41"/>
      <c r="D1731" s="137"/>
      <c r="E1731" s="138"/>
      <c r="F1731" s="139"/>
      <c r="G1731" s="1" t="str">
        <f>IFERROR(IF(ventas_b_mes1255[[#This Row],[CUIT]]="","-",VLOOKUP(ventas_b_mes1255[[#This Row],[CUIT]],Lista_CUIT[#All],2,0)),"CUIT NO CARGADO")</f>
        <v>-</v>
      </c>
      <c r="H1731" s="100">
        <f>ventas_b_mes1255[[#This Row],[TOTAL]]/1.21</f>
        <v>0</v>
      </c>
      <c r="I1731" s="64">
        <f>ventas_b_mes1255[[#This Row],[IMPORTE NETO]]*0.21</f>
        <v>0</v>
      </c>
      <c r="J1731" s="141"/>
      <c r="K1731" s="141"/>
      <c r="L1731" s="141"/>
      <c r="M1731" s="59"/>
    </row>
    <row r="1732" spans="2:13">
      <c r="B1732" s="135"/>
      <c r="C1732" s="41"/>
      <c r="D1732" s="137"/>
      <c r="E1732" s="138"/>
      <c r="F1732" s="139"/>
      <c r="G1732" s="1" t="str">
        <f>IFERROR(IF(ventas_b_mes1255[[#This Row],[CUIT]]="","-",VLOOKUP(ventas_b_mes1255[[#This Row],[CUIT]],Lista_CUIT[#All],2,0)),"CUIT NO CARGADO")</f>
        <v>-</v>
      </c>
      <c r="H1732" s="100">
        <f>ventas_b_mes1255[[#This Row],[TOTAL]]/1.21</f>
        <v>0</v>
      </c>
      <c r="I1732" s="64">
        <f>ventas_b_mes1255[[#This Row],[IMPORTE NETO]]*0.21</f>
        <v>0</v>
      </c>
      <c r="J1732" s="141"/>
      <c r="K1732" s="141"/>
      <c r="L1732" s="141"/>
      <c r="M1732" s="59"/>
    </row>
    <row r="1733" spans="2:13">
      <c r="B1733" s="135"/>
      <c r="C1733" s="41"/>
      <c r="D1733" s="137"/>
      <c r="E1733" s="138"/>
      <c r="F1733" s="139"/>
      <c r="G1733" s="1" t="str">
        <f>IFERROR(IF(ventas_b_mes1255[[#This Row],[CUIT]]="","-",VLOOKUP(ventas_b_mes1255[[#This Row],[CUIT]],Lista_CUIT[#All],2,0)),"CUIT NO CARGADO")</f>
        <v>-</v>
      </c>
      <c r="H1733" s="100">
        <f>ventas_b_mes1255[[#This Row],[TOTAL]]/1.21</f>
        <v>0</v>
      </c>
      <c r="I1733" s="64">
        <f>ventas_b_mes1255[[#This Row],[IMPORTE NETO]]*0.21</f>
        <v>0</v>
      </c>
      <c r="J1733" s="141"/>
      <c r="K1733" s="141"/>
      <c r="L1733" s="141"/>
      <c r="M1733" s="59"/>
    </row>
    <row r="1734" spans="2:13">
      <c r="B1734" s="135"/>
      <c r="C1734" s="41"/>
      <c r="D1734" s="137"/>
      <c r="E1734" s="138"/>
      <c r="F1734" s="139"/>
      <c r="G1734" s="1" t="str">
        <f>IFERROR(IF(ventas_b_mes1255[[#This Row],[CUIT]]="","-",VLOOKUP(ventas_b_mes1255[[#This Row],[CUIT]],Lista_CUIT[#All],2,0)),"CUIT NO CARGADO")</f>
        <v>-</v>
      </c>
      <c r="H1734" s="100">
        <f>ventas_b_mes1255[[#This Row],[TOTAL]]/1.21</f>
        <v>0</v>
      </c>
      <c r="I1734" s="64">
        <f>ventas_b_mes1255[[#This Row],[IMPORTE NETO]]*0.21</f>
        <v>0</v>
      </c>
      <c r="J1734" s="141"/>
      <c r="K1734" s="141"/>
      <c r="L1734" s="141"/>
      <c r="M1734" s="59"/>
    </row>
    <row r="1735" spans="2:13">
      <c r="B1735" s="135"/>
      <c r="C1735" s="41"/>
      <c r="D1735" s="137"/>
      <c r="E1735" s="138"/>
      <c r="F1735" s="139"/>
      <c r="G1735" s="1" t="str">
        <f>IFERROR(IF(ventas_b_mes1255[[#This Row],[CUIT]]="","-",VLOOKUP(ventas_b_mes1255[[#This Row],[CUIT]],Lista_CUIT[#All],2,0)),"CUIT NO CARGADO")</f>
        <v>-</v>
      </c>
      <c r="H1735" s="100">
        <f>ventas_b_mes1255[[#This Row],[TOTAL]]/1.21</f>
        <v>0</v>
      </c>
      <c r="I1735" s="64">
        <f>ventas_b_mes1255[[#This Row],[IMPORTE NETO]]*0.21</f>
        <v>0</v>
      </c>
      <c r="J1735" s="141"/>
      <c r="K1735" s="141"/>
      <c r="L1735" s="141"/>
      <c r="M1735" s="59"/>
    </row>
    <row r="1736" spans="2:13">
      <c r="B1736" s="135"/>
      <c r="C1736" s="41"/>
      <c r="D1736" s="137"/>
      <c r="E1736" s="138"/>
      <c r="F1736" s="139"/>
      <c r="G1736" s="1" t="str">
        <f>IFERROR(IF(ventas_b_mes1255[[#This Row],[CUIT]]="","-",VLOOKUP(ventas_b_mes1255[[#This Row],[CUIT]],Lista_CUIT[#All],2,0)),"CUIT NO CARGADO")</f>
        <v>-</v>
      </c>
      <c r="H1736" s="100">
        <f>ventas_b_mes1255[[#This Row],[TOTAL]]/1.21</f>
        <v>0</v>
      </c>
      <c r="I1736" s="64">
        <f>ventas_b_mes1255[[#This Row],[IMPORTE NETO]]*0.21</f>
        <v>0</v>
      </c>
      <c r="J1736" s="141"/>
      <c r="K1736" s="141"/>
      <c r="L1736" s="141"/>
      <c r="M1736" s="59"/>
    </row>
    <row r="1737" spans="2:13">
      <c r="B1737" s="135"/>
      <c r="C1737" s="41"/>
      <c r="D1737" s="137"/>
      <c r="E1737" s="138"/>
      <c r="F1737" s="139"/>
      <c r="G1737" s="1" t="str">
        <f>IFERROR(IF(ventas_b_mes1255[[#This Row],[CUIT]]="","-",VLOOKUP(ventas_b_mes1255[[#This Row],[CUIT]],Lista_CUIT[#All],2,0)),"CUIT NO CARGADO")</f>
        <v>-</v>
      </c>
      <c r="H1737" s="100">
        <f>ventas_b_mes1255[[#This Row],[TOTAL]]/1.21</f>
        <v>0</v>
      </c>
      <c r="I1737" s="64">
        <f>ventas_b_mes1255[[#This Row],[IMPORTE NETO]]*0.21</f>
        <v>0</v>
      </c>
      <c r="J1737" s="141"/>
      <c r="K1737" s="141"/>
      <c r="L1737" s="141"/>
      <c r="M1737" s="59"/>
    </row>
    <row r="1738" spans="2:13">
      <c r="B1738" s="135"/>
      <c r="C1738" s="41"/>
      <c r="D1738" s="137"/>
      <c r="E1738" s="138"/>
      <c r="F1738" s="139"/>
      <c r="G1738" s="1" t="str">
        <f>IFERROR(IF(ventas_b_mes1255[[#This Row],[CUIT]]="","-",VLOOKUP(ventas_b_mes1255[[#This Row],[CUIT]],Lista_CUIT[#All],2,0)),"CUIT NO CARGADO")</f>
        <v>-</v>
      </c>
      <c r="H1738" s="100">
        <f>ventas_b_mes1255[[#This Row],[TOTAL]]/1.21</f>
        <v>0</v>
      </c>
      <c r="I1738" s="64">
        <f>ventas_b_mes1255[[#This Row],[IMPORTE NETO]]*0.21</f>
        <v>0</v>
      </c>
      <c r="J1738" s="141"/>
      <c r="K1738" s="141"/>
      <c r="L1738" s="141"/>
      <c r="M1738" s="59"/>
    </row>
    <row r="1739" spans="2:13">
      <c r="B1739" s="135"/>
      <c r="C1739" s="41"/>
      <c r="D1739" s="137"/>
      <c r="E1739" s="138"/>
      <c r="F1739" s="139"/>
      <c r="G1739" s="1" t="str">
        <f>IFERROR(IF(ventas_b_mes1255[[#This Row],[CUIT]]="","-",VLOOKUP(ventas_b_mes1255[[#This Row],[CUIT]],Lista_CUIT[#All],2,0)),"CUIT NO CARGADO")</f>
        <v>-</v>
      </c>
      <c r="H1739" s="100">
        <f>ventas_b_mes1255[[#This Row],[TOTAL]]/1.21</f>
        <v>0</v>
      </c>
      <c r="I1739" s="64">
        <f>ventas_b_mes1255[[#This Row],[IMPORTE NETO]]*0.21</f>
        <v>0</v>
      </c>
      <c r="J1739" s="141"/>
      <c r="K1739" s="141"/>
      <c r="L1739" s="141"/>
      <c r="M1739" s="59"/>
    </row>
    <row r="1740" spans="2:13">
      <c r="B1740" s="135"/>
      <c r="C1740" s="41"/>
      <c r="D1740" s="137"/>
      <c r="E1740" s="138"/>
      <c r="F1740" s="139"/>
      <c r="G1740" s="1" t="str">
        <f>IFERROR(IF(ventas_b_mes1255[[#This Row],[CUIT]]="","-",VLOOKUP(ventas_b_mes1255[[#This Row],[CUIT]],Lista_CUIT[#All],2,0)),"CUIT NO CARGADO")</f>
        <v>-</v>
      </c>
      <c r="H1740" s="100">
        <f>ventas_b_mes1255[[#This Row],[TOTAL]]/1.21</f>
        <v>0</v>
      </c>
      <c r="I1740" s="64">
        <f>ventas_b_mes1255[[#This Row],[IMPORTE NETO]]*0.21</f>
        <v>0</v>
      </c>
      <c r="J1740" s="141"/>
      <c r="K1740" s="141"/>
      <c r="L1740" s="141"/>
      <c r="M1740" s="59"/>
    </row>
    <row r="1741" spans="2:13">
      <c r="B1741" s="135"/>
      <c r="C1741" s="41"/>
      <c r="D1741" s="137"/>
      <c r="E1741" s="138"/>
      <c r="F1741" s="139"/>
      <c r="G1741" s="1" t="str">
        <f>IFERROR(IF(ventas_b_mes1255[[#This Row],[CUIT]]="","-",VLOOKUP(ventas_b_mes1255[[#This Row],[CUIT]],Lista_CUIT[#All],2,0)),"CUIT NO CARGADO")</f>
        <v>-</v>
      </c>
      <c r="H1741" s="100">
        <f>ventas_b_mes1255[[#This Row],[TOTAL]]/1.21</f>
        <v>0</v>
      </c>
      <c r="I1741" s="64">
        <f>ventas_b_mes1255[[#This Row],[IMPORTE NETO]]*0.21</f>
        <v>0</v>
      </c>
      <c r="J1741" s="141"/>
      <c r="K1741" s="141"/>
      <c r="L1741" s="141"/>
      <c r="M1741" s="59"/>
    </row>
    <row r="1742" spans="2:13">
      <c r="B1742" s="135"/>
      <c r="C1742" s="41"/>
      <c r="D1742" s="137"/>
      <c r="E1742" s="138"/>
      <c r="F1742" s="139"/>
      <c r="G1742" s="1" t="str">
        <f>IFERROR(IF(ventas_b_mes1255[[#This Row],[CUIT]]="","-",VLOOKUP(ventas_b_mes1255[[#This Row],[CUIT]],Lista_CUIT[#All],2,0)),"CUIT NO CARGADO")</f>
        <v>-</v>
      </c>
      <c r="H1742" s="100">
        <f>ventas_b_mes1255[[#This Row],[TOTAL]]/1.21</f>
        <v>0</v>
      </c>
      <c r="I1742" s="64">
        <f>ventas_b_mes1255[[#This Row],[IMPORTE NETO]]*0.21</f>
        <v>0</v>
      </c>
      <c r="J1742" s="141"/>
      <c r="K1742" s="141"/>
      <c r="L1742" s="141"/>
      <c r="M1742" s="59"/>
    </row>
    <row r="1743" spans="2:13">
      <c r="B1743" s="135"/>
      <c r="C1743" s="41"/>
      <c r="D1743" s="137"/>
      <c r="E1743" s="138"/>
      <c r="F1743" s="139"/>
      <c r="G1743" s="1" t="str">
        <f>IFERROR(IF(ventas_b_mes1255[[#This Row],[CUIT]]="","-",VLOOKUP(ventas_b_mes1255[[#This Row],[CUIT]],Lista_CUIT[#All],2,0)),"CUIT NO CARGADO")</f>
        <v>-</v>
      </c>
      <c r="H1743" s="100">
        <f>ventas_b_mes1255[[#This Row],[TOTAL]]/1.21</f>
        <v>0</v>
      </c>
      <c r="I1743" s="64">
        <f>ventas_b_mes1255[[#This Row],[IMPORTE NETO]]*0.21</f>
        <v>0</v>
      </c>
      <c r="J1743" s="141"/>
      <c r="K1743" s="141"/>
      <c r="L1743" s="141"/>
      <c r="M1743" s="59"/>
    </row>
    <row r="1744" spans="2:13">
      <c r="B1744" s="135"/>
      <c r="C1744" s="41"/>
      <c r="D1744" s="137"/>
      <c r="E1744" s="138"/>
      <c r="F1744" s="139"/>
      <c r="G1744" s="1" t="str">
        <f>IFERROR(IF(ventas_b_mes1255[[#This Row],[CUIT]]="","-",VLOOKUP(ventas_b_mes1255[[#This Row],[CUIT]],Lista_CUIT[#All],2,0)),"CUIT NO CARGADO")</f>
        <v>-</v>
      </c>
      <c r="H1744" s="100">
        <f>ventas_b_mes1255[[#This Row],[TOTAL]]/1.21</f>
        <v>0</v>
      </c>
      <c r="I1744" s="64">
        <f>ventas_b_mes1255[[#This Row],[IMPORTE NETO]]*0.21</f>
        <v>0</v>
      </c>
      <c r="J1744" s="141"/>
      <c r="K1744" s="141"/>
      <c r="L1744" s="141"/>
      <c r="M1744" s="59"/>
    </row>
    <row r="1745" spans="2:13">
      <c r="B1745" s="135"/>
      <c r="C1745" s="41"/>
      <c r="D1745" s="137"/>
      <c r="E1745" s="138"/>
      <c r="F1745" s="139"/>
      <c r="G1745" s="1" t="str">
        <f>IFERROR(IF(ventas_b_mes1255[[#This Row],[CUIT]]="","-",VLOOKUP(ventas_b_mes1255[[#This Row],[CUIT]],Lista_CUIT[#All],2,0)),"CUIT NO CARGADO")</f>
        <v>-</v>
      </c>
      <c r="H1745" s="100">
        <f>ventas_b_mes1255[[#This Row],[TOTAL]]/1.21</f>
        <v>0</v>
      </c>
      <c r="I1745" s="64">
        <f>ventas_b_mes1255[[#This Row],[IMPORTE NETO]]*0.21</f>
        <v>0</v>
      </c>
      <c r="J1745" s="141"/>
      <c r="K1745" s="141"/>
      <c r="L1745" s="141"/>
      <c r="M1745" s="59"/>
    </row>
    <row r="1746" spans="2:13">
      <c r="B1746" s="135"/>
      <c r="C1746" s="41"/>
      <c r="D1746" s="137"/>
      <c r="E1746" s="138"/>
      <c r="F1746" s="139"/>
      <c r="G1746" s="1" t="str">
        <f>IFERROR(IF(ventas_b_mes1255[[#This Row],[CUIT]]="","-",VLOOKUP(ventas_b_mes1255[[#This Row],[CUIT]],Lista_CUIT[#All],2,0)),"CUIT NO CARGADO")</f>
        <v>-</v>
      </c>
      <c r="H1746" s="100">
        <f>ventas_b_mes1255[[#This Row],[TOTAL]]/1.21</f>
        <v>0</v>
      </c>
      <c r="I1746" s="64">
        <f>ventas_b_mes1255[[#This Row],[IMPORTE NETO]]*0.21</f>
        <v>0</v>
      </c>
      <c r="J1746" s="141"/>
      <c r="K1746" s="141"/>
      <c r="L1746" s="141"/>
      <c r="M1746" s="59"/>
    </row>
    <row r="1747" spans="2:13">
      <c r="B1747" s="135"/>
      <c r="C1747" s="41"/>
      <c r="D1747" s="137"/>
      <c r="E1747" s="138"/>
      <c r="F1747" s="139"/>
      <c r="G1747" s="1" t="str">
        <f>IFERROR(IF(ventas_b_mes1255[[#This Row],[CUIT]]="","-",VLOOKUP(ventas_b_mes1255[[#This Row],[CUIT]],Lista_CUIT[#All],2,0)),"CUIT NO CARGADO")</f>
        <v>-</v>
      </c>
      <c r="H1747" s="100">
        <f>ventas_b_mes1255[[#This Row],[TOTAL]]/1.21</f>
        <v>0</v>
      </c>
      <c r="I1747" s="64">
        <f>ventas_b_mes1255[[#This Row],[IMPORTE NETO]]*0.21</f>
        <v>0</v>
      </c>
      <c r="J1747" s="141"/>
      <c r="K1747" s="141"/>
      <c r="L1747" s="141"/>
      <c r="M1747" s="59"/>
    </row>
    <row r="1748" spans="2:13">
      <c r="B1748" s="135"/>
      <c r="C1748" s="41"/>
      <c r="D1748" s="137"/>
      <c r="E1748" s="138"/>
      <c r="F1748" s="139"/>
      <c r="G1748" s="1" t="str">
        <f>IFERROR(IF(ventas_b_mes1255[[#This Row],[CUIT]]="","-",VLOOKUP(ventas_b_mes1255[[#This Row],[CUIT]],Lista_CUIT[#All],2,0)),"CUIT NO CARGADO")</f>
        <v>-</v>
      </c>
      <c r="H1748" s="100">
        <f>ventas_b_mes1255[[#This Row],[TOTAL]]/1.21</f>
        <v>0</v>
      </c>
      <c r="I1748" s="64">
        <f>ventas_b_mes1255[[#This Row],[IMPORTE NETO]]*0.21</f>
        <v>0</v>
      </c>
      <c r="J1748" s="141"/>
      <c r="K1748" s="141"/>
      <c r="L1748" s="141"/>
      <c r="M1748" s="59"/>
    </row>
    <row r="1749" spans="2:13">
      <c r="B1749" s="135"/>
      <c r="C1749" s="41"/>
      <c r="D1749" s="137"/>
      <c r="E1749" s="138"/>
      <c r="F1749" s="139"/>
      <c r="G1749" s="1" t="str">
        <f>IFERROR(IF(ventas_b_mes1255[[#This Row],[CUIT]]="","-",VLOOKUP(ventas_b_mes1255[[#This Row],[CUIT]],Lista_CUIT[#All],2,0)),"CUIT NO CARGADO")</f>
        <v>-</v>
      </c>
      <c r="H1749" s="100">
        <f>ventas_b_mes1255[[#This Row],[TOTAL]]/1.21</f>
        <v>0</v>
      </c>
      <c r="I1749" s="64">
        <f>ventas_b_mes1255[[#This Row],[IMPORTE NETO]]*0.21</f>
        <v>0</v>
      </c>
      <c r="J1749" s="141"/>
      <c r="K1749" s="141"/>
      <c r="L1749" s="141"/>
      <c r="M1749" s="59"/>
    </row>
    <row r="1750" spans="2:13">
      <c r="B1750" s="135"/>
      <c r="C1750" s="41"/>
      <c r="D1750" s="137"/>
      <c r="E1750" s="138"/>
      <c r="F1750" s="139"/>
      <c r="G1750" s="1" t="str">
        <f>IFERROR(IF(ventas_b_mes1255[[#This Row],[CUIT]]="","-",VLOOKUP(ventas_b_mes1255[[#This Row],[CUIT]],Lista_CUIT[#All],2,0)),"CUIT NO CARGADO")</f>
        <v>-</v>
      </c>
      <c r="H1750" s="100">
        <f>ventas_b_mes1255[[#This Row],[TOTAL]]/1.21</f>
        <v>0</v>
      </c>
      <c r="I1750" s="64">
        <f>ventas_b_mes1255[[#This Row],[IMPORTE NETO]]*0.21</f>
        <v>0</v>
      </c>
      <c r="J1750" s="141"/>
      <c r="K1750" s="141"/>
      <c r="L1750" s="141"/>
      <c r="M1750" s="59"/>
    </row>
    <row r="1751" spans="2:13">
      <c r="B1751" s="135"/>
      <c r="C1751" s="41"/>
      <c r="D1751" s="137"/>
      <c r="E1751" s="138"/>
      <c r="F1751" s="139"/>
      <c r="G1751" s="1" t="str">
        <f>IFERROR(IF(ventas_b_mes1255[[#This Row],[CUIT]]="","-",VLOOKUP(ventas_b_mes1255[[#This Row],[CUIT]],Lista_CUIT[#All],2,0)),"CUIT NO CARGADO")</f>
        <v>-</v>
      </c>
      <c r="H1751" s="100">
        <f>ventas_b_mes1255[[#This Row],[TOTAL]]/1.21</f>
        <v>0</v>
      </c>
      <c r="I1751" s="64">
        <f>ventas_b_mes1255[[#This Row],[IMPORTE NETO]]*0.21</f>
        <v>0</v>
      </c>
      <c r="J1751" s="141"/>
      <c r="K1751" s="141"/>
      <c r="L1751" s="141"/>
      <c r="M1751" s="59"/>
    </row>
    <row r="1752" spans="2:13">
      <c r="B1752" s="135"/>
      <c r="C1752" s="41"/>
      <c r="D1752" s="137"/>
      <c r="E1752" s="138"/>
      <c r="F1752" s="139"/>
      <c r="G1752" s="1" t="str">
        <f>IFERROR(IF(ventas_b_mes1255[[#This Row],[CUIT]]="","-",VLOOKUP(ventas_b_mes1255[[#This Row],[CUIT]],Lista_CUIT[#All],2,0)),"CUIT NO CARGADO")</f>
        <v>-</v>
      </c>
      <c r="H1752" s="100">
        <f>ventas_b_mes1255[[#This Row],[TOTAL]]/1.21</f>
        <v>0</v>
      </c>
      <c r="I1752" s="64">
        <f>ventas_b_mes1255[[#This Row],[IMPORTE NETO]]*0.21</f>
        <v>0</v>
      </c>
      <c r="J1752" s="141"/>
      <c r="K1752" s="141"/>
      <c r="L1752" s="141"/>
      <c r="M1752" s="59"/>
    </row>
    <row r="1753" spans="2:13">
      <c r="B1753" s="135"/>
      <c r="C1753" s="41"/>
      <c r="D1753" s="137"/>
      <c r="E1753" s="138"/>
      <c r="F1753" s="139"/>
      <c r="G1753" s="1" t="str">
        <f>IFERROR(IF(ventas_b_mes1255[[#This Row],[CUIT]]="","-",VLOOKUP(ventas_b_mes1255[[#This Row],[CUIT]],Lista_CUIT[#All],2,0)),"CUIT NO CARGADO")</f>
        <v>-</v>
      </c>
      <c r="H1753" s="100">
        <f>ventas_b_mes1255[[#This Row],[TOTAL]]/1.21</f>
        <v>0</v>
      </c>
      <c r="I1753" s="64">
        <f>ventas_b_mes1255[[#This Row],[IMPORTE NETO]]*0.21</f>
        <v>0</v>
      </c>
      <c r="J1753" s="141"/>
      <c r="K1753" s="141"/>
      <c r="L1753" s="141"/>
      <c r="M1753" s="59"/>
    </row>
    <row r="1754" spans="2:13">
      <c r="B1754" s="135"/>
      <c r="C1754" s="41"/>
      <c r="D1754" s="137"/>
      <c r="E1754" s="138"/>
      <c r="F1754" s="139"/>
      <c r="G1754" s="1" t="str">
        <f>IFERROR(IF(ventas_b_mes1255[[#This Row],[CUIT]]="","-",VLOOKUP(ventas_b_mes1255[[#This Row],[CUIT]],Lista_CUIT[#All],2,0)),"CUIT NO CARGADO")</f>
        <v>-</v>
      </c>
      <c r="H1754" s="100">
        <f>ventas_b_mes1255[[#This Row],[TOTAL]]/1.21</f>
        <v>0</v>
      </c>
      <c r="I1754" s="64">
        <f>ventas_b_mes1255[[#This Row],[IMPORTE NETO]]*0.21</f>
        <v>0</v>
      </c>
      <c r="J1754" s="141"/>
      <c r="K1754" s="141"/>
      <c r="L1754" s="141"/>
      <c r="M1754" s="59"/>
    </row>
    <row r="1755" spans="2:13">
      <c r="B1755" s="135"/>
      <c r="C1755" s="41"/>
      <c r="D1755" s="137"/>
      <c r="E1755" s="138"/>
      <c r="F1755" s="139"/>
      <c r="G1755" s="1" t="str">
        <f>IFERROR(IF(ventas_b_mes1255[[#This Row],[CUIT]]="","-",VLOOKUP(ventas_b_mes1255[[#This Row],[CUIT]],Lista_CUIT[#All],2,0)),"CUIT NO CARGADO")</f>
        <v>-</v>
      </c>
      <c r="H1755" s="100">
        <f>ventas_b_mes1255[[#This Row],[TOTAL]]/1.21</f>
        <v>0</v>
      </c>
      <c r="I1755" s="64">
        <f>ventas_b_mes1255[[#This Row],[IMPORTE NETO]]*0.21</f>
        <v>0</v>
      </c>
      <c r="J1755" s="141"/>
      <c r="K1755" s="141"/>
      <c r="L1755" s="141"/>
      <c r="M1755" s="59"/>
    </row>
    <row r="1756" spans="2:13">
      <c r="B1756" s="135"/>
      <c r="C1756" s="41"/>
      <c r="D1756" s="137"/>
      <c r="E1756" s="138"/>
      <c r="F1756" s="139"/>
      <c r="G1756" s="1" t="str">
        <f>IFERROR(IF(ventas_b_mes1255[[#This Row],[CUIT]]="","-",VLOOKUP(ventas_b_mes1255[[#This Row],[CUIT]],Lista_CUIT[#All],2,0)),"CUIT NO CARGADO")</f>
        <v>-</v>
      </c>
      <c r="H1756" s="100">
        <f>ventas_b_mes1255[[#This Row],[TOTAL]]/1.21</f>
        <v>0</v>
      </c>
      <c r="I1756" s="64">
        <f>ventas_b_mes1255[[#This Row],[IMPORTE NETO]]*0.21</f>
        <v>0</v>
      </c>
      <c r="J1756" s="141"/>
      <c r="K1756" s="141"/>
      <c r="L1756" s="141"/>
      <c r="M1756" s="59"/>
    </row>
    <row r="1757" spans="2:13">
      <c r="B1757" s="135"/>
      <c r="C1757" s="41"/>
      <c r="D1757" s="137"/>
      <c r="E1757" s="138"/>
      <c r="F1757" s="139"/>
      <c r="G1757" s="1" t="str">
        <f>IFERROR(IF(ventas_b_mes1255[[#This Row],[CUIT]]="","-",VLOOKUP(ventas_b_mes1255[[#This Row],[CUIT]],Lista_CUIT[#All],2,0)),"CUIT NO CARGADO")</f>
        <v>-</v>
      </c>
      <c r="H1757" s="100">
        <f>ventas_b_mes1255[[#This Row],[TOTAL]]/1.21</f>
        <v>0</v>
      </c>
      <c r="I1757" s="64">
        <f>ventas_b_mes1255[[#This Row],[IMPORTE NETO]]*0.21</f>
        <v>0</v>
      </c>
      <c r="J1757" s="141"/>
      <c r="K1757" s="141"/>
      <c r="L1757" s="141"/>
      <c r="M1757" s="59"/>
    </row>
    <row r="1758" spans="2:13">
      <c r="B1758" s="135"/>
      <c r="C1758" s="41"/>
      <c r="D1758" s="137"/>
      <c r="E1758" s="138"/>
      <c r="F1758" s="139"/>
      <c r="G1758" s="1" t="str">
        <f>IFERROR(IF(ventas_b_mes1255[[#This Row],[CUIT]]="","-",VLOOKUP(ventas_b_mes1255[[#This Row],[CUIT]],Lista_CUIT[#All],2,0)),"CUIT NO CARGADO")</f>
        <v>-</v>
      </c>
      <c r="H1758" s="100">
        <f>ventas_b_mes1255[[#This Row],[TOTAL]]/1.21</f>
        <v>0</v>
      </c>
      <c r="I1758" s="64">
        <f>ventas_b_mes1255[[#This Row],[IMPORTE NETO]]*0.21</f>
        <v>0</v>
      </c>
      <c r="J1758" s="141"/>
      <c r="K1758" s="141"/>
      <c r="L1758" s="141"/>
      <c r="M1758" s="59"/>
    </row>
    <row r="1759" spans="2:13">
      <c r="B1759" s="135"/>
      <c r="C1759" s="41"/>
      <c r="D1759" s="137"/>
      <c r="E1759" s="138"/>
      <c r="F1759" s="139"/>
      <c r="G1759" s="1" t="str">
        <f>IFERROR(IF(ventas_b_mes1255[[#This Row],[CUIT]]="","-",VLOOKUP(ventas_b_mes1255[[#This Row],[CUIT]],Lista_CUIT[#All],2,0)),"CUIT NO CARGADO")</f>
        <v>-</v>
      </c>
      <c r="H1759" s="100">
        <f>ventas_b_mes1255[[#This Row],[TOTAL]]/1.21</f>
        <v>0</v>
      </c>
      <c r="I1759" s="64">
        <f>ventas_b_mes1255[[#This Row],[IMPORTE NETO]]*0.21</f>
        <v>0</v>
      </c>
      <c r="J1759" s="141"/>
      <c r="K1759" s="141"/>
      <c r="L1759" s="141"/>
      <c r="M1759" s="59"/>
    </row>
    <row r="1760" spans="2:13">
      <c r="B1760" s="135"/>
      <c r="C1760" s="41"/>
      <c r="D1760" s="137"/>
      <c r="E1760" s="138"/>
      <c r="F1760" s="139"/>
      <c r="G1760" s="1" t="str">
        <f>IFERROR(IF(ventas_b_mes1255[[#This Row],[CUIT]]="","-",VLOOKUP(ventas_b_mes1255[[#This Row],[CUIT]],Lista_CUIT[#All],2,0)),"CUIT NO CARGADO")</f>
        <v>-</v>
      </c>
      <c r="H1760" s="100">
        <f>ventas_b_mes1255[[#This Row],[TOTAL]]/1.21</f>
        <v>0</v>
      </c>
      <c r="I1760" s="64">
        <f>ventas_b_mes1255[[#This Row],[IMPORTE NETO]]*0.21</f>
        <v>0</v>
      </c>
      <c r="J1760" s="141"/>
      <c r="K1760" s="141"/>
      <c r="L1760" s="141"/>
      <c r="M1760" s="59"/>
    </row>
    <row r="1761" spans="2:13">
      <c r="B1761" s="135"/>
      <c r="C1761" s="41"/>
      <c r="D1761" s="137"/>
      <c r="E1761" s="138"/>
      <c r="F1761" s="139"/>
      <c r="G1761" s="1" t="str">
        <f>IFERROR(IF(ventas_b_mes1255[[#This Row],[CUIT]]="","-",VLOOKUP(ventas_b_mes1255[[#This Row],[CUIT]],Lista_CUIT[#All],2,0)),"CUIT NO CARGADO")</f>
        <v>-</v>
      </c>
      <c r="H1761" s="100">
        <f>ventas_b_mes1255[[#This Row],[TOTAL]]/1.21</f>
        <v>0</v>
      </c>
      <c r="I1761" s="64">
        <f>ventas_b_mes1255[[#This Row],[IMPORTE NETO]]*0.21</f>
        <v>0</v>
      </c>
      <c r="J1761" s="141"/>
      <c r="K1761" s="141"/>
      <c r="L1761" s="141"/>
      <c r="M1761" s="59"/>
    </row>
    <row r="1762" spans="2:13">
      <c r="B1762" s="135"/>
      <c r="C1762" s="41"/>
      <c r="D1762" s="137"/>
      <c r="E1762" s="138"/>
      <c r="F1762" s="139"/>
      <c r="G1762" s="1" t="str">
        <f>IFERROR(IF(ventas_b_mes1255[[#This Row],[CUIT]]="","-",VLOOKUP(ventas_b_mes1255[[#This Row],[CUIT]],Lista_CUIT[#All],2,0)),"CUIT NO CARGADO")</f>
        <v>-</v>
      </c>
      <c r="H1762" s="100">
        <f>ventas_b_mes1255[[#This Row],[TOTAL]]/1.21</f>
        <v>0</v>
      </c>
      <c r="I1762" s="64">
        <f>ventas_b_mes1255[[#This Row],[IMPORTE NETO]]*0.21</f>
        <v>0</v>
      </c>
      <c r="J1762" s="141"/>
      <c r="K1762" s="141"/>
      <c r="L1762" s="141"/>
      <c r="M1762" s="59"/>
    </row>
    <row r="1763" spans="2:13">
      <c r="B1763" s="135"/>
      <c r="C1763" s="41"/>
      <c r="D1763" s="137"/>
      <c r="E1763" s="138"/>
      <c r="F1763" s="139"/>
      <c r="G1763" s="1" t="str">
        <f>IFERROR(IF(ventas_b_mes1255[[#This Row],[CUIT]]="","-",VLOOKUP(ventas_b_mes1255[[#This Row],[CUIT]],Lista_CUIT[#All],2,0)),"CUIT NO CARGADO")</f>
        <v>-</v>
      </c>
      <c r="H1763" s="100">
        <f>ventas_b_mes1255[[#This Row],[TOTAL]]/1.21</f>
        <v>0</v>
      </c>
      <c r="I1763" s="64">
        <f>ventas_b_mes1255[[#This Row],[IMPORTE NETO]]*0.21</f>
        <v>0</v>
      </c>
      <c r="J1763" s="141"/>
      <c r="K1763" s="141"/>
      <c r="L1763" s="141"/>
      <c r="M1763" s="59"/>
    </row>
    <row r="1764" spans="2:13">
      <c r="B1764" s="135"/>
      <c r="C1764" s="41"/>
      <c r="D1764" s="137"/>
      <c r="E1764" s="138"/>
      <c r="F1764" s="139"/>
      <c r="G1764" s="1" t="str">
        <f>IFERROR(IF(ventas_b_mes1255[[#This Row],[CUIT]]="","-",VLOOKUP(ventas_b_mes1255[[#This Row],[CUIT]],Lista_CUIT[#All],2,0)),"CUIT NO CARGADO")</f>
        <v>-</v>
      </c>
      <c r="H1764" s="100">
        <f>ventas_b_mes1255[[#This Row],[TOTAL]]/1.21</f>
        <v>0</v>
      </c>
      <c r="I1764" s="64">
        <f>ventas_b_mes1255[[#This Row],[IMPORTE NETO]]*0.21</f>
        <v>0</v>
      </c>
      <c r="J1764" s="141"/>
      <c r="K1764" s="141"/>
      <c r="L1764" s="141"/>
      <c r="M1764" s="59"/>
    </row>
    <row r="1765" spans="2:13">
      <c r="B1765" s="135"/>
      <c r="C1765" s="41"/>
      <c r="D1765" s="137"/>
      <c r="E1765" s="138"/>
      <c r="F1765" s="139"/>
      <c r="G1765" s="1" t="str">
        <f>IFERROR(IF(ventas_b_mes1255[[#This Row],[CUIT]]="","-",VLOOKUP(ventas_b_mes1255[[#This Row],[CUIT]],Lista_CUIT[#All],2,0)),"CUIT NO CARGADO")</f>
        <v>-</v>
      </c>
      <c r="H1765" s="100">
        <f>ventas_b_mes1255[[#This Row],[TOTAL]]/1.21</f>
        <v>0</v>
      </c>
      <c r="I1765" s="64">
        <f>ventas_b_mes1255[[#This Row],[IMPORTE NETO]]*0.21</f>
        <v>0</v>
      </c>
      <c r="J1765" s="141"/>
      <c r="K1765" s="141"/>
      <c r="L1765" s="141"/>
      <c r="M1765" s="59"/>
    </row>
    <row r="1766" spans="2:13">
      <c r="B1766" s="135"/>
      <c r="C1766" s="41"/>
      <c r="D1766" s="137"/>
      <c r="E1766" s="138"/>
      <c r="F1766" s="139"/>
      <c r="G1766" s="1" t="str">
        <f>IFERROR(IF(ventas_b_mes1255[[#This Row],[CUIT]]="","-",VLOOKUP(ventas_b_mes1255[[#This Row],[CUIT]],Lista_CUIT[#All],2,0)),"CUIT NO CARGADO")</f>
        <v>-</v>
      </c>
      <c r="H1766" s="100">
        <f>ventas_b_mes1255[[#This Row],[TOTAL]]/1.21</f>
        <v>0</v>
      </c>
      <c r="I1766" s="64">
        <f>ventas_b_mes1255[[#This Row],[IMPORTE NETO]]*0.21</f>
        <v>0</v>
      </c>
      <c r="J1766" s="141"/>
      <c r="K1766" s="141"/>
      <c r="L1766" s="141"/>
      <c r="M1766" s="59"/>
    </row>
    <row r="1767" spans="2:13">
      <c r="B1767" s="135"/>
      <c r="C1767" s="41"/>
      <c r="D1767" s="137"/>
      <c r="E1767" s="138"/>
      <c r="F1767" s="139"/>
      <c r="G1767" s="1" t="str">
        <f>IFERROR(IF(ventas_b_mes1255[[#This Row],[CUIT]]="","-",VLOOKUP(ventas_b_mes1255[[#This Row],[CUIT]],Lista_CUIT[#All],2,0)),"CUIT NO CARGADO")</f>
        <v>-</v>
      </c>
      <c r="H1767" s="100">
        <f>ventas_b_mes1255[[#This Row],[TOTAL]]/1.21</f>
        <v>0</v>
      </c>
      <c r="I1767" s="64">
        <f>ventas_b_mes1255[[#This Row],[IMPORTE NETO]]*0.21</f>
        <v>0</v>
      </c>
      <c r="J1767" s="141"/>
      <c r="K1767" s="141"/>
      <c r="L1767" s="141"/>
      <c r="M1767" s="59"/>
    </row>
    <row r="1768" spans="2:13">
      <c r="B1768" s="135"/>
      <c r="C1768" s="41"/>
      <c r="D1768" s="137"/>
      <c r="E1768" s="138"/>
      <c r="F1768" s="139"/>
      <c r="G1768" s="1" t="str">
        <f>IFERROR(IF(ventas_b_mes1255[[#This Row],[CUIT]]="","-",VLOOKUP(ventas_b_mes1255[[#This Row],[CUIT]],Lista_CUIT[#All],2,0)),"CUIT NO CARGADO")</f>
        <v>-</v>
      </c>
      <c r="H1768" s="100">
        <f>ventas_b_mes1255[[#This Row],[TOTAL]]/1.21</f>
        <v>0</v>
      </c>
      <c r="I1768" s="64">
        <f>ventas_b_mes1255[[#This Row],[IMPORTE NETO]]*0.21</f>
        <v>0</v>
      </c>
      <c r="J1768" s="141"/>
      <c r="K1768" s="141"/>
      <c r="L1768" s="141"/>
      <c r="M1768" s="59"/>
    </row>
    <row r="1769" spans="2:13">
      <c r="B1769" s="135"/>
      <c r="C1769" s="41"/>
      <c r="D1769" s="137"/>
      <c r="E1769" s="138"/>
      <c r="F1769" s="139"/>
      <c r="G1769" s="1" t="str">
        <f>IFERROR(IF(ventas_b_mes1255[[#This Row],[CUIT]]="","-",VLOOKUP(ventas_b_mes1255[[#This Row],[CUIT]],Lista_CUIT[#All],2,0)),"CUIT NO CARGADO")</f>
        <v>-</v>
      </c>
      <c r="H1769" s="100">
        <f>ventas_b_mes1255[[#This Row],[TOTAL]]/1.21</f>
        <v>0</v>
      </c>
      <c r="I1769" s="64">
        <f>ventas_b_mes1255[[#This Row],[IMPORTE NETO]]*0.21</f>
        <v>0</v>
      </c>
      <c r="J1769" s="141"/>
      <c r="K1769" s="141"/>
      <c r="L1769" s="141"/>
      <c r="M1769" s="59"/>
    </row>
    <row r="1770" spans="2:13">
      <c r="B1770" s="135"/>
      <c r="C1770" s="41"/>
      <c r="D1770" s="137"/>
      <c r="E1770" s="138"/>
      <c r="F1770" s="139"/>
      <c r="G1770" s="1" t="str">
        <f>IFERROR(IF(ventas_b_mes1255[[#This Row],[CUIT]]="","-",VLOOKUP(ventas_b_mes1255[[#This Row],[CUIT]],Lista_CUIT[#All],2,0)),"CUIT NO CARGADO")</f>
        <v>-</v>
      </c>
      <c r="H1770" s="100">
        <f>ventas_b_mes1255[[#This Row],[TOTAL]]/1.21</f>
        <v>0</v>
      </c>
      <c r="I1770" s="64">
        <f>ventas_b_mes1255[[#This Row],[IMPORTE NETO]]*0.21</f>
        <v>0</v>
      </c>
      <c r="J1770" s="141"/>
      <c r="K1770" s="141"/>
      <c r="L1770" s="141"/>
      <c r="M1770" s="59"/>
    </row>
    <row r="1771" spans="2:13">
      <c r="B1771" s="135"/>
      <c r="C1771" s="41"/>
      <c r="D1771" s="137"/>
      <c r="E1771" s="138"/>
      <c r="F1771" s="139"/>
      <c r="G1771" s="1" t="str">
        <f>IFERROR(IF(ventas_b_mes1255[[#This Row],[CUIT]]="","-",VLOOKUP(ventas_b_mes1255[[#This Row],[CUIT]],Lista_CUIT[#All],2,0)),"CUIT NO CARGADO")</f>
        <v>-</v>
      </c>
      <c r="H1771" s="100">
        <f>ventas_b_mes1255[[#This Row],[TOTAL]]/1.21</f>
        <v>0</v>
      </c>
      <c r="I1771" s="64">
        <f>ventas_b_mes1255[[#This Row],[IMPORTE NETO]]*0.21</f>
        <v>0</v>
      </c>
      <c r="J1771" s="141"/>
      <c r="K1771" s="141"/>
      <c r="L1771" s="141"/>
      <c r="M1771" s="59"/>
    </row>
    <row r="1772" spans="2:13">
      <c r="B1772" s="135"/>
      <c r="C1772" s="41"/>
      <c r="D1772" s="137"/>
      <c r="E1772" s="138"/>
      <c r="F1772" s="139"/>
      <c r="G1772" s="1" t="str">
        <f>IFERROR(IF(ventas_b_mes1255[[#This Row],[CUIT]]="","-",VLOOKUP(ventas_b_mes1255[[#This Row],[CUIT]],Lista_CUIT[#All],2,0)),"CUIT NO CARGADO")</f>
        <v>-</v>
      </c>
      <c r="H1772" s="100">
        <f>ventas_b_mes1255[[#This Row],[TOTAL]]/1.21</f>
        <v>0</v>
      </c>
      <c r="I1772" s="64">
        <f>ventas_b_mes1255[[#This Row],[IMPORTE NETO]]*0.21</f>
        <v>0</v>
      </c>
      <c r="J1772" s="141"/>
      <c r="K1772" s="141"/>
      <c r="L1772" s="141"/>
      <c r="M1772" s="59"/>
    </row>
    <row r="1773" spans="2:13">
      <c r="B1773" s="135"/>
      <c r="C1773" s="41"/>
      <c r="D1773" s="137"/>
      <c r="E1773" s="138"/>
      <c r="F1773" s="139"/>
      <c r="G1773" s="1" t="str">
        <f>IFERROR(IF(ventas_b_mes1255[[#This Row],[CUIT]]="","-",VLOOKUP(ventas_b_mes1255[[#This Row],[CUIT]],Lista_CUIT[#All],2,0)),"CUIT NO CARGADO")</f>
        <v>-</v>
      </c>
      <c r="H1773" s="100">
        <f>ventas_b_mes1255[[#This Row],[TOTAL]]/1.21</f>
        <v>0</v>
      </c>
      <c r="I1773" s="64">
        <f>ventas_b_mes1255[[#This Row],[IMPORTE NETO]]*0.21</f>
        <v>0</v>
      </c>
      <c r="J1773" s="141"/>
      <c r="K1773" s="141"/>
      <c r="L1773" s="141"/>
      <c r="M1773" s="59"/>
    </row>
    <row r="1774" spans="2:13">
      <c r="B1774" s="135"/>
      <c r="C1774" s="41"/>
      <c r="D1774" s="137"/>
      <c r="E1774" s="138"/>
      <c r="F1774" s="139"/>
      <c r="G1774" s="1" t="str">
        <f>IFERROR(IF(ventas_b_mes1255[[#This Row],[CUIT]]="","-",VLOOKUP(ventas_b_mes1255[[#This Row],[CUIT]],Lista_CUIT[#All],2,0)),"CUIT NO CARGADO")</f>
        <v>-</v>
      </c>
      <c r="H1774" s="100">
        <f>ventas_b_mes1255[[#This Row],[TOTAL]]/1.21</f>
        <v>0</v>
      </c>
      <c r="I1774" s="64">
        <f>ventas_b_mes1255[[#This Row],[IMPORTE NETO]]*0.21</f>
        <v>0</v>
      </c>
      <c r="J1774" s="141"/>
      <c r="K1774" s="141"/>
      <c r="L1774" s="141"/>
      <c r="M1774" s="59"/>
    </row>
    <row r="1775" spans="2:13">
      <c r="B1775" s="135"/>
      <c r="C1775" s="41"/>
      <c r="D1775" s="137"/>
      <c r="E1775" s="138"/>
      <c r="F1775" s="139"/>
      <c r="G1775" s="1" t="str">
        <f>IFERROR(IF(ventas_b_mes1255[[#This Row],[CUIT]]="","-",VLOOKUP(ventas_b_mes1255[[#This Row],[CUIT]],Lista_CUIT[#All],2,0)),"CUIT NO CARGADO")</f>
        <v>-</v>
      </c>
      <c r="H1775" s="100">
        <f>ventas_b_mes1255[[#This Row],[TOTAL]]/1.21</f>
        <v>0</v>
      </c>
      <c r="I1775" s="64">
        <f>ventas_b_mes1255[[#This Row],[IMPORTE NETO]]*0.21</f>
        <v>0</v>
      </c>
      <c r="J1775" s="141"/>
      <c r="K1775" s="141"/>
      <c r="L1775" s="141"/>
      <c r="M1775" s="59"/>
    </row>
    <row r="1776" spans="2:13">
      <c r="B1776" s="135"/>
      <c r="C1776" s="41"/>
      <c r="D1776" s="137"/>
      <c r="E1776" s="138"/>
      <c r="F1776" s="139"/>
      <c r="G1776" s="1" t="str">
        <f>IFERROR(IF(ventas_b_mes1255[[#This Row],[CUIT]]="","-",VLOOKUP(ventas_b_mes1255[[#This Row],[CUIT]],Lista_CUIT[#All],2,0)),"CUIT NO CARGADO")</f>
        <v>-</v>
      </c>
      <c r="H1776" s="100">
        <f>ventas_b_mes1255[[#This Row],[TOTAL]]/1.21</f>
        <v>0</v>
      </c>
      <c r="I1776" s="64">
        <f>ventas_b_mes1255[[#This Row],[IMPORTE NETO]]*0.21</f>
        <v>0</v>
      </c>
      <c r="J1776" s="141"/>
      <c r="K1776" s="141"/>
      <c r="L1776" s="141"/>
      <c r="M1776" s="59"/>
    </row>
    <row r="1777" spans="2:13">
      <c r="B1777" s="135"/>
      <c r="C1777" s="41"/>
      <c r="D1777" s="137"/>
      <c r="E1777" s="138"/>
      <c r="F1777" s="139"/>
      <c r="G1777" s="1" t="str">
        <f>IFERROR(IF(ventas_b_mes1255[[#This Row],[CUIT]]="","-",VLOOKUP(ventas_b_mes1255[[#This Row],[CUIT]],Lista_CUIT[#All],2,0)),"CUIT NO CARGADO")</f>
        <v>-</v>
      </c>
      <c r="H1777" s="100">
        <f>ventas_b_mes1255[[#This Row],[TOTAL]]/1.21</f>
        <v>0</v>
      </c>
      <c r="I1777" s="64">
        <f>ventas_b_mes1255[[#This Row],[IMPORTE NETO]]*0.21</f>
        <v>0</v>
      </c>
      <c r="J1777" s="141"/>
      <c r="K1777" s="141"/>
      <c r="L1777" s="141"/>
      <c r="M1777" s="59"/>
    </row>
    <row r="1778" spans="2:13">
      <c r="B1778" s="135"/>
      <c r="C1778" s="41"/>
      <c r="D1778" s="137"/>
      <c r="E1778" s="138"/>
      <c r="F1778" s="139"/>
      <c r="G1778" s="1" t="str">
        <f>IFERROR(IF(ventas_b_mes1255[[#This Row],[CUIT]]="","-",VLOOKUP(ventas_b_mes1255[[#This Row],[CUIT]],Lista_CUIT[#All],2,0)),"CUIT NO CARGADO")</f>
        <v>-</v>
      </c>
      <c r="H1778" s="100">
        <f>ventas_b_mes1255[[#This Row],[TOTAL]]/1.21</f>
        <v>0</v>
      </c>
      <c r="I1778" s="64">
        <f>ventas_b_mes1255[[#This Row],[IMPORTE NETO]]*0.21</f>
        <v>0</v>
      </c>
      <c r="J1778" s="141"/>
      <c r="K1778" s="141"/>
      <c r="L1778" s="141"/>
      <c r="M1778" s="59"/>
    </row>
    <row r="1779" spans="2:13">
      <c r="B1779" s="135"/>
      <c r="C1779" s="41"/>
      <c r="D1779" s="137"/>
      <c r="E1779" s="138"/>
      <c r="F1779" s="139"/>
      <c r="G1779" s="1" t="str">
        <f>IFERROR(IF(ventas_b_mes1255[[#This Row],[CUIT]]="","-",VLOOKUP(ventas_b_mes1255[[#This Row],[CUIT]],Lista_CUIT[#All],2,0)),"CUIT NO CARGADO")</f>
        <v>-</v>
      </c>
      <c r="H1779" s="100">
        <f>ventas_b_mes1255[[#This Row],[TOTAL]]/1.21</f>
        <v>0</v>
      </c>
      <c r="I1779" s="64">
        <f>ventas_b_mes1255[[#This Row],[IMPORTE NETO]]*0.21</f>
        <v>0</v>
      </c>
      <c r="J1779" s="141"/>
      <c r="K1779" s="141"/>
      <c r="L1779" s="141"/>
      <c r="M1779" s="59"/>
    </row>
    <row r="1780" spans="2:13">
      <c r="B1780" s="135"/>
      <c r="C1780" s="41"/>
      <c r="D1780" s="137"/>
      <c r="E1780" s="138"/>
      <c r="F1780" s="139"/>
      <c r="G1780" s="1" t="str">
        <f>IFERROR(IF(ventas_b_mes1255[[#This Row],[CUIT]]="","-",VLOOKUP(ventas_b_mes1255[[#This Row],[CUIT]],Lista_CUIT[#All],2,0)),"CUIT NO CARGADO")</f>
        <v>-</v>
      </c>
      <c r="H1780" s="100">
        <f>ventas_b_mes1255[[#This Row],[TOTAL]]/1.21</f>
        <v>0</v>
      </c>
      <c r="I1780" s="64">
        <f>ventas_b_mes1255[[#This Row],[IMPORTE NETO]]*0.21</f>
        <v>0</v>
      </c>
      <c r="J1780" s="141"/>
      <c r="K1780" s="141"/>
      <c r="L1780" s="141"/>
      <c r="M1780" s="59"/>
    </row>
    <row r="1781" spans="2:13">
      <c r="B1781" s="135"/>
      <c r="C1781" s="41"/>
      <c r="D1781" s="137"/>
      <c r="E1781" s="138"/>
      <c r="F1781" s="139"/>
      <c r="G1781" s="1" t="str">
        <f>IFERROR(IF(ventas_b_mes1255[[#This Row],[CUIT]]="","-",VLOOKUP(ventas_b_mes1255[[#This Row],[CUIT]],Lista_CUIT[#All],2,0)),"CUIT NO CARGADO")</f>
        <v>-</v>
      </c>
      <c r="H1781" s="100">
        <f>ventas_b_mes1255[[#This Row],[TOTAL]]/1.21</f>
        <v>0</v>
      </c>
      <c r="I1781" s="64">
        <f>ventas_b_mes1255[[#This Row],[IMPORTE NETO]]*0.21</f>
        <v>0</v>
      </c>
      <c r="J1781" s="141"/>
      <c r="K1781" s="141"/>
      <c r="L1781" s="141"/>
      <c r="M1781" s="59"/>
    </row>
    <row r="1782" spans="2:13">
      <c r="B1782" s="135"/>
      <c r="C1782" s="41"/>
      <c r="D1782" s="137"/>
      <c r="E1782" s="138"/>
      <c r="F1782" s="139"/>
      <c r="G1782" s="1" t="str">
        <f>IFERROR(IF(ventas_b_mes1255[[#This Row],[CUIT]]="","-",VLOOKUP(ventas_b_mes1255[[#This Row],[CUIT]],Lista_CUIT[#All],2,0)),"CUIT NO CARGADO")</f>
        <v>-</v>
      </c>
      <c r="H1782" s="100">
        <f>ventas_b_mes1255[[#This Row],[TOTAL]]/1.21</f>
        <v>0</v>
      </c>
      <c r="I1782" s="64">
        <f>ventas_b_mes1255[[#This Row],[IMPORTE NETO]]*0.21</f>
        <v>0</v>
      </c>
      <c r="J1782" s="141"/>
      <c r="K1782" s="141"/>
      <c r="L1782" s="141"/>
      <c r="M1782" s="59"/>
    </row>
    <row r="1783" spans="2:13">
      <c r="B1783" s="135"/>
      <c r="C1783" s="41"/>
      <c r="D1783" s="137"/>
      <c r="E1783" s="138"/>
      <c r="F1783" s="139"/>
      <c r="G1783" s="1" t="str">
        <f>IFERROR(IF(ventas_b_mes1255[[#This Row],[CUIT]]="","-",VLOOKUP(ventas_b_mes1255[[#This Row],[CUIT]],Lista_CUIT[#All],2,0)),"CUIT NO CARGADO")</f>
        <v>-</v>
      </c>
      <c r="H1783" s="100">
        <f>ventas_b_mes1255[[#This Row],[TOTAL]]/1.21</f>
        <v>0</v>
      </c>
      <c r="I1783" s="64">
        <f>ventas_b_mes1255[[#This Row],[IMPORTE NETO]]*0.21</f>
        <v>0</v>
      </c>
      <c r="J1783" s="141"/>
      <c r="K1783" s="141"/>
      <c r="L1783" s="141"/>
      <c r="M1783" s="59"/>
    </row>
    <row r="1784" spans="2:13">
      <c r="B1784" s="135"/>
      <c r="C1784" s="41"/>
      <c r="D1784" s="137"/>
      <c r="E1784" s="138"/>
      <c r="F1784" s="139"/>
      <c r="G1784" s="1" t="str">
        <f>IFERROR(IF(ventas_b_mes1255[[#This Row],[CUIT]]="","-",VLOOKUP(ventas_b_mes1255[[#This Row],[CUIT]],Lista_CUIT[#All],2,0)),"CUIT NO CARGADO")</f>
        <v>-</v>
      </c>
      <c r="H1784" s="100">
        <f>ventas_b_mes1255[[#This Row],[TOTAL]]/1.21</f>
        <v>0</v>
      </c>
      <c r="I1784" s="64">
        <f>ventas_b_mes1255[[#This Row],[IMPORTE NETO]]*0.21</f>
        <v>0</v>
      </c>
      <c r="J1784" s="141"/>
      <c r="K1784" s="141"/>
      <c r="L1784" s="141"/>
      <c r="M1784" s="59"/>
    </row>
    <row r="1785" spans="2:13">
      <c r="B1785" s="135"/>
      <c r="C1785" s="41"/>
      <c r="D1785" s="137"/>
      <c r="E1785" s="138"/>
      <c r="F1785" s="139"/>
      <c r="G1785" s="1" t="str">
        <f>IFERROR(IF(ventas_b_mes1255[[#This Row],[CUIT]]="","-",VLOOKUP(ventas_b_mes1255[[#This Row],[CUIT]],Lista_CUIT[#All],2,0)),"CUIT NO CARGADO")</f>
        <v>-</v>
      </c>
      <c r="H1785" s="100">
        <f>ventas_b_mes1255[[#This Row],[TOTAL]]/1.21</f>
        <v>0</v>
      </c>
      <c r="I1785" s="64">
        <f>ventas_b_mes1255[[#This Row],[IMPORTE NETO]]*0.21</f>
        <v>0</v>
      </c>
      <c r="J1785" s="141"/>
      <c r="K1785" s="141"/>
      <c r="L1785" s="141"/>
      <c r="M1785" s="59"/>
    </row>
    <row r="1786" spans="2:13">
      <c r="B1786" s="135"/>
      <c r="C1786" s="41"/>
      <c r="D1786" s="137"/>
      <c r="E1786" s="138"/>
      <c r="F1786" s="139"/>
      <c r="G1786" s="1" t="str">
        <f>IFERROR(IF(ventas_b_mes1255[[#This Row],[CUIT]]="","-",VLOOKUP(ventas_b_mes1255[[#This Row],[CUIT]],Lista_CUIT[#All],2,0)),"CUIT NO CARGADO")</f>
        <v>-</v>
      </c>
      <c r="H1786" s="100">
        <f>ventas_b_mes1255[[#This Row],[TOTAL]]/1.21</f>
        <v>0</v>
      </c>
      <c r="I1786" s="64">
        <f>ventas_b_mes1255[[#This Row],[IMPORTE NETO]]*0.21</f>
        <v>0</v>
      </c>
      <c r="J1786" s="141"/>
      <c r="K1786" s="141"/>
      <c r="L1786" s="141"/>
      <c r="M1786" s="59"/>
    </row>
    <row r="1787" spans="2:13">
      <c r="B1787" s="135"/>
      <c r="C1787" s="41"/>
      <c r="D1787" s="137"/>
      <c r="E1787" s="138"/>
      <c r="F1787" s="139"/>
      <c r="G1787" s="1" t="str">
        <f>IFERROR(IF(ventas_b_mes1255[[#This Row],[CUIT]]="","-",VLOOKUP(ventas_b_mes1255[[#This Row],[CUIT]],Lista_CUIT[#All],2,0)),"CUIT NO CARGADO")</f>
        <v>-</v>
      </c>
      <c r="H1787" s="100">
        <f>ventas_b_mes1255[[#This Row],[TOTAL]]/1.21</f>
        <v>0</v>
      </c>
      <c r="I1787" s="64">
        <f>ventas_b_mes1255[[#This Row],[IMPORTE NETO]]*0.21</f>
        <v>0</v>
      </c>
      <c r="J1787" s="141"/>
      <c r="K1787" s="141"/>
      <c r="L1787" s="141"/>
      <c r="M1787" s="59"/>
    </row>
    <row r="1788" spans="2:13">
      <c r="B1788" s="135"/>
      <c r="C1788" s="41"/>
      <c r="D1788" s="137"/>
      <c r="E1788" s="138"/>
      <c r="F1788" s="139"/>
      <c r="G1788" s="1" t="str">
        <f>IFERROR(IF(ventas_b_mes1255[[#This Row],[CUIT]]="","-",VLOOKUP(ventas_b_mes1255[[#This Row],[CUIT]],Lista_CUIT[#All],2,0)),"CUIT NO CARGADO")</f>
        <v>-</v>
      </c>
      <c r="H1788" s="100">
        <f>ventas_b_mes1255[[#This Row],[TOTAL]]/1.21</f>
        <v>0</v>
      </c>
      <c r="I1788" s="64">
        <f>ventas_b_mes1255[[#This Row],[IMPORTE NETO]]*0.21</f>
        <v>0</v>
      </c>
      <c r="J1788" s="141"/>
      <c r="K1788" s="141"/>
      <c r="L1788" s="141"/>
      <c r="M1788" s="59"/>
    </row>
    <row r="1789" spans="2:13">
      <c r="B1789" s="135"/>
      <c r="C1789" s="41"/>
      <c r="D1789" s="137"/>
      <c r="E1789" s="138"/>
      <c r="F1789" s="139"/>
      <c r="G1789" s="1" t="str">
        <f>IFERROR(IF(ventas_b_mes1255[[#This Row],[CUIT]]="","-",VLOOKUP(ventas_b_mes1255[[#This Row],[CUIT]],Lista_CUIT[#All],2,0)),"CUIT NO CARGADO")</f>
        <v>-</v>
      </c>
      <c r="H1789" s="100">
        <f>ventas_b_mes1255[[#This Row],[TOTAL]]/1.21</f>
        <v>0</v>
      </c>
      <c r="I1789" s="64">
        <f>ventas_b_mes1255[[#This Row],[IMPORTE NETO]]*0.21</f>
        <v>0</v>
      </c>
      <c r="J1789" s="141"/>
      <c r="K1789" s="141"/>
      <c r="L1789" s="141"/>
      <c r="M1789" s="59"/>
    </row>
    <row r="1790" spans="2:13">
      <c r="B1790" s="135"/>
      <c r="C1790" s="41"/>
      <c r="D1790" s="137"/>
      <c r="E1790" s="138"/>
      <c r="F1790" s="139"/>
      <c r="G1790" s="1" t="str">
        <f>IFERROR(IF(ventas_b_mes1255[[#This Row],[CUIT]]="","-",VLOOKUP(ventas_b_mes1255[[#This Row],[CUIT]],Lista_CUIT[#All],2,0)),"CUIT NO CARGADO")</f>
        <v>-</v>
      </c>
      <c r="H1790" s="100">
        <f>ventas_b_mes1255[[#This Row],[TOTAL]]/1.21</f>
        <v>0</v>
      </c>
      <c r="I1790" s="64">
        <f>ventas_b_mes1255[[#This Row],[IMPORTE NETO]]*0.21</f>
        <v>0</v>
      </c>
      <c r="J1790" s="141"/>
      <c r="K1790" s="141"/>
      <c r="L1790" s="141"/>
      <c r="M1790" s="59"/>
    </row>
    <row r="1791" spans="2:13">
      <c r="B1791" s="135"/>
      <c r="C1791" s="41"/>
      <c r="D1791" s="137"/>
      <c r="E1791" s="138"/>
      <c r="F1791" s="139"/>
      <c r="G1791" s="1" t="str">
        <f>IFERROR(IF(ventas_b_mes1255[[#This Row],[CUIT]]="","-",VLOOKUP(ventas_b_mes1255[[#This Row],[CUIT]],Lista_CUIT[#All],2,0)),"CUIT NO CARGADO")</f>
        <v>-</v>
      </c>
      <c r="H1791" s="100">
        <f>ventas_b_mes1255[[#This Row],[TOTAL]]/1.21</f>
        <v>0</v>
      </c>
      <c r="I1791" s="64">
        <f>ventas_b_mes1255[[#This Row],[IMPORTE NETO]]*0.21</f>
        <v>0</v>
      </c>
      <c r="J1791" s="141"/>
      <c r="K1791" s="141"/>
      <c r="L1791" s="141"/>
      <c r="M1791" s="59"/>
    </row>
    <row r="1792" spans="2:13">
      <c r="B1792" s="135"/>
      <c r="C1792" s="41"/>
      <c r="D1792" s="137"/>
      <c r="E1792" s="138"/>
      <c r="F1792" s="139"/>
      <c r="G1792" s="1" t="str">
        <f>IFERROR(IF(ventas_b_mes1255[[#This Row],[CUIT]]="","-",VLOOKUP(ventas_b_mes1255[[#This Row],[CUIT]],Lista_CUIT[#All],2,0)),"CUIT NO CARGADO")</f>
        <v>-</v>
      </c>
      <c r="H1792" s="100">
        <f>ventas_b_mes1255[[#This Row],[TOTAL]]/1.21</f>
        <v>0</v>
      </c>
      <c r="I1792" s="64">
        <f>ventas_b_mes1255[[#This Row],[IMPORTE NETO]]*0.21</f>
        <v>0</v>
      </c>
      <c r="J1792" s="141"/>
      <c r="K1792" s="141"/>
      <c r="L1792" s="141"/>
      <c r="M1792" s="59"/>
    </row>
    <row r="1793" spans="2:13">
      <c r="B1793" s="135"/>
      <c r="C1793" s="41"/>
      <c r="D1793" s="137"/>
      <c r="E1793" s="138"/>
      <c r="F1793" s="139"/>
      <c r="G1793" s="1" t="str">
        <f>IFERROR(IF(ventas_b_mes1255[[#This Row],[CUIT]]="","-",VLOOKUP(ventas_b_mes1255[[#This Row],[CUIT]],Lista_CUIT[#All],2,0)),"CUIT NO CARGADO")</f>
        <v>-</v>
      </c>
      <c r="H1793" s="100">
        <f>ventas_b_mes1255[[#This Row],[TOTAL]]/1.21</f>
        <v>0</v>
      </c>
      <c r="I1793" s="64">
        <f>ventas_b_mes1255[[#This Row],[IMPORTE NETO]]*0.21</f>
        <v>0</v>
      </c>
      <c r="J1793" s="141"/>
      <c r="K1793" s="141"/>
      <c r="L1793" s="141"/>
      <c r="M1793" s="59"/>
    </row>
    <row r="1794" spans="2:13">
      <c r="B1794" s="135"/>
      <c r="C1794" s="41"/>
      <c r="D1794" s="137"/>
      <c r="E1794" s="138"/>
      <c r="F1794" s="139"/>
      <c r="G1794" s="1" t="str">
        <f>IFERROR(IF(ventas_b_mes1255[[#This Row],[CUIT]]="","-",VLOOKUP(ventas_b_mes1255[[#This Row],[CUIT]],Lista_CUIT[#All],2,0)),"CUIT NO CARGADO")</f>
        <v>-</v>
      </c>
      <c r="H1794" s="100">
        <f>ventas_b_mes1255[[#This Row],[TOTAL]]/1.21</f>
        <v>0</v>
      </c>
      <c r="I1794" s="64">
        <f>ventas_b_mes1255[[#This Row],[IMPORTE NETO]]*0.21</f>
        <v>0</v>
      </c>
      <c r="J1794" s="141"/>
      <c r="K1794" s="141"/>
      <c r="L1794" s="141"/>
      <c r="M1794" s="59"/>
    </row>
    <row r="1795" spans="2:13">
      <c r="B1795" s="135"/>
      <c r="C1795" s="41"/>
      <c r="D1795" s="137"/>
      <c r="E1795" s="138"/>
      <c r="F1795" s="139"/>
      <c r="G1795" s="1" t="str">
        <f>IFERROR(IF(ventas_b_mes1255[[#This Row],[CUIT]]="","-",VLOOKUP(ventas_b_mes1255[[#This Row],[CUIT]],Lista_CUIT[#All],2,0)),"CUIT NO CARGADO")</f>
        <v>-</v>
      </c>
      <c r="H1795" s="100">
        <f>ventas_b_mes1255[[#This Row],[TOTAL]]/1.21</f>
        <v>0</v>
      </c>
      <c r="I1795" s="64">
        <f>ventas_b_mes1255[[#This Row],[IMPORTE NETO]]*0.21</f>
        <v>0</v>
      </c>
      <c r="J1795" s="141"/>
      <c r="K1795" s="141"/>
      <c r="L1795" s="141"/>
      <c r="M1795" s="59"/>
    </row>
    <row r="1796" spans="2:13">
      <c r="B1796" s="135"/>
      <c r="C1796" s="41"/>
      <c r="D1796" s="137"/>
      <c r="E1796" s="138"/>
      <c r="F1796" s="139"/>
      <c r="G1796" s="1" t="str">
        <f>IFERROR(IF(ventas_b_mes1255[[#This Row],[CUIT]]="","-",VLOOKUP(ventas_b_mes1255[[#This Row],[CUIT]],Lista_CUIT[#All],2,0)),"CUIT NO CARGADO")</f>
        <v>-</v>
      </c>
      <c r="H1796" s="100">
        <f>ventas_b_mes1255[[#This Row],[TOTAL]]/1.21</f>
        <v>0</v>
      </c>
      <c r="I1796" s="64">
        <f>ventas_b_mes1255[[#This Row],[IMPORTE NETO]]*0.21</f>
        <v>0</v>
      </c>
      <c r="J1796" s="141"/>
      <c r="K1796" s="141"/>
      <c r="L1796" s="141"/>
      <c r="M1796" s="59"/>
    </row>
    <row r="1797" spans="2:13">
      <c r="B1797" s="135"/>
      <c r="C1797" s="41"/>
      <c r="D1797" s="137"/>
      <c r="E1797" s="138"/>
      <c r="F1797" s="139"/>
      <c r="G1797" s="1" t="str">
        <f>IFERROR(IF(ventas_b_mes1255[[#This Row],[CUIT]]="","-",VLOOKUP(ventas_b_mes1255[[#This Row],[CUIT]],Lista_CUIT[#All],2,0)),"CUIT NO CARGADO")</f>
        <v>-</v>
      </c>
      <c r="H1797" s="100">
        <f>ventas_b_mes1255[[#This Row],[TOTAL]]/1.21</f>
        <v>0</v>
      </c>
      <c r="I1797" s="64">
        <f>ventas_b_mes1255[[#This Row],[IMPORTE NETO]]*0.21</f>
        <v>0</v>
      </c>
      <c r="J1797" s="141"/>
      <c r="K1797" s="141"/>
      <c r="L1797" s="141"/>
      <c r="M1797" s="59"/>
    </row>
    <row r="1798" spans="2:13">
      <c r="B1798" s="135"/>
      <c r="C1798" s="41"/>
      <c r="D1798" s="137"/>
      <c r="E1798" s="138"/>
      <c r="F1798" s="139"/>
      <c r="G1798" s="1" t="str">
        <f>IFERROR(IF(ventas_b_mes1255[[#This Row],[CUIT]]="","-",VLOOKUP(ventas_b_mes1255[[#This Row],[CUIT]],Lista_CUIT[#All],2,0)),"CUIT NO CARGADO")</f>
        <v>-</v>
      </c>
      <c r="H1798" s="100">
        <f>ventas_b_mes1255[[#This Row],[TOTAL]]/1.21</f>
        <v>0</v>
      </c>
      <c r="I1798" s="64">
        <f>ventas_b_mes1255[[#This Row],[IMPORTE NETO]]*0.21</f>
        <v>0</v>
      </c>
      <c r="J1798" s="141"/>
      <c r="K1798" s="141"/>
      <c r="L1798" s="141"/>
      <c r="M1798" s="59"/>
    </row>
    <row r="1799" spans="2:13">
      <c r="B1799" s="135"/>
      <c r="C1799" s="41"/>
      <c r="D1799" s="137"/>
      <c r="E1799" s="138"/>
      <c r="F1799" s="139"/>
      <c r="G1799" s="1" t="str">
        <f>IFERROR(IF(ventas_b_mes1255[[#This Row],[CUIT]]="","-",VLOOKUP(ventas_b_mes1255[[#This Row],[CUIT]],Lista_CUIT[#All],2,0)),"CUIT NO CARGADO")</f>
        <v>-</v>
      </c>
      <c r="H1799" s="100">
        <f>ventas_b_mes1255[[#This Row],[TOTAL]]/1.21</f>
        <v>0</v>
      </c>
      <c r="I1799" s="64">
        <f>ventas_b_mes1255[[#This Row],[IMPORTE NETO]]*0.21</f>
        <v>0</v>
      </c>
      <c r="J1799" s="141"/>
      <c r="K1799" s="141"/>
      <c r="L1799" s="141"/>
      <c r="M1799" s="59"/>
    </row>
    <row r="1800" spans="2:13">
      <c r="B1800" s="135"/>
      <c r="C1800" s="41"/>
      <c r="D1800" s="137"/>
      <c r="E1800" s="138"/>
      <c r="F1800" s="139"/>
      <c r="G1800" s="1" t="str">
        <f>IFERROR(IF(ventas_b_mes1255[[#This Row],[CUIT]]="","-",VLOOKUP(ventas_b_mes1255[[#This Row],[CUIT]],Lista_CUIT[#All],2,0)),"CUIT NO CARGADO")</f>
        <v>-</v>
      </c>
      <c r="H1800" s="100">
        <f>ventas_b_mes1255[[#This Row],[TOTAL]]/1.21</f>
        <v>0</v>
      </c>
      <c r="I1800" s="64">
        <f>ventas_b_mes1255[[#This Row],[IMPORTE NETO]]*0.21</f>
        <v>0</v>
      </c>
      <c r="J1800" s="141"/>
      <c r="K1800" s="141"/>
      <c r="L1800" s="141"/>
      <c r="M1800" s="59"/>
    </row>
    <row r="1801" spans="2:13">
      <c r="B1801" s="135"/>
      <c r="C1801" s="41"/>
      <c r="D1801" s="137"/>
      <c r="E1801" s="138"/>
      <c r="F1801" s="139"/>
      <c r="G1801" s="1" t="str">
        <f>IFERROR(IF(ventas_b_mes1255[[#This Row],[CUIT]]="","-",VLOOKUP(ventas_b_mes1255[[#This Row],[CUIT]],Lista_CUIT[#All],2,0)),"CUIT NO CARGADO")</f>
        <v>-</v>
      </c>
      <c r="H1801" s="100">
        <f>ventas_b_mes1255[[#This Row],[TOTAL]]/1.21</f>
        <v>0</v>
      </c>
      <c r="I1801" s="64">
        <f>ventas_b_mes1255[[#This Row],[IMPORTE NETO]]*0.21</f>
        <v>0</v>
      </c>
      <c r="J1801" s="141"/>
      <c r="K1801" s="141"/>
      <c r="L1801" s="141"/>
      <c r="M1801" s="59"/>
    </row>
    <row r="1802" spans="2:13">
      <c r="B1802" s="135"/>
      <c r="C1802" s="41"/>
      <c r="D1802" s="137"/>
      <c r="E1802" s="138"/>
      <c r="F1802" s="139"/>
      <c r="G1802" s="1" t="str">
        <f>IFERROR(IF(ventas_b_mes1255[[#This Row],[CUIT]]="","-",VLOOKUP(ventas_b_mes1255[[#This Row],[CUIT]],Lista_CUIT[#All],2,0)),"CUIT NO CARGADO")</f>
        <v>-</v>
      </c>
      <c r="H1802" s="100">
        <f>ventas_b_mes1255[[#This Row],[TOTAL]]/1.21</f>
        <v>0</v>
      </c>
      <c r="I1802" s="64">
        <f>ventas_b_mes1255[[#This Row],[IMPORTE NETO]]*0.21</f>
        <v>0</v>
      </c>
      <c r="J1802" s="141"/>
      <c r="K1802" s="141"/>
      <c r="L1802" s="141"/>
      <c r="M1802" s="59"/>
    </row>
    <row r="1803" spans="2:13">
      <c r="B1803" s="135"/>
      <c r="C1803" s="41"/>
      <c r="D1803" s="137"/>
      <c r="E1803" s="138"/>
      <c r="F1803" s="139"/>
      <c r="G1803" s="1" t="str">
        <f>IFERROR(IF(ventas_b_mes1255[[#This Row],[CUIT]]="","-",VLOOKUP(ventas_b_mes1255[[#This Row],[CUIT]],Lista_CUIT[#All],2,0)),"CUIT NO CARGADO")</f>
        <v>-</v>
      </c>
      <c r="H1803" s="100">
        <f>ventas_b_mes1255[[#This Row],[TOTAL]]/1.21</f>
        <v>0</v>
      </c>
      <c r="I1803" s="64">
        <f>ventas_b_mes1255[[#This Row],[IMPORTE NETO]]*0.21</f>
        <v>0</v>
      </c>
      <c r="J1803" s="141"/>
      <c r="K1803" s="141"/>
      <c r="L1803" s="141"/>
      <c r="M1803" s="59"/>
    </row>
    <row r="1804" spans="2:13">
      <c r="B1804" s="135"/>
      <c r="C1804" s="41"/>
      <c r="D1804" s="137"/>
      <c r="E1804" s="138"/>
      <c r="F1804" s="139"/>
      <c r="G1804" s="1" t="str">
        <f>IFERROR(IF(ventas_b_mes1255[[#This Row],[CUIT]]="","-",VLOOKUP(ventas_b_mes1255[[#This Row],[CUIT]],Lista_CUIT[#All],2,0)),"CUIT NO CARGADO")</f>
        <v>-</v>
      </c>
      <c r="H1804" s="100">
        <f>ventas_b_mes1255[[#This Row],[TOTAL]]/1.21</f>
        <v>0</v>
      </c>
      <c r="I1804" s="64">
        <f>ventas_b_mes1255[[#This Row],[IMPORTE NETO]]*0.21</f>
        <v>0</v>
      </c>
      <c r="J1804" s="141"/>
      <c r="K1804" s="141"/>
      <c r="L1804" s="141"/>
      <c r="M1804" s="59"/>
    </row>
    <row r="1805" spans="2:13">
      <c r="B1805" s="135"/>
      <c r="C1805" s="41"/>
      <c r="D1805" s="137"/>
      <c r="E1805" s="138"/>
      <c r="F1805" s="139"/>
      <c r="G1805" s="1" t="str">
        <f>IFERROR(IF(ventas_b_mes1255[[#This Row],[CUIT]]="","-",VLOOKUP(ventas_b_mes1255[[#This Row],[CUIT]],Lista_CUIT[#All],2,0)),"CUIT NO CARGADO")</f>
        <v>-</v>
      </c>
      <c r="H1805" s="100">
        <f>ventas_b_mes1255[[#This Row],[TOTAL]]/1.21</f>
        <v>0</v>
      </c>
      <c r="I1805" s="64">
        <f>ventas_b_mes1255[[#This Row],[IMPORTE NETO]]*0.21</f>
        <v>0</v>
      </c>
      <c r="J1805" s="141"/>
      <c r="K1805" s="141"/>
      <c r="L1805" s="141"/>
      <c r="M1805" s="59"/>
    </row>
    <row r="1806" spans="2:13">
      <c r="B1806" s="135"/>
      <c r="C1806" s="41"/>
      <c r="D1806" s="137"/>
      <c r="E1806" s="138"/>
      <c r="F1806" s="139"/>
      <c r="G1806" s="1" t="str">
        <f>IFERROR(IF(ventas_b_mes1255[[#This Row],[CUIT]]="","-",VLOOKUP(ventas_b_mes1255[[#This Row],[CUIT]],Lista_CUIT[#All],2,0)),"CUIT NO CARGADO")</f>
        <v>-</v>
      </c>
      <c r="H1806" s="100">
        <f>ventas_b_mes1255[[#This Row],[TOTAL]]/1.21</f>
        <v>0</v>
      </c>
      <c r="I1806" s="64">
        <f>ventas_b_mes1255[[#This Row],[IMPORTE NETO]]*0.21</f>
        <v>0</v>
      </c>
      <c r="J1806" s="141"/>
      <c r="K1806" s="141"/>
      <c r="L1806" s="141"/>
      <c r="M1806" s="59"/>
    </row>
    <row r="1807" spans="2:13">
      <c r="B1807" s="135"/>
      <c r="C1807" s="41"/>
      <c r="D1807" s="137"/>
      <c r="E1807" s="138"/>
      <c r="F1807" s="139"/>
      <c r="G1807" s="1" t="str">
        <f>IFERROR(IF(ventas_b_mes1255[[#This Row],[CUIT]]="","-",VLOOKUP(ventas_b_mes1255[[#This Row],[CUIT]],Lista_CUIT[#All],2,0)),"CUIT NO CARGADO")</f>
        <v>-</v>
      </c>
      <c r="H1807" s="100">
        <f>ventas_b_mes1255[[#This Row],[TOTAL]]/1.21</f>
        <v>0</v>
      </c>
      <c r="I1807" s="64">
        <f>ventas_b_mes1255[[#This Row],[IMPORTE NETO]]*0.21</f>
        <v>0</v>
      </c>
      <c r="J1807" s="141"/>
      <c r="K1807" s="141"/>
      <c r="L1807" s="141"/>
      <c r="M1807" s="59"/>
    </row>
    <row r="1808" spans="2:13">
      <c r="B1808" s="135"/>
      <c r="C1808" s="41"/>
      <c r="D1808" s="137"/>
      <c r="E1808" s="138"/>
      <c r="F1808" s="139"/>
      <c r="G1808" s="1" t="str">
        <f>IFERROR(IF(ventas_b_mes1255[[#This Row],[CUIT]]="","-",VLOOKUP(ventas_b_mes1255[[#This Row],[CUIT]],Lista_CUIT[#All],2,0)),"CUIT NO CARGADO")</f>
        <v>-</v>
      </c>
      <c r="H1808" s="100">
        <f>ventas_b_mes1255[[#This Row],[TOTAL]]/1.21</f>
        <v>0</v>
      </c>
      <c r="I1808" s="64">
        <f>ventas_b_mes1255[[#This Row],[IMPORTE NETO]]*0.21</f>
        <v>0</v>
      </c>
      <c r="J1808" s="141"/>
      <c r="K1808" s="141"/>
      <c r="L1808" s="141"/>
      <c r="M1808" s="59"/>
    </row>
    <row r="1809" spans="2:13">
      <c r="B1809" s="135"/>
      <c r="C1809" s="41"/>
      <c r="D1809" s="137"/>
      <c r="E1809" s="138"/>
      <c r="F1809" s="139"/>
      <c r="G1809" s="1" t="str">
        <f>IFERROR(IF(ventas_b_mes1255[[#This Row],[CUIT]]="","-",VLOOKUP(ventas_b_mes1255[[#This Row],[CUIT]],Lista_CUIT[#All],2,0)),"CUIT NO CARGADO")</f>
        <v>-</v>
      </c>
      <c r="H1809" s="100">
        <f>ventas_b_mes1255[[#This Row],[TOTAL]]/1.21</f>
        <v>0</v>
      </c>
      <c r="I1809" s="64">
        <f>ventas_b_mes1255[[#This Row],[IMPORTE NETO]]*0.21</f>
        <v>0</v>
      </c>
      <c r="J1809" s="141"/>
      <c r="K1809" s="141"/>
      <c r="L1809" s="141"/>
      <c r="M1809" s="59"/>
    </row>
    <row r="1810" spans="2:13">
      <c r="B1810" s="135"/>
      <c r="C1810" s="41"/>
      <c r="D1810" s="137"/>
      <c r="E1810" s="138"/>
      <c r="F1810" s="139"/>
      <c r="G1810" s="1" t="str">
        <f>IFERROR(IF(ventas_b_mes1255[[#This Row],[CUIT]]="","-",VLOOKUP(ventas_b_mes1255[[#This Row],[CUIT]],Lista_CUIT[#All],2,0)),"CUIT NO CARGADO")</f>
        <v>-</v>
      </c>
      <c r="H1810" s="100">
        <f>ventas_b_mes1255[[#This Row],[TOTAL]]/1.21</f>
        <v>0</v>
      </c>
      <c r="I1810" s="64">
        <f>ventas_b_mes1255[[#This Row],[IMPORTE NETO]]*0.21</f>
        <v>0</v>
      </c>
      <c r="J1810" s="141"/>
      <c r="K1810" s="141"/>
      <c r="L1810" s="141"/>
      <c r="M1810" s="59"/>
    </row>
    <row r="1811" spans="2:13">
      <c r="B1811" s="135"/>
      <c r="C1811" s="41"/>
      <c r="D1811" s="137"/>
      <c r="E1811" s="138"/>
      <c r="F1811" s="139"/>
      <c r="G1811" s="1" t="str">
        <f>IFERROR(IF(ventas_b_mes1255[[#This Row],[CUIT]]="","-",VLOOKUP(ventas_b_mes1255[[#This Row],[CUIT]],Lista_CUIT[#All],2,0)),"CUIT NO CARGADO")</f>
        <v>-</v>
      </c>
      <c r="H1811" s="100">
        <f>ventas_b_mes1255[[#This Row],[TOTAL]]/1.21</f>
        <v>0</v>
      </c>
      <c r="I1811" s="64">
        <f>ventas_b_mes1255[[#This Row],[IMPORTE NETO]]*0.21</f>
        <v>0</v>
      </c>
      <c r="J1811" s="141"/>
      <c r="K1811" s="141"/>
      <c r="L1811" s="141"/>
      <c r="M1811" s="59"/>
    </row>
    <row r="1812" spans="2:13">
      <c r="B1812" s="135"/>
      <c r="C1812" s="41"/>
      <c r="D1812" s="137"/>
      <c r="E1812" s="138"/>
      <c r="F1812" s="139"/>
      <c r="G1812" s="1" t="str">
        <f>IFERROR(IF(ventas_b_mes1255[[#This Row],[CUIT]]="","-",VLOOKUP(ventas_b_mes1255[[#This Row],[CUIT]],Lista_CUIT[#All],2,0)),"CUIT NO CARGADO")</f>
        <v>-</v>
      </c>
      <c r="H1812" s="100">
        <f>ventas_b_mes1255[[#This Row],[TOTAL]]/1.21</f>
        <v>0</v>
      </c>
      <c r="I1812" s="64">
        <f>ventas_b_mes1255[[#This Row],[IMPORTE NETO]]*0.21</f>
        <v>0</v>
      </c>
      <c r="J1812" s="141"/>
      <c r="K1812" s="141"/>
      <c r="L1812" s="141"/>
      <c r="M1812" s="59"/>
    </row>
    <row r="1813" spans="2:13">
      <c r="B1813" s="135"/>
      <c r="C1813" s="41"/>
      <c r="D1813" s="137"/>
      <c r="E1813" s="138"/>
      <c r="F1813" s="139"/>
      <c r="G1813" s="1" t="str">
        <f>IFERROR(IF(ventas_b_mes1255[[#This Row],[CUIT]]="","-",VLOOKUP(ventas_b_mes1255[[#This Row],[CUIT]],Lista_CUIT[#All],2,0)),"CUIT NO CARGADO")</f>
        <v>-</v>
      </c>
      <c r="H1813" s="100">
        <f>ventas_b_mes1255[[#This Row],[TOTAL]]/1.21</f>
        <v>0</v>
      </c>
      <c r="I1813" s="64">
        <f>ventas_b_mes1255[[#This Row],[IMPORTE NETO]]*0.21</f>
        <v>0</v>
      </c>
      <c r="J1813" s="141"/>
      <c r="K1813" s="141"/>
      <c r="L1813" s="141"/>
      <c r="M1813" s="59"/>
    </row>
    <row r="1814" spans="2:13">
      <c r="B1814" s="135"/>
      <c r="C1814" s="41"/>
      <c r="D1814" s="137"/>
      <c r="E1814" s="138"/>
      <c r="F1814" s="139"/>
      <c r="G1814" s="1" t="str">
        <f>IFERROR(IF(ventas_b_mes1255[[#This Row],[CUIT]]="","-",VLOOKUP(ventas_b_mes1255[[#This Row],[CUIT]],Lista_CUIT[#All],2,0)),"CUIT NO CARGADO")</f>
        <v>-</v>
      </c>
      <c r="H1814" s="100">
        <f>ventas_b_mes1255[[#This Row],[TOTAL]]/1.21</f>
        <v>0</v>
      </c>
      <c r="I1814" s="64">
        <f>ventas_b_mes1255[[#This Row],[IMPORTE NETO]]*0.21</f>
        <v>0</v>
      </c>
      <c r="J1814" s="141"/>
      <c r="K1814" s="141"/>
      <c r="L1814" s="141"/>
      <c r="M1814" s="59"/>
    </row>
    <row r="1815" spans="2:13">
      <c r="B1815" s="135"/>
      <c r="C1815" s="41"/>
      <c r="D1815" s="137"/>
      <c r="E1815" s="138"/>
      <c r="F1815" s="139"/>
      <c r="G1815" s="1" t="str">
        <f>IFERROR(IF(ventas_b_mes1255[[#This Row],[CUIT]]="","-",VLOOKUP(ventas_b_mes1255[[#This Row],[CUIT]],Lista_CUIT[#All],2,0)),"CUIT NO CARGADO")</f>
        <v>-</v>
      </c>
      <c r="H1815" s="100">
        <f>ventas_b_mes1255[[#This Row],[TOTAL]]/1.21</f>
        <v>0</v>
      </c>
      <c r="I1815" s="64">
        <f>ventas_b_mes1255[[#This Row],[IMPORTE NETO]]*0.21</f>
        <v>0</v>
      </c>
      <c r="J1815" s="141"/>
      <c r="K1815" s="141"/>
      <c r="L1815" s="141"/>
      <c r="M1815" s="59"/>
    </row>
    <row r="1816" spans="2:13">
      <c r="B1816" s="135"/>
      <c r="C1816" s="41"/>
      <c r="D1816" s="137"/>
      <c r="E1816" s="138"/>
      <c r="F1816" s="139"/>
      <c r="G1816" s="1" t="str">
        <f>IFERROR(IF(ventas_b_mes1255[[#This Row],[CUIT]]="","-",VLOOKUP(ventas_b_mes1255[[#This Row],[CUIT]],Lista_CUIT[#All],2,0)),"CUIT NO CARGADO")</f>
        <v>-</v>
      </c>
      <c r="H1816" s="100">
        <f>ventas_b_mes1255[[#This Row],[TOTAL]]/1.21</f>
        <v>0</v>
      </c>
      <c r="I1816" s="64">
        <f>ventas_b_mes1255[[#This Row],[IMPORTE NETO]]*0.21</f>
        <v>0</v>
      </c>
      <c r="J1816" s="141"/>
      <c r="K1816" s="141"/>
      <c r="L1816" s="141"/>
      <c r="M1816" s="59"/>
    </row>
    <row r="1817" spans="2:13">
      <c r="B1817" s="135"/>
      <c r="C1817" s="41"/>
      <c r="D1817" s="137"/>
      <c r="E1817" s="138"/>
      <c r="F1817" s="139"/>
      <c r="G1817" s="1" t="str">
        <f>IFERROR(IF(ventas_b_mes1255[[#This Row],[CUIT]]="","-",VLOOKUP(ventas_b_mes1255[[#This Row],[CUIT]],Lista_CUIT[#All],2,0)),"CUIT NO CARGADO")</f>
        <v>-</v>
      </c>
      <c r="H1817" s="100">
        <f>ventas_b_mes1255[[#This Row],[TOTAL]]/1.21</f>
        <v>0</v>
      </c>
      <c r="I1817" s="64">
        <f>ventas_b_mes1255[[#This Row],[IMPORTE NETO]]*0.21</f>
        <v>0</v>
      </c>
      <c r="J1817" s="141"/>
      <c r="K1817" s="141"/>
      <c r="L1817" s="141"/>
      <c r="M1817" s="59"/>
    </row>
    <row r="1818" spans="2:13">
      <c r="B1818" s="135"/>
      <c r="C1818" s="41"/>
      <c r="D1818" s="137"/>
      <c r="E1818" s="138"/>
      <c r="F1818" s="139"/>
      <c r="G1818" s="1" t="str">
        <f>IFERROR(IF(ventas_b_mes1255[[#This Row],[CUIT]]="","-",VLOOKUP(ventas_b_mes1255[[#This Row],[CUIT]],Lista_CUIT[#All],2,0)),"CUIT NO CARGADO")</f>
        <v>-</v>
      </c>
      <c r="H1818" s="100">
        <f>ventas_b_mes1255[[#This Row],[TOTAL]]/1.21</f>
        <v>0</v>
      </c>
      <c r="I1818" s="64">
        <f>ventas_b_mes1255[[#This Row],[IMPORTE NETO]]*0.21</f>
        <v>0</v>
      </c>
      <c r="J1818" s="141"/>
      <c r="K1818" s="141"/>
      <c r="L1818" s="141"/>
      <c r="M1818" s="59"/>
    </row>
    <row r="1819" spans="2:13">
      <c r="B1819" s="135"/>
      <c r="C1819" s="41"/>
      <c r="D1819" s="137"/>
      <c r="E1819" s="138"/>
      <c r="F1819" s="139"/>
      <c r="G1819" s="1" t="str">
        <f>IFERROR(IF(ventas_b_mes1255[[#This Row],[CUIT]]="","-",VLOOKUP(ventas_b_mes1255[[#This Row],[CUIT]],Lista_CUIT[#All],2,0)),"CUIT NO CARGADO")</f>
        <v>-</v>
      </c>
      <c r="H1819" s="100">
        <f>ventas_b_mes1255[[#This Row],[TOTAL]]/1.21</f>
        <v>0</v>
      </c>
      <c r="I1819" s="64">
        <f>ventas_b_mes1255[[#This Row],[IMPORTE NETO]]*0.21</f>
        <v>0</v>
      </c>
      <c r="J1819" s="141"/>
      <c r="K1819" s="141"/>
      <c r="L1819" s="141"/>
      <c r="M1819" s="59"/>
    </row>
    <row r="1820" spans="2:13">
      <c r="B1820" s="135"/>
      <c r="C1820" s="41"/>
      <c r="D1820" s="137"/>
      <c r="E1820" s="138"/>
      <c r="F1820" s="139"/>
      <c r="G1820" s="1" t="str">
        <f>IFERROR(IF(ventas_b_mes1255[[#This Row],[CUIT]]="","-",VLOOKUP(ventas_b_mes1255[[#This Row],[CUIT]],Lista_CUIT[#All],2,0)),"CUIT NO CARGADO")</f>
        <v>-</v>
      </c>
      <c r="H1820" s="100">
        <f>ventas_b_mes1255[[#This Row],[TOTAL]]/1.21</f>
        <v>0</v>
      </c>
      <c r="I1820" s="64">
        <f>ventas_b_mes1255[[#This Row],[IMPORTE NETO]]*0.21</f>
        <v>0</v>
      </c>
      <c r="J1820" s="141"/>
      <c r="K1820" s="141"/>
      <c r="L1820" s="141"/>
      <c r="M1820" s="59"/>
    </row>
    <row r="1821" spans="2:13">
      <c r="B1821" s="135"/>
      <c r="C1821" s="41"/>
      <c r="D1821" s="137"/>
      <c r="E1821" s="138"/>
      <c r="F1821" s="139"/>
      <c r="G1821" s="1" t="str">
        <f>IFERROR(IF(ventas_b_mes1255[[#This Row],[CUIT]]="","-",VLOOKUP(ventas_b_mes1255[[#This Row],[CUIT]],Lista_CUIT[#All],2,0)),"CUIT NO CARGADO")</f>
        <v>-</v>
      </c>
      <c r="H1821" s="100">
        <f>ventas_b_mes1255[[#This Row],[TOTAL]]/1.21</f>
        <v>0</v>
      </c>
      <c r="I1821" s="64">
        <f>ventas_b_mes1255[[#This Row],[IMPORTE NETO]]*0.21</f>
        <v>0</v>
      </c>
      <c r="J1821" s="141"/>
      <c r="K1821" s="141"/>
      <c r="L1821" s="141"/>
      <c r="M1821" s="59"/>
    </row>
    <row r="1822" spans="2:13">
      <c r="B1822" s="135"/>
      <c r="C1822" s="41"/>
      <c r="D1822" s="137"/>
      <c r="E1822" s="138"/>
      <c r="F1822" s="139"/>
      <c r="G1822" s="1" t="str">
        <f>IFERROR(IF(ventas_b_mes1255[[#This Row],[CUIT]]="","-",VLOOKUP(ventas_b_mes1255[[#This Row],[CUIT]],Lista_CUIT[#All],2,0)),"CUIT NO CARGADO")</f>
        <v>-</v>
      </c>
      <c r="H1822" s="100">
        <f>ventas_b_mes1255[[#This Row],[TOTAL]]/1.21</f>
        <v>0</v>
      </c>
      <c r="I1822" s="64">
        <f>ventas_b_mes1255[[#This Row],[IMPORTE NETO]]*0.21</f>
        <v>0</v>
      </c>
      <c r="J1822" s="141"/>
      <c r="K1822" s="141"/>
      <c r="L1822" s="141"/>
      <c r="M1822" s="59"/>
    </row>
    <row r="1823" spans="2:13">
      <c r="B1823" s="135"/>
      <c r="C1823" s="41"/>
      <c r="D1823" s="137"/>
      <c r="E1823" s="138"/>
      <c r="F1823" s="139"/>
      <c r="G1823" s="1" t="str">
        <f>IFERROR(IF(ventas_b_mes1255[[#This Row],[CUIT]]="","-",VLOOKUP(ventas_b_mes1255[[#This Row],[CUIT]],Lista_CUIT[#All],2,0)),"CUIT NO CARGADO")</f>
        <v>-</v>
      </c>
      <c r="H1823" s="100">
        <f>ventas_b_mes1255[[#This Row],[TOTAL]]/1.21</f>
        <v>0</v>
      </c>
      <c r="I1823" s="64">
        <f>ventas_b_mes1255[[#This Row],[IMPORTE NETO]]*0.21</f>
        <v>0</v>
      </c>
      <c r="J1823" s="141"/>
      <c r="K1823" s="141"/>
      <c r="L1823" s="141"/>
      <c r="M1823" s="59"/>
    </row>
    <row r="1824" spans="2:13">
      <c r="B1824" s="135"/>
      <c r="C1824" s="41"/>
      <c r="D1824" s="137"/>
      <c r="E1824" s="138"/>
      <c r="F1824" s="139"/>
      <c r="G1824" s="1" t="str">
        <f>IFERROR(IF(ventas_b_mes1255[[#This Row],[CUIT]]="","-",VLOOKUP(ventas_b_mes1255[[#This Row],[CUIT]],Lista_CUIT[#All],2,0)),"CUIT NO CARGADO")</f>
        <v>-</v>
      </c>
      <c r="H1824" s="100">
        <f>ventas_b_mes1255[[#This Row],[TOTAL]]/1.21</f>
        <v>0</v>
      </c>
      <c r="I1824" s="64">
        <f>ventas_b_mes1255[[#This Row],[IMPORTE NETO]]*0.21</f>
        <v>0</v>
      </c>
      <c r="J1824" s="141"/>
      <c r="K1824" s="141"/>
      <c r="L1824" s="141"/>
      <c r="M1824" s="59"/>
    </row>
    <row r="1825" spans="2:13">
      <c r="B1825" s="135"/>
      <c r="C1825" s="41"/>
      <c r="D1825" s="137"/>
      <c r="E1825" s="138"/>
      <c r="F1825" s="139"/>
      <c r="G1825" s="1" t="str">
        <f>IFERROR(IF(ventas_b_mes1255[[#This Row],[CUIT]]="","-",VLOOKUP(ventas_b_mes1255[[#This Row],[CUIT]],Lista_CUIT[#All],2,0)),"CUIT NO CARGADO")</f>
        <v>-</v>
      </c>
      <c r="H1825" s="100">
        <f>ventas_b_mes1255[[#This Row],[TOTAL]]/1.21</f>
        <v>0</v>
      </c>
      <c r="I1825" s="64">
        <f>ventas_b_mes1255[[#This Row],[IMPORTE NETO]]*0.21</f>
        <v>0</v>
      </c>
      <c r="J1825" s="141"/>
      <c r="K1825" s="141"/>
      <c r="L1825" s="141"/>
      <c r="M1825" s="59"/>
    </row>
    <row r="1826" spans="2:13">
      <c r="B1826" s="135"/>
      <c r="C1826" s="41"/>
      <c r="D1826" s="137"/>
      <c r="E1826" s="138"/>
      <c r="F1826" s="139"/>
      <c r="G1826" s="1" t="str">
        <f>IFERROR(IF(ventas_b_mes1255[[#This Row],[CUIT]]="","-",VLOOKUP(ventas_b_mes1255[[#This Row],[CUIT]],Lista_CUIT[#All],2,0)),"CUIT NO CARGADO")</f>
        <v>-</v>
      </c>
      <c r="H1826" s="100">
        <f>ventas_b_mes1255[[#This Row],[TOTAL]]/1.21</f>
        <v>0</v>
      </c>
      <c r="I1826" s="64">
        <f>ventas_b_mes1255[[#This Row],[IMPORTE NETO]]*0.21</f>
        <v>0</v>
      </c>
      <c r="J1826" s="141"/>
      <c r="K1826" s="141"/>
      <c r="L1826" s="141"/>
      <c r="M1826" s="59"/>
    </row>
    <row r="1827" spans="2:13">
      <c r="B1827" s="135"/>
      <c r="C1827" s="41"/>
      <c r="D1827" s="137"/>
      <c r="E1827" s="138"/>
      <c r="F1827" s="139"/>
      <c r="G1827" s="1" t="str">
        <f>IFERROR(IF(ventas_b_mes1255[[#This Row],[CUIT]]="","-",VLOOKUP(ventas_b_mes1255[[#This Row],[CUIT]],Lista_CUIT[#All],2,0)),"CUIT NO CARGADO")</f>
        <v>-</v>
      </c>
      <c r="H1827" s="100">
        <f>ventas_b_mes1255[[#This Row],[TOTAL]]/1.21</f>
        <v>0</v>
      </c>
      <c r="I1827" s="64">
        <f>ventas_b_mes1255[[#This Row],[IMPORTE NETO]]*0.21</f>
        <v>0</v>
      </c>
      <c r="J1827" s="141"/>
      <c r="K1827" s="141"/>
      <c r="L1827" s="141"/>
      <c r="M1827" s="59"/>
    </row>
    <row r="1828" spans="2:13">
      <c r="B1828" s="135"/>
      <c r="C1828" s="41"/>
      <c r="D1828" s="137"/>
      <c r="E1828" s="138"/>
      <c r="F1828" s="139"/>
      <c r="G1828" s="1" t="str">
        <f>IFERROR(IF(ventas_b_mes1255[[#This Row],[CUIT]]="","-",VLOOKUP(ventas_b_mes1255[[#This Row],[CUIT]],Lista_CUIT[#All],2,0)),"CUIT NO CARGADO")</f>
        <v>-</v>
      </c>
      <c r="H1828" s="100">
        <f>ventas_b_mes1255[[#This Row],[TOTAL]]/1.21</f>
        <v>0</v>
      </c>
      <c r="I1828" s="64">
        <f>ventas_b_mes1255[[#This Row],[IMPORTE NETO]]*0.21</f>
        <v>0</v>
      </c>
      <c r="J1828" s="141"/>
      <c r="K1828" s="141"/>
      <c r="L1828" s="141"/>
      <c r="M1828" s="59"/>
    </row>
    <row r="1829" spans="2:13">
      <c r="B1829" s="135"/>
      <c r="C1829" s="41"/>
      <c r="D1829" s="137"/>
      <c r="E1829" s="138"/>
      <c r="F1829" s="139"/>
      <c r="G1829" s="1" t="str">
        <f>IFERROR(IF(ventas_b_mes1255[[#This Row],[CUIT]]="","-",VLOOKUP(ventas_b_mes1255[[#This Row],[CUIT]],Lista_CUIT[#All],2,0)),"CUIT NO CARGADO")</f>
        <v>-</v>
      </c>
      <c r="H1829" s="100">
        <f>ventas_b_mes1255[[#This Row],[TOTAL]]/1.21</f>
        <v>0</v>
      </c>
      <c r="I1829" s="64">
        <f>ventas_b_mes1255[[#This Row],[IMPORTE NETO]]*0.21</f>
        <v>0</v>
      </c>
      <c r="J1829" s="141"/>
      <c r="K1829" s="141"/>
      <c r="L1829" s="141"/>
      <c r="M1829" s="59"/>
    </row>
    <row r="1830" spans="2:13">
      <c r="B1830" s="135"/>
      <c r="C1830" s="41"/>
      <c r="D1830" s="137"/>
      <c r="E1830" s="138"/>
      <c r="F1830" s="139"/>
      <c r="G1830" s="1" t="str">
        <f>IFERROR(IF(ventas_b_mes1255[[#This Row],[CUIT]]="","-",VLOOKUP(ventas_b_mes1255[[#This Row],[CUIT]],Lista_CUIT[#All],2,0)),"CUIT NO CARGADO")</f>
        <v>-</v>
      </c>
      <c r="H1830" s="100">
        <f>ventas_b_mes1255[[#This Row],[TOTAL]]/1.21</f>
        <v>0</v>
      </c>
      <c r="I1830" s="64">
        <f>ventas_b_mes1255[[#This Row],[IMPORTE NETO]]*0.21</f>
        <v>0</v>
      </c>
      <c r="J1830" s="141"/>
      <c r="K1830" s="141"/>
      <c r="L1830" s="141"/>
      <c r="M1830" s="59"/>
    </row>
    <row r="1831" spans="2:13">
      <c r="B1831" s="135"/>
      <c r="C1831" s="41"/>
      <c r="D1831" s="137"/>
      <c r="E1831" s="138"/>
      <c r="F1831" s="139"/>
      <c r="G1831" s="1" t="str">
        <f>IFERROR(IF(ventas_b_mes1255[[#This Row],[CUIT]]="","-",VLOOKUP(ventas_b_mes1255[[#This Row],[CUIT]],Lista_CUIT[#All],2,0)),"CUIT NO CARGADO")</f>
        <v>-</v>
      </c>
      <c r="H1831" s="100">
        <f>ventas_b_mes1255[[#This Row],[TOTAL]]/1.21</f>
        <v>0</v>
      </c>
      <c r="I1831" s="64">
        <f>ventas_b_mes1255[[#This Row],[IMPORTE NETO]]*0.21</f>
        <v>0</v>
      </c>
      <c r="J1831" s="141"/>
      <c r="K1831" s="141"/>
      <c r="L1831" s="141"/>
      <c r="M1831" s="59"/>
    </row>
    <row r="1832" spans="2:13">
      <c r="B1832" s="135"/>
      <c r="C1832" s="41"/>
      <c r="D1832" s="137"/>
      <c r="E1832" s="138"/>
      <c r="F1832" s="139"/>
      <c r="G1832" s="1" t="str">
        <f>IFERROR(IF(ventas_b_mes1255[[#This Row],[CUIT]]="","-",VLOOKUP(ventas_b_mes1255[[#This Row],[CUIT]],Lista_CUIT[#All],2,0)),"CUIT NO CARGADO")</f>
        <v>-</v>
      </c>
      <c r="H1832" s="100">
        <f>ventas_b_mes1255[[#This Row],[TOTAL]]/1.21</f>
        <v>0</v>
      </c>
      <c r="I1832" s="64">
        <f>ventas_b_mes1255[[#This Row],[IMPORTE NETO]]*0.21</f>
        <v>0</v>
      </c>
      <c r="J1832" s="141"/>
      <c r="K1832" s="141"/>
      <c r="L1832" s="141"/>
      <c r="M1832" s="59"/>
    </row>
    <row r="1833" spans="2:13">
      <c r="B1833" s="135"/>
      <c r="C1833" s="41"/>
      <c r="D1833" s="137"/>
      <c r="E1833" s="138"/>
      <c r="F1833" s="139"/>
      <c r="G1833" s="1" t="str">
        <f>IFERROR(IF(ventas_b_mes1255[[#This Row],[CUIT]]="","-",VLOOKUP(ventas_b_mes1255[[#This Row],[CUIT]],Lista_CUIT[#All],2,0)),"CUIT NO CARGADO")</f>
        <v>-</v>
      </c>
      <c r="H1833" s="100">
        <f>ventas_b_mes1255[[#This Row],[TOTAL]]/1.21</f>
        <v>0</v>
      </c>
      <c r="I1833" s="64">
        <f>ventas_b_mes1255[[#This Row],[IMPORTE NETO]]*0.21</f>
        <v>0</v>
      </c>
      <c r="J1833" s="141"/>
      <c r="K1833" s="141"/>
      <c r="L1833" s="141"/>
      <c r="M1833" s="59"/>
    </row>
    <row r="1834" spans="2:13">
      <c r="B1834" s="135"/>
      <c r="C1834" s="41"/>
      <c r="D1834" s="137"/>
      <c r="E1834" s="138"/>
      <c r="F1834" s="139"/>
      <c r="G1834" s="1" t="str">
        <f>IFERROR(IF(ventas_b_mes1255[[#This Row],[CUIT]]="","-",VLOOKUP(ventas_b_mes1255[[#This Row],[CUIT]],Lista_CUIT[#All],2,0)),"CUIT NO CARGADO")</f>
        <v>-</v>
      </c>
      <c r="H1834" s="100">
        <f>ventas_b_mes1255[[#This Row],[TOTAL]]/1.21</f>
        <v>0</v>
      </c>
      <c r="I1834" s="64">
        <f>ventas_b_mes1255[[#This Row],[IMPORTE NETO]]*0.21</f>
        <v>0</v>
      </c>
      <c r="J1834" s="141"/>
      <c r="K1834" s="141"/>
      <c r="L1834" s="141"/>
      <c r="M1834" s="59"/>
    </row>
    <row r="1835" spans="2:13">
      <c r="B1835" s="135"/>
      <c r="C1835" s="41"/>
      <c r="D1835" s="137"/>
      <c r="E1835" s="138"/>
      <c r="F1835" s="139"/>
      <c r="G1835" s="1" t="str">
        <f>IFERROR(IF(ventas_b_mes1255[[#This Row],[CUIT]]="","-",VLOOKUP(ventas_b_mes1255[[#This Row],[CUIT]],Lista_CUIT[#All],2,0)),"CUIT NO CARGADO")</f>
        <v>-</v>
      </c>
      <c r="H1835" s="100">
        <f>ventas_b_mes1255[[#This Row],[TOTAL]]/1.21</f>
        <v>0</v>
      </c>
      <c r="I1835" s="64">
        <f>ventas_b_mes1255[[#This Row],[IMPORTE NETO]]*0.21</f>
        <v>0</v>
      </c>
      <c r="J1835" s="141"/>
      <c r="K1835" s="141"/>
      <c r="L1835" s="141"/>
      <c r="M1835" s="59"/>
    </row>
    <row r="1836" spans="2:13">
      <c r="B1836" s="135"/>
      <c r="C1836" s="41"/>
      <c r="D1836" s="137"/>
      <c r="E1836" s="138"/>
      <c r="F1836" s="139"/>
      <c r="G1836" s="1" t="str">
        <f>IFERROR(IF(ventas_b_mes1255[[#This Row],[CUIT]]="","-",VLOOKUP(ventas_b_mes1255[[#This Row],[CUIT]],Lista_CUIT[#All],2,0)),"CUIT NO CARGADO")</f>
        <v>-</v>
      </c>
      <c r="H1836" s="100">
        <f>ventas_b_mes1255[[#This Row],[TOTAL]]/1.21</f>
        <v>0</v>
      </c>
      <c r="I1836" s="64">
        <f>ventas_b_mes1255[[#This Row],[IMPORTE NETO]]*0.21</f>
        <v>0</v>
      </c>
      <c r="J1836" s="141"/>
      <c r="K1836" s="141"/>
      <c r="L1836" s="141"/>
      <c r="M1836" s="59"/>
    </row>
    <row r="1837" spans="2:13">
      <c r="B1837" s="135"/>
      <c r="C1837" s="41"/>
      <c r="D1837" s="137"/>
      <c r="E1837" s="138"/>
      <c r="F1837" s="139"/>
      <c r="G1837" s="1" t="str">
        <f>IFERROR(IF(ventas_b_mes1255[[#This Row],[CUIT]]="","-",VLOOKUP(ventas_b_mes1255[[#This Row],[CUIT]],Lista_CUIT[#All],2,0)),"CUIT NO CARGADO")</f>
        <v>-</v>
      </c>
      <c r="H1837" s="100">
        <f>ventas_b_mes1255[[#This Row],[TOTAL]]/1.21</f>
        <v>0</v>
      </c>
      <c r="I1837" s="64">
        <f>ventas_b_mes1255[[#This Row],[IMPORTE NETO]]*0.21</f>
        <v>0</v>
      </c>
      <c r="J1837" s="141"/>
      <c r="K1837" s="141"/>
      <c r="L1837" s="141"/>
      <c r="M1837" s="59"/>
    </row>
    <row r="1838" spans="2:13">
      <c r="B1838" s="135"/>
      <c r="C1838" s="41"/>
      <c r="D1838" s="137"/>
      <c r="E1838" s="138"/>
      <c r="F1838" s="139"/>
      <c r="G1838" s="1" t="str">
        <f>IFERROR(IF(ventas_b_mes1255[[#This Row],[CUIT]]="","-",VLOOKUP(ventas_b_mes1255[[#This Row],[CUIT]],Lista_CUIT[#All],2,0)),"CUIT NO CARGADO")</f>
        <v>-</v>
      </c>
      <c r="H1838" s="100">
        <f>ventas_b_mes1255[[#This Row],[TOTAL]]/1.21</f>
        <v>0</v>
      </c>
      <c r="I1838" s="64">
        <f>ventas_b_mes1255[[#This Row],[IMPORTE NETO]]*0.21</f>
        <v>0</v>
      </c>
      <c r="J1838" s="141"/>
      <c r="K1838" s="141"/>
      <c r="L1838" s="141"/>
      <c r="M1838" s="59"/>
    </row>
    <row r="1839" spans="2:13">
      <c r="B1839" s="135"/>
      <c r="C1839" s="41"/>
      <c r="D1839" s="137"/>
      <c r="E1839" s="138"/>
      <c r="F1839" s="139"/>
      <c r="G1839" s="1" t="str">
        <f>IFERROR(IF(ventas_b_mes1255[[#This Row],[CUIT]]="","-",VLOOKUP(ventas_b_mes1255[[#This Row],[CUIT]],Lista_CUIT[#All],2,0)),"CUIT NO CARGADO")</f>
        <v>-</v>
      </c>
      <c r="H1839" s="100">
        <f>ventas_b_mes1255[[#This Row],[TOTAL]]/1.21</f>
        <v>0</v>
      </c>
      <c r="I1839" s="64">
        <f>ventas_b_mes1255[[#This Row],[IMPORTE NETO]]*0.21</f>
        <v>0</v>
      </c>
      <c r="J1839" s="141"/>
      <c r="K1839" s="141"/>
      <c r="L1839" s="141"/>
      <c r="M1839" s="59"/>
    </row>
    <row r="1840" spans="2:13">
      <c r="B1840" s="135"/>
      <c r="C1840" s="41"/>
      <c r="D1840" s="137"/>
      <c r="E1840" s="138"/>
      <c r="F1840" s="139"/>
      <c r="G1840" s="1" t="str">
        <f>IFERROR(IF(ventas_b_mes1255[[#This Row],[CUIT]]="","-",VLOOKUP(ventas_b_mes1255[[#This Row],[CUIT]],Lista_CUIT[#All],2,0)),"CUIT NO CARGADO")</f>
        <v>-</v>
      </c>
      <c r="H1840" s="100">
        <f>ventas_b_mes1255[[#This Row],[TOTAL]]/1.21</f>
        <v>0</v>
      </c>
      <c r="I1840" s="64">
        <f>ventas_b_mes1255[[#This Row],[IMPORTE NETO]]*0.21</f>
        <v>0</v>
      </c>
      <c r="J1840" s="141"/>
      <c r="K1840" s="141"/>
      <c r="L1840" s="141"/>
      <c r="M1840" s="59"/>
    </row>
    <row r="1841" spans="2:13">
      <c r="B1841" s="135"/>
      <c r="C1841" s="41"/>
      <c r="D1841" s="137"/>
      <c r="E1841" s="138"/>
      <c r="F1841" s="139"/>
      <c r="G1841" s="1" t="str">
        <f>IFERROR(IF(ventas_b_mes1255[[#This Row],[CUIT]]="","-",VLOOKUP(ventas_b_mes1255[[#This Row],[CUIT]],Lista_CUIT[#All],2,0)),"CUIT NO CARGADO")</f>
        <v>-</v>
      </c>
      <c r="H1841" s="100">
        <f>ventas_b_mes1255[[#This Row],[TOTAL]]/1.21</f>
        <v>0</v>
      </c>
      <c r="I1841" s="64">
        <f>ventas_b_mes1255[[#This Row],[IMPORTE NETO]]*0.21</f>
        <v>0</v>
      </c>
      <c r="J1841" s="141"/>
      <c r="K1841" s="141"/>
      <c r="L1841" s="141"/>
      <c r="M1841" s="59"/>
    </row>
    <row r="1842" spans="2:13">
      <c r="B1842" s="135"/>
      <c r="C1842" s="41"/>
      <c r="D1842" s="137"/>
      <c r="E1842" s="138"/>
      <c r="F1842" s="139"/>
      <c r="G1842" s="1" t="str">
        <f>IFERROR(IF(ventas_b_mes1255[[#This Row],[CUIT]]="","-",VLOOKUP(ventas_b_mes1255[[#This Row],[CUIT]],Lista_CUIT[#All],2,0)),"CUIT NO CARGADO")</f>
        <v>-</v>
      </c>
      <c r="H1842" s="100">
        <f>ventas_b_mes1255[[#This Row],[TOTAL]]/1.21</f>
        <v>0</v>
      </c>
      <c r="I1842" s="64">
        <f>ventas_b_mes1255[[#This Row],[IMPORTE NETO]]*0.21</f>
        <v>0</v>
      </c>
      <c r="J1842" s="141"/>
      <c r="K1842" s="141"/>
      <c r="L1842" s="141"/>
      <c r="M1842" s="59"/>
    </row>
    <row r="1843" spans="2:13">
      <c r="B1843" s="135"/>
      <c r="C1843" s="41"/>
      <c r="D1843" s="137"/>
      <c r="E1843" s="138"/>
      <c r="F1843" s="139"/>
      <c r="G1843" s="1" t="str">
        <f>IFERROR(IF(ventas_b_mes1255[[#This Row],[CUIT]]="","-",VLOOKUP(ventas_b_mes1255[[#This Row],[CUIT]],Lista_CUIT[#All],2,0)),"CUIT NO CARGADO")</f>
        <v>-</v>
      </c>
      <c r="H1843" s="100">
        <f>ventas_b_mes1255[[#This Row],[TOTAL]]/1.21</f>
        <v>0</v>
      </c>
      <c r="I1843" s="64">
        <f>ventas_b_mes1255[[#This Row],[IMPORTE NETO]]*0.21</f>
        <v>0</v>
      </c>
      <c r="J1843" s="141"/>
      <c r="K1843" s="141"/>
      <c r="L1843" s="141"/>
      <c r="M1843" s="59"/>
    </row>
    <row r="1844" spans="2:13">
      <c r="B1844" s="135"/>
      <c r="C1844" s="41"/>
      <c r="D1844" s="137"/>
      <c r="E1844" s="138"/>
      <c r="F1844" s="139"/>
      <c r="G1844" s="1" t="str">
        <f>IFERROR(IF(ventas_b_mes1255[[#This Row],[CUIT]]="","-",VLOOKUP(ventas_b_mes1255[[#This Row],[CUIT]],Lista_CUIT[#All],2,0)),"CUIT NO CARGADO")</f>
        <v>-</v>
      </c>
      <c r="H1844" s="100">
        <f>ventas_b_mes1255[[#This Row],[TOTAL]]/1.21</f>
        <v>0</v>
      </c>
      <c r="I1844" s="64">
        <f>ventas_b_mes1255[[#This Row],[IMPORTE NETO]]*0.21</f>
        <v>0</v>
      </c>
      <c r="J1844" s="141"/>
      <c r="K1844" s="141"/>
      <c r="L1844" s="141"/>
      <c r="M1844" s="59"/>
    </row>
    <row r="1845" spans="2:13">
      <c r="B1845" s="135"/>
      <c r="C1845" s="41"/>
      <c r="D1845" s="137"/>
      <c r="E1845" s="138"/>
      <c r="F1845" s="139"/>
      <c r="G1845" s="1" t="str">
        <f>IFERROR(IF(ventas_b_mes1255[[#This Row],[CUIT]]="","-",VLOOKUP(ventas_b_mes1255[[#This Row],[CUIT]],Lista_CUIT[#All],2,0)),"CUIT NO CARGADO")</f>
        <v>-</v>
      </c>
      <c r="H1845" s="100">
        <f>ventas_b_mes1255[[#This Row],[TOTAL]]/1.21</f>
        <v>0</v>
      </c>
      <c r="I1845" s="64">
        <f>ventas_b_mes1255[[#This Row],[IMPORTE NETO]]*0.21</f>
        <v>0</v>
      </c>
      <c r="J1845" s="141"/>
      <c r="K1845" s="141"/>
      <c r="L1845" s="141"/>
      <c r="M1845" s="59"/>
    </row>
    <row r="1846" spans="2:13">
      <c r="B1846" s="135"/>
      <c r="C1846" s="41"/>
      <c r="D1846" s="137"/>
      <c r="E1846" s="138"/>
      <c r="F1846" s="139"/>
      <c r="G1846" s="1" t="str">
        <f>IFERROR(IF(ventas_b_mes1255[[#This Row],[CUIT]]="","-",VLOOKUP(ventas_b_mes1255[[#This Row],[CUIT]],Lista_CUIT[#All],2,0)),"CUIT NO CARGADO")</f>
        <v>-</v>
      </c>
      <c r="H1846" s="100">
        <f>ventas_b_mes1255[[#This Row],[TOTAL]]/1.21</f>
        <v>0</v>
      </c>
      <c r="I1846" s="64">
        <f>ventas_b_mes1255[[#This Row],[IMPORTE NETO]]*0.21</f>
        <v>0</v>
      </c>
      <c r="J1846" s="141"/>
      <c r="K1846" s="141"/>
      <c r="L1846" s="141"/>
      <c r="M1846" s="59"/>
    </row>
    <row r="1847" spans="2:13">
      <c r="B1847" s="135"/>
      <c r="C1847" s="41"/>
      <c r="D1847" s="137"/>
      <c r="E1847" s="138"/>
      <c r="F1847" s="139"/>
      <c r="G1847" s="1" t="str">
        <f>IFERROR(IF(ventas_b_mes1255[[#This Row],[CUIT]]="","-",VLOOKUP(ventas_b_mes1255[[#This Row],[CUIT]],Lista_CUIT[#All],2,0)),"CUIT NO CARGADO")</f>
        <v>-</v>
      </c>
      <c r="H1847" s="100">
        <f>ventas_b_mes1255[[#This Row],[TOTAL]]/1.21</f>
        <v>0</v>
      </c>
      <c r="I1847" s="64">
        <f>ventas_b_mes1255[[#This Row],[IMPORTE NETO]]*0.21</f>
        <v>0</v>
      </c>
      <c r="J1847" s="141"/>
      <c r="K1847" s="141"/>
      <c r="L1847" s="141"/>
      <c r="M1847" s="59"/>
    </row>
    <row r="1848" spans="2:13">
      <c r="B1848" s="135"/>
      <c r="C1848" s="41"/>
      <c r="D1848" s="137"/>
      <c r="E1848" s="138"/>
      <c r="F1848" s="139"/>
      <c r="G1848" s="1" t="str">
        <f>IFERROR(IF(ventas_b_mes1255[[#This Row],[CUIT]]="","-",VLOOKUP(ventas_b_mes1255[[#This Row],[CUIT]],Lista_CUIT[#All],2,0)),"CUIT NO CARGADO")</f>
        <v>-</v>
      </c>
      <c r="H1848" s="100">
        <f>ventas_b_mes1255[[#This Row],[TOTAL]]/1.21</f>
        <v>0</v>
      </c>
      <c r="I1848" s="64">
        <f>ventas_b_mes1255[[#This Row],[IMPORTE NETO]]*0.21</f>
        <v>0</v>
      </c>
      <c r="J1848" s="141"/>
      <c r="K1848" s="141"/>
      <c r="L1848" s="141"/>
      <c r="M1848" s="59"/>
    </row>
    <row r="1849" spans="2:13">
      <c r="B1849" s="135"/>
      <c r="C1849" s="41"/>
      <c r="D1849" s="137"/>
      <c r="E1849" s="138"/>
      <c r="F1849" s="139"/>
      <c r="G1849" s="1" t="str">
        <f>IFERROR(IF(ventas_b_mes1255[[#This Row],[CUIT]]="","-",VLOOKUP(ventas_b_mes1255[[#This Row],[CUIT]],Lista_CUIT[#All],2,0)),"CUIT NO CARGADO")</f>
        <v>-</v>
      </c>
      <c r="H1849" s="100">
        <f>ventas_b_mes1255[[#This Row],[TOTAL]]/1.21</f>
        <v>0</v>
      </c>
      <c r="I1849" s="64">
        <f>ventas_b_mes1255[[#This Row],[IMPORTE NETO]]*0.21</f>
        <v>0</v>
      </c>
      <c r="J1849" s="141"/>
      <c r="K1849" s="141"/>
      <c r="L1849" s="141"/>
      <c r="M1849" s="59"/>
    </row>
    <row r="1850" spans="2:13">
      <c r="B1850" s="135"/>
      <c r="C1850" s="41"/>
      <c r="D1850" s="137"/>
      <c r="E1850" s="138"/>
      <c r="F1850" s="139"/>
      <c r="G1850" s="1" t="str">
        <f>IFERROR(IF(ventas_b_mes1255[[#This Row],[CUIT]]="","-",VLOOKUP(ventas_b_mes1255[[#This Row],[CUIT]],Lista_CUIT[#All],2,0)),"CUIT NO CARGADO")</f>
        <v>-</v>
      </c>
      <c r="H1850" s="100">
        <f>ventas_b_mes1255[[#This Row],[TOTAL]]/1.21</f>
        <v>0</v>
      </c>
      <c r="I1850" s="64">
        <f>ventas_b_mes1255[[#This Row],[IMPORTE NETO]]*0.21</f>
        <v>0</v>
      </c>
      <c r="J1850" s="141"/>
      <c r="K1850" s="141"/>
      <c r="L1850" s="141"/>
      <c r="M1850" s="59"/>
    </row>
    <row r="1851" spans="2:13">
      <c r="B1851" s="135"/>
      <c r="C1851" s="41"/>
      <c r="D1851" s="137"/>
      <c r="E1851" s="138"/>
      <c r="F1851" s="139"/>
      <c r="G1851" s="1" t="str">
        <f>IFERROR(IF(ventas_b_mes1255[[#This Row],[CUIT]]="","-",VLOOKUP(ventas_b_mes1255[[#This Row],[CUIT]],Lista_CUIT[#All],2,0)),"CUIT NO CARGADO")</f>
        <v>-</v>
      </c>
      <c r="H1851" s="100">
        <f>ventas_b_mes1255[[#This Row],[TOTAL]]/1.21</f>
        <v>0</v>
      </c>
      <c r="I1851" s="64">
        <f>ventas_b_mes1255[[#This Row],[IMPORTE NETO]]*0.21</f>
        <v>0</v>
      </c>
      <c r="J1851" s="141"/>
      <c r="K1851" s="141"/>
      <c r="L1851" s="141"/>
      <c r="M1851" s="59"/>
    </row>
    <row r="1852" spans="2:13">
      <c r="B1852" s="135"/>
      <c r="C1852" s="41"/>
      <c r="D1852" s="137"/>
      <c r="E1852" s="138"/>
      <c r="F1852" s="139"/>
      <c r="G1852" s="1" t="str">
        <f>IFERROR(IF(ventas_b_mes1255[[#This Row],[CUIT]]="","-",VLOOKUP(ventas_b_mes1255[[#This Row],[CUIT]],Lista_CUIT[#All],2,0)),"CUIT NO CARGADO")</f>
        <v>-</v>
      </c>
      <c r="H1852" s="100">
        <f>ventas_b_mes1255[[#This Row],[TOTAL]]/1.21</f>
        <v>0</v>
      </c>
      <c r="I1852" s="64">
        <f>ventas_b_mes1255[[#This Row],[IMPORTE NETO]]*0.21</f>
        <v>0</v>
      </c>
      <c r="J1852" s="141"/>
      <c r="K1852" s="141"/>
      <c r="L1852" s="141"/>
      <c r="M1852" s="59"/>
    </row>
    <row r="1853" spans="2:13">
      <c r="B1853" s="135"/>
      <c r="C1853" s="41"/>
      <c r="D1853" s="137"/>
      <c r="E1853" s="138"/>
      <c r="F1853" s="139"/>
      <c r="G1853" s="1" t="str">
        <f>IFERROR(IF(ventas_b_mes1255[[#This Row],[CUIT]]="","-",VLOOKUP(ventas_b_mes1255[[#This Row],[CUIT]],Lista_CUIT[#All],2,0)),"CUIT NO CARGADO")</f>
        <v>-</v>
      </c>
      <c r="H1853" s="100">
        <f>ventas_b_mes1255[[#This Row],[TOTAL]]/1.21</f>
        <v>0</v>
      </c>
      <c r="I1853" s="64">
        <f>ventas_b_mes1255[[#This Row],[IMPORTE NETO]]*0.21</f>
        <v>0</v>
      </c>
      <c r="J1853" s="141"/>
      <c r="K1853" s="141"/>
      <c r="L1853" s="141"/>
      <c r="M1853" s="59"/>
    </row>
    <row r="1854" spans="2:13">
      <c r="B1854" s="135"/>
      <c r="C1854" s="41"/>
      <c r="D1854" s="137"/>
      <c r="E1854" s="138"/>
      <c r="F1854" s="139"/>
      <c r="G1854" s="1" t="str">
        <f>IFERROR(IF(ventas_b_mes1255[[#This Row],[CUIT]]="","-",VLOOKUP(ventas_b_mes1255[[#This Row],[CUIT]],Lista_CUIT[#All],2,0)),"CUIT NO CARGADO")</f>
        <v>-</v>
      </c>
      <c r="H1854" s="100">
        <f>ventas_b_mes1255[[#This Row],[TOTAL]]/1.21</f>
        <v>0</v>
      </c>
      <c r="I1854" s="64">
        <f>ventas_b_mes1255[[#This Row],[IMPORTE NETO]]*0.21</f>
        <v>0</v>
      </c>
      <c r="J1854" s="141"/>
      <c r="K1854" s="141"/>
      <c r="L1854" s="141"/>
      <c r="M1854" s="59"/>
    </row>
    <row r="1855" spans="2:13">
      <c r="B1855" s="135"/>
      <c r="C1855" s="41"/>
      <c r="D1855" s="137"/>
      <c r="E1855" s="138"/>
      <c r="F1855" s="139"/>
      <c r="G1855" s="1" t="str">
        <f>IFERROR(IF(ventas_b_mes1255[[#This Row],[CUIT]]="","-",VLOOKUP(ventas_b_mes1255[[#This Row],[CUIT]],Lista_CUIT[#All],2,0)),"CUIT NO CARGADO")</f>
        <v>-</v>
      </c>
      <c r="H1855" s="100">
        <f>ventas_b_mes1255[[#This Row],[TOTAL]]/1.21</f>
        <v>0</v>
      </c>
      <c r="I1855" s="64">
        <f>ventas_b_mes1255[[#This Row],[IMPORTE NETO]]*0.21</f>
        <v>0</v>
      </c>
      <c r="J1855" s="141"/>
      <c r="K1855" s="141"/>
      <c r="L1855" s="141"/>
      <c r="M1855" s="59"/>
    </row>
    <row r="1856" spans="2:13">
      <c r="B1856" s="135"/>
      <c r="C1856" s="41"/>
      <c r="D1856" s="137"/>
      <c r="E1856" s="138"/>
      <c r="F1856" s="139"/>
      <c r="G1856" s="1" t="str">
        <f>IFERROR(IF(ventas_b_mes1255[[#This Row],[CUIT]]="","-",VLOOKUP(ventas_b_mes1255[[#This Row],[CUIT]],Lista_CUIT[#All],2,0)),"CUIT NO CARGADO")</f>
        <v>-</v>
      </c>
      <c r="H1856" s="100">
        <f>ventas_b_mes1255[[#This Row],[TOTAL]]/1.21</f>
        <v>0</v>
      </c>
      <c r="I1856" s="64">
        <f>ventas_b_mes1255[[#This Row],[IMPORTE NETO]]*0.21</f>
        <v>0</v>
      </c>
      <c r="J1856" s="141"/>
      <c r="K1856" s="141"/>
      <c r="L1856" s="141"/>
      <c r="M1856" s="59"/>
    </row>
    <row r="1857" spans="2:13">
      <c r="B1857" s="135"/>
      <c r="C1857" s="41"/>
      <c r="D1857" s="137"/>
      <c r="E1857" s="138"/>
      <c r="F1857" s="139"/>
      <c r="G1857" s="1" t="str">
        <f>IFERROR(IF(ventas_b_mes1255[[#This Row],[CUIT]]="","-",VLOOKUP(ventas_b_mes1255[[#This Row],[CUIT]],Lista_CUIT[#All],2,0)),"CUIT NO CARGADO")</f>
        <v>-</v>
      </c>
      <c r="H1857" s="100">
        <f>ventas_b_mes1255[[#This Row],[TOTAL]]/1.21</f>
        <v>0</v>
      </c>
      <c r="I1857" s="64">
        <f>ventas_b_mes1255[[#This Row],[IMPORTE NETO]]*0.21</f>
        <v>0</v>
      </c>
      <c r="J1857" s="141"/>
      <c r="K1857" s="141"/>
      <c r="L1857" s="141"/>
      <c r="M1857" s="59"/>
    </row>
    <row r="1858" spans="2:13">
      <c r="B1858" s="135"/>
      <c r="C1858" s="41"/>
      <c r="D1858" s="137"/>
      <c r="E1858" s="138"/>
      <c r="F1858" s="139"/>
      <c r="G1858" s="1" t="str">
        <f>IFERROR(IF(ventas_b_mes1255[[#This Row],[CUIT]]="","-",VLOOKUP(ventas_b_mes1255[[#This Row],[CUIT]],Lista_CUIT[#All],2,0)),"CUIT NO CARGADO")</f>
        <v>-</v>
      </c>
      <c r="H1858" s="100">
        <f>ventas_b_mes1255[[#This Row],[TOTAL]]/1.21</f>
        <v>0</v>
      </c>
      <c r="I1858" s="64">
        <f>ventas_b_mes1255[[#This Row],[IMPORTE NETO]]*0.21</f>
        <v>0</v>
      </c>
      <c r="J1858" s="141"/>
      <c r="K1858" s="141"/>
      <c r="L1858" s="141"/>
      <c r="M1858" s="59"/>
    </row>
    <row r="1859" spans="2:13">
      <c r="B1859" s="135"/>
      <c r="C1859" s="41"/>
      <c r="D1859" s="137"/>
      <c r="E1859" s="138"/>
      <c r="F1859" s="139"/>
      <c r="G1859" s="1" t="str">
        <f>IFERROR(IF(ventas_b_mes1255[[#This Row],[CUIT]]="","-",VLOOKUP(ventas_b_mes1255[[#This Row],[CUIT]],Lista_CUIT[#All],2,0)),"CUIT NO CARGADO")</f>
        <v>-</v>
      </c>
      <c r="H1859" s="100">
        <f>ventas_b_mes1255[[#This Row],[TOTAL]]/1.21</f>
        <v>0</v>
      </c>
      <c r="I1859" s="64">
        <f>ventas_b_mes1255[[#This Row],[IMPORTE NETO]]*0.21</f>
        <v>0</v>
      </c>
      <c r="J1859" s="141"/>
      <c r="K1859" s="141"/>
      <c r="L1859" s="141"/>
      <c r="M1859" s="59"/>
    </row>
    <row r="1860" spans="2:13">
      <c r="B1860" s="135"/>
      <c r="C1860" s="41"/>
      <c r="D1860" s="137"/>
      <c r="E1860" s="138"/>
      <c r="F1860" s="139"/>
      <c r="G1860" s="1" t="str">
        <f>IFERROR(IF(ventas_b_mes1255[[#This Row],[CUIT]]="","-",VLOOKUP(ventas_b_mes1255[[#This Row],[CUIT]],Lista_CUIT[#All],2,0)),"CUIT NO CARGADO")</f>
        <v>-</v>
      </c>
      <c r="H1860" s="100">
        <f>ventas_b_mes1255[[#This Row],[TOTAL]]/1.21</f>
        <v>0</v>
      </c>
      <c r="I1860" s="64">
        <f>ventas_b_mes1255[[#This Row],[IMPORTE NETO]]*0.21</f>
        <v>0</v>
      </c>
      <c r="J1860" s="141"/>
      <c r="K1860" s="141"/>
      <c r="L1860" s="141"/>
      <c r="M1860" s="59"/>
    </row>
    <row r="1861" spans="2:13">
      <c r="B1861" s="135"/>
      <c r="C1861" s="41"/>
      <c r="D1861" s="137"/>
      <c r="E1861" s="138"/>
      <c r="F1861" s="139"/>
      <c r="G1861" s="1" t="str">
        <f>IFERROR(IF(ventas_b_mes1255[[#This Row],[CUIT]]="","-",VLOOKUP(ventas_b_mes1255[[#This Row],[CUIT]],Lista_CUIT[#All],2,0)),"CUIT NO CARGADO")</f>
        <v>-</v>
      </c>
      <c r="H1861" s="100">
        <f>ventas_b_mes1255[[#This Row],[TOTAL]]/1.21</f>
        <v>0</v>
      </c>
      <c r="I1861" s="64">
        <f>ventas_b_mes1255[[#This Row],[IMPORTE NETO]]*0.21</f>
        <v>0</v>
      </c>
      <c r="J1861" s="141"/>
      <c r="K1861" s="141"/>
      <c r="L1861" s="141"/>
      <c r="M1861" s="59"/>
    </row>
    <row r="1862" spans="2:13">
      <c r="B1862" s="135"/>
      <c r="C1862" s="41"/>
      <c r="D1862" s="137"/>
      <c r="E1862" s="138"/>
      <c r="F1862" s="139"/>
      <c r="G1862" s="1" t="str">
        <f>IFERROR(IF(ventas_b_mes1255[[#This Row],[CUIT]]="","-",VLOOKUP(ventas_b_mes1255[[#This Row],[CUIT]],Lista_CUIT[#All],2,0)),"CUIT NO CARGADO")</f>
        <v>-</v>
      </c>
      <c r="H1862" s="100">
        <f>ventas_b_mes1255[[#This Row],[TOTAL]]/1.21</f>
        <v>0</v>
      </c>
      <c r="I1862" s="64">
        <f>ventas_b_mes1255[[#This Row],[IMPORTE NETO]]*0.21</f>
        <v>0</v>
      </c>
      <c r="J1862" s="141"/>
      <c r="K1862" s="141"/>
      <c r="L1862" s="141"/>
      <c r="M1862" s="59"/>
    </row>
    <row r="1863" spans="2:13">
      <c r="B1863" s="135"/>
      <c r="C1863" s="41"/>
      <c r="D1863" s="137"/>
      <c r="E1863" s="138"/>
      <c r="F1863" s="139"/>
      <c r="G1863" s="1" t="str">
        <f>IFERROR(IF(ventas_b_mes1255[[#This Row],[CUIT]]="","-",VLOOKUP(ventas_b_mes1255[[#This Row],[CUIT]],Lista_CUIT[#All],2,0)),"CUIT NO CARGADO")</f>
        <v>-</v>
      </c>
      <c r="H1863" s="100">
        <f>ventas_b_mes1255[[#This Row],[TOTAL]]/1.21</f>
        <v>0</v>
      </c>
      <c r="I1863" s="64">
        <f>ventas_b_mes1255[[#This Row],[IMPORTE NETO]]*0.21</f>
        <v>0</v>
      </c>
      <c r="J1863" s="141"/>
      <c r="K1863" s="141"/>
      <c r="L1863" s="141"/>
      <c r="M1863" s="59"/>
    </row>
    <row r="1864" spans="2:13">
      <c r="B1864" s="135"/>
      <c r="C1864" s="41"/>
      <c r="D1864" s="137"/>
      <c r="E1864" s="138"/>
      <c r="F1864" s="139"/>
      <c r="G1864" s="1" t="str">
        <f>IFERROR(IF(ventas_b_mes1255[[#This Row],[CUIT]]="","-",VLOOKUP(ventas_b_mes1255[[#This Row],[CUIT]],Lista_CUIT[#All],2,0)),"CUIT NO CARGADO")</f>
        <v>-</v>
      </c>
      <c r="H1864" s="100">
        <f>ventas_b_mes1255[[#This Row],[TOTAL]]/1.21</f>
        <v>0</v>
      </c>
      <c r="I1864" s="64">
        <f>ventas_b_mes1255[[#This Row],[IMPORTE NETO]]*0.21</f>
        <v>0</v>
      </c>
      <c r="J1864" s="141"/>
      <c r="K1864" s="141"/>
      <c r="L1864" s="141"/>
      <c r="M1864" s="59"/>
    </row>
    <row r="1865" spans="2:13">
      <c r="B1865" s="135"/>
      <c r="C1865" s="41"/>
      <c r="D1865" s="137"/>
      <c r="E1865" s="138"/>
      <c r="F1865" s="139"/>
      <c r="G1865" s="1" t="str">
        <f>IFERROR(IF(ventas_b_mes1255[[#This Row],[CUIT]]="","-",VLOOKUP(ventas_b_mes1255[[#This Row],[CUIT]],Lista_CUIT[#All],2,0)),"CUIT NO CARGADO")</f>
        <v>-</v>
      </c>
      <c r="H1865" s="100">
        <f>ventas_b_mes1255[[#This Row],[TOTAL]]/1.21</f>
        <v>0</v>
      </c>
      <c r="I1865" s="64">
        <f>ventas_b_mes1255[[#This Row],[IMPORTE NETO]]*0.21</f>
        <v>0</v>
      </c>
      <c r="J1865" s="141"/>
      <c r="K1865" s="141"/>
      <c r="L1865" s="141"/>
      <c r="M1865" s="59"/>
    </row>
    <row r="1866" spans="2:13">
      <c r="B1866" s="135"/>
      <c r="C1866" s="41"/>
      <c r="D1866" s="137"/>
      <c r="E1866" s="138"/>
      <c r="F1866" s="139"/>
      <c r="G1866" s="1" t="str">
        <f>IFERROR(IF(ventas_b_mes1255[[#This Row],[CUIT]]="","-",VLOOKUP(ventas_b_mes1255[[#This Row],[CUIT]],Lista_CUIT[#All],2,0)),"CUIT NO CARGADO")</f>
        <v>-</v>
      </c>
      <c r="H1866" s="100">
        <f>ventas_b_mes1255[[#This Row],[TOTAL]]/1.21</f>
        <v>0</v>
      </c>
      <c r="I1866" s="64">
        <f>ventas_b_mes1255[[#This Row],[IMPORTE NETO]]*0.21</f>
        <v>0</v>
      </c>
      <c r="J1866" s="141"/>
      <c r="K1866" s="141"/>
      <c r="L1866" s="141"/>
      <c r="M1866" s="59"/>
    </row>
    <row r="1867" spans="2:13">
      <c r="B1867" s="135"/>
      <c r="C1867" s="41"/>
      <c r="D1867" s="137"/>
      <c r="E1867" s="138"/>
      <c r="F1867" s="139"/>
      <c r="G1867" s="1" t="str">
        <f>IFERROR(IF(ventas_b_mes1255[[#This Row],[CUIT]]="","-",VLOOKUP(ventas_b_mes1255[[#This Row],[CUIT]],Lista_CUIT[#All],2,0)),"CUIT NO CARGADO")</f>
        <v>-</v>
      </c>
      <c r="H1867" s="100">
        <f>ventas_b_mes1255[[#This Row],[TOTAL]]/1.21</f>
        <v>0</v>
      </c>
      <c r="I1867" s="64">
        <f>ventas_b_mes1255[[#This Row],[IMPORTE NETO]]*0.21</f>
        <v>0</v>
      </c>
      <c r="J1867" s="141"/>
      <c r="K1867" s="141"/>
      <c r="L1867" s="141"/>
      <c r="M1867" s="59"/>
    </row>
    <row r="1868" spans="2:13">
      <c r="B1868" s="135"/>
      <c r="C1868" s="41"/>
      <c r="D1868" s="137"/>
      <c r="E1868" s="138"/>
      <c r="F1868" s="139"/>
      <c r="G1868" s="1" t="str">
        <f>IFERROR(IF(ventas_b_mes1255[[#This Row],[CUIT]]="","-",VLOOKUP(ventas_b_mes1255[[#This Row],[CUIT]],Lista_CUIT[#All],2,0)),"CUIT NO CARGADO")</f>
        <v>-</v>
      </c>
      <c r="H1868" s="100">
        <f>ventas_b_mes1255[[#This Row],[TOTAL]]/1.21</f>
        <v>0</v>
      </c>
      <c r="I1868" s="64">
        <f>ventas_b_mes1255[[#This Row],[IMPORTE NETO]]*0.21</f>
        <v>0</v>
      </c>
      <c r="J1868" s="141"/>
      <c r="K1868" s="141"/>
      <c r="L1868" s="141"/>
      <c r="M1868" s="59"/>
    </row>
    <row r="1869" spans="2:13">
      <c r="B1869" s="135"/>
      <c r="C1869" s="41"/>
      <c r="D1869" s="137"/>
      <c r="E1869" s="138"/>
      <c r="F1869" s="139"/>
      <c r="G1869" s="1" t="str">
        <f>IFERROR(IF(ventas_b_mes1255[[#This Row],[CUIT]]="","-",VLOOKUP(ventas_b_mes1255[[#This Row],[CUIT]],Lista_CUIT[#All],2,0)),"CUIT NO CARGADO")</f>
        <v>-</v>
      </c>
      <c r="H1869" s="100">
        <f>ventas_b_mes1255[[#This Row],[TOTAL]]/1.21</f>
        <v>0</v>
      </c>
      <c r="I1869" s="64">
        <f>ventas_b_mes1255[[#This Row],[IMPORTE NETO]]*0.21</f>
        <v>0</v>
      </c>
      <c r="J1869" s="141"/>
      <c r="K1869" s="141"/>
      <c r="L1869" s="141"/>
      <c r="M1869" s="59"/>
    </row>
    <row r="1870" spans="2:13">
      <c r="B1870" s="135"/>
      <c r="C1870" s="41"/>
      <c r="D1870" s="137"/>
      <c r="E1870" s="138"/>
      <c r="F1870" s="139"/>
      <c r="G1870" s="1" t="str">
        <f>IFERROR(IF(ventas_b_mes1255[[#This Row],[CUIT]]="","-",VLOOKUP(ventas_b_mes1255[[#This Row],[CUIT]],Lista_CUIT[#All],2,0)),"CUIT NO CARGADO")</f>
        <v>-</v>
      </c>
      <c r="H1870" s="100">
        <f>ventas_b_mes1255[[#This Row],[TOTAL]]/1.21</f>
        <v>0</v>
      </c>
      <c r="I1870" s="64">
        <f>ventas_b_mes1255[[#This Row],[IMPORTE NETO]]*0.21</f>
        <v>0</v>
      </c>
      <c r="J1870" s="141"/>
      <c r="K1870" s="141"/>
      <c r="L1870" s="141"/>
      <c r="M1870" s="59"/>
    </row>
    <row r="1871" spans="2:13">
      <c r="B1871" s="135"/>
      <c r="C1871" s="41"/>
      <c r="D1871" s="137"/>
      <c r="E1871" s="138"/>
      <c r="F1871" s="139"/>
      <c r="G1871" s="1" t="str">
        <f>IFERROR(IF(ventas_b_mes1255[[#This Row],[CUIT]]="","-",VLOOKUP(ventas_b_mes1255[[#This Row],[CUIT]],Lista_CUIT[#All],2,0)),"CUIT NO CARGADO")</f>
        <v>-</v>
      </c>
      <c r="H1871" s="100">
        <f>ventas_b_mes1255[[#This Row],[TOTAL]]/1.21</f>
        <v>0</v>
      </c>
      <c r="I1871" s="64">
        <f>ventas_b_mes1255[[#This Row],[IMPORTE NETO]]*0.21</f>
        <v>0</v>
      </c>
      <c r="J1871" s="141"/>
      <c r="K1871" s="141"/>
      <c r="L1871" s="141"/>
      <c r="M1871" s="59"/>
    </row>
    <row r="1872" spans="2:13">
      <c r="B1872" s="135"/>
      <c r="C1872" s="41"/>
      <c r="D1872" s="137"/>
      <c r="E1872" s="138"/>
      <c r="F1872" s="139"/>
      <c r="G1872" s="1" t="str">
        <f>IFERROR(IF(ventas_b_mes1255[[#This Row],[CUIT]]="","-",VLOOKUP(ventas_b_mes1255[[#This Row],[CUIT]],Lista_CUIT[#All],2,0)),"CUIT NO CARGADO")</f>
        <v>-</v>
      </c>
      <c r="H1872" s="100">
        <f>ventas_b_mes1255[[#This Row],[TOTAL]]/1.21</f>
        <v>0</v>
      </c>
      <c r="I1872" s="64">
        <f>ventas_b_mes1255[[#This Row],[IMPORTE NETO]]*0.21</f>
        <v>0</v>
      </c>
      <c r="J1872" s="141"/>
      <c r="K1872" s="141"/>
      <c r="L1872" s="141"/>
      <c r="M1872" s="59"/>
    </row>
    <row r="1873" spans="2:13">
      <c r="B1873" s="135"/>
      <c r="C1873" s="41"/>
      <c r="D1873" s="137"/>
      <c r="E1873" s="138"/>
      <c r="F1873" s="139"/>
      <c r="G1873" s="1" t="str">
        <f>IFERROR(IF(ventas_b_mes1255[[#This Row],[CUIT]]="","-",VLOOKUP(ventas_b_mes1255[[#This Row],[CUIT]],Lista_CUIT[#All],2,0)),"CUIT NO CARGADO")</f>
        <v>-</v>
      </c>
      <c r="H1873" s="100">
        <f>ventas_b_mes1255[[#This Row],[TOTAL]]/1.21</f>
        <v>0</v>
      </c>
      <c r="I1873" s="64">
        <f>ventas_b_mes1255[[#This Row],[IMPORTE NETO]]*0.21</f>
        <v>0</v>
      </c>
      <c r="J1873" s="141"/>
      <c r="K1873" s="141"/>
      <c r="L1873" s="141"/>
      <c r="M1873" s="59"/>
    </row>
    <row r="1874" spans="2:13">
      <c r="B1874" s="135"/>
      <c r="C1874" s="41"/>
      <c r="D1874" s="137"/>
      <c r="E1874" s="138"/>
      <c r="F1874" s="139"/>
      <c r="G1874" s="1" t="str">
        <f>IFERROR(IF(ventas_b_mes1255[[#This Row],[CUIT]]="","-",VLOOKUP(ventas_b_mes1255[[#This Row],[CUIT]],Lista_CUIT[#All],2,0)),"CUIT NO CARGADO")</f>
        <v>-</v>
      </c>
      <c r="H1874" s="100">
        <f>ventas_b_mes1255[[#This Row],[TOTAL]]/1.21</f>
        <v>0</v>
      </c>
      <c r="I1874" s="64">
        <f>ventas_b_mes1255[[#This Row],[IMPORTE NETO]]*0.21</f>
        <v>0</v>
      </c>
      <c r="J1874" s="141"/>
      <c r="K1874" s="141"/>
      <c r="L1874" s="141"/>
      <c r="M1874" s="59"/>
    </row>
    <row r="1875" spans="2:13">
      <c r="B1875" s="135"/>
      <c r="C1875" s="41"/>
      <c r="D1875" s="137"/>
      <c r="E1875" s="138"/>
      <c r="F1875" s="139"/>
      <c r="G1875" s="1" t="str">
        <f>IFERROR(IF(ventas_b_mes1255[[#This Row],[CUIT]]="","-",VLOOKUP(ventas_b_mes1255[[#This Row],[CUIT]],Lista_CUIT[#All],2,0)),"CUIT NO CARGADO")</f>
        <v>-</v>
      </c>
      <c r="H1875" s="100">
        <f>ventas_b_mes1255[[#This Row],[TOTAL]]/1.21</f>
        <v>0</v>
      </c>
      <c r="I1875" s="64">
        <f>ventas_b_mes1255[[#This Row],[IMPORTE NETO]]*0.21</f>
        <v>0</v>
      </c>
      <c r="J1875" s="141"/>
      <c r="K1875" s="141"/>
      <c r="L1875" s="141"/>
      <c r="M1875" s="59"/>
    </row>
    <row r="1876" spans="2:13">
      <c r="B1876" s="135"/>
      <c r="C1876" s="41"/>
      <c r="D1876" s="137"/>
      <c r="E1876" s="138"/>
      <c r="F1876" s="139"/>
      <c r="G1876" s="1" t="str">
        <f>IFERROR(IF(ventas_b_mes1255[[#This Row],[CUIT]]="","-",VLOOKUP(ventas_b_mes1255[[#This Row],[CUIT]],Lista_CUIT[#All],2,0)),"CUIT NO CARGADO")</f>
        <v>-</v>
      </c>
      <c r="H1876" s="100">
        <f>ventas_b_mes1255[[#This Row],[TOTAL]]/1.21</f>
        <v>0</v>
      </c>
      <c r="I1876" s="64">
        <f>ventas_b_mes1255[[#This Row],[IMPORTE NETO]]*0.21</f>
        <v>0</v>
      </c>
      <c r="J1876" s="141"/>
      <c r="K1876" s="141"/>
      <c r="L1876" s="141"/>
      <c r="M1876" s="59"/>
    </row>
    <row r="1877" spans="2:13">
      <c r="B1877" s="135"/>
      <c r="C1877" s="41"/>
      <c r="D1877" s="137"/>
      <c r="E1877" s="138"/>
      <c r="F1877" s="139"/>
      <c r="G1877" s="1" t="str">
        <f>IFERROR(IF(ventas_b_mes1255[[#This Row],[CUIT]]="","-",VLOOKUP(ventas_b_mes1255[[#This Row],[CUIT]],Lista_CUIT[#All],2,0)),"CUIT NO CARGADO")</f>
        <v>-</v>
      </c>
      <c r="H1877" s="100">
        <f>ventas_b_mes1255[[#This Row],[TOTAL]]/1.21</f>
        <v>0</v>
      </c>
      <c r="I1877" s="64">
        <f>ventas_b_mes1255[[#This Row],[IMPORTE NETO]]*0.21</f>
        <v>0</v>
      </c>
      <c r="J1877" s="141"/>
      <c r="K1877" s="141"/>
      <c r="L1877" s="141"/>
      <c r="M1877" s="59"/>
    </row>
    <row r="1878" spans="2:13">
      <c r="B1878" s="135"/>
      <c r="C1878" s="41"/>
      <c r="D1878" s="137"/>
      <c r="E1878" s="138"/>
      <c r="F1878" s="139"/>
      <c r="G1878" s="1" t="str">
        <f>IFERROR(IF(ventas_b_mes1255[[#This Row],[CUIT]]="","-",VLOOKUP(ventas_b_mes1255[[#This Row],[CUIT]],Lista_CUIT[#All],2,0)),"CUIT NO CARGADO")</f>
        <v>-</v>
      </c>
      <c r="H1878" s="100">
        <f>ventas_b_mes1255[[#This Row],[TOTAL]]/1.21</f>
        <v>0</v>
      </c>
      <c r="I1878" s="64">
        <f>ventas_b_mes1255[[#This Row],[IMPORTE NETO]]*0.21</f>
        <v>0</v>
      </c>
      <c r="J1878" s="141"/>
      <c r="K1878" s="141"/>
      <c r="L1878" s="141"/>
      <c r="M1878" s="59"/>
    </row>
    <row r="1879" spans="2:13">
      <c r="B1879" s="135"/>
      <c r="C1879" s="41"/>
      <c r="D1879" s="137"/>
      <c r="E1879" s="138"/>
      <c r="F1879" s="139"/>
      <c r="G1879" s="1" t="str">
        <f>IFERROR(IF(ventas_b_mes1255[[#This Row],[CUIT]]="","-",VLOOKUP(ventas_b_mes1255[[#This Row],[CUIT]],Lista_CUIT[#All],2,0)),"CUIT NO CARGADO")</f>
        <v>-</v>
      </c>
      <c r="H1879" s="100">
        <f>ventas_b_mes1255[[#This Row],[TOTAL]]/1.21</f>
        <v>0</v>
      </c>
      <c r="I1879" s="64">
        <f>ventas_b_mes1255[[#This Row],[IMPORTE NETO]]*0.21</f>
        <v>0</v>
      </c>
      <c r="J1879" s="141"/>
      <c r="K1879" s="141"/>
      <c r="L1879" s="141"/>
      <c r="M1879" s="59"/>
    </row>
    <row r="1880" spans="2:13">
      <c r="B1880" s="135"/>
      <c r="C1880" s="41"/>
      <c r="D1880" s="137"/>
      <c r="E1880" s="138"/>
      <c r="F1880" s="139"/>
      <c r="G1880" s="1" t="str">
        <f>IFERROR(IF(ventas_b_mes1255[[#This Row],[CUIT]]="","-",VLOOKUP(ventas_b_mes1255[[#This Row],[CUIT]],Lista_CUIT[#All],2,0)),"CUIT NO CARGADO")</f>
        <v>-</v>
      </c>
      <c r="H1880" s="100">
        <f>ventas_b_mes1255[[#This Row],[TOTAL]]/1.21</f>
        <v>0</v>
      </c>
      <c r="I1880" s="64">
        <f>ventas_b_mes1255[[#This Row],[IMPORTE NETO]]*0.21</f>
        <v>0</v>
      </c>
      <c r="J1880" s="141"/>
      <c r="K1880" s="141"/>
      <c r="L1880" s="141"/>
      <c r="M1880" s="59"/>
    </row>
    <row r="1881" spans="2:13">
      <c r="B1881" s="135"/>
      <c r="C1881" s="41"/>
      <c r="D1881" s="137"/>
      <c r="E1881" s="138"/>
      <c r="F1881" s="139"/>
      <c r="G1881" s="1" t="str">
        <f>IFERROR(IF(ventas_b_mes1255[[#This Row],[CUIT]]="","-",VLOOKUP(ventas_b_mes1255[[#This Row],[CUIT]],Lista_CUIT[#All],2,0)),"CUIT NO CARGADO")</f>
        <v>-</v>
      </c>
      <c r="H1881" s="100">
        <f>ventas_b_mes1255[[#This Row],[TOTAL]]/1.21</f>
        <v>0</v>
      </c>
      <c r="I1881" s="64">
        <f>ventas_b_mes1255[[#This Row],[IMPORTE NETO]]*0.21</f>
        <v>0</v>
      </c>
      <c r="J1881" s="141"/>
      <c r="K1881" s="141"/>
      <c r="L1881" s="141"/>
      <c r="M1881" s="59"/>
    </row>
    <row r="1882" spans="2:13">
      <c r="B1882" s="135"/>
      <c r="C1882" s="41"/>
      <c r="D1882" s="137"/>
      <c r="E1882" s="138"/>
      <c r="F1882" s="139"/>
      <c r="G1882" s="1" t="str">
        <f>IFERROR(IF(ventas_b_mes1255[[#This Row],[CUIT]]="","-",VLOOKUP(ventas_b_mes1255[[#This Row],[CUIT]],Lista_CUIT[#All],2,0)),"CUIT NO CARGADO")</f>
        <v>-</v>
      </c>
      <c r="H1882" s="100">
        <f>ventas_b_mes1255[[#This Row],[TOTAL]]/1.21</f>
        <v>0</v>
      </c>
      <c r="I1882" s="64">
        <f>ventas_b_mes1255[[#This Row],[IMPORTE NETO]]*0.21</f>
        <v>0</v>
      </c>
      <c r="J1882" s="141"/>
      <c r="K1882" s="141"/>
      <c r="L1882" s="141"/>
      <c r="M1882" s="59"/>
    </row>
    <row r="1883" spans="2:13">
      <c r="B1883" s="135"/>
      <c r="C1883" s="41"/>
      <c r="D1883" s="137"/>
      <c r="E1883" s="138"/>
      <c r="F1883" s="139"/>
      <c r="G1883" s="1" t="str">
        <f>IFERROR(IF(ventas_b_mes1255[[#This Row],[CUIT]]="","-",VLOOKUP(ventas_b_mes1255[[#This Row],[CUIT]],Lista_CUIT[#All],2,0)),"CUIT NO CARGADO")</f>
        <v>-</v>
      </c>
      <c r="H1883" s="100">
        <f>ventas_b_mes1255[[#This Row],[TOTAL]]/1.21</f>
        <v>0</v>
      </c>
      <c r="I1883" s="64">
        <f>ventas_b_mes1255[[#This Row],[IMPORTE NETO]]*0.21</f>
        <v>0</v>
      </c>
      <c r="J1883" s="141"/>
      <c r="K1883" s="141"/>
      <c r="L1883" s="141"/>
      <c r="M1883" s="59"/>
    </row>
    <row r="1884" spans="2:13">
      <c r="B1884" s="135"/>
      <c r="C1884" s="41"/>
      <c r="D1884" s="137"/>
      <c r="E1884" s="138"/>
      <c r="F1884" s="139"/>
      <c r="G1884" s="1" t="str">
        <f>IFERROR(IF(ventas_b_mes1255[[#This Row],[CUIT]]="","-",VLOOKUP(ventas_b_mes1255[[#This Row],[CUIT]],Lista_CUIT[#All],2,0)),"CUIT NO CARGADO")</f>
        <v>-</v>
      </c>
      <c r="H1884" s="100">
        <f>ventas_b_mes1255[[#This Row],[TOTAL]]/1.21</f>
        <v>0</v>
      </c>
      <c r="I1884" s="64">
        <f>ventas_b_mes1255[[#This Row],[IMPORTE NETO]]*0.21</f>
        <v>0</v>
      </c>
      <c r="J1884" s="141"/>
      <c r="K1884" s="141"/>
      <c r="L1884" s="141"/>
      <c r="M1884" s="59"/>
    </row>
    <row r="1885" spans="2:13">
      <c r="B1885" s="135"/>
      <c r="C1885" s="41"/>
      <c r="D1885" s="137"/>
      <c r="E1885" s="138"/>
      <c r="F1885" s="139"/>
      <c r="G1885" s="1" t="str">
        <f>IFERROR(IF(ventas_b_mes1255[[#This Row],[CUIT]]="","-",VLOOKUP(ventas_b_mes1255[[#This Row],[CUIT]],Lista_CUIT[#All],2,0)),"CUIT NO CARGADO")</f>
        <v>-</v>
      </c>
      <c r="H1885" s="100">
        <f>ventas_b_mes1255[[#This Row],[TOTAL]]/1.21</f>
        <v>0</v>
      </c>
      <c r="I1885" s="64">
        <f>ventas_b_mes1255[[#This Row],[IMPORTE NETO]]*0.21</f>
        <v>0</v>
      </c>
      <c r="J1885" s="141"/>
      <c r="K1885" s="141"/>
      <c r="L1885" s="141"/>
      <c r="M1885" s="59"/>
    </row>
    <row r="1886" spans="2:13">
      <c r="B1886" s="135"/>
      <c r="C1886" s="41"/>
      <c r="D1886" s="137"/>
      <c r="E1886" s="138"/>
      <c r="F1886" s="139"/>
      <c r="G1886" s="1" t="str">
        <f>IFERROR(IF(ventas_b_mes1255[[#This Row],[CUIT]]="","-",VLOOKUP(ventas_b_mes1255[[#This Row],[CUIT]],Lista_CUIT[#All],2,0)),"CUIT NO CARGADO")</f>
        <v>-</v>
      </c>
      <c r="H1886" s="100">
        <f>ventas_b_mes1255[[#This Row],[TOTAL]]/1.21</f>
        <v>0</v>
      </c>
      <c r="I1886" s="64">
        <f>ventas_b_mes1255[[#This Row],[IMPORTE NETO]]*0.21</f>
        <v>0</v>
      </c>
      <c r="J1886" s="141"/>
      <c r="K1886" s="141"/>
      <c r="L1886" s="141"/>
      <c r="M1886" s="59"/>
    </row>
    <row r="1887" spans="2:13">
      <c r="B1887" s="135"/>
      <c r="C1887" s="41"/>
      <c r="D1887" s="137"/>
      <c r="E1887" s="138"/>
      <c r="F1887" s="139"/>
      <c r="G1887" s="1" t="str">
        <f>IFERROR(IF(ventas_b_mes1255[[#This Row],[CUIT]]="","-",VLOOKUP(ventas_b_mes1255[[#This Row],[CUIT]],Lista_CUIT[#All],2,0)),"CUIT NO CARGADO")</f>
        <v>-</v>
      </c>
      <c r="H1887" s="100">
        <f>ventas_b_mes1255[[#This Row],[TOTAL]]/1.21</f>
        <v>0</v>
      </c>
      <c r="I1887" s="64">
        <f>ventas_b_mes1255[[#This Row],[IMPORTE NETO]]*0.21</f>
        <v>0</v>
      </c>
      <c r="J1887" s="141"/>
      <c r="K1887" s="141"/>
      <c r="L1887" s="141"/>
      <c r="M1887" s="59"/>
    </row>
    <row r="1888" spans="2:13">
      <c r="B1888" s="135"/>
      <c r="C1888" s="41"/>
      <c r="D1888" s="137"/>
      <c r="E1888" s="138"/>
      <c r="F1888" s="139"/>
      <c r="G1888" s="1" t="str">
        <f>IFERROR(IF(ventas_b_mes1255[[#This Row],[CUIT]]="","-",VLOOKUP(ventas_b_mes1255[[#This Row],[CUIT]],Lista_CUIT[#All],2,0)),"CUIT NO CARGADO")</f>
        <v>-</v>
      </c>
      <c r="H1888" s="100">
        <f>ventas_b_mes1255[[#This Row],[TOTAL]]/1.21</f>
        <v>0</v>
      </c>
      <c r="I1888" s="64">
        <f>ventas_b_mes1255[[#This Row],[IMPORTE NETO]]*0.21</f>
        <v>0</v>
      </c>
      <c r="J1888" s="141"/>
      <c r="K1888" s="141"/>
      <c r="L1888" s="141"/>
      <c r="M1888" s="59"/>
    </row>
    <row r="1889" spans="2:13">
      <c r="B1889" s="135"/>
      <c r="C1889" s="41"/>
      <c r="D1889" s="137"/>
      <c r="E1889" s="138"/>
      <c r="F1889" s="139"/>
      <c r="G1889" s="1" t="str">
        <f>IFERROR(IF(ventas_b_mes1255[[#This Row],[CUIT]]="","-",VLOOKUP(ventas_b_mes1255[[#This Row],[CUIT]],Lista_CUIT[#All],2,0)),"CUIT NO CARGADO")</f>
        <v>-</v>
      </c>
      <c r="H1889" s="100">
        <f>ventas_b_mes1255[[#This Row],[TOTAL]]/1.21</f>
        <v>0</v>
      </c>
      <c r="I1889" s="64">
        <f>ventas_b_mes1255[[#This Row],[IMPORTE NETO]]*0.21</f>
        <v>0</v>
      </c>
      <c r="J1889" s="141"/>
      <c r="K1889" s="141"/>
      <c r="L1889" s="141"/>
      <c r="M1889" s="59"/>
    </row>
    <row r="1890" spans="2:13">
      <c r="B1890" s="135"/>
      <c r="C1890" s="41"/>
      <c r="D1890" s="137"/>
      <c r="E1890" s="138"/>
      <c r="F1890" s="139"/>
      <c r="G1890" s="1" t="str">
        <f>IFERROR(IF(ventas_b_mes1255[[#This Row],[CUIT]]="","-",VLOOKUP(ventas_b_mes1255[[#This Row],[CUIT]],Lista_CUIT[#All],2,0)),"CUIT NO CARGADO")</f>
        <v>-</v>
      </c>
      <c r="H1890" s="100">
        <f>ventas_b_mes1255[[#This Row],[TOTAL]]/1.21</f>
        <v>0</v>
      </c>
      <c r="I1890" s="64">
        <f>ventas_b_mes1255[[#This Row],[IMPORTE NETO]]*0.21</f>
        <v>0</v>
      </c>
      <c r="J1890" s="141"/>
      <c r="K1890" s="141"/>
      <c r="L1890" s="141"/>
      <c r="M1890" s="59"/>
    </row>
    <row r="1891" spans="2:13">
      <c r="B1891" s="135"/>
      <c r="C1891" s="41"/>
      <c r="D1891" s="137"/>
      <c r="E1891" s="138"/>
      <c r="F1891" s="139"/>
      <c r="G1891" s="1" t="str">
        <f>IFERROR(IF(ventas_b_mes1255[[#This Row],[CUIT]]="","-",VLOOKUP(ventas_b_mes1255[[#This Row],[CUIT]],Lista_CUIT[#All],2,0)),"CUIT NO CARGADO")</f>
        <v>-</v>
      </c>
      <c r="H1891" s="100">
        <f>ventas_b_mes1255[[#This Row],[TOTAL]]/1.21</f>
        <v>0</v>
      </c>
      <c r="I1891" s="64">
        <f>ventas_b_mes1255[[#This Row],[IMPORTE NETO]]*0.21</f>
        <v>0</v>
      </c>
      <c r="J1891" s="141"/>
      <c r="K1891" s="141"/>
      <c r="L1891" s="141"/>
      <c r="M1891" s="59"/>
    </row>
    <row r="1892" spans="2:13">
      <c r="B1892" s="135"/>
      <c r="C1892" s="41"/>
      <c r="D1892" s="137"/>
      <c r="E1892" s="138"/>
      <c r="F1892" s="139"/>
      <c r="G1892" s="1" t="str">
        <f>IFERROR(IF(ventas_b_mes1255[[#This Row],[CUIT]]="","-",VLOOKUP(ventas_b_mes1255[[#This Row],[CUIT]],Lista_CUIT[#All],2,0)),"CUIT NO CARGADO")</f>
        <v>-</v>
      </c>
      <c r="H1892" s="100">
        <f>ventas_b_mes1255[[#This Row],[TOTAL]]/1.21</f>
        <v>0</v>
      </c>
      <c r="I1892" s="64">
        <f>ventas_b_mes1255[[#This Row],[IMPORTE NETO]]*0.21</f>
        <v>0</v>
      </c>
      <c r="J1892" s="141"/>
      <c r="K1892" s="141"/>
      <c r="L1892" s="141"/>
      <c r="M1892" s="59"/>
    </row>
    <row r="1893" spans="2:13">
      <c r="B1893" s="135"/>
      <c r="C1893" s="41"/>
      <c r="D1893" s="137"/>
      <c r="E1893" s="138"/>
      <c r="F1893" s="139"/>
      <c r="G1893" s="1" t="str">
        <f>IFERROR(IF(ventas_b_mes1255[[#This Row],[CUIT]]="","-",VLOOKUP(ventas_b_mes1255[[#This Row],[CUIT]],Lista_CUIT[#All],2,0)),"CUIT NO CARGADO")</f>
        <v>-</v>
      </c>
      <c r="H1893" s="100">
        <f>ventas_b_mes1255[[#This Row],[TOTAL]]/1.21</f>
        <v>0</v>
      </c>
      <c r="I1893" s="64">
        <f>ventas_b_mes1255[[#This Row],[IMPORTE NETO]]*0.21</f>
        <v>0</v>
      </c>
      <c r="J1893" s="141"/>
      <c r="K1893" s="141"/>
      <c r="L1893" s="141"/>
      <c r="M1893" s="59"/>
    </row>
    <row r="1894" spans="2:13">
      <c r="B1894" s="135"/>
      <c r="C1894" s="41"/>
      <c r="D1894" s="137"/>
      <c r="E1894" s="138"/>
      <c r="F1894" s="139"/>
      <c r="G1894" s="1" t="str">
        <f>IFERROR(IF(ventas_b_mes1255[[#This Row],[CUIT]]="","-",VLOOKUP(ventas_b_mes1255[[#This Row],[CUIT]],Lista_CUIT[#All],2,0)),"CUIT NO CARGADO")</f>
        <v>-</v>
      </c>
      <c r="H1894" s="100">
        <f>ventas_b_mes1255[[#This Row],[TOTAL]]/1.21</f>
        <v>0</v>
      </c>
      <c r="I1894" s="64">
        <f>ventas_b_mes1255[[#This Row],[IMPORTE NETO]]*0.21</f>
        <v>0</v>
      </c>
      <c r="J1894" s="141"/>
      <c r="K1894" s="141"/>
      <c r="L1894" s="141"/>
      <c r="M1894" s="59"/>
    </row>
    <row r="1895" spans="2:13">
      <c r="B1895" s="135"/>
      <c r="C1895" s="41"/>
      <c r="D1895" s="137"/>
      <c r="E1895" s="138"/>
      <c r="F1895" s="139"/>
      <c r="G1895" s="1" t="str">
        <f>IFERROR(IF(ventas_b_mes1255[[#This Row],[CUIT]]="","-",VLOOKUP(ventas_b_mes1255[[#This Row],[CUIT]],Lista_CUIT[#All],2,0)),"CUIT NO CARGADO")</f>
        <v>-</v>
      </c>
      <c r="H1895" s="100">
        <f>ventas_b_mes1255[[#This Row],[TOTAL]]/1.21</f>
        <v>0</v>
      </c>
      <c r="I1895" s="64">
        <f>ventas_b_mes1255[[#This Row],[IMPORTE NETO]]*0.21</f>
        <v>0</v>
      </c>
      <c r="J1895" s="141"/>
      <c r="K1895" s="141"/>
      <c r="L1895" s="141"/>
      <c r="M1895" s="59"/>
    </row>
    <row r="1896" spans="2:13">
      <c r="B1896" s="135"/>
      <c r="C1896" s="41"/>
      <c r="D1896" s="137"/>
      <c r="E1896" s="138"/>
      <c r="F1896" s="139"/>
      <c r="G1896" s="1" t="str">
        <f>IFERROR(IF(ventas_b_mes1255[[#This Row],[CUIT]]="","-",VLOOKUP(ventas_b_mes1255[[#This Row],[CUIT]],Lista_CUIT[#All],2,0)),"CUIT NO CARGADO")</f>
        <v>-</v>
      </c>
      <c r="H1896" s="100">
        <f>ventas_b_mes1255[[#This Row],[TOTAL]]/1.21</f>
        <v>0</v>
      </c>
      <c r="I1896" s="64">
        <f>ventas_b_mes1255[[#This Row],[IMPORTE NETO]]*0.21</f>
        <v>0</v>
      </c>
      <c r="J1896" s="141"/>
      <c r="K1896" s="141"/>
      <c r="L1896" s="141"/>
      <c r="M1896" s="59"/>
    </row>
    <row r="1897" spans="2:13">
      <c r="B1897" s="135"/>
      <c r="C1897" s="41"/>
      <c r="D1897" s="137"/>
      <c r="E1897" s="138"/>
      <c r="F1897" s="139"/>
      <c r="G1897" s="1" t="str">
        <f>IFERROR(IF(ventas_b_mes1255[[#This Row],[CUIT]]="","-",VLOOKUP(ventas_b_mes1255[[#This Row],[CUIT]],Lista_CUIT[#All],2,0)),"CUIT NO CARGADO")</f>
        <v>-</v>
      </c>
      <c r="H1897" s="100">
        <f>ventas_b_mes1255[[#This Row],[TOTAL]]/1.21</f>
        <v>0</v>
      </c>
      <c r="I1897" s="64">
        <f>ventas_b_mes1255[[#This Row],[IMPORTE NETO]]*0.21</f>
        <v>0</v>
      </c>
      <c r="J1897" s="141"/>
      <c r="K1897" s="141"/>
      <c r="L1897" s="141"/>
      <c r="M1897" s="59"/>
    </row>
    <row r="1898" spans="2:13">
      <c r="B1898" s="135"/>
      <c r="C1898" s="41"/>
      <c r="D1898" s="137"/>
      <c r="E1898" s="138"/>
      <c r="F1898" s="139"/>
      <c r="G1898" s="1" t="str">
        <f>IFERROR(IF(ventas_b_mes1255[[#This Row],[CUIT]]="","-",VLOOKUP(ventas_b_mes1255[[#This Row],[CUIT]],Lista_CUIT[#All],2,0)),"CUIT NO CARGADO")</f>
        <v>-</v>
      </c>
      <c r="H1898" s="100">
        <f>ventas_b_mes1255[[#This Row],[TOTAL]]/1.21</f>
        <v>0</v>
      </c>
      <c r="I1898" s="64">
        <f>ventas_b_mes1255[[#This Row],[IMPORTE NETO]]*0.21</f>
        <v>0</v>
      </c>
      <c r="J1898" s="141"/>
      <c r="K1898" s="141"/>
      <c r="L1898" s="141"/>
      <c r="M1898" s="59"/>
    </row>
    <row r="1899" spans="2:13">
      <c r="B1899" s="135"/>
      <c r="C1899" s="41"/>
      <c r="D1899" s="137"/>
      <c r="E1899" s="138"/>
      <c r="F1899" s="139"/>
      <c r="G1899" s="1" t="str">
        <f>IFERROR(IF(ventas_b_mes1255[[#This Row],[CUIT]]="","-",VLOOKUP(ventas_b_mes1255[[#This Row],[CUIT]],Lista_CUIT[#All],2,0)),"CUIT NO CARGADO")</f>
        <v>-</v>
      </c>
      <c r="H1899" s="100">
        <f>ventas_b_mes1255[[#This Row],[TOTAL]]/1.21</f>
        <v>0</v>
      </c>
      <c r="I1899" s="64">
        <f>ventas_b_mes1255[[#This Row],[IMPORTE NETO]]*0.21</f>
        <v>0</v>
      </c>
      <c r="J1899" s="141"/>
      <c r="K1899" s="141"/>
      <c r="L1899" s="141"/>
      <c r="M1899" s="59"/>
    </row>
    <row r="1900" spans="2:13">
      <c r="B1900" s="135"/>
      <c r="C1900" s="41"/>
      <c r="D1900" s="137"/>
      <c r="E1900" s="138"/>
      <c r="F1900" s="139"/>
      <c r="G1900" s="1" t="str">
        <f>IFERROR(IF(ventas_b_mes1255[[#This Row],[CUIT]]="","-",VLOOKUP(ventas_b_mes1255[[#This Row],[CUIT]],Lista_CUIT[#All],2,0)),"CUIT NO CARGADO")</f>
        <v>-</v>
      </c>
      <c r="H1900" s="100">
        <f>ventas_b_mes1255[[#This Row],[TOTAL]]/1.21</f>
        <v>0</v>
      </c>
      <c r="I1900" s="64">
        <f>ventas_b_mes1255[[#This Row],[IMPORTE NETO]]*0.21</f>
        <v>0</v>
      </c>
      <c r="J1900" s="141"/>
      <c r="K1900" s="141"/>
      <c r="L1900" s="141"/>
      <c r="M1900" s="59"/>
    </row>
    <row r="1901" spans="2:13">
      <c r="B1901" s="135"/>
      <c r="C1901" s="41"/>
      <c r="D1901" s="137"/>
      <c r="E1901" s="138"/>
      <c r="F1901" s="139"/>
      <c r="G1901" s="1" t="str">
        <f>IFERROR(IF(ventas_b_mes1255[[#This Row],[CUIT]]="","-",VLOOKUP(ventas_b_mes1255[[#This Row],[CUIT]],Lista_CUIT[#All],2,0)),"CUIT NO CARGADO")</f>
        <v>-</v>
      </c>
      <c r="H1901" s="100">
        <f>ventas_b_mes1255[[#This Row],[TOTAL]]/1.21</f>
        <v>0</v>
      </c>
      <c r="I1901" s="64">
        <f>ventas_b_mes1255[[#This Row],[IMPORTE NETO]]*0.21</f>
        <v>0</v>
      </c>
      <c r="J1901" s="141"/>
      <c r="K1901" s="141"/>
      <c r="L1901" s="141"/>
      <c r="M1901" s="59"/>
    </row>
    <row r="1902" spans="2:13">
      <c r="B1902" s="135"/>
      <c r="C1902" s="41"/>
      <c r="D1902" s="137"/>
      <c r="E1902" s="138"/>
      <c r="F1902" s="139"/>
      <c r="G1902" s="1" t="str">
        <f>IFERROR(IF(ventas_b_mes1255[[#This Row],[CUIT]]="","-",VLOOKUP(ventas_b_mes1255[[#This Row],[CUIT]],Lista_CUIT[#All],2,0)),"CUIT NO CARGADO")</f>
        <v>-</v>
      </c>
      <c r="H1902" s="100">
        <f>ventas_b_mes1255[[#This Row],[TOTAL]]/1.21</f>
        <v>0</v>
      </c>
      <c r="I1902" s="64">
        <f>ventas_b_mes1255[[#This Row],[IMPORTE NETO]]*0.21</f>
        <v>0</v>
      </c>
      <c r="J1902" s="141"/>
      <c r="K1902" s="141"/>
      <c r="L1902" s="141"/>
      <c r="M1902" s="59"/>
    </row>
    <row r="1903" spans="2:13">
      <c r="B1903" s="135"/>
      <c r="C1903" s="41"/>
      <c r="D1903" s="137"/>
      <c r="E1903" s="138"/>
      <c r="F1903" s="139"/>
      <c r="G1903" s="1" t="str">
        <f>IFERROR(IF(ventas_b_mes1255[[#This Row],[CUIT]]="","-",VLOOKUP(ventas_b_mes1255[[#This Row],[CUIT]],Lista_CUIT[#All],2,0)),"CUIT NO CARGADO")</f>
        <v>-</v>
      </c>
      <c r="H1903" s="100">
        <f>ventas_b_mes1255[[#This Row],[TOTAL]]/1.21</f>
        <v>0</v>
      </c>
      <c r="I1903" s="64">
        <f>ventas_b_mes1255[[#This Row],[IMPORTE NETO]]*0.21</f>
        <v>0</v>
      </c>
      <c r="J1903" s="141"/>
      <c r="K1903" s="141"/>
      <c r="L1903" s="141"/>
      <c r="M1903" s="59"/>
    </row>
    <row r="1904" spans="2:13">
      <c r="B1904" s="135"/>
      <c r="C1904" s="41"/>
      <c r="D1904" s="137"/>
      <c r="E1904" s="138"/>
      <c r="F1904" s="139"/>
      <c r="G1904" s="1" t="str">
        <f>IFERROR(IF(ventas_b_mes1255[[#This Row],[CUIT]]="","-",VLOOKUP(ventas_b_mes1255[[#This Row],[CUIT]],Lista_CUIT[#All],2,0)),"CUIT NO CARGADO")</f>
        <v>-</v>
      </c>
      <c r="H1904" s="100">
        <f>ventas_b_mes1255[[#This Row],[TOTAL]]/1.21</f>
        <v>0</v>
      </c>
      <c r="I1904" s="64">
        <f>ventas_b_mes1255[[#This Row],[IMPORTE NETO]]*0.21</f>
        <v>0</v>
      </c>
      <c r="J1904" s="141"/>
      <c r="K1904" s="141"/>
      <c r="L1904" s="141"/>
      <c r="M1904" s="59"/>
    </row>
    <row r="1905" spans="2:13">
      <c r="B1905" s="135"/>
      <c r="C1905" s="41"/>
      <c r="D1905" s="137"/>
      <c r="E1905" s="138"/>
      <c r="F1905" s="139"/>
      <c r="G1905" s="1" t="str">
        <f>IFERROR(IF(ventas_b_mes1255[[#This Row],[CUIT]]="","-",VLOOKUP(ventas_b_mes1255[[#This Row],[CUIT]],Lista_CUIT[#All],2,0)),"CUIT NO CARGADO")</f>
        <v>-</v>
      </c>
      <c r="H1905" s="100">
        <f>ventas_b_mes1255[[#This Row],[TOTAL]]/1.21</f>
        <v>0</v>
      </c>
      <c r="I1905" s="64">
        <f>ventas_b_mes1255[[#This Row],[IMPORTE NETO]]*0.21</f>
        <v>0</v>
      </c>
      <c r="J1905" s="141"/>
      <c r="K1905" s="141"/>
      <c r="L1905" s="141"/>
      <c r="M1905" s="59"/>
    </row>
    <row r="1906" spans="2:13">
      <c r="B1906" s="135"/>
      <c r="C1906" s="41"/>
      <c r="D1906" s="137"/>
      <c r="E1906" s="138"/>
      <c r="F1906" s="139"/>
      <c r="G1906" s="1" t="str">
        <f>IFERROR(IF(ventas_b_mes1255[[#This Row],[CUIT]]="","-",VLOOKUP(ventas_b_mes1255[[#This Row],[CUIT]],Lista_CUIT[#All],2,0)),"CUIT NO CARGADO")</f>
        <v>-</v>
      </c>
      <c r="H1906" s="100">
        <f>ventas_b_mes1255[[#This Row],[TOTAL]]/1.21</f>
        <v>0</v>
      </c>
      <c r="I1906" s="64">
        <f>ventas_b_mes1255[[#This Row],[IMPORTE NETO]]*0.21</f>
        <v>0</v>
      </c>
      <c r="J1906" s="141"/>
      <c r="K1906" s="141"/>
      <c r="L1906" s="141"/>
      <c r="M1906" s="59"/>
    </row>
    <row r="1907" spans="2:13">
      <c r="B1907" s="135"/>
      <c r="C1907" s="41"/>
      <c r="D1907" s="137"/>
      <c r="E1907" s="138"/>
      <c r="F1907" s="139"/>
      <c r="G1907" s="1" t="str">
        <f>IFERROR(IF(ventas_b_mes1255[[#This Row],[CUIT]]="","-",VLOOKUP(ventas_b_mes1255[[#This Row],[CUIT]],Lista_CUIT[#All],2,0)),"CUIT NO CARGADO")</f>
        <v>-</v>
      </c>
      <c r="H1907" s="100">
        <f>ventas_b_mes1255[[#This Row],[TOTAL]]/1.21</f>
        <v>0</v>
      </c>
      <c r="I1907" s="64">
        <f>ventas_b_mes1255[[#This Row],[IMPORTE NETO]]*0.21</f>
        <v>0</v>
      </c>
      <c r="J1907" s="141"/>
      <c r="K1907" s="141"/>
      <c r="L1907" s="141"/>
      <c r="M1907" s="59"/>
    </row>
    <row r="1908" spans="2:13">
      <c r="B1908" s="135"/>
      <c r="C1908" s="41"/>
      <c r="D1908" s="137"/>
      <c r="E1908" s="138"/>
      <c r="F1908" s="139"/>
      <c r="G1908" s="1" t="str">
        <f>IFERROR(IF(ventas_b_mes1255[[#This Row],[CUIT]]="","-",VLOOKUP(ventas_b_mes1255[[#This Row],[CUIT]],Lista_CUIT[#All],2,0)),"CUIT NO CARGADO")</f>
        <v>-</v>
      </c>
      <c r="H1908" s="100">
        <f>ventas_b_mes1255[[#This Row],[TOTAL]]/1.21</f>
        <v>0</v>
      </c>
      <c r="I1908" s="64">
        <f>ventas_b_mes1255[[#This Row],[IMPORTE NETO]]*0.21</f>
        <v>0</v>
      </c>
      <c r="J1908" s="141"/>
      <c r="K1908" s="141"/>
      <c r="L1908" s="141"/>
      <c r="M1908" s="59"/>
    </row>
    <row r="1909" spans="2:13">
      <c r="B1909" s="135"/>
      <c r="C1909" s="41"/>
      <c r="D1909" s="137"/>
      <c r="E1909" s="138"/>
      <c r="F1909" s="139"/>
      <c r="G1909" s="1" t="str">
        <f>IFERROR(IF(ventas_b_mes1255[[#This Row],[CUIT]]="","-",VLOOKUP(ventas_b_mes1255[[#This Row],[CUIT]],Lista_CUIT[#All],2,0)),"CUIT NO CARGADO")</f>
        <v>-</v>
      </c>
      <c r="H1909" s="100">
        <f>ventas_b_mes1255[[#This Row],[TOTAL]]/1.21</f>
        <v>0</v>
      </c>
      <c r="I1909" s="64">
        <f>ventas_b_mes1255[[#This Row],[IMPORTE NETO]]*0.21</f>
        <v>0</v>
      </c>
      <c r="J1909" s="141"/>
      <c r="K1909" s="141"/>
      <c r="L1909" s="141"/>
      <c r="M1909" s="59"/>
    </row>
    <row r="1910" spans="2:13">
      <c r="B1910" s="135"/>
      <c r="C1910" s="41"/>
      <c r="D1910" s="137"/>
      <c r="E1910" s="138"/>
      <c r="F1910" s="139"/>
      <c r="G1910" s="1" t="str">
        <f>IFERROR(IF(ventas_b_mes1255[[#This Row],[CUIT]]="","-",VLOOKUP(ventas_b_mes1255[[#This Row],[CUIT]],Lista_CUIT[#All],2,0)),"CUIT NO CARGADO")</f>
        <v>-</v>
      </c>
      <c r="H1910" s="100">
        <f>ventas_b_mes1255[[#This Row],[TOTAL]]/1.21</f>
        <v>0</v>
      </c>
      <c r="I1910" s="64">
        <f>ventas_b_mes1255[[#This Row],[IMPORTE NETO]]*0.21</f>
        <v>0</v>
      </c>
      <c r="J1910" s="141"/>
      <c r="K1910" s="141"/>
      <c r="L1910" s="141"/>
      <c r="M1910" s="59"/>
    </row>
    <row r="1911" spans="2:13">
      <c r="B1911" s="135"/>
      <c r="C1911" s="41"/>
      <c r="D1911" s="137"/>
      <c r="E1911" s="138"/>
      <c r="F1911" s="139"/>
      <c r="G1911" s="1" t="str">
        <f>IFERROR(IF(ventas_b_mes1255[[#This Row],[CUIT]]="","-",VLOOKUP(ventas_b_mes1255[[#This Row],[CUIT]],Lista_CUIT[#All],2,0)),"CUIT NO CARGADO")</f>
        <v>-</v>
      </c>
      <c r="H1911" s="100">
        <f>ventas_b_mes1255[[#This Row],[TOTAL]]/1.21</f>
        <v>0</v>
      </c>
      <c r="I1911" s="64">
        <f>ventas_b_mes1255[[#This Row],[IMPORTE NETO]]*0.21</f>
        <v>0</v>
      </c>
      <c r="J1911" s="141"/>
      <c r="K1911" s="141"/>
      <c r="L1911" s="141"/>
      <c r="M1911" s="59"/>
    </row>
    <row r="1912" spans="2:13">
      <c r="B1912" s="135"/>
      <c r="C1912" s="41"/>
      <c r="D1912" s="137"/>
      <c r="E1912" s="138"/>
      <c r="F1912" s="139"/>
      <c r="G1912" s="1" t="str">
        <f>IFERROR(IF(ventas_b_mes1255[[#This Row],[CUIT]]="","-",VLOOKUP(ventas_b_mes1255[[#This Row],[CUIT]],Lista_CUIT[#All],2,0)),"CUIT NO CARGADO")</f>
        <v>-</v>
      </c>
      <c r="H1912" s="100">
        <f>ventas_b_mes1255[[#This Row],[TOTAL]]/1.21</f>
        <v>0</v>
      </c>
      <c r="I1912" s="64">
        <f>ventas_b_mes1255[[#This Row],[IMPORTE NETO]]*0.21</f>
        <v>0</v>
      </c>
      <c r="J1912" s="141"/>
      <c r="K1912" s="141"/>
      <c r="L1912" s="141"/>
      <c r="M1912" s="59"/>
    </row>
    <row r="1913" spans="2:13">
      <c r="B1913" s="135"/>
      <c r="C1913" s="41"/>
      <c r="D1913" s="137"/>
      <c r="E1913" s="138"/>
      <c r="F1913" s="139"/>
      <c r="G1913" s="1" t="str">
        <f>IFERROR(IF(ventas_b_mes1255[[#This Row],[CUIT]]="","-",VLOOKUP(ventas_b_mes1255[[#This Row],[CUIT]],Lista_CUIT[#All],2,0)),"CUIT NO CARGADO")</f>
        <v>-</v>
      </c>
      <c r="H1913" s="100">
        <f>ventas_b_mes1255[[#This Row],[TOTAL]]/1.21</f>
        <v>0</v>
      </c>
      <c r="I1913" s="64">
        <f>ventas_b_mes1255[[#This Row],[IMPORTE NETO]]*0.21</f>
        <v>0</v>
      </c>
      <c r="J1913" s="141"/>
      <c r="K1913" s="141"/>
      <c r="L1913" s="141"/>
      <c r="M1913" s="59"/>
    </row>
    <row r="1914" spans="2:13">
      <c r="B1914" s="135"/>
      <c r="C1914" s="41"/>
      <c r="D1914" s="137"/>
      <c r="E1914" s="138"/>
      <c r="F1914" s="139"/>
      <c r="G1914" s="1" t="str">
        <f>IFERROR(IF(ventas_b_mes1255[[#This Row],[CUIT]]="","-",VLOOKUP(ventas_b_mes1255[[#This Row],[CUIT]],Lista_CUIT[#All],2,0)),"CUIT NO CARGADO")</f>
        <v>-</v>
      </c>
      <c r="H1914" s="100">
        <f>ventas_b_mes1255[[#This Row],[TOTAL]]/1.21</f>
        <v>0</v>
      </c>
      <c r="I1914" s="64">
        <f>ventas_b_mes1255[[#This Row],[IMPORTE NETO]]*0.21</f>
        <v>0</v>
      </c>
      <c r="J1914" s="141"/>
      <c r="K1914" s="141"/>
      <c r="L1914" s="141"/>
      <c r="M1914" s="59"/>
    </row>
    <row r="1915" spans="2:13">
      <c r="B1915" s="135"/>
      <c r="C1915" s="41"/>
      <c r="D1915" s="137"/>
      <c r="E1915" s="138"/>
      <c r="F1915" s="139"/>
      <c r="G1915" s="1" t="str">
        <f>IFERROR(IF(ventas_b_mes1255[[#This Row],[CUIT]]="","-",VLOOKUP(ventas_b_mes1255[[#This Row],[CUIT]],Lista_CUIT[#All],2,0)),"CUIT NO CARGADO")</f>
        <v>-</v>
      </c>
      <c r="H1915" s="100">
        <f>ventas_b_mes1255[[#This Row],[TOTAL]]/1.21</f>
        <v>0</v>
      </c>
      <c r="I1915" s="64">
        <f>ventas_b_mes1255[[#This Row],[IMPORTE NETO]]*0.21</f>
        <v>0</v>
      </c>
      <c r="J1915" s="141"/>
      <c r="K1915" s="141"/>
      <c r="L1915" s="141"/>
      <c r="M1915" s="59"/>
    </row>
    <row r="1916" spans="2:13">
      <c r="B1916" s="135"/>
      <c r="C1916" s="41"/>
      <c r="D1916" s="137"/>
      <c r="E1916" s="138"/>
      <c r="F1916" s="139"/>
      <c r="G1916" s="1" t="str">
        <f>IFERROR(IF(ventas_b_mes1255[[#This Row],[CUIT]]="","-",VLOOKUP(ventas_b_mes1255[[#This Row],[CUIT]],Lista_CUIT[#All],2,0)),"CUIT NO CARGADO")</f>
        <v>-</v>
      </c>
      <c r="H1916" s="100">
        <f>ventas_b_mes1255[[#This Row],[TOTAL]]/1.21</f>
        <v>0</v>
      </c>
      <c r="I1916" s="64">
        <f>ventas_b_mes1255[[#This Row],[IMPORTE NETO]]*0.21</f>
        <v>0</v>
      </c>
      <c r="J1916" s="141"/>
      <c r="K1916" s="141"/>
      <c r="L1916" s="141"/>
      <c r="M1916" s="59"/>
    </row>
    <row r="1917" spans="2:13">
      <c r="B1917" s="135"/>
      <c r="C1917" s="41"/>
      <c r="D1917" s="137"/>
      <c r="E1917" s="138"/>
      <c r="F1917" s="139"/>
      <c r="G1917" s="1" t="str">
        <f>IFERROR(IF(ventas_b_mes1255[[#This Row],[CUIT]]="","-",VLOOKUP(ventas_b_mes1255[[#This Row],[CUIT]],Lista_CUIT[#All],2,0)),"CUIT NO CARGADO")</f>
        <v>-</v>
      </c>
      <c r="H1917" s="100">
        <f>ventas_b_mes1255[[#This Row],[TOTAL]]/1.21</f>
        <v>0</v>
      </c>
      <c r="I1917" s="64">
        <f>ventas_b_mes1255[[#This Row],[IMPORTE NETO]]*0.21</f>
        <v>0</v>
      </c>
      <c r="J1917" s="141"/>
      <c r="K1917" s="141"/>
      <c r="L1917" s="141"/>
      <c r="M1917" s="59"/>
    </row>
    <row r="1918" spans="2:13">
      <c r="B1918" s="135"/>
      <c r="C1918" s="41"/>
      <c r="D1918" s="137"/>
      <c r="E1918" s="138"/>
      <c r="F1918" s="139"/>
      <c r="G1918" s="1" t="str">
        <f>IFERROR(IF(ventas_b_mes1255[[#This Row],[CUIT]]="","-",VLOOKUP(ventas_b_mes1255[[#This Row],[CUIT]],Lista_CUIT[#All],2,0)),"CUIT NO CARGADO")</f>
        <v>-</v>
      </c>
      <c r="H1918" s="100">
        <f>ventas_b_mes1255[[#This Row],[TOTAL]]/1.21</f>
        <v>0</v>
      </c>
      <c r="I1918" s="64">
        <f>ventas_b_mes1255[[#This Row],[IMPORTE NETO]]*0.21</f>
        <v>0</v>
      </c>
      <c r="J1918" s="141"/>
      <c r="K1918" s="141"/>
      <c r="L1918" s="141"/>
      <c r="M1918" s="59"/>
    </row>
    <row r="1919" spans="2:13">
      <c r="B1919" s="135"/>
      <c r="C1919" s="41"/>
      <c r="D1919" s="137"/>
      <c r="E1919" s="138"/>
      <c r="F1919" s="139"/>
      <c r="G1919" s="1" t="str">
        <f>IFERROR(IF(ventas_b_mes1255[[#This Row],[CUIT]]="","-",VLOOKUP(ventas_b_mes1255[[#This Row],[CUIT]],Lista_CUIT[#All],2,0)),"CUIT NO CARGADO")</f>
        <v>-</v>
      </c>
      <c r="H1919" s="100">
        <f>ventas_b_mes1255[[#This Row],[TOTAL]]/1.21</f>
        <v>0</v>
      </c>
      <c r="I1919" s="64">
        <f>ventas_b_mes1255[[#This Row],[IMPORTE NETO]]*0.21</f>
        <v>0</v>
      </c>
      <c r="J1919" s="141"/>
      <c r="K1919" s="141"/>
      <c r="L1919" s="141"/>
      <c r="M1919" s="59"/>
    </row>
    <row r="1920" spans="2:13">
      <c r="B1920" s="135"/>
      <c r="C1920" s="41"/>
      <c r="D1920" s="137"/>
      <c r="E1920" s="138"/>
      <c r="F1920" s="139"/>
      <c r="G1920" s="1" t="str">
        <f>IFERROR(IF(ventas_b_mes1255[[#This Row],[CUIT]]="","-",VLOOKUP(ventas_b_mes1255[[#This Row],[CUIT]],Lista_CUIT[#All],2,0)),"CUIT NO CARGADO")</f>
        <v>-</v>
      </c>
      <c r="H1920" s="100">
        <f>ventas_b_mes1255[[#This Row],[TOTAL]]/1.21</f>
        <v>0</v>
      </c>
      <c r="I1920" s="64">
        <f>ventas_b_mes1255[[#This Row],[IMPORTE NETO]]*0.21</f>
        <v>0</v>
      </c>
      <c r="J1920" s="141"/>
      <c r="K1920" s="141"/>
      <c r="L1920" s="141"/>
      <c r="M1920" s="59"/>
    </row>
    <row r="1921" spans="2:13">
      <c r="B1921" s="135"/>
      <c r="C1921" s="41"/>
      <c r="D1921" s="137"/>
      <c r="E1921" s="138"/>
      <c r="F1921" s="139"/>
      <c r="G1921" s="1" t="str">
        <f>IFERROR(IF(ventas_b_mes1255[[#This Row],[CUIT]]="","-",VLOOKUP(ventas_b_mes1255[[#This Row],[CUIT]],Lista_CUIT[#All],2,0)),"CUIT NO CARGADO")</f>
        <v>-</v>
      </c>
      <c r="H1921" s="100">
        <f>ventas_b_mes1255[[#This Row],[TOTAL]]/1.21</f>
        <v>0</v>
      </c>
      <c r="I1921" s="64">
        <f>ventas_b_mes1255[[#This Row],[IMPORTE NETO]]*0.21</f>
        <v>0</v>
      </c>
      <c r="J1921" s="141"/>
      <c r="K1921" s="141"/>
      <c r="L1921" s="141"/>
      <c r="M1921" s="59"/>
    </row>
    <row r="1922" spans="2:13">
      <c r="B1922" s="135"/>
      <c r="C1922" s="41"/>
      <c r="D1922" s="137"/>
      <c r="E1922" s="138"/>
      <c r="F1922" s="139"/>
      <c r="G1922" s="1" t="str">
        <f>IFERROR(IF(ventas_b_mes1255[[#This Row],[CUIT]]="","-",VLOOKUP(ventas_b_mes1255[[#This Row],[CUIT]],Lista_CUIT[#All],2,0)),"CUIT NO CARGADO")</f>
        <v>-</v>
      </c>
      <c r="H1922" s="100">
        <f>ventas_b_mes1255[[#This Row],[TOTAL]]/1.21</f>
        <v>0</v>
      </c>
      <c r="I1922" s="64">
        <f>ventas_b_mes1255[[#This Row],[IMPORTE NETO]]*0.21</f>
        <v>0</v>
      </c>
      <c r="J1922" s="141"/>
      <c r="K1922" s="141"/>
      <c r="L1922" s="141"/>
      <c r="M1922" s="59"/>
    </row>
    <row r="1923" spans="2:13">
      <c r="B1923" s="135"/>
      <c r="C1923" s="41"/>
      <c r="D1923" s="137"/>
      <c r="E1923" s="138"/>
      <c r="F1923" s="139"/>
      <c r="G1923" s="1" t="str">
        <f>IFERROR(IF(ventas_b_mes1255[[#This Row],[CUIT]]="","-",VLOOKUP(ventas_b_mes1255[[#This Row],[CUIT]],Lista_CUIT[#All],2,0)),"CUIT NO CARGADO")</f>
        <v>-</v>
      </c>
      <c r="H1923" s="100">
        <f>ventas_b_mes1255[[#This Row],[TOTAL]]/1.21</f>
        <v>0</v>
      </c>
      <c r="I1923" s="64">
        <f>ventas_b_mes1255[[#This Row],[IMPORTE NETO]]*0.21</f>
        <v>0</v>
      </c>
      <c r="J1923" s="141"/>
      <c r="K1923" s="141"/>
      <c r="L1923" s="141"/>
      <c r="M1923" s="59"/>
    </row>
    <row r="1924" spans="2:13">
      <c r="B1924" s="135"/>
      <c r="C1924" s="41"/>
      <c r="D1924" s="137"/>
      <c r="E1924" s="138"/>
      <c r="F1924" s="139"/>
      <c r="G1924" s="1" t="str">
        <f>IFERROR(IF(ventas_b_mes1255[[#This Row],[CUIT]]="","-",VLOOKUP(ventas_b_mes1255[[#This Row],[CUIT]],Lista_CUIT[#All],2,0)),"CUIT NO CARGADO")</f>
        <v>-</v>
      </c>
      <c r="H1924" s="100">
        <f>ventas_b_mes1255[[#This Row],[TOTAL]]/1.21</f>
        <v>0</v>
      </c>
      <c r="I1924" s="64">
        <f>ventas_b_mes1255[[#This Row],[IMPORTE NETO]]*0.21</f>
        <v>0</v>
      </c>
      <c r="J1924" s="141"/>
      <c r="K1924" s="141"/>
      <c r="L1924" s="141"/>
      <c r="M1924" s="59"/>
    </row>
    <row r="1925" spans="2:13">
      <c r="B1925" s="135"/>
      <c r="C1925" s="41"/>
      <c r="D1925" s="137"/>
      <c r="E1925" s="138"/>
      <c r="F1925" s="139"/>
      <c r="G1925" s="1" t="str">
        <f>IFERROR(IF(ventas_b_mes1255[[#This Row],[CUIT]]="","-",VLOOKUP(ventas_b_mes1255[[#This Row],[CUIT]],Lista_CUIT[#All],2,0)),"CUIT NO CARGADO")</f>
        <v>-</v>
      </c>
      <c r="H1925" s="100">
        <f>ventas_b_mes1255[[#This Row],[TOTAL]]/1.21</f>
        <v>0</v>
      </c>
      <c r="I1925" s="64">
        <f>ventas_b_mes1255[[#This Row],[IMPORTE NETO]]*0.21</f>
        <v>0</v>
      </c>
      <c r="J1925" s="141"/>
      <c r="K1925" s="141"/>
      <c r="L1925" s="141"/>
      <c r="M1925" s="59"/>
    </row>
    <row r="1926" spans="2:13">
      <c r="B1926" s="135"/>
      <c r="C1926" s="41"/>
      <c r="D1926" s="137"/>
      <c r="E1926" s="138"/>
      <c r="F1926" s="139"/>
      <c r="G1926" s="1" t="str">
        <f>IFERROR(IF(ventas_b_mes1255[[#This Row],[CUIT]]="","-",VLOOKUP(ventas_b_mes1255[[#This Row],[CUIT]],Lista_CUIT[#All],2,0)),"CUIT NO CARGADO")</f>
        <v>-</v>
      </c>
      <c r="H1926" s="100">
        <f>ventas_b_mes1255[[#This Row],[TOTAL]]/1.21</f>
        <v>0</v>
      </c>
      <c r="I1926" s="64">
        <f>ventas_b_mes1255[[#This Row],[IMPORTE NETO]]*0.21</f>
        <v>0</v>
      </c>
      <c r="J1926" s="141"/>
      <c r="K1926" s="141"/>
      <c r="L1926" s="141"/>
      <c r="M1926" s="59"/>
    </row>
    <row r="1927" spans="2:13">
      <c r="B1927" s="135"/>
      <c r="C1927" s="41"/>
      <c r="D1927" s="137"/>
      <c r="E1927" s="138"/>
      <c r="F1927" s="139"/>
      <c r="G1927" s="1" t="str">
        <f>IFERROR(IF(ventas_b_mes1255[[#This Row],[CUIT]]="","-",VLOOKUP(ventas_b_mes1255[[#This Row],[CUIT]],Lista_CUIT[#All],2,0)),"CUIT NO CARGADO")</f>
        <v>-</v>
      </c>
      <c r="H1927" s="100">
        <f>ventas_b_mes1255[[#This Row],[TOTAL]]/1.21</f>
        <v>0</v>
      </c>
      <c r="I1927" s="64">
        <f>ventas_b_mes1255[[#This Row],[IMPORTE NETO]]*0.21</f>
        <v>0</v>
      </c>
      <c r="J1927" s="141"/>
      <c r="K1927" s="141"/>
      <c r="L1927" s="141"/>
      <c r="M1927" s="59"/>
    </row>
    <row r="1928" spans="2:13">
      <c r="B1928" s="135"/>
      <c r="C1928" s="41"/>
      <c r="D1928" s="137"/>
      <c r="E1928" s="138"/>
      <c r="F1928" s="139"/>
      <c r="G1928" s="1" t="str">
        <f>IFERROR(IF(ventas_b_mes1255[[#This Row],[CUIT]]="","-",VLOOKUP(ventas_b_mes1255[[#This Row],[CUIT]],Lista_CUIT[#All],2,0)),"CUIT NO CARGADO")</f>
        <v>-</v>
      </c>
      <c r="H1928" s="100">
        <f>ventas_b_mes1255[[#This Row],[TOTAL]]/1.21</f>
        <v>0</v>
      </c>
      <c r="I1928" s="64">
        <f>ventas_b_mes1255[[#This Row],[IMPORTE NETO]]*0.21</f>
        <v>0</v>
      </c>
      <c r="J1928" s="141"/>
      <c r="K1928" s="141"/>
      <c r="L1928" s="141"/>
      <c r="M1928" s="59"/>
    </row>
    <row r="1929" spans="2:13">
      <c r="B1929" s="135"/>
      <c r="C1929" s="41"/>
      <c r="D1929" s="137"/>
      <c r="E1929" s="138"/>
      <c r="F1929" s="139"/>
      <c r="G1929" s="1" t="str">
        <f>IFERROR(IF(ventas_b_mes1255[[#This Row],[CUIT]]="","-",VLOOKUP(ventas_b_mes1255[[#This Row],[CUIT]],Lista_CUIT[#All],2,0)),"CUIT NO CARGADO")</f>
        <v>-</v>
      </c>
      <c r="H1929" s="100">
        <f>ventas_b_mes1255[[#This Row],[TOTAL]]/1.21</f>
        <v>0</v>
      </c>
      <c r="I1929" s="64">
        <f>ventas_b_mes1255[[#This Row],[IMPORTE NETO]]*0.21</f>
        <v>0</v>
      </c>
      <c r="J1929" s="141"/>
      <c r="K1929" s="141"/>
      <c r="L1929" s="141"/>
      <c r="M1929" s="59"/>
    </row>
    <row r="1930" spans="2:13">
      <c r="B1930" s="135"/>
      <c r="C1930" s="41"/>
      <c r="D1930" s="137"/>
      <c r="E1930" s="138"/>
      <c r="F1930" s="139"/>
      <c r="G1930" s="1" t="str">
        <f>IFERROR(IF(ventas_b_mes1255[[#This Row],[CUIT]]="","-",VLOOKUP(ventas_b_mes1255[[#This Row],[CUIT]],Lista_CUIT[#All],2,0)),"CUIT NO CARGADO")</f>
        <v>-</v>
      </c>
      <c r="H1930" s="100">
        <f>ventas_b_mes1255[[#This Row],[TOTAL]]/1.21</f>
        <v>0</v>
      </c>
      <c r="I1930" s="64">
        <f>ventas_b_mes1255[[#This Row],[IMPORTE NETO]]*0.21</f>
        <v>0</v>
      </c>
      <c r="J1930" s="141"/>
      <c r="K1930" s="141"/>
      <c r="L1930" s="141"/>
      <c r="M1930" s="59"/>
    </row>
    <row r="1931" spans="2:13">
      <c r="B1931" s="135"/>
      <c r="C1931" s="41"/>
      <c r="D1931" s="137"/>
      <c r="E1931" s="138"/>
      <c r="F1931" s="139"/>
      <c r="G1931" s="1" t="str">
        <f>IFERROR(IF(ventas_b_mes1255[[#This Row],[CUIT]]="","-",VLOOKUP(ventas_b_mes1255[[#This Row],[CUIT]],Lista_CUIT[#All],2,0)),"CUIT NO CARGADO")</f>
        <v>-</v>
      </c>
      <c r="H1931" s="100">
        <f>ventas_b_mes1255[[#This Row],[TOTAL]]/1.21</f>
        <v>0</v>
      </c>
      <c r="I1931" s="64">
        <f>ventas_b_mes1255[[#This Row],[IMPORTE NETO]]*0.21</f>
        <v>0</v>
      </c>
      <c r="J1931" s="141"/>
      <c r="K1931" s="141"/>
      <c r="L1931" s="141"/>
      <c r="M1931" s="59"/>
    </row>
    <row r="1932" spans="2:13">
      <c r="B1932" s="135"/>
      <c r="C1932" s="41"/>
      <c r="D1932" s="137"/>
      <c r="E1932" s="138"/>
      <c r="F1932" s="139"/>
      <c r="G1932" s="1" t="str">
        <f>IFERROR(IF(ventas_b_mes1255[[#This Row],[CUIT]]="","-",VLOOKUP(ventas_b_mes1255[[#This Row],[CUIT]],Lista_CUIT[#All],2,0)),"CUIT NO CARGADO")</f>
        <v>-</v>
      </c>
      <c r="H1932" s="100">
        <f>ventas_b_mes1255[[#This Row],[TOTAL]]/1.21</f>
        <v>0</v>
      </c>
      <c r="I1932" s="64">
        <f>ventas_b_mes1255[[#This Row],[IMPORTE NETO]]*0.21</f>
        <v>0</v>
      </c>
      <c r="J1932" s="141"/>
      <c r="K1932" s="141"/>
      <c r="L1932" s="141"/>
      <c r="M1932" s="59"/>
    </row>
    <row r="1933" spans="2:13">
      <c r="B1933" s="135"/>
      <c r="C1933" s="41"/>
      <c r="D1933" s="137"/>
      <c r="E1933" s="138"/>
      <c r="F1933" s="139"/>
      <c r="G1933" s="1" t="str">
        <f>IFERROR(IF(ventas_b_mes1255[[#This Row],[CUIT]]="","-",VLOOKUP(ventas_b_mes1255[[#This Row],[CUIT]],Lista_CUIT[#All],2,0)),"CUIT NO CARGADO")</f>
        <v>-</v>
      </c>
      <c r="H1933" s="100">
        <f>ventas_b_mes1255[[#This Row],[TOTAL]]/1.21</f>
        <v>0</v>
      </c>
      <c r="I1933" s="64">
        <f>ventas_b_mes1255[[#This Row],[IMPORTE NETO]]*0.21</f>
        <v>0</v>
      </c>
      <c r="J1933" s="141"/>
      <c r="K1933" s="141"/>
      <c r="L1933" s="141"/>
      <c r="M1933" s="59"/>
    </row>
    <row r="1934" spans="2:13">
      <c r="B1934" s="135"/>
      <c r="C1934" s="41"/>
      <c r="D1934" s="137"/>
      <c r="E1934" s="138"/>
      <c r="F1934" s="139"/>
      <c r="G1934" s="1" t="str">
        <f>IFERROR(IF(ventas_b_mes1255[[#This Row],[CUIT]]="","-",VLOOKUP(ventas_b_mes1255[[#This Row],[CUIT]],Lista_CUIT[#All],2,0)),"CUIT NO CARGADO")</f>
        <v>-</v>
      </c>
      <c r="H1934" s="100">
        <f>ventas_b_mes1255[[#This Row],[TOTAL]]/1.21</f>
        <v>0</v>
      </c>
      <c r="I1934" s="64">
        <f>ventas_b_mes1255[[#This Row],[IMPORTE NETO]]*0.21</f>
        <v>0</v>
      </c>
      <c r="J1934" s="141"/>
      <c r="K1934" s="141"/>
      <c r="L1934" s="141"/>
      <c r="M1934" s="59"/>
    </row>
    <row r="1935" spans="2:13">
      <c r="B1935" s="135"/>
      <c r="C1935" s="41"/>
      <c r="D1935" s="137"/>
      <c r="E1935" s="138"/>
      <c r="F1935" s="139"/>
      <c r="G1935" s="1" t="str">
        <f>IFERROR(IF(ventas_b_mes1255[[#This Row],[CUIT]]="","-",VLOOKUP(ventas_b_mes1255[[#This Row],[CUIT]],Lista_CUIT[#All],2,0)),"CUIT NO CARGADO")</f>
        <v>-</v>
      </c>
      <c r="H1935" s="100">
        <f>ventas_b_mes1255[[#This Row],[TOTAL]]/1.21</f>
        <v>0</v>
      </c>
      <c r="I1935" s="64">
        <f>ventas_b_mes1255[[#This Row],[IMPORTE NETO]]*0.21</f>
        <v>0</v>
      </c>
      <c r="J1935" s="141"/>
      <c r="K1935" s="141"/>
      <c r="L1935" s="141"/>
      <c r="M1935" s="59"/>
    </row>
    <row r="1936" spans="2:13">
      <c r="B1936" s="135"/>
      <c r="C1936" s="41"/>
      <c r="D1936" s="137"/>
      <c r="E1936" s="138"/>
      <c r="F1936" s="139"/>
      <c r="G1936" s="1" t="str">
        <f>IFERROR(IF(ventas_b_mes1255[[#This Row],[CUIT]]="","-",VLOOKUP(ventas_b_mes1255[[#This Row],[CUIT]],Lista_CUIT[#All],2,0)),"CUIT NO CARGADO")</f>
        <v>-</v>
      </c>
      <c r="H1936" s="100">
        <f>ventas_b_mes1255[[#This Row],[TOTAL]]/1.21</f>
        <v>0</v>
      </c>
      <c r="I1936" s="64">
        <f>ventas_b_mes1255[[#This Row],[IMPORTE NETO]]*0.21</f>
        <v>0</v>
      </c>
      <c r="J1936" s="141"/>
      <c r="K1936" s="141"/>
      <c r="L1936" s="141"/>
      <c r="M1936" s="59"/>
    </row>
    <row r="1937" spans="2:13">
      <c r="B1937" s="135"/>
      <c r="C1937" s="41"/>
      <c r="D1937" s="137"/>
      <c r="E1937" s="138"/>
      <c r="F1937" s="139"/>
      <c r="G1937" s="1" t="str">
        <f>IFERROR(IF(ventas_b_mes1255[[#This Row],[CUIT]]="","-",VLOOKUP(ventas_b_mes1255[[#This Row],[CUIT]],Lista_CUIT[#All],2,0)),"CUIT NO CARGADO")</f>
        <v>-</v>
      </c>
      <c r="H1937" s="100">
        <f>ventas_b_mes1255[[#This Row],[TOTAL]]/1.21</f>
        <v>0</v>
      </c>
      <c r="I1937" s="64">
        <f>ventas_b_mes1255[[#This Row],[IMPORTE NETO]]*0.21</f>
        <v>0</v>
      </c>
      <c r="J1937" s="141"/>
      <c r="K1937" s="141"/>
      <c r="L1937" s="141"/>
      <c r="M1937" s="59"/>
    </row>
    <row r="1938" spans="2:13">
      <c r="B1938" s="135"/>
      <c r="C1938" s="41"/>
      <c r="D1938" s="137"/>
      <c r="E1938" s="138"/>
      <c r="F1938" s="139"/>
      <c r="G1938" s="1" t="str">
        <f>IFERROR(IF(ventas_b_mes1255[[#This Row],[CUIT]]="","-",VLOOKUP(ventas_b_mes1255[[#This Row],[CUIT]],Lista_CUIT[#All],2,0)),"CUIT NO CARGADO")</f>
        <v>-</v>
      </c>
      <c r="H1938" s="100">
        <f>ventas_b_mes1255[[#This Row],[TOTAL]]/1.21</f>
        <v>0</v>
      </c>
      <c r="I1938" s="64">
        <f>ventas_b_mes1255[[#This Row],[IMPORTE NETO]]*0.21</f>
        <v>0</v>
      </c>
      <c r="J1938" s="141"/>
      <c r="K1938" s="141"/>
      <c r="L1938" s="141"/>
      <c r="M1938" s="59"/>
    </row>
    <row r="1939" spans="2:13">
      <c r="B1939" s="135"/>
      <c r="C1939" s="41"/>
      <c r="D1939" s="137"/>
      <c r="E1939" s="138"/>
      <c r="F1939" s="139"/>
      <c r="G1939" s="1" t="str">
        <f>IFERROR(IF(ventas_b_mes1255[[#This Row],[CUIT]]="","-",VLOOKUP(ventas_b_mes1255[[#This Row],[CUIT]],Lista_CUIT[#All],2,0)),"CUIT NO CARGADO")</f>
        <v>-</v>
      </c>
      <c r="H1939" s="100">
        <f>ventas_b_mes1255[[#This Row],[TOTAL]]/1.21</f>
        <v>0</v>
      </c>
      <c r="I1939" s="64">
        <f>ventas_b_mes1255[[#This Row],[IMPORTE NETO]]*0.21</f>
        <v>0</v>
      </c>
      <c r="J1939" s="141"/>
      <c r="K1939" s="141"/>
      <c r="L1939" s="141"/>
      <c r="M1939" s="59"/>
    </row>
    <row r="1940" spans="2:13">
      <c r="B1940" s="135"/>
      <c r="C1940" s="41"/>
      <c r="D1940" s="137"/>
      <c r="E1940" s="138"/>
      <c r="F1940" s="139"/>
      <c r="G1940" s="1" t="str">
        <f>IFERROR(IF(ventas_b_mes1255[[#This Row],[CUIT]]="","-",VLOOKUP(ventas_b_mes1255[[#This Row],[CUIT]],Lista_CUIT[#All],2,0)),"CUIT NO CARGADO")</f>
        <v>-</v>
      </c>
      <c r="H1940" s="100">
        <f>ventas_b_mes1255[[#This Row],[TOTAL]]/1.21</f>
        <v>0</v>
      </c>
      <c r="I1940" s="64">
        <f>ventas_b_mes1255[[#This Row],[IMPORTE NETO]]*0.21</f>
        <v>0</v>
      </c>
      <c r="J1940" s="141"/>
      <c r="K1940" s="141"/>
      <c r="L1940" s="141"/>
      <c r="M1940" s="59"/>
    </row>
    <row r="1941" spans="2:13">
      <c r="B1941" s="135"/>
      <c r="C1941" s="41"/>
      <c r="D1941" s="137"/>
      <c r="E1941" s="138"/>
      <c r="F1941" s="139"/>
      <c r="G1941" s="1" t="str">
        <f>IFERROR(IF(ventas_b_mes1255[[#This Row],[CUIT]]="","-",VLOOKUP(ventas_b_mes1255[[#This Row],[CUIT]],Lista_CUIT[#All],2,0)),"CUIT NO CARGADO")</f>
        <v>-</v>
      </c>
      <c r="H1941" s="100">
        <f>ventas_b_mes1255[[#This Row],[TOTAL]]/1.21</f>
        <v>0</v>
      </c>
      <c r="I1941" s="64">
        <f>ventas_b_mes1255[[#This Row],[IMPORTE NETO]]*0.21</f>
        <v>0</v>
      </c>
      <c r="J1941" s="141"/>
      <c r="K1941" s="141"/>
      <c r="L1941" s="141"/>
      <c r="M1941" s="59"/>
    </row>
    <row r="1942" spans="2:13">
      <c r="B1942" s="135"/>
      <c r="C1942" s="41"/>
      <c r="D1942" s="137"/>
      <c r="E1942" s="138"/>
      <c r="F1942" s="139"/>
      <c r="G1942" s="1" t="str">
        <f>IFERROR(IF(ventas_b_mes1255[[#This Row],[CUIT]]="","-",VLOOKUP(ventas_b_mes1255[[#This Row],[CUIT]],Lista_CUIT[#All],2,0)),"CUIT NO CARGADO")</f>
        <v>-</v>
      </c>
      <c r="H1942" s="100">
        <f>ventas_b_mes1255[[#This Row],[TOTAL]]/1.21</f>
        <v>0</v>
      </c>
      <c r="I1942" s="64">
        <f>ventas_b_mes1255[[#This Row],[IMPORTE NETO]]*0.21</f>
        <v>0</v>
      </c>
      <c r="J1942" s="141"/>
      <c r="K1942" s="141"/>
      <c r="L1942" s="141"/>
      <c r="M1942" s="59"/>
    </row>
    <row r="1943" spans="2:13">
      <c r="B1943" s="135"/>
      <c r="C1943" s="41"/>
      <c r="D1943" s="137"/>
      <c r="E1943" s="138"/>
      <c r="F1943" s="139"/>
      <c r="G1943" s="1" t="str">
        <f>IFERROR(IF(ventas_b_mes1255[[#This Row],[CUIT]]="","-",VLOOKUP(ventas_b_mes1255[[#This Row],[CUIT]],Lista_CUIT[#All],2,0)),"CUIT NO CARGADO")</f>
        <v>-</v>
      </c>
      <c r="H1943" s="100">
        <f>ventas_b_mes1255[[#This Row],[TOTAL]]/1.21</f>
        <v>0</v>
      </c>
      <c r="I1943" s="64">
        <f>ventas_b_mes1255[[#This Row],[IMPORTE NETO]]*0.21</f>
        <v>0</v>
      </c>
      <c r="J1943" s="141"/>
      <c r="K1943" s="141"/>
      <c r="L1943" s="141"/>
      <c r="M1943" s="59"/>
    </row>
    <row r="1944" spans="2:13">
      <c r="B1944" s="135"/>
      <c r="C1944" s="41"/>
      <c r="D1944" s="137"/>
      <c r="E1944" s="138"/>
      <c r="F1944" s="139"/>
      <c r="G1944" s="1" t="str">
        <f>IFERROR(IF(ventas_b_mes1255[[#This Row],[CUIT]]="","-",VLOOKUP(ventas_b_mes1255[[#This Row],[CUIT]],Lista_CUIT[#All],2,0)),"CUIT NO CARGADO")</f>
        <v>-</v>
      </c>
      <c r="H1944" s="100">
        <f>ventas_b_mes1255[[#This Row],[TOTAL]]/1.21</f>
        <v>0</v>
      </c>
      <c r="I1944" s="64">
        <f>ventas_b_mes1255[[#This Row],[IMPORTE NETO]]*0.21</f>
        <v>0</v>
      </c>
      <c r="J1944" s="141"/>
      <c r="K1944" s="141"/>
      <c r="L1944" s="141"/>
      <c r="M1944" s="59"/>
    </row>
    <row r="1945" spans="2:13">
      <c r="B1945" s="135"/>
      <c r="C1945" s="41"/>
      <c r="D1945" s="137"/>
      <c r="E1945" s="138"/>
      <c r="F1945" s="139"/>
      <c r="G1945" s="1" t="str">
        <f>IFERROR(IF(ventas_b_mes1255[[#This Row],[CUIT]]="","-",VLOOKUP(ventas_b_mes1255[[#This Row],[CUIT]],Lista_CUIT[#All],2,0)),"CUIT NO CARGADO")</f>
        <v>-</v>
      </c>
      <c r="H1945" s="100">
        <f>ventas_b_mes1255[[#This Row],[TOTAL]]/1.21</f>
        <v>0</v>
      </c>
      <c r="I1945" s="64">
        <f>ventas_b_mes1255[[#This Row],[IMPORTE NETO]]*0.21</f>
        <v>0</v>
      </c>
      <c r="J1945" s="141"/>
      <c r="K1945" s="141"/>
      <c r="L1945" s="141"/>
      <c r="M1945" s="59"/>
    </row>
    <row r="1946" spans="2:13">
      <c r="B1946" s="135"/>
      <c r="C1946" s="41"/>
      <c r="D1946" s="137"/>
      <c r="E1946" s="138"/>
      <c r="F1946" s="139"/>
      <c r="G1946" s="1" t="str">
        <f>IFERROR(IF(ventas_b_mes1255[[#This Row],[CUIT]]="","-",VLOOKUP(ventas_b_mes1255[[#This Row],[CUIT]],Lista_CUIT[#All],2,0)),"CUIT NO CARGADO")</f>
        <v>-</v>
      </c>
      <c r="H1946" s="100">
        <f>ventas_b_mes1255[[#This Row],[TOTAL]]/1.21</f>
        <v>0</v>
      </c>
      <c r="I1946" s="64">
        <f>ventas_b_mes1255[[#This Row],[IMPORTE NETO]]*0.21</f>
        <v>0</v>
      </c>
      <c r="J1946" s="141"/>
      <c r="K1946" s="141"/>
      <c r="L1946" s="141"/>
      <c r="M1946" s="59"/>
    </row>
    <row r="1947" spans="2:13">
      <c r="B1947" s="135"/>
      <c r="C1947" s="41"/>
      <c r="D1947" s="137"/>
      <c r="E1947" s="138"/>
      <c r="F1947" s="139"/>
      <c r="G1947" s="1" t="str">
        <f>IFERROR(IF(ventas_b_mes1255[[#This Row],[CUIT]]="","-",VLOOKUP(ventas_b_mes1255[[#This Row],[CUIT]],Lista_CUIT[#All],2,0)),"CUIT NO CARGADO")</f>
        <v>-</v>
      </c>
      <c r="H1947" s="100">
        <f>ventas_b_mes1255[[#This Row],[TOTAL]]/1.21</f>
        <v>0</v>
      </c>
      <c r="I1947" s="64">
        <f>ventas_b_mes1255[[#This Row],[IMPORTE NETO]]*0.21</f>
        <v>0</v>
      </c>
      <c r="J1947" s="141"/>
      <c r="K1947" s="141"/>
      <c r="L1947" s="141"/>
      <c r="M1947" s="59"/>
    </row>
    <row r="1948" spans="2:13">
      <c r="B1948" s="135"/>
      <c r="C1948" s="41"/>
      <c r="D1948" s="137"/>
      <c r="E1948" s="138"/>
      <c r="F1948" s="139"/>
      <c r="G1948" s="1" t="str">
        <f>IFERROR(IF(ventas_b_mes1255[[#This Row],[CUIT]]="","-",VLOOKUP(ventas_b_mes1255[[#This Row],[CUIT]],Lista_CUIT[#All],2,0)),"CUIT NO CARGADO")</f>
        <v>-</v>
      </c>
      <c r="H1948" s="100">
        <f>ventas_b_mes1255[[#This Row],[TOTAL]]/1.21</f>
        <v>0</v>
      </c>
      <c r="I1948" s="64">
        <f>ventas_b_mes1255[[#This Row],[IMPORTE NETO]]*0.21</f>
        <v>0</v>
      </c>
      <c r="J1948" s="141"/>
      <c r="K1948" s="141"/>
      <c r="L1948" s="141"/>
      <c r="M1948" s="59"/>
    </row>
    <row r="1949" spans="2:13">
      <c r="B1949" s="135"/>
      <c r="C1949" s="41"/>
      <c r="D1949" s="137"/>
      <c r="E1949" s="138"/>
      <c r="F1949" s="139"/>
      <c r="G1949" s="1" t="str">
        <f>IFERROR(IF(ventas_b_mes1255[[#This Row],[CUIT]]="","-",VLOOKUP(ventas_b_mes1255[[#This Row],[CUIT]],Lista_CUIT[#All],2,0)),"CUIT NO CARGADO")</f>
        <v>-</v>
      </c>
      <c r="H1949" s="100">
        <f>ventas_b_mes1255[[#This Row],[TOTAL]]/1.21</f>
        <v>0</v>
      </c>
      <c r="I1949" s="64">
        <f>ventas_b_mes1255[[#This Row],[IMPORTE NETO]]*0.21</f>
        <v>0</v>
      </c>
      <c r="J1949" s="141"/>
      <c r="K1949" s="141"/>
      <c r="L1949" s="141"/>
      <c r="M1949" s="59"/>
    </row>
    <row r="1950" spans="2:13">
      <c r="B1950" s="135"/>
      <c r="C1950" s="41"/>
      <c r="D1950" s="137"/>
      <c r="E1950" s="138"/>
      <c r="F1950" s="139"/>
      <c r="G1950" s="1" t="str">
        <f>IFERROR(IF(ventas_b_mes1255[[#This Row],[CUIT]]="","-",VLOOKUP(ventas_b_mes1255[[#This Row],[CUIT]],Lista_CUIT[#All],2,0)),"CUIT NO CARGADO")</f>
        <v>-</v>
      </c>
      <c r="H1950" s="100">
        <f>ventas_b_mes1255[[#This Row],[TOTAL]]/1.21</f>
        <v>0</v>
      </c>
      <c r="I1950" s="64">
        <f>ventas_b_mes1255[[#This Row],[IMPORTE NETO]]*0.21</f>
        <v>0</v>
      </c>
      <c r="J1950" s="141"/>
      <c r="K1950" s="141"/>
      <c r="L1950" s="141"/>
      <c r="M1950" s="59"/>
    </row>
    <row r="1951" spans="2:13">
      <c r="B1951" s="135"/>
      <c r="C1951" s="41"/>
      <c r="D1951" s="137"/>
      <c r="E1951" s="138"/>
      <c r="F1951" s="139"/>
      <c r="G1951" s="1" t="str">
        <f>IFERROR(IF(ventas_b_mes1255[[#This Row],[CUIT]]="","-",VLOOKUP(ventas_b_mes1255[[#This Row],[CUIT]],Lista_CUIT[#All],2,0)),"CUIT NO CARGADO")</f>
        <v>-</v>
      </c>
      <c r="H1951" s="100">
        <f>ventas_b_mes1255[[#This Row],[TOTAL]]/1.21</f>
        <v>0</v>
      </c>
      <c r="I1951" s="64">
        <f>ventas_b_mes1255[[#This Row],[IMPORTE NETO]]*0.21</f>
        <v>0</v>
      </c>
      <c r="J1951" s="141"/>
      <c r="K1951" s="141"/>
      <c r="L1951" s="141"/>
      <c r="M1951" s="59"/>
    </row>
    <row r="1952" spans="2:13">
      <c r="B1952" s="135"/>
      <c r="C1952" s="41"/>
      <c r="D1952" s="137"/>
      <c r="E1952" s="138"/>
      <c r="F1952" s="139"/>
      <c r="G1952" s="1" t="str">
        <f>IFERROR(IF(ventas_b_mes1255[[#This Row],[CUIT]]="","-",VLOOKUP(ventas_b_mes1255[[#This Row],[CUIT]],Lista_CUIT[#All],2,0)),"CUIT NO CARGADO")</f>
        <v>-</v>
      </c>
      <c r="H1952" s="100">
        <f>ventas_b_mes1255[[#This Row],[TOTAL]]/1.21</f>
        <v>0</v>
      </c>
      <c r="I1952" s="64">
        <f>ventas_b_mes1255[[#This Row],[IMPORTE NETO]]*0.21</f>
        <v>0</v>
      </c>
      <c r="J1952" s="141"/>
      <c r="K1952" s="141"/>
      <c r="L1952" s="141"/>
      <c r="M1952" s="59"/>
    </row>
    <row r="1953" spans="2:13">
      <c r="B1953" s="135"/>
      <c r="C1953" s="41"/>
      <c r="D1953" s="137"/>
      <c r="E1953" s="138"/>
      <c r="F1953" s="139"/>
      <c r="G1953" s="1" t="str">
        <f>IFERROR(IF(ventas_b_mes1255[[#This Row],[CUIT]]="","-",VLOOKUP(ventas_b_mes1255[[#This Row],[CUIT]],Lista_CUIT[#All],2,0)),"CUIT NO CARGADO")</f>
        <v>-</v>
      </c>
      <c r="H1953" s="100">
        <f>ventas_b_mes1255[[#This Row],[TOTAL]]/1.21</f>
        <v>0</v>
      </c>
      <c r="I1953" s="64">
        <f>ventas_b_mes1255[[#This Row],[IMPORTE NETO]]*0.21</f>
        <v>0</v>
      </c>
      <c r="J1953" s="141"/>
      <c r="K1953" s="141"/>
      <c r="L1953" s="141"/>
      <c r="M1953" s="59"/>
    </row>
    <row r="1954" spans="2:13">
      <c r="B1954" s="135"/>
      <c r="C1954" s="41"/>
      <c r="D1954" s="137"/>
      <c r="E1954" s="138"/>
      <c r="F1954" s="139"/>
      <c r="G1954" s="1" t="str">
        <f>IFERROR(IF(ventas_b_mes1255[[#This Row],[CUIT]]="","-",VLOOKUP(ventas_b_mes1255[[#This Row],[CUIT]],Lista_CUIT[#All],2,0)),"CUIT NO CARGADO")</f>
        <v>-</v>
      </c>
      <c r="H1954" s="100">
        <f>ventas_b_mes1255[[#This Row],[TOTAL]]/1.21</f>
        <v>0</v>
      </c>
      <c r="I1954" s="64">
        <f>ventas_b_mes1255[[#This Row],[IMPORTE NETO]]*0.21</f>
        <v>0</v>
      </c>
      <c r="J1954" s="141"/>
      <c r="K1954" s="141"/>
      <c r="L1954" s="141"/>
      <c r="M1954" s="59"/>
    </row>
    <row r="1955" spans="2:13">
      <c r="B1955" s="135"/>
      <c r="C1955" s="41"/>
      <c r="D1955" s="137"/>
      <c r="E1955" s="138"/>
      <c r="F1955" s="139"/>
      <c r="G1955" s="1" t="str">
        <f>IFERROR(IF(ventas_b_mes1255[[#This Row],[CUIT]]="","-",VLOOKUP(ventas_b_mes1255[[#This Row],[CUIT]],Lista_CUIT[#All],2,0)),"CUIT NO CARGADO")</f>
        <v>-</v>
      </c>
      <c r="H1955" s="100">
        <f>ventas_b_mes1255[[#This Row],[TOTAL]]/1.21</f>
        <v>0</v>
      </c>
      <c r="I1955" s="64">
        <f>ventas_b_mes1255[[#This Row],[IMPORTE NETO]]*0.21</f>
        <v>0</v>
      </c>
      <c r="J1955" s="141"/>
      <c r="K1955" s="141"/>
      <c r="L1955" s="141"/>
      <c r="M1955" s="59"/>
    </row>
    <row r="1956" spans="2:13">
      <c r="B1956" s="135"/>
      <c r="C1956" s="41"/>
      <c r="D1956" s="137"/>
      <c r="E1956" s="138"/>
      <c r="F1956" s="139"/>
      <c r="G1956" s="1" t="str">
        <f>IFERROR(IF(ventas_b_mes1255[[#This Row],[CUIT]]="","-",VLOOKUP(ventas_b_mes1255[[#This Row],[CUIT]],Lista_CUIT[#All],2,0)),"CUIT NO CARGADO")</f>
        <v>-</v>
      </c>
      <c r="H1956" s="100">
        <f>ventas_b_mes1255[[#This Row],[TOTAL]]/1.21</f>
        <v>0</v>
      </c>
      <c r="I1956" s="64">
        <f>ventas_b_mes1255[[#This Row],[IMPORTE NETO]]*0.21</f>
        <v>0</v>
      </c>
      <c r="J1956" s="141"/>
      <c r="K1956" s="141"/>
      <c r="L1956" s="141"/>
      <c r="M1956" s="59"/>
    </row>
    <row r="1957" spans="2:13">
      <c r="B1957" s="135"/>
      <c r="C1957" s="41"/>
      <c r="D1957" s="137"/>
      <c r="E1957" s="138"/>
      <c r="F1957" s="139"/>
      <c r="G1957" s="1" t="str">
        <f>IFERROR(IF(ventas_b_mes1255[[#This Row],[CUIT]]="","-",VLOOKUP(ventas_b_mes1255[[#This Row],[CUIT]],Lista_CUIT[#All],2,0)),"CUIT NO CARGADO")</f>
        <v>-</v>
      </c>
      <c r="H1957" s="100">
        <f>ventas_b_mes1255[[#This Row],[TOTAL]]/1.21</f>
        <v>0</v>
      </c>
      <c r="I1957" s="64">
        <f>ventas_b_mes1255[[#This Row],[IMPORTE NETO]]*0.21</f>
        <v>0</v>
      </c>
      <c r="J1957" s="141"/>
      <c r="K1957" s="141"/>
      <c r="L1957" s="141"/>
      <c r="M1957" s="59"/>
    </row>
    <row r="1958" spans="2:13">
      <c r="B1958" s="135"/>
      <c r="C1958" s="41"/>
      <c r="D1958" s="137"/>
      <c r="E1958" s="138"/>
      <c r="F1958" s="139"/>
      <c r="G1958" s="1" t="str">
        <f>IFERROR(IF(ventas_b_mes1255[[#This Row],[CUIT]]="","-",VLOOKUP(ventas_b_mes1255[[#This Row],[CUIT]],Lista_CUIT[#All],2,0)),"CUIT NO CARGADO")</f>
        <v>-</v>
      </c>
      <c r="H1958" s="100">
        <f>ventas_b_mes1255[[#This Row],[TOTAL]]/1.21</f>
        <v>0</v>
      </c>
      <c r="I1958" s="64">
        <f>ventas_b_mes1255[[#This Row],[IMPORTE NETO]]*0.21</f>
        <v>0</v>
      </c>
      <c r="J1958" s="141"/>
      <c r="K1958" s="141"/>
      <c r="L1958" s="141"/>
      <c r="M1958" s="59"/>
    </row>
    <row r="1959" spans="2:13">
      <c r="B1959" s="135"/>
      <c r="C1959" s="41"/>
      <c r="D1959" s="137"/>
      <c r="E1959" s="138"/>
      <c r="F1959" s="139"/>
      <c r="G1959" s="1" t="str">
        <f>IFERROR(IF(ventas_b_mes1255[[#This Row],[CUIT]]="","-",VLOOKUP(ventas_b_mes1255[[#This Row],[CUIT]],Lista_CUIT[#All],2,0)),"CUIT NO CARGADO")</f>
        <v>-</v>
      </c>
      <c r="H1959" s="100">
        <f>ventas_b_mes1255[[#This Row],[TOTAL]]/1.21</f>
        <v>0</v>
      </c>
      <c r="I1959" s="64">
        <f>ventas_b_mes1255[[#This Row],[IMPORTE NETO]]*0.21</f>
        <v>0</v>
      </c>
      <c r="J1959" s="141"/>
      <c r="K1959" s="141"/>
      <c r="L1959" s="141"/>
      <c r="M1959" s="59"/>
    </row>
    <row r="1960" spans="2:13">
      <c r="B1960" s="135"/>
      <c r="C1960" s="41"/>
      <c r="D1960" s="137"/>
      <c r="E1960" s="138"/>
      <c r="F1960" s="139"/>
      <c r="G1960" s="1" t="str">
        <f>IFERROR(IF(ventas_b_mes1255[[#This Row],[CUIT]]="","-",VLOOKUP(ventas_b_mes1255[[#This Row],[CUIT]],Lista_CUIT[#All],2,0)),"CUIT NO CARGADO")</f>
        <v>-</v>
      </c>
      <c r="H1960" s="100">
        <f>ventas_b_mes1255[[#This Row],[TOTAL]]/1.21</f>
        <v>0</v>
      </c>
      <c r="I1960" s="64">
        <f>ventas_b_mes1255[[#This Row],[IMPORTE NETO]]*0.21</f>
        <v>0</v>
      </c>
      <c r="J1960" s="141"/>
      <c r="K1960" s="141"/>
      <c r="L1960" s="141"/>
      <c r="M1960" s="59"/>
    </row>
    <row r="1961" spans="2:13">
      <c r="B1961" s="135"/>
      <c r="C1961" s="41"/>
      <c r="D1961" s="137"/>
      <c r="E1961" s="138"/>
      <c r="F1961" s="139"/>
      <c r="G1961" s="1" t="str">
        <f>IFERROR(IF(ventas_b_mes1255[[#This Row],[CUIT]]="","-",VLOOKUP(ventas_b_mes1255[[#This Row],[CUIT]],Lista_CUIT[#All],2,0)),"CUIT NO CARGADO")</f>
        <v>-</v>
      </c>
      <c r="H1961" s="100">
        <f>ventas_b_mes1255[[#This Row],[TOTAL]]/1.21</f>
        <v>0</v>
      </c>
      <c r="I1961" s="64">
        <f>ventas_b_mes1255[[#This Row],[IMPORTE NETO]]*0.21</f>
        <v>0</v>
      </c>
      <c r="J1961" s="141"/>
      <c r="K1961" s="141"/>
      <c r="L1961" s="141"/>
      <c r="M1961" s="59"/>
    </row>
    <row r="1962" spans="2:13">
      <c r="B1962" s="135"/>
      <c r="C1962" s="41"/>
      <c r="D1962" s="137"/>
      <c r="E1962" s="138"/>
      <c r="F1962" s="139"/>
      <c r="G1962" s="1" t="str">
        <f>IFERROR(IF(ventas_b_mes1255[[#This Row],[CUIT]]="","-",VLOOKUP(ventas_b_mes1255[[#This Row],[CUIT]],Lista_CUIT[#All],2,0)),"CUIT NO CARGADO")</f>
        <v>-</v>
      </c>
      <c r="H1962" s="100">
        <f>ventas_b_mes1255[[#This Row],[TOTAL]]/1.21</f>
        <v>0</v>
      </c>
      <c r="I1962" s="64">
        <f>ventas_b_mes1255[[#This Row],[IMPORTE NETO]]*0.21</f>
        <v>0</v>
      </c>
      <c r="J1962" s="141"/>
      <c r="K1962" s="141"/>
      <c r="L1962" s="141"/>
      <c r="M1962" s="59"/>
    </row>
    <row r="1963" spans="2:13">
      <c r="B1963" s="135"/>
      <c r="C1963" s="41"/>
      <c r="D1963" s="137"/>
      <c r="E1963" s="138"/>
      <c r="F1963" s="139"/>
      <c r="G1963" s="1" t="str">
        <f>IFERROR(IF(ventas_b_mes1255[[#This Row],[CUIT]]="","-",VLOOKUP(ventas_b_mes1255[[#This Row],[CUIT]],Lista_CUIT[#All],2,0)),"CUIT NO CARGADO")</f>
        <v>-</v>
      </c>
      <c r="H1963" s="100">
        <f>ventas_b_mes1255[[#This Row],[TOTAL]]/1.21</f>
        <v>0</v>
      </c>
      <c r="I1963" s="64">
        <f>ventas_b_mes1255[[#This Row],[IMPORTE NETO]]*0.21</f>
        <v>0</v>
      </c>
      <c r="J1963" s="141"/>
      <c r="K1963" s="141"/>
      <c r="L1963" s="141"/>
      <c r="M1963" s="59"/>
    </row>
    <row r="1964" spans="2:13">
      <c r="B1964" s="135"/>
      <c r="C1964" s="41"/>
      <c r="D1964" s="137"/>
      <c r="E1964" s="138"/>
      <c r="F1964" s="139"/>
      <c r="G1964" s="1" t="str">
        <f>IFERROR(IF(ventas_b_mes1255[[#This Row],[CUIT]]="","-",VLOOKUP(ventas_b_mes1255[[#This Row],[CUIT]],Lista_CUIT[#All],2,0)),"CUIT NO CARGADO")</f>
        <v>-</v>
      </c>
      <c r="H1964" s="100">
        <f>ventas_b_mes1255[[#This Row],[TOTAL]]/1.21</f>
        <v>0</v>
      </c>
      <c r="I1964" s="64">
        <f>ventas_b_mes1255[[#This Row],[IMPORTE NETO]]*0.21</f>
        <v>0</v>
      </c>
      <c r="J1964" s="141"/>
      <c r="K1964" s="141"/>
      <c r="L1964" s="141"/>
      <c r="M1964" s="59"/>
    </row>
    <row r="1965" spans="2:13">
      <c r="B1965" s="135"/>
      <c r="C1965" s="41"/>
      <c r="D1965" s="137"/>
      <c r="E1965" s="138"/>
      <c r="F1965" s="139"/>
      <c r="G1965" s="1" t="str">
        <f>IFERROR(IF(ventas_b_mes1255[[#This Row],[CUIT]]="","-",VLOOKUP(ventas_b_mes1255[[#This Row],[CUIT]],Lista_CUIT[#All],2,0)),"CUIT NO CARGADO")</f>
        <v>-</v>
      </c>
      <c r="H1965" s="100">
        <f>ventas_b_mes1255[[#This Row],[TOTAL]]/1.21</f>
        <v>0</v>
      </c>
      <c r="I1965" s="64">
        <f>ventas_b_mes1255[[#This Row],[IMPORTE NETO]]*0.21</f>
        <v>0</v>
      </c>
      <c r="J1965" s="141"/>
      <c r="K1965" s="141"/>
      <c r="L1965" s="141"/>
      <c r="M1965" s="59"/>
    </row>
    <row r="1966" spans="2:13">
      <c r="B1966" s="135"/>
      <c r="C1966" s="41"/>
      <c r="D1966" s="137"/>
      <c r="E1966" s="138"/>
      <c r="F1966" s="139"/>
      <c r="G1966" s="1" t="str">
        <f>IFERROR(IF(ventas_b_mes1255[[#This Row],[CUIT]]="","-",VLOOKUP(ventas_b_mes1255[[#This Row],[CUIT]],Lista_CUIT[#All],2,0)),"CUIT NO CARGADO")</f>
        <v>-</v>
      </c>
      <c r="H1966" s="100">
        <f>ventas_b_mes1255[[#This Row],[TOTAL]]/1.21</f>
        <v>0</v>
      </c>
      <c r="I1966" s="64">
        <f>ventas_b_mes1255[[#This Row],[IMPORTE NETO]]*0.21</f>
        <v>0</v>
      </c>
      <c r="J1966" s="141"/>
      <c r="K1966" s="141"/>
      <c r="L1966" s="141"/>
      <c r="M1966" s="59"/>
    </row>
    <row r="1967" spans="2:13">
      <c r="B1967" s="135"/>
      <c r="C1967" s="41"/>
      <c r="D1967" s="137"/>
      <c r="E1967" s="138"/>
      <c r="F1967" s="139"/>
      <c r="G1967" s="1" t="str">
        <f>IFERROR(IF(ventas_b_mes1255[[#This Row],[CUIT]]="","-",VLOOKUP(ventas_b_mes1255[[#This Row],[CUIT]],Lista_CUIT[#All],2,0)),"CUIT NO CARGADO")</f>
        <v>-</v>
      </c>
      <c r="H1967" s="100">
        <f>ventas_b_mes1255[[#This Row],[TOTAL]]/1.21</f>
        <v>0</v>
      </c>
      <c r="I1967" s="64">
        <f>ventas_b_mes1255[[#This Row],[IMPORTE NETO]]*0.21</f>
        <v>0</v>
      </c>
      <c r="J1967" s="141"/>
      <c r="K1967" s="141"/>
      <c r="L1967" s="141"/>
      <c r="M1967" s="59"/>
    </row>
    <row r="1968" spans="2:13">
      <c r="B1968" s="135"/>
      <c r="C1968" s="41"/>
      <c r="D1968" s="137"/>
      <c r="E1968" s="138"/>
      <c r="F1968" s="139"/>
      <c r="G1968" s="1" t="str">
        <f>IFERROR(IF(ventas_b_mes1255[[#This Row],[CUIT]]="","-",VLOOKUP(ventas_b_mes1255[[#This Row],[CUIT]],Lista_CUIT[#All],2,0)),"CUIT NO CARGADO")</f>
        <v>-</v>
      </c>
      <c r="H1968" s="100">
        <f>ventas_b_mes1255[[#This Row],[TOTAL]]/1.21</f>
        <v>0</v>
      </c>
      <c r="I1968" s="64">
        <f>ventas_b_mes1255[[#This Row],[IMPORTE NETO]]*0.21</f>
        <v>0</v>
      </c>
      <c r="J1968" s="141"/>
      <c r="K1968" s="141"/>
      <c r="L1968" s="141"/>
      <c r="M1968" s="59"/>
    </row>
    <row r="1969" spans="2:13">
      <c r="B1969" s="135"/>
      <c r="C1969" s="41"/>
      <c r="D1969" s="137"/>
      <c r="E1969" s="138"/>
      <c r="F1969" s="139"/>
      <c r="G1969" s="1" t="str">
        <f>IFERROR(IF(ventas_b_mes1255[[#This Row],[CUIT]]="","-",VLOOKUP(ventas_b_mes1255[[#This Row],[CUIT]],Lista_CUIT[#All],2,0)),"CUIT NO CARGADO")</f>
        <v>-</v>
      </c>
      <c r="H1969" s="100">
        <f>ventas_b_mes1255[[#This Row],[TOTAL]]/1.21</f>
        <v>0</v>
      </c>
      <c r="I1969" s="64">
        <f>ventas_b_mes1255[[#This Row],[IMPORTE NETO]]*0.21</f>
        <v>0</v>
      </c>
      <c r="J1969" s="141"/>
      <c r="K1969" s="141"/>
      <c r="L1969" s="141"/>
      <c r="M1969" s="59"/>
    </row>
    <row r="1970" spans="2:13">
      <c r="B1970" s="135"/>
      <c r="C1970" s="41"/>
      <c r="D1970" s="137"/>
      <c r="E1970" s="138"/>
      <c r="F1970" s="139"/>
      <c r="G1970" s="1" t="str">
        <f>IFERROR(IF(ventas_b_mes1255[[#This Row],[CUIT]]="","-",VLOOKUP(ventas_b_mes1255[[#This Row],[CUIT]],Lista_CUIT[#All],2,0)),"CUIT NO CARGADO")</f>
        <v>-</v>
      </c>
      <c r="H1970" s="100">
        <f>ventas_b_mes1255[[#This Row],[TOTAL]]/1.21</f>
        <v>0</v>
      </c>
      <c r="I1970" s="64">
        <f>ventas_b_mes1255[[#This Row],[IMPORTE NETO]]*0.21</f>
        <v>0</v>
      </c>
      <c r="J1970" s="141"/>
      <c r="K1970" s="141"/>
      <c r="L1970" s="141"/>
      <c r="M1970" s="59"/>
    </row>
    <row r="1971" spans="2:13">
      <c r="B1971" s="135"/>
      <c r="C1971" s="41"/>
      <c r="D1971" s="137"/>
      <c r="E1971" s="138"/>
      <c r="F1971" s="139"/>
      <c r="G1971" s="1" t="str">
        <f>IFERROR(IF(ventas_b_mes1255[[#This Row],[CUIT]]="","-",VLOOKUP(ventas_b_mes1255[[#This Row],[CUIT]],Lista_CUIT[#All],2,0)),"CUIT NO CARGADO")</f>
        <v>-</v>
      </c>
      <c r="H1971" s="100">
        <f>ventas_b_mes1255[[#This Row],[TOTAL]]/1.21</f>
        <v>0</v>
      </c>
      <c r="I1971" s="64">
        <f>ventas_b_mes1255[[#This Row],[IMPORTE NETO]]*0.21</f>
        <v>0</v>
      </c>
      <c r="J1971" s="141"/>
      <c r="K1971" s="141"/>
      <c r="L1971" s="141"/>
      <c r="M1971" s="59"/>
    </row>
    <row r="1972" spans="2:13">
      <c r="B1972" s="135"/>
      <c r="C1972" s="41"/>
      <c r="D1972" s="137"/>
      <c r="E1972" s="138"/>
      <c r="F1972" s="139"/>
      <c r="G1972" s="1" t="str">
        <f>IFERROR(IF(ventas_b_mes1255[[#This Row],[CUIT]]="","-",VLOOKUP(ventas_b_mes1255[[#This Row],[CUIT]],Lista_CUIT[#All],2,0)),"CUIT NO CARGADO")</f>
        <v>-</v>
      </c>
      <c r="H1972" s="100">
        <f>ventas_b_mes1255[[#This Row],[TOTAL]]/1.21</f>
        <v>0</v>
      </c>
      <c r="I1972" s="64">
        <f>ventas_b_mes1255[[#This Row],[IMPORTE NETO]]*0.21</f>
        <v>0</v>
      </c>
      <c r="J1972" s="141"/>
      <c r="K1972" s="141"/>
      <c r="L1972" s="141"/>
      <c r="M1972" s="59"/>
    </row>
    <row r="1973" spans="2:13">
      <c r="B1973" s="135"/>
      <c r="C1973" s="41"/>
      <c r="D1973" s="137"/>
      <c r="E1973" s="138"/>
      <c r="F1973" s="139"/>
      <c r="G1973" s="1" t="str">
        <f>IFERROR(IF(ventas_b_mes1255[[#This Row],[CUIT]]="","-",VLOOKUP(ventas_b_mes1255[[#This Row],[CUIT]],Lista_CUIT[#All],2,0)),"CUIT NO CARGADO")</f>
        <v>-</v>
      </c>
      <c r="H1973" s="100">
        <f>ventas_b_mes1255[[#This Row],[TOTAL]]/1.21</f>
        <v>0</v>
      </c>
      <c r="I1973" s="64">
        <f>ventas_b_mes1255[[#This Row],[IMPORTE NETO]]*0.21</f>
        <v>0</v>
      </c>
      <c r="J1973" s="141"/>
      <c r="K1973" s="141"/>
      <c r="L1973" s="141"/>
      <c r="M1973" s="59"/>
    </row>
    <row r="1974" spans="2:13">
      <c r="B1974" s="135"/>
      <c r="C1974" s="41"/>
      <c r="D1974" s="137"/>
      <c r="E1974" s="138"/>
      <c r="F1974" s="139"/>
      <c r="G1974" s="1" t="str">
        <f>IFERROR(IF(ventas_b_mes1255[[#This Row],[CUIT]]="","-",VLOOKUP(ventas_b_mes1255[[#This Row],[CUIT]],Lista_CUIT[#All],2,0)),"CUIT NO CARGADO")</f>
        <v>-</v>
      </c>
      <c r="H1974" s="100">
        <f>ventas_b_mes1255[[#This Row],[TOTAL]]/1.21</f>
        <v>0</v>
      </c>
      <c r="I1974" s="64">
        <f>ventas_b_mes1255[[#This Row],[IMPORTE NETO]]*0.21</f>
        <v>0</v>
      </c>
      <c r="J1974" s="141"/>
      <c r="K1974" s="141"/>
      <c r="L1974" s="141"/>
      <c r="M1974" s="59"/>
    </row>
    <row r="1975" spans="2:13">
      <c r="B1975" s="135"/>
      <c r="C1975" s="41"/>
      <c r="D1975" s="137"/>
      <c r="E1975" s="138"/>
      <c r="F1975" s="139"/>
      <c r="G1975" s="1" t="str">
        <f>IFERROR(IF(ventas_b_mes1255[[#This Row],[CUIT]]="","-",VLOOKUP(ventas_b_mes1255[[#This Row],[CUIT]],Lista_CUIT[#All],2,0)),"CUIT NO CARGADO")</f>
        <v>-</v>
      </c>
      <c r="H1975" s="100">
        <f>ventas_b_mes1255[[#This Row],[TOTAL]]/1.21</f>
        <v>0</v>
      </c>
      <c r="I1975" s="64">
        <f>ventas_b_mes1255[[#This Row],[IMPORTE NETO]]*0.21</f>
        <v>0</v>
      </c>
      <c r="J1975" s="141"/>
      <c r="K1975" s="141"/>
      <c r="L1975" s="141"/>
      <c r="M1975" s="59"/>
    </row>
    <row r="1976" spans="2:13">
      <c r="B1976" s="135"/>
      <c r="C1976" s="41"/>
      <c r="D1976" s="137"/>
      <c r="E1976" s="138"/>
      <c r="F1976" s="139"/>
      <c r="G1976" s="1" t="str">
        <f>IFERROR(IF(ventas_b_mes1255[[#This Row],[CUIT]]="","-",VLOOKUP(ventas_b_mes1255[[#This Row],[CUIT]],Lista_CUIT[#All],2,0)),"CUIT NO CARGADO")</f>
        <v>-</v>
      </c>
      <c r="H1976" s="100">
        <f>ventas_b_mes1255[[#This Row],[TOTAL]]/1.21</f>
        <v>0</v>
      </c>
      <c r="I1976" s="64">
        <f>ventas_b_mes1255[[#This Row],[IMPORTE NETO]]*0.21</f>
        <v>0</v>
      </c>
      <c r="J1976" s="141"/>
      <c r="K1976" s="141"/>
      <c r="L1976" s="141"/>
      <c r="M1976" s="59"/>
    </row>
    <row r="1977" spans="2:13">
      <c r="B1977" s="135"/>
      <c r="C1977" s="41"/>
      <c r="D1977" s="137"/>
      <c r="E1977" s="138"/>
      <c r="F1977" s="139"/>
      <c r="G1977" s="1" t="str">
        <f>IFERROR(IF(ventas_b_mes1255[[#This Row],[CUIT]]="","-",VLOOKUP(ventas_b_mes1255[[#This Row],[CUIT]],Lista_CUIT[#All],2,0)),"CUIT NO CARGADO")</f>
        <v>-</v>
      </c>
      <c r="H1977" s="100">
        <f>ventas_b_mes1255[[#This Row],[TOTAL]]/1.21</f>
        <v>0</v>
      </c>
      <c r="I1977" s="64">
        <f>ventas_b_mes1255[[#This Row],[IMPORTE NETO]]*0.21</f>
        <v>0</v>
      </c>
      <c r="J1977" s="141"/>
      <c r="K1977" s="141"/>
      <c r="L1977" s="141"/>
      <c r="M1977" s="59"/>
    </row>
    <row r="1978" spans="2:13">
      <c r="B1978" s="135"/>
      <c r="C1978" s="41"/>
      <c r="D1978" s="137"/>
      <c r="E1978" s="138"/>
      <c r="F1978" s="139"/>
      <c r="G1978" s="1" t="str">
        <f>IFERROR(IF(ventas_b_mes1255[[#This Row],[CUIT]]="","-",VLOOKUP(ventas_b_mes1255[[#This Row],[CUIT]],Lista_CUIT[#All],2,0)),"CUIT NO CARGADO")</f>
        <v>-</v>
      </c>
      <c r="H1978" s="100">
        <f>ventas_b_mes1255[[#This Row],[TOTAL]]/1.21</f>
        <v>0</v>
      </c>
      <c r="I1978" s="64">
        <f>ventas_b_mes1255[[#This Row],[IMPORTE NETO]]*0.21</f>
        <v>0</v>
      </c>
      <c r="J1978" s="141"/>
      <c r="K1978" s="141"/>
      <c r="L1978" s="141"/>
      <c r="M1978" s="59"/>
    </row>
    <row r="1979" spans="2:13">
      <c r="B1979" s="135"/>
      <c r="C1979" s="41"/>
      <c r="D1979" s="137"/>
      <c r="E1979" s="138"/>
      <c r="F1979" s="139"/>
      <c r="G1979" s="1" t="str">
        <f>IFERROR(IF(ventas_b_mes1255[[#This Row],[CUIT]]="","-",VLOOKUP(ventas_b_mes1255[[#This Row],[CUIT]],Lista_CUIT[#All],2,0)),"CUIT NO CARGADO")</f>
        <v>-</v>
      </c>
      <c r="H1979" s="100">
        <f>ventas_b_mes1255[[#This Row],[TOTAL]]/1.21</f>
        <v>0</v>
      </c>
      <c r="I1979" s="64">
        <f>ventas_b_mes1255[[#This Row],[IMPORTE NETO]]*0.21</f>
        <v>0</v>
      </c>
      <c r="J1979" s="141"/>
      <c r="K1979" s="141"/>
      <c r="L1979" s="141"/>
      <c r="M1979" s="59"/>
    </row>
    <row r="1980" spans="2:13">
      <c r="B1980" s="135"/>
      <c r="C1980" s="41"/>
      <c r="D1980" s="137"/>
      <c r="E1980" s="138"/>
      <c r="F1980" s="139"/>
      <c r="G1980" s="1" t="str">
        <f>IFERROR(IF(ventas_b_mes1255[[#This Row],[CUIT]]="","-",VLOOKUP(ventas_b_mes1255[[#This Row],[CUIT]],Lista_CUIT[#All],2,0)),"CUIT NO CARGADO")</f>
        <v>-</v>
      </c>
      <c r="H1980" s="100">
        <f>ventas_b_mes1255[[#This Row],[TOTAL]]/1.21</f>
        <v>0</v>
      </c>
      <c r="I1980" s="64">
        <f>ventas_b_mes1255[[#This Row],[IMPORTE NETO]]*0.21</f>
        <v>0</v>
      </c>
      <c r="J1980" s="141"/>
      <c r="K1980" s="141"/>
      <c r="L1980" s="141"/>
      <c r="M1980" s="59"/>
    </row>
    <row r="1981" spans="2:13">
      <c r="B1981" s="135"/>
      <c r="C1981" s="41"/>
      <c r="D1981" s="137"/>
      <c r="E1981" s="138"/>
      <c r="F1981" s="139"/>
      <c r="G1981" s="1" t="str">
        <f>IFERROR(IF(ventas_b_mes1255[[#This Row],[CUIT]]="","-",VLOOKUP(ventas_b_mes1255[[#This Row],[CUIT]],Lista_CUIT[#All],2,0)),"CUIT NO CARGADO")</f>
        <v>-</v>
      </c>
      <c r="H1981" s="100">
        <f>ventas_b_mes1255[[#This Row],[TOTAL]]/1.21</f>
        <v>0</v>
      </c>
      <c r="I1981" s="64">
        <f>ventas_b_mes1255[[#This Row],[IMPORTE NETO]]*0.21</f>
        <v>0</v>
      </c>
      <c r="J1981" s="141"/>
      <c r="K1981" s="141"/>
      <c r="L1981" s="141"/>
      <c r="M1981" s="59"/>
    </row>
    <row r="1982" spans="2:13">
      <c r="B1982" s="135"/>
      <c r="C1982" s="41"/>
      <c r="D1982" s="137"/>
      <c r="E1982" s="138"/>
      <c r="F1982" s="139"/>
      <c r="G1982" s="1" t="str">
        <f>IFERROR(IF(ventas_b_mes1255[[#This Row],[CUIT]]="","-",VLOOKUP(ventas_b_mes1255[[#This Row],[CUIT]],Lista_CUIT[#All],2,0)),"CUIT NO CARGADO")</f>
        <v>-</v>
      </c>
      <c r="H1982" s="100">
        <f>ventas_b_mes1255[[#This Row],[TOTAL]]/1.21</f>
        <v>0</v>
      </c>
      <c r="I1982" s="64">
        <f>ventas_b_mes1255[[#This Row],[IMPORTE NETO]]*0.21</f>
        <v>0</v>
      </c>
      <c r="J1982" s="141"/>
      <c r="K1982" s="141"/>
      <c r="L1982" s="141"/>
      <c r="M1982" s="59"/>
    </row>
    <row r="1983" spans="2:13">
      <c r="B1983" s="135"/>
      <c r="C1983" s="41"/>
      <c r="D1983" s="137"/>
      <c r="E1983" s="138"/>
      <c r="F1983" s="139"/>
      <c r="G1983" s="1" t="str">
        <f>IFERROR(IF(ventas_b_mes1255[[#This Row],[CUIT]]="","-",VLOOKUP(ventas_b_mes1255[[#This Row],[CUIT]],Lista_CUIT[#All],2,0)),"CUIT NO CARGADO")</f>
        <v>-</v>
      </c>
      <c r="H1983" s="100">
        <f>ventas_b_mes1255[[#This Row],[TOTAL]]/1.21</f>
        <v>0</v>
      </c>
      <c r="I1983" s="64">
        <f>ventas_b_mes1255[[#This Row],[IMPORTE NETO]]*0.21</f>
        <v>0</v>
      </c>
      <c r="J1983" s="141"/>
      <c r="K1983" s="141"/>
      <c r="L1983" s="141"/>
      <c r="M1983" s="59"/>
    </row>
    <row r="1984" spans="2:13">
      <c r="B1984" s="135"/>
      <c r="C1984" s="41"/>
      <c r="D1984" s="137"/>
      <c r="E1984" s="138"/>
      <c r="F1984" s="139"/>
      <c r="G1984" s="1" t="str">
        <f>IFERROR(IF(ventas_b_mes1255[[#This Row],[CUIT]]="","-",VLOOKUP(ventas_b_mes1255[[#This Row],[CUIT]],Lista_CUIT[#All],2,0)),"CUIT NO CARGADO")</f>
        <v>-</v>
      </c>
      <c r="H1984" s="100">
        <f>ventas_b_mes1255[[#This Row],[TOTAL]]/1.21</f>
        <v>0</v>
      </c>
      <c r="I1984" s="64">
        <f>ventas_b_mes1255[[#This Row],[IMPORTE NETO]]*0.21</f>
        <v>0</v>
      </c>
      <c r="J1984" s="141"/>
      <c r="K1984" s="141"/>
      <c r="L1984" s="141"/>
      <c r="M1984" s="59"/>
    </row>
    <row r="1985" spans="2:13">
      <c r="B1985" s="135"/>
      <c r="C1985" s="41"/>
      <c r="D1985" s="137"/>
      <c r="E1985" s="138"/>
      <c r="F1985" s="139"/>
      <c r="G1985" s="1" t="str">
        <f>IFERROR(IF(ventas_b_mes1255[[#This Row],[CUIT]]="","-",VLOOKUP(ventas_b_mes1255[[#This Row],[CUIT]],Lista_CUIT[#All],2,0)),"CUIT NO CARGADO")</f>
        <v>-</v>
      </c>
      <c r="H1985" s="100">
        <f>ventas_b_mes1255[[#This Row],[TOTAL]]/1.21</f>
        <v>0</v>
      </c>
      <c r="I1985" s="64">
        <f>ventas_b_mes1255[[#This Row],[IMPORTE NETO]]*0.21</f>
        <v>0</v>
      </c>
      <c r="J1985" s="141"/>
      <c r="K1985" s="141"/>
      <c r="L1985" s="141"/>
      <c r="M1985" s="59"/>
    </row>
    <row r="1986" spans="2:13">
      <c r="B1986" s="135"/>
      <c r="C1986" s="41"/>
      <c r="D1986" s="137"/>
      <c r="E1986" s="138"/>
      <c r="F1986" s="139"/>
      <c r="G1986" s="1" t="str">
        <f>IFERROR(IF(ventas_b_mes1255[[#This Row],[CUIT]]="","-",VLOOKUP(ventas_b_mes1255[[#This Row],[CUIT]],Lista_CUIT[#All],2,0)),"CUIT NO CARGADO")</f>
        <v>-</v>
      </c>
      <c r="H1986" s="100">
        <f>ventas_b_mes1255[[#This Row],[TOTAL]]/1.21</f>
        <v>0</v>
      </c>
      <c r="I1986" s="64">
        <f>ventas_b_mes1255[[#This Row],[IMPORTE NETO]]*0.21</f>
        <v>0</v>
      </c>
      <c r="J1986" s="141"/>
      <c r="K1986" s="141"/>
      <c r="L1986" s="141"/>
      <c r="M1986" s="59"/>
    </row>
    <row r="1987" spans="2:13">
      <c r="B1987" s="135"/>
      <c r="C1987" s="41"/>
      <c r="D1987" s="137"/>
      <c r="E1987" s="138"/>
      <c r="F1987" s="139"/>
      <c r="G1987" s="1" t="str">
        <f>IFERROR(IF(ventas_b_mes1255[[#This Row],[CUIT]]="","-",VLOOKUP(ventas_b_mes1255[[#This Row],[CUIT]],Lista_CUIT[#All],2,0)),"CUIT NO CARGADO")</f>
        <v>-</v>
      </c>
      <c r="H1987" s="100">
        <f>ventas_b_mes1255[[#This Row],[TOTAL]]/1.21</f>
        <v>0</v>
      </c>
      <c r="I1987" s="64">
        <f>ventas_b_mes1255[[#This Row],[IMPORTE NETO]]*0.21</f>
        <v>0</v>
      </c>
      <c r="J1987" s="141"/>
      <c r="K1987" s="141"/>
      <c r="L1987" s="141"/>
      <c r="M1987" s="59"/>
    </row>
    <row r="1988" spans="2:13">
      <c r="B1988" s="135"/>
      <c r="C1988" s="41"/>
      <c r="D1988" s="137"/>
      <c r="E1988" s="138"/>
      <c r="F1988" s="139"/>
      <c r="G1988" s="1" t="str">
        <f>IFERROR(IF(ventas_b_mes1255[[#This Row],[CUIT]]="","-",VLOOKUP(ventas_b_mes1255[[#This Row],[CUIT]],Lista_CUIT[#All],2,0)),"CUIT NO CARGADO")</f>
        <v>-</v>
      </c>
      <c r="H1988" s="100">
        <f>ventas_b_mes1255[[#This Row],[TOTAL]]/1.21</f>
        <v>0</v>
      </c>
      <c r="I1988" s="64">
        <f>ventas_b_mes1255[[#This Row],[IMPORTE NETO]]*0.21</f>
        <v>0</v>
      </c>
      <c r="J1988" s="141"/>
      <c r="K1988" s="141"/>
      <c r="L1988" s="141"/>
      <c r="M1988" s="59"/>
    </row>
    <row r="1989" spans="2:13">
      <c r="B1989" s="135"/>
      <c r="C1989" s="41"/>
      <c r="D1989" s="137"/>
      <c r="E1989" s="138"/>
      <c r="F1989" s="139"/>
      <c r="G1989" s="1" t="str">
        <f>IFERROR(IF(ventas_b_mes1255[[#This Row],[CUIT]]="","-",VLOOKUP(ventas_b_mes1255[[#This Row],[CUIT]],Lista_CUIT[#All],2,0)),"CUIT NO CARGADO")</f>
        <v>-</v>
      </c>
      <c r="H1989" s="100">
        <f>ventas_b_mes1255[[#This Row],[TOTAL]]/1.21</f>
        <v>0</v>
      </c>
      <c r="I1989" s="64">
        <f>ventas_b_mes1255[[#This Row],[IMPORTE NETO]]*0.21</f>
        <v>0</v>
      </c>
      <c r="J1989" s="141"/>
      <c r="K1989" s="141"/>
      <c r="L1989" s="141"/>
      <c r="M1989" s="59"/>
    </row>
    <row r="1990" spans="2:13">
      <c r="B1990" s="135"/>
      <c r="C1990" s="41"/>
      <c r="D1990" s="137"/>
      <c r="E1990" s="138"/>
      <c r="F1990" s="139"/>
      <c r="G1990" s="1" t="str">
        <f>IFERROR(IF(ventas_b_mes1255[[#This Row],[CUIT]]="","-",VLOOKUP(ventas_b_mes1255[[#This Row],[CUIT]],Lista_CUIT[#All],2,0)),"CUIT NO CARGADO")</f>
        <v>-</v>
      </c>
      <c r="H1990" s="100">
        <f>ventas_b_mes1255[[#This Row],[TOTAL]]/1.21</f>
        <v>0</v>
      </c>
      <c r="I1990" s="64">
        <f>ventas_b_mes1255[[#This Row],[IMPORTE NETO]]*0.21</f>
        <v>0</v>
      </c>
      <c r="J1990" s="141"/>
      <c r="K1990" s="141"/>
      <c r="L1990" s="141"/>
      <c r="M1990" s="59"/>
    </row>
    <row r="1991" spans="2:13">
      <c r="B1991" s="135"/>
      <c r="C1991" s="41"/>
      <c r="D1991" s="137"/>
      <c r="E1991" s="138"/>
      <c r="F1991" s="139"/>
      <c r="G1991" s="1" t="str">
        <f>IFERROR(IF(ventas_b_mes1255[[#This Row],[CUIT]]="","-",VLOOKUP(ventas_b_mes1255[[#This Row],[CUIT]],Lista_CUIT[#All],2,0)),"CUIT NO CARGADO")</f>
        <v>-</v>
      </c>
      <c r="H1991" s="100">
        <f>ventas_b_mes1255[[#This Row],[TOTAL]]/1.21</f>
        <v>0</v>
      </c>
      <c r="I1991" s="64">
        <f>ventas_b_mes1255[[#This Row],[IMPORTE NETO]]*0.21</f>
        <v>0</v>
      </c>
      <c r="J1991" s="141"/>
      <c r="K1991" s="141"/>
      <c r="L1991" s="141"/>
      <c r="M1991" s="59"/>
    </row>
    <row r="1992" spans="2:13">
      <c r="B1992" s="135"/>
      <c r="C1992" s="41"/>
      <c r="D1992" s="137"/>
      <c r="E1992" s="138"/>
      <c r="F1992" s="139"/>
      <c r="G1992" s="1" t="str">
        <f>IFERROR(IF(ventas_b_mes1255[[#This Row],[CUIT]]="","-",VLOOKUP(ventas_b_mes1255[[#This Row],[CUIT]],Lista_CUIT[#All],2,0)),"CUIT NO CARGADO")</f>
        <v>-</v>
      </c>
      <c r="H1992" s="100">
        <f>ventas_b_mes1255[[#This Row],[TOTAL]]/1.21</f>
        <v>0</v>
      </c>
      <c r="I1992" s="64">
        <f>ventas_b_mes1255[[#This Row],[IMPORTE NETO]]*0.21</f>
        <v>0</v>
      </c>
      <c r="J1992" s="141"/>
      <c r="K1992" s="141"/>
      <c r="L1992" s="141"/>
      <c r="M1992" s="59"/>
    </row>
    <row r="1993" spans="2:13">
      <c r="B1993" s="135"/>
      <c r="C1993" s="41"/>
      <c r="D1993" s="137"/>
      <c r="E1993" s="138"/>
      <c r="F1993" s="139"/>
      <c r="G1993" s="1" t="str">
        <f>IFERROR(IF(ventas_b_mes1255[[#This Row],[CUIT]]="","-",VLOOKUP(ventas_b_mes1255[[#This Row],[CUIT]],Lista_CUIT[#All],2,0)),"CUIT NO CARGADO")</f>
        <v>-</v>
      </c>
      <c r="H1993" s="100">
        <f>ventas_b_mes1255[[#This Row],[TOTAL]]/1.21</f>
        <v>0</v>
      </c>
      <c r="I1993" s="64">
        <f>ventas_b_mes1255[[#This Row],[IMPORTE NETO]]*0.21</f>
        <v>0</v>
      </c>
      <c r="J1993" s="141"/>
      <c r="K1993" s="141"/>
      <c r="L1993" s="141"/>
      <c r="M1993" s="59"/>
    </row>
    <row r="1994" spans="2:13">
      <c r="B1994" s="135"/>
      <c r="C1994" s="41"/>
      <c r="D1994" s="137"/>
      <c r="E1994" s="138"/>
      <c r="F1994" s="139"/>
      <c r="G1994" s="1" t="str">
        <f>IFERROR(IF(ventas_b_mes1255[[#This Row],[CUIT]]="","-",VLOOKUP(ventas_b_mes1255[[#This Row],[CUIT]],Lista_CUIT[#All],2,0)),"CUIT NO CARGADO")</f>
        <v>-</v>
      </c>
      <c r="H1994" s="100">
        <f>ventas_b_mes1255[[#This Row],[TOTAL]]/1.21</f>
        <v>0</v>
      </c>
      <c r="I1994" s="64">
        <f>ventas_b_mes1255[[#This Row],[IMPORTE NETO]]*0.21</f>
        <v>0</v>
      </c>
      <c r="J1994" s="141"/>
      <c r="K1994" s="141"/>
      <c r="L1994" s="141"/>
      <c r="M1994" s="59"/>
    </row>
    <row r="1995" spans="2:13">
      <c r="B1995" s="135"/>
      <c r="C1995" s="41"/>
      <c r="D1995" s="137"/>
      <c r="E1995" s="138"/>
      <c r="F1995" s="139"/>
      <c r="G1995" s="1" t="str">
        <f>IFERROR(IF(ventas_b_mes1255[[#This Row],[CUIT]]="","-",VLOOKUP(ventas_b_mes1255[[#This Row],[CUIT]],Lista_CUIT[#All],2,0)),"CUIT NO CARGADO")</f>
        <v>-</v>
      </c>
      <c r="H1995" s="100">
        <f>ventas_b_mes1255[[#This Row],[TOTAL]]/1.21</f>
        <v>0</v>
      </c>
      <c r="I1995" s="64">
        <f>ventas_b_mes1255[[#This Row],[IMPORTE NETO]]*0.21</f>
        <v>0</v>
      </c>
      <c r="J1995" s="141"/>
      <c r="K1995" s="141"/>
      <c r="L1995" s="141"/>
      <c r="M1995" s="59"/>
    </row>
    <row r="1996" spans="2:13">
      <c r="B1996" s="135"/>
      <c r="C1996" s="41"/>
      <c r="D1996" s="137"/>
      <c r="E1996" s="138"/>
      <c r="F1996" s="139"/>
      <c r="G1996" s="1" t="str">
        <f>IFERROR(IF(ventas_b_mes1255[[#This Row],[CUIT]]="","-",VLOOKUP(ventas_b_mes1255[[#This Row],[CUIT]],Lista_CUIT[#All],2,0)),"CUIT NO CARGADO")</f>
        <v>-</v>
      </c>
      <c r="H1996" s="100">
        <f>ventas_b_mes1255[[#This Row],[TOTAL]]/1.21</f>
        <v>0</v>
      </c>
      <c r="I1996" s="64">
        <f>ventas_b_mes1255[[#This Row],[IMPORTE NETO]]*0.21</f>
        <v>0</v>
      </c>
      <c r="J1996" s="141"/>
      <c r="K1996" s="141"/>
      <c r="L1996" s="141"/>
      <c r="M1996" s="59"/>
    </row>
    <row r="1997" spans="2:13">
      <c r="B1997" s="135"/>
      <c r="C1997" s="41"/>
      <c r="D1997" s="137"/>
      <c r="E1997" s="138"/>
      <c r="F1997" s="139"/>
      <c r="G1997" s="1" t="str">
        <f>IFERROR(IF(ventas_b_mes1255[[#This Row],[CUIT]]="","-",VLOOKUP(ventas_b_mes1255[[#This Row],[CUIT]],Lista_CUIT[#All],2,0)),"CUIT NO CARGADO")</f>
        <v>-</v>
      </c>
      <c r="H1997" s="100">
        <f>ventas_b_mes1255[[#This Row],[TOTAL]]/1.21</f>
        <v>0</v>
      </c>
      <c r="I1997" s="64">
        <f>ventas_b_mes1255[[#This Row],[IMPORTE NETO]]*0.21</f>
        <v>0</v>
      </c>
      <c r="J1997" s="141"/>
      <c r="K1997" s="141"/>
      <c r="L1997" s="141"/>
      <c r="M1997" s="59"/>
    </row>
    <row r="1998" spans="2:13">
      <c r="B1998" s="135"/>
      <c r="C1998" s="41"/>
      <c r="D1998" s="137"/>
      <c r="E1998" s="138"/>
      <c r="F1998" s="139"/>
      <c r="G1998" s="1" t="str">
        <f>IFERROR(IF(ventas_b_mes1255[[#This Row],[CUIT]]="","-",VLOOKUP(ventas_b_mes1255[[#This Row],[CUIT]],Lista_CUIT[#All],2,0)),"CUIT NO CARGADO")</f>
        <v>-</v>
      </c>
      <c r="H1998" s="100">
        <f>ventas_b_mes1255[[#This Row],[TOTAL]]/1.21</f>
        <v>0</v>
      </c>
      <c r="I1998" s="64">
        <f>ventas_b_mes1255[[#This Row],[IMPORTE NETO]]*0.21</f>
        <v>0</v>
      </c>
      <c r="J1998" s="141"/>
      <c r="K1998" s="141"/>
      <c r="L1998" s="141"/>
      <c r="M1998" s="59"/>
    </row>
    <row r="1999" spans="2:13">
      <c r="B1999" s="135"/>
      <c r="C1999" s="41"/>
      <c r="D1999" s="137"/>
      <c r="E1999" s="138"/>
      <c r="F1999" s="139"/>
      <c r="G1999" s="1" t="str">
        <f>IFERROR(IF(ventas_b_mes1255[[#This Row],[CUIT]]="","-",VLOOKUP(ventas_b_mes1255[[#This Row],[CUIT]],Lista_CUIT[#All],2,0)),"CUIT NO CARGADO")</f>
        <v>-</v>
      </c>
      <c r="H1999" s="100">
        <f>ventas_b_mes1255[[#This Row],[TOTAL]]/1.21</f>
        <v>0</v>
      </c>
      <c r="I1999" s="64">
        <f>ventas_b_mes1255[[#This Row],[IMPORTE NETO]]*0.21</f>
        <v>0</v>
      </c>
      <c r="J1999" s="141"/>
      <c r="K1999" s="141"/>
      <c r="L1999" s="141"/>
      <c r="M1999" s="59"/>
    </row>
    <row r="2000" spans="2:13">
      <c r="B2000" s="135"/>
      <c r="C2000" s="41"/>
      <c r="D2000" s="137"/>
      <c r="E2000" s="138"/>
      <c r="F2000" s="139"/>
      <c r="G2000" s="1" t="str">
        <f>IFERROR(IF(ventas_b_mes1255[[#This Row],[CUIT]]="","-",VLOOKUP(ventas_b_mes1255[[#This Row],[CUIT]],Lista_CUIT[#All],2,0)),"CUIT NO CARGADO")</f>
        <v>-</v>
      </c>
      <c r="H2000" s="100">
        <f>ventas_b_mes1255[[#This Row],[TOTAL]]/1.21</f>
        <v>0</v>
      </c>
      <c r="I2000" s="64">
        <f>ventas_b_mes1255[[#This Row],[IMPORTE NETO]]*0.21</f>
        <v>0</v>
      </c>
      <c r="J2000" s="141"/>
      <c r="K2000" s="141"/>
      <c r="L2000" s="141"/>
      <c r="M2000" s="59"/>
    </row>
    <row r="2001" spans="2:13">
      <c r="B2001" s="135"/>
      <c r="C2001" s="41"/>
      <c r="D2001" s="137"/>
      <c r="E2001" s="138"/>
      <c r="F2001" s="139"/>
      <c r="G2001" s="1" t="str">
        <f>IFERROR(IF(ventas_b_mes1255[[#This Row],[CUIT]]="","-",VLOOKUP(ventas_b_mes1255[[#This Row],[CUIT]],Lista_CUIT[#All],2,0)),"CUIT NO CARGADO")</f>
        <v>-</v>
      </c>
      <c r="H2001" s="100">
        <f>ventas_b_mes1255[[#This Row],[TOTAL]]/1.21</f>
        <v>0</v>
      </c>
      <c r="I2001" s="64">
        <f>ventas_b_mes1255[[#This Row],[IMPORTE NETO]]*0.21</f>
        <v>0</v>
      </c>
      <c r="J2001" s="141"/>
      <c r="K2001" s="141"/>
      <c r="L2001" s="141"/>
      <c r="M2001" s="59"/>
    </row>
    <row r="2002" spans="2:13">
      <c r="B2002" s="135"/>
      <c r="C2002" s="41"/>
      <c r="D2002" s="137"/>
      <c r="E2002" s="138"/>
      <c r="F2002" s="139"/>
      <c r="G2002" s="1" t="str">
        <f>IFERROR(IF(ventas_b_mes1255[[#This Row],[CUIT]]="","-",VLOOKUP(ventas_b_mes1255[[#This Row],[CUIT]],Lista_CUIT[#All],2,0)),"CUIT NO CARGADO")</f>
        <v>-</v>
      </c>
      <c r="H2002" s="100">
        <f>ventas_b_mes1255[[#This Row],[TOTAL]]/1.21</f>
        <v>0</v>
      </c>
      <c r="I2002" s="64">
        <f>ventas_b_mes1255[[#This Row],[IMPORTE NETO]]*0.21</f>
        <v>0</v>
      </c>
      <c r="J2002" s="141"/>
      <c r="K2002" s="141"/>
      <c r="L2002" s="141"/>
      <c r="M2002" s="59"/>
    </row>
    <row r="2003" spans="2:13">
      <c r="B2003" s="135"/>
      <c r="C2003" s="41"/>
      <c r="D2003" s="137"/>
      <c r="E2003" s="138"/>
      <c r="F2003" s="139"/>
      <c r="G2003" s="1" t="str">
        <f>IFERROR(IF(ventas_b_mes1255[[#This Row],[CUIT]]="","-",VLOOKUP(ventas_b_mes1255[[#This Row],[CUIT]],Lista_CUIT[#All],2,0)),"CUIT NO CARGADO")</f>
        <v>-</v>
      </c>
      <c r="H2003" s="100">
        <f>ventas_b_mes1255[[#This Row],[TOTAL]]/1.21</f>
        <v>0</v>
      </c>
      <c r="I2003" s="64">
        <f>ventas_b_mes1255[[#This Row],[IMPORTE NETO]]*0.21</f>
        <v>0</v>
      </c>
      <c r="J2003" s="141"/>
      <c r="K2003" s="141"/>
      <c r="L2003" s="141"/>
      <c r="M2003" s="59"/>
    </row>
    <row r="2004" spans="2:13">
      <c r="B2004" s="135"/>
      <c r="C2004" s="41"/>
      <c r="D2004" s="137"/>
      <c r="E2004" s="138"/>
      <c r="F2004" s="139"/>
      <c r="G2004" s="1" t="str">
        <f>IFERROR(IF(ventas_b_mes1255[[#This Row],[CUIT]]="","-",VLOOKUP(ventas_b_mes1255[[#This Row],[CUIT]],Lista_CUIT[#All],2,0)),"CUIT NO CARGADO")</f>
        <v>-</v>
      </c>
      <c r="H2004" s="100">
        <f>ventas_b_mes1255[[#This Row],[TOTAL]]/1.21</f>
        <v>0</v>
      </c>
      <c r="I2004" s="64">
        <f>ventas_b_mes1255[[#This Row],[IMPORTE NETO]]*0.21</f>
        <v>0</v>
      </c>
      <c r="J2004" s="141"/>
      <c r="K2004" s="141"/>
      <c r="L2004" s="141"/>
      <c r="M2004" s="59"/>
    </row>
    <row r="2005" spans="2:13">
      <c r="B2005" s="135"/>
      <c r="C2005" s="41"/>
      <c r="D2005" s="137"/>
      <c r="E2005" s="138"/>
      <c r="F2005" s="139"/>
      <c r="G2005" s="1" t="str">
        <f>IFERROR(IF(ventas_b_mes1255[[#This Row],[CUIT]]="","-",VLOOKUP(ventas_b_mes1255[[#This Row],[CUIT]],Lista_CUIT[#All],2,0)),"CUIT NO CARGADO")</f>
        <v>-</v>
      </c>
      <c r="H2005" s="100">
        <f>ventas_b_mes1255[[#This Row],[TOTAL]]/1.21</f>
        <v>0</v>
      </c>
      <c r="I2005" s="64">
        <f>ventas_b_mes1255[[#This Row],[IMPORTE NETO]]*0.21</f>
        <v>0</v>
      </c>
      <c r="J2005" s="141"/>
      <c r="K2005" s="141"/>
      <c r="L2005" s="141"/>
      <c r="M2005" s="59"/>
    </row>
    <row r="2006" spans="2:13">
      <c r="B2006" s="135"/>
      <c r="C2006" s="41"/>
      <c r="D2006" s="137"/>
      <c r="E2006" s="138"/>
      <c r="F2006" s="139"/>
      <c r="G2006" s="1" t="str">
        <f>IFERROR(IF(ventas_b_mes1255[[#This Row],[CUIT]]="","-",VLOOKUP(ventas_b_mes1255[[#This Row],[CUIT]],Lista_CUIT[#All],2,0)),"CUIT NO CARGADO")</f>
        <v>-</v>
      </c>
      <c r="H2006" s="100">
        <f>ventas_b_mes1255[[#This Row],[TOTAL]]/1.21</f>
        <v>0</v>
      </c>
      <c r="I2006" s="64">
        <f>ventas_b_mes1255[[#This Row],[IMPORTE NETO]]*0.21</f>
        <v>0</v>
      </c>
      <c r="J2006" s="141"/>
      <c r="K2006" s="141"/>
      <c r="L2006" s="141"/>
      <c r="M2006" s="59"/>
    </row>
    <row r="2007" spans="2:13">
      <c r="B2007" s="135"/>
      <c r="C2007" s="41"/>
      <c r="D2007" s="137"/>
      <c r="E2007" s="138"/>
      <c r="F2007" s="139"/>
      <c r="G2007" s="1" t="str">
        <f>IFERROR(IF(ventas_b_mes1255[[#This Row],[CUIT]]="","-",VLOOKUP(ventas_b_mes1255[[#This Row],[CUIT]],Lista_CUIT[#All],2,0)),"CUIT NO CARGADO")</f>
        <v>-</v>
      </c>
      <c r="H2007" s="100">
        <f>ventas_b_mes1255[[#This Row],[TOTAL]]/1.21</f>
        <v>0</v>
      </c>
      <c r="I2007" s="64">
        <f>ventas_b_mes1255[[#This Row],[IMPORTE NETO]]*0.21</f>
        <v>0</v>
      </c>
      <c r="J2007" s="141"/>
      <c r="K2007" s="141"/>
      <c r="L2007" s="141"/>
      <c r="M2007" s="59"/>
    </row>
    <row r="2008" spans="2:13">
      <c r="B2008" s="135"/>
      <c r="C2008" s="41"/>
      <c r="D2008" s="137"/>
      <c r="E2008" s="138"/>
      <c r="F2008" s="139"/>
      <c r="G2008" s="1" t="str">
        <f>IFERROR(IF(ventas_b_mes1255[[#This Row],[CUIT]]="","-",VLOOKUP(ventas_b_mes1255[[#This Row],[CUIT]],Lista_CUIT[#All],2,0)),"CUIT NO CARGADO")</f>
        <v>-</v>
      </c>
      <c r="H2008" s="100">
        <f>ventas_b_mes1255[[#This Row],[TOTAL]]/1.21</f>
        <v>0</v>
      </c>
      <c r="I2008" s="64">
        <f>ventas_b_mes1255[[#This Row],[IMPORTE NETO]]*0.21</f>
        <v>0</v>
      </c>
      <c r="J2008" s="141"/>
      <c r="K2008" s="141"/>
      <c r="L2008" s="141"/>
      <c r="M2008" s="59"/>
    </row>
    <row r="2009" spans="2:13">
      <c r="B2009" s="135"/>
      <c r="C2009" s="41"/>
      <c r="D2009" s="137"/>
      <c r="E2009" s="138"/>
      <c r="F2009" s="139"/>
      <c r="G2009" s="1" t="str">
        <f>IFERROR(IF(ventas_b_mes1255[[#This Row],[CUIT]]="","-",VLOOKUP(ventas_b_mes1255[[#This Row],[CUIT]],Lista_CUIT[#All],2,0)),"CUIT NO CARGADO")</f>
        <v>-</v>
      </c>
      <c r="H2009" s="100">
        <f>ventas_b_mes1255[[#This Row],[TOTAL]]/1.21</f>
        <v>0</v>
      </c>
      <c r="I2009" s="64">
        <f>ventas_b_mes1255[[#This Row],[IMPORTE NETO]]*0.21</f>
        <v>0</v>
      </c>
      <c r="J2009" s="141"/>
      <c r="K2009" s="141"/>
      <c r="L2009" s="141"/>
      <c r="M2009" s="59"/>
    </row>
    <row r="2010" spans="2:13">
      <c r="B2010" s="135"/>
      <c r="C2010" s="41"/>
      <c r="D2010" s="137"/>
      <c r="E2010" s="138"/>
      <c r="F2010" s="139"/>
      <c r="G2010" s="1" t="str">
        <f>IFERROR(IF(ventas_b_mes1255[[#This Row],[CUIT]]="","-",VLOOKUP(ventas_b_mes1255[[#This Row],[CUIT]],Lista_CUIT[#All],2,0)),"CUIT NO CARGADO")</f>
        <v>-</v>
      </c>
      <c r="H2010" s="100">
        <f>ventas_b_mes1255[[#This Row],[TOTAL]]/1.21</f>
        <v>0</v>
      </c>
      <c r="I2010" s="64">
        <f>ventas_b_mes1255[[#This Row],[IMPORTE NETO]]*0.21</f>
        <v>0</v>
      </c>
      <c r="J2010" s="141"/>
      <c r="K2010" s="141"/>
      <c r="L2010" s="141"/>
      <c r="M2010" s="59"/>
    </row>
    <row r="2011" spans="2:13">
      <c r="B2011" s="135"/>
      <c r="C2011" s="41"/>
      <c r="D2011" s="137"/>
      <c r="E2011" s="138"/>
      <c r="F2011" s="139"/>
      <c r="G2011" s="1" t="str">
        <f>IFERROR(IF(ventas_b_mes1255[[#This Row],[CUIT]]="","-",VLOOKUP(ventas_b_mes1255[[#This Row],[CUIT]],Lista_CUIT[#All],2,0)),"CUIT NO CARGADO")</f>
        <v>-</v>
      </c>
      <c r="H2011" s="100">
        <f>ventas_b_mes1255[[#This Row],[TOTAL]]/1.21</f>
        <v>0</v>
      </c>
      <c r="I2011" s="64">
        <f>ventas_b_mes1255[[#This Row],[IMPORTE NETO]]*0.21</f>
        <v>0</v>
      </c>
      <c r="J2011" s="141"/>
      <c r="K2011" s="141"/>
      <c r="L2011" s="141"/>
      <c r="M2011" s="59"/>
    </row>
    <row r="2012" spans="2:13">
      <c r="B2012" s="135"/>
      <c r="C2012" s="41"/>
      <c r="D2012" s="137"/>
      <c r="E2012" s="138"/>
      <c r="F2012" s="139"/>
      <c r="G2012" s="1" t="str">
        <f>IFERROR(IF(ventas_b_mes1255[[#This Row],[CUIT]]="","-",VLOOKUP(ventas_b_mes1255[[#This Row],[CUIT]],Lista_CUIT[#All],2,0)),"CUIT NO CARGADO")</f>
        <v>-</v>
      </c>
      <c r="H2012" s="100">
        <f>ventas_b_mes1255[[#This Row],[TOTAL]]/1.21</f>
        <v>0</v>
      </c>
      <c r="I2012" s="64">
        <f>ventas_b_mes1255[[#This Row],[IMPORTE NETO]]*0.21</f>
        <v>0</v>
      </c>
      <c r="J2012" s="141"/>
      <c r="K2012" s="141"/>
      <c r="L2012" s="141"/>
      <c r="M2012" s="59"/>
    </row>
    <row r="2013" spans="2:13">
      <c r="B2013" s="135"/>
      <c r="C2013" s="41"/>
      <c r="D2013" s="137"/>
      <c r="E2013" s="138"/>
      <c r="F2013" s="139"/>
      <c r="G2013" s="1" t="str">
        <f>IFERROR(IF(ventas_b_mes1255[[#This Row],[CUIT]]="","-",VLOOKUP(ventas_b_mes1255[[#This Row],[CUIT]],Lista_CUIT[#All],2,0)),"CUIT NO CARGADO")</f>
        <v>-</v>
      </c>
      <c r="H2013" s="100">
        <f>ventas_b_mes1255[[#This Row],[TOTAL]]/1.21</f>
        <v>0</v>
      </c>
      <c r="I2013" s="64">
        <f>ventas_b_mes1255[[#This Row],[IMPORTE NETO]]*0.21</f>
        <v>0</v>
      </c>
      <c r="J2013" s="141"/>
      <c r="K2013" s="141"/>
      <c r="L2013" s="141"/>
      <c r="M2013" s="59"/>
    </row>
    <row r="2014" spans="2:13">
      <c r="B2014" s="135"/>
      <c r="C2014" s="41"/>
      <c r="D2014" s="137"/>
      <c r="E2014" s="138"/>
      <c r="F2014" s="139"/>
      <c r="G2014" s="1" t="str">
        <f>IFERROR(IF(ventas_b_mes1255[[#This Row],[CUIT]]="","-",VLOOKUP(ventas_b_mes1255[[#This Row],[CUIT]],Lista_CUIT[#All],2,0)),"CUIT NO CARGADO")</f>
        <v>-</v>
      </c>
      <c r="H2014" s="100">
        <f>ventas_b_mes1255[[#This Row],[TOTAL]]/1.21</f>
        <v>0</v>
      </c>
      <c r="I2014" s="64">
        <f>ventas_b_mes1255[[#This Row],[IMPORTE NETO]]*0.21</f>
        <v>0</v>
      </c>
      <c r="J2014" s="141"/>
      <c r="K2014" s="141"/>
      <c r="L2014" s="141"/>
      <c r="M2014" s="59"/>
    </row>
    <row r="2015" spans="2:13">
      <c r="B2015" s="135"/>
      <c r="C2015" s="41"/>
      <c r="D2015" s="137"/>
      <c r="E2015" s="138"/>
      <c r="F2015" s="139"/>
      <c r="G2015" s="1" t="str">
        <f>IFERROR(IF(ventas_b_mes1255[[#This Row],[CUIT]]="","-",VLOOKUP(ventas_b_mes1255[[#This Row],[CUIT]],Lista_CUIT[#All],2,0)),"CUIT NO CARGADO")</f>
        <v>-</v>
      </c>
      <c r="H2015" s="100">
        <f>ventas_b_mes1255[[#This Row],[TOTAL]]/1.21</f>
        <v>0</v>
      </c>
      <c r="I2015" s="64">
        <f>ventas_b_mes1255[[#This Row],[IMPORTE NETO]]*0.21</f>
        <v>0</v>
      </c>
      <c r="J2015" s="141"/>
      <c r="K2015" s="141"/>
      <c r="L2015" s="141"/>
      <c r="M2015" s="59"/>
    </row>
    <row r="2016" spans="2:13">
      <c r="B2016" s="135"/>
      <c r="C2016" s="41"/>
      <c r="D2016" s="137"/>
      <c r="E2016" s="138"/>
      <c r="F2016" s="139"/>
      <c r="G2016" s="1" t="str">
        <f>IFERROR(IF(ventas_b_mes1255[[#This Row],[CUIT]]="","-",VLOOKUP(ventas_b_mes1255[[#This Row],[CUIT]],Lista_CUIT[#All],2,0)),"CUIT NO CARGADO")</f>
        <v>-</v>
      </c>
      <c r="H2016" s="100">
        <f>ventas_b_mes1255[[#This Row],[TOTAL]]/1.21</f>
        <v>0</v>
      </c>
      <c r="I2016" s="64">
        <f>ventas_b_mes1255[[#This Row],[IMPORTE NETO]]*0.21</f>
        <v>0</v>
      </c>
      <c r="J2016" s="141"/>
      <c r="K2016" s="141"/>
      <c r="L2016" s="141"/>
      <c r="M2016" s="59"/>
    </row>
    <row r="2017" spans="2:13">
      <c r="B2017" s="135"/>
      <c r="C2017" s="41"/>
      <c r="D2017" s="137"/>
      <c r="E2017" s="138"/>
      <c r="F2017" s="139"/>
      <c r="G2017" s="1" t="str">
        <f>IFERROR(IF(ventas_b_mes1255[[#This Row],[CUIT]]="","-",VLOOKUP(ventas_b_mes1255[[#This Row],[CUIT]],Lista_CUIT[#All],2,0)),"CUIT NO CARGADO")</f>
        <v>-</v>
      </c>
      <c r="H2017" s="100">
        <f>ventas_b_mes1255[[#This Row],[TOTAL]]/1.21</f>
        <v>0</v>
      </c>
      <c r="I2017" s="64">
        <f>ventas_b_mes1255[[#This Row],[IMPORTE NETO]]*0.21</f>
        <v>0</v>
      </c>
      <c r="J2017" s="141"/>
      <c r="K2017" s="141"/>
      <c r="L2017" s="141"/>
      <c r="M2017" s="59"/>
    </row>
    <row r="2018" spans="2:13">
      <c r="B2018" s="135"/>
      <c r="C2018" s="41"/>
      <c r="D2018" s="137"/>
      <c r="E2018" s="138"/>
      <c r="F2018" s="139"/>
      <c r="G2018" s="1" t="str">
        <f>IFERROR(IF(ventas_b_mes1255[[#This Row],[CUIT]]="","-",VLOOKUP(ventas_b_mes1255[[#This Row],[CUIT]],Lista_CUIT[#All],2,0)),"CUIT NO CARGADO")</f>
        <v>-</v>
      </c>
      <c r="H2018" s="100">
        <f>ventas_b_mes1255[[#This Row],[TOTAL]]/1.21</f>
        <v>0</v>
      </c>
      <c r="I2018" s="64">
        <f>ventas_b_mes1255[[#This Row],[IMPORTE NETO]]*0.21</f>
        <v>0</v>
      </c>
      <c r="J2018" s="141"/>
      <c r="K2018" s="141"/>
      <c r="L2018" s="141"/>
      <c r="M2018" s="59"/>
    </row>
    <row r="2019" spans="2:13">
      <c r="B2019" s="135"/>
      <c r="C2019" s="41"/>
      <c r="D2019" s="137"/>
      <c r="E2019" s="138"/>
      <c r="F2019" s="139"/>
      <c r="G2019" s="1" t="str">
        <f>IFERROR(IF(ventas_b_mes1255[[#This Row],[CUIT]]="","-",VLOOKUP(ventas_b_mes1255[[#This Row],[CUIT]],Lista_CUIT[#All],2,0)),"CUIT NO CARGADO")</f>
        <v>-</v>
      </c>
      <c r="H2019" s="100">
        <f>ventas_b_mes1255[[#This Row],[TOTAL]]/1.21</f>
        <v>0</v>
      </c>
      <c r="I2019" s="64">
        <f>ventas_b_mes1255[[#This Row],[IMPORTE NETO]]*0.21</f>
        <v>0</v>
      </c>
      <c r="J2019" s="141"/>
      <c r="K2019" s="141"/>
      <c r="L2019" s="141"/>
      <c r="M2019" s="59"/>
    </row>
    <row r="2020" spans="2:13">
      <c r="B2020" s="135"/>
      <c r="C2020" s="41"/>
      <c r="D2020" s="137"/>
      <c r="E2020" s="138"/>
      <c r="F2020" s="139"/>
      <c r="G2020" s="1" t="str">
        <f>IFERROR(IF(ventas_b_mes1255[[#This Row],[CUIT]]="","-",VLOOKUP(ventas_b_mes1255[[#This Row],[CUIT]],Lista_CUIT[#All],2,0)),"CUIT NO CARGADO")</f>
        <v>-</v>
      </c>
      <c r="H2020" s="100">
        <f>ventas_b_mes1255[[#This Row],[TOTAL]]/1.21</f>
        <v>0</v>
      </c>
      <c r="I2020" s="64">
        <f>ventas_b_mes1255[[#This Row],[IMPORTE NETO]]*0.21</f>
        <v>0</v>
      </c>
      <c r="J2020" s="141"/>
      <c r="K2020" s="141"/>
      <c r="L2020" s="141"/>
      <c r="M2020" s="59"/>
    </row>
    <row r="2021" spans="2:13">
      <c r="B2021" s="135"/>
      <c r="C2021" s="41"/>
      <c r="D2021" s="137"/>
      <c r="E2021" s="138"/>
      <c r="F2021" s="139"/>
      <c r="G2021" s="1" t="str">
        <f>IFERROR(IF(ventas_b_mes1255[[#This Row],[CUIT]]="","-",VLOOKUP(ventas_b_mes1255[[#This Row],[CUIT]],Lista_CUIT[#All],2,0)),"CUIT NO CARGADO")</f>
        <v>-</v>
      </c>
      <c r="H2021" s="100">
        <f>ventas_b_mes1255[[#This Row],[TOTAL]]/1.21</f>
        <v>0</v>
      </c>
      <c r="I2021" s="64">
        <f>ventas_b_mes1255[[#This Row],[IMPORTE NETO]]*0.21</f>
        <v>0</v>
      </c>
      <c r="J2021" s="141"/>
      <c r="K2021" s="141"/>
      <c r="L2021" s="141"/>
      <c r="M2021" s="59"/>
    </row>
    <row r="2022" spans="2:13">
      <c r="B2022" s="135"/>
      <c r="C2022" s="41"/>
      <c r="D2022" s="137"/>
      <c r="E2022" s="138"/>
      <c r="F2022" s="139"/>
      <c r="G2022" s="1" t="str">
        <f>IFERROR(IF(ventas_b_mes1255[[#This Row],[CUIT]]="","-",VLOOKUP(ventas_b_mes1255[[#This Row],[CUIT]],Lista_CUIT[#All],2,0)),"CUIT NO CARGADO")</f>
        <v>-</v>
      </c>
      <c r="H2022" s="100">
        <f>ventas_b_mes1255[[#This Row],[TOTAL]]/1.21</f>
        <v>0</v>
      </c>
      <c r="I2022" s="64">
        <f>ventas_b_mes1255[[#This Row],[IMPORTE NETO]]*0.21</f>
        <v>0</v>
      </c>
      <c r="J2022" s="141"/>
      <c r="K2022" s="141"/>
      <c r="L2022" s="141"/>
      <c r="M2022" s="59"/>
    </row>
    <row r="2023" spans="2:13">
      <c r="B2023" s="135"/>
      <c r="C2023" s="41"/>
      <c r="D2023" s="137"/>
      <c r="E2023" s="138"/>
      <c r="F2023" s="139"/>
      <c r="G2023" s="1" t="str">
        <f>IFERROR(IF(ventas_b_mes1255[[#This Row],[CUIT]]="","-",VLOOKUP(ventas_b_mes1255[[#This Row],[CUIT]],Lista_CUIT[#All],2,0)),"CUIT NO CARGADO")</f>
        <v>-</v>
      </c>
      <c r="H2023" s="100">
        <f>ventas_b_mes1255[[#This Row],[TOTAL]]/1.21</f>
        <v>0</v>
      </c>
      <c r="I2023" s="64">
        <f>ventas_b_mes1255[[#This Row],[IMPORTE NETO]]*0.21</f>
        <v>0</v>
      </c>
      <c r="J2023" s="141"/>
      <c r="K2023" s="141"/>
      <c r="L2023" s="141"/>
      <c r="M2023" s="59"/>
    </row>
    <row r="2024" spans="2:13">
      <c r="B2024" s="135"/>
      <c r="C2024" s="41"/>
      <c r="D2024" s="137"/>
      <c r="E2024" s="138"/>
      <c r="F2024" s="139"/>
      <c r="G2024" s="1" t="str">
        <f>IFERROR(IF(ventas_b_mes1255[[#This Row],[CUIT]]="","-",VLOOKUP(ventas_b_mes1255[[#This Row],[CUIT]],Lista_CUIT[#All],2,0)),"CUIT NO CARGADO")</f>
        <v>-</v>
      </c>
      <c r="H2024" s="100">
        <f>ventas_b_mes1255[[#This Row],[TOTAL]]/1.21</f>
        <v>0</v>
      </c>
      <c r="I2024" s="64">
        <f>ventas_b_mes1255[[#This Row],[IMPORTE NETO]]*0.21</f>
        <v>0</v>
      </c>
      <c r="J2024" s="141"/>
      <c r="K2024" s="141"/>
      <c r="L2024" s="141"/>
      <c r="M2024" s="59"/>
    </row>
    <row r="2025" spans="2:13">
      <c r="B2025" s="135"/>
      <c r="C2025" s="41"/>
      <c r="D2025" s="137"/>
      <c r="E2025" s="138"/>
      <c r="F2025" s="139"/>
      <c r="G2025" s="1" t="str">
        <f>IFERROR(IF(ventas_b_mes1255[[#This Row],[CUIT]]="","-",VLOOKUP(ventas_b_mes1255[[#This Row],[CUIT]],Lista_CUIT[#All],2,0)),"CUIT NO CARGADO")</f>
        <v>-</v>
      </c>
      <c r="H2025" s="100">
        <f>ventas_b_mes1255[[#This Row],[TOTAL]]/1.21</f>
        <v>0</v>
      </c>
      <c r="I2025" s="64">
        <f>ventas_b_mes1255[[#This Row],[IMPORTE NETO]]*0.21</f>
        <v>0</v>
      </c>
      <c r="J2025" s="141"/>
      <c r="K2025" s="141"/>
      <c r="L2025" s="141"/>
      <c r="M2025" s="59"/>
    </row>
    <row r="2026" spans="2:13">
      <c r="B2026" s="135"/>
      <c r="C2026" s="41"/>
      <c r="D2026" s="137"/>
      <c r="E2026" s="138"/>
      <c r="F2026" s="139"/>
      <c r="G2026" s="1" t="str">
        <f>IFERROR(IF(ventas_b_mes1255[[#This Row],[CUIT]]="","-",VLOOKUP(ventas_b_mes1255[[#This Row],[CUIT]],Lista_CUIT[#All],2,0)),"CUIT NO CARGADO")</f>
        <v>-</v>
      </c>
      <c r="H2026" s="100">
        <f>ventas_b_mes1255[[#This Row],[TOTAL]]/1.21</f>
        <v>0</v>
      </c>
      <c r="I2026" s="64">
        <f>ventas_b_mes1255[[#This Row],[IMPORTE NETO]]*0.21</f>
        <v>0</v>
      </c>
      <c r="J2026" s="141"/>
      <c r="K2026" s="141"/>
      <c r="L2026" s="141"/>
      <c r="M2026" s="59"/>
    </row>
    <row r="2027" spans="2:13">
      <c r="B2027" s="135"/>
      <c r="C2027" s="41"/>
      <c r="D2027" s="137"/>
      <c r="E2027" s="138"/>
      <c r="F2027" s="139"/>
      <c r="G2027" s="1" t="str">
        <f>IFERROR(IF(ventas_b_mes1255[[#This Row],[CUIT]]="","-",VLOOKUP(ventas_b_mes1255[[#This Row],[CUIT]],Lista_CUIT[#All],2,0)),"CUIT NO CARGADO")</f>
        <v>-</v>
      </c>
      <c r="H2027" s="100">
        <f>ventas_b_mes1255[[#This Row],[TOTAL]]/1.21</f>
        <v>0</v>
      </c>
      <c r="I2027" s="64">
        <f>ventas_b_mes1255[[#This Row],[IMPORTE NETO]]*0.21</f>
        <v>0</v>
      </c>
      <c r="J2027" s="141"/>
      <c r="K2027" s="141"/>
      <c r="L2027" s="141"/>
      <c r="M2027" s="59"/>
    </row>
    <row r="2028" spans="2:13">
      <c r="B2028" s="135"/>
      <c r="C2028" s="41"/>
      <c r="D2028" s="137"/>
      <c r="E2028" s="138"/>
      <c r="F2028" s="139"/>
      <c r="G2028" s="1" t="str">
        <f>IFERROR(IF(ventas_b_mes1255[[#This Row],[CUIT]]="","-",VLOOKUP(ventas_b_mes1255[[#This Row],[CUIT]],Lista_CUIT[#All],2,0)),"CUIT NO CARGADO")</f>
        <v>-</v>
      </c>
      <c r="H2028" s="100">
        <f>ventas_b_mes1255[[#This Row],[TOTAL]]/1.21</f>
        <v>0</v>
      </c>
      <c r="I2028" s="64">
        <f>ventas_b_mes1255[[#This Row],[IMPORTE NETO]]*0.21</f>
        <v>0</v>
      </c>
      <c r="J2028" s="141"/>
      <c r="K2028" s="141"/>
      <c r="L2028" s="141"/>
      <c r="M2028" s="59"/>
    </row>
    <row r="2029" spans="2:13">
      <c r="B2029" s="135"/>
      <c r="C2029" s="41"/>
      <c r="D2029" s="137"/>
      <c r="E2029" s="138"/>
      <c r="F2029" s="139"/>
      <c r="G2029" s="1" t="str">
        <f>IFERROR(IF(ventas_b_mes1255[[#This Row],[CUIT]]="","-",VLOOKUP(ventas_b_mes1255[[#This Row],[CUIT]],Lista_CUIT[#All],2,0)),"CUIT NO CARGADO")</f>
        <v>-</v>
      </c>
      <c r="H2029" s="100">
        <f>ventas_b_mes1255[[#This Row],[TOTAL]]/1.21</f>
        <v>0</v>
      </c>
      <c r="I2029" s="64">
        <f>ventas_b_mes1255[[#This Row],[IMPORTE NETO]]*0.21</f>
        <v>0</v>
      </c>
      <c r="J2029" s="141"/>
      <c r="K2029" s="141"/>
      <c r="L2029" s="141"/>
      <c r="M2029" s="59"/>
    </row>
    <row r="2030" spans="2:13">
      <c r="B2030" s="135"/>
      <c r="C2030" s="41"/>
      <c r="D2030" s="137"/>
      <c r="E2030" s="138"/>
      <c r="F2030" s="139"/>
      <c r="G2030" s="1" t="str">
        <f>IFERROR(IF(ventas_b_mes1255[[#This Row],[CUIT]]="","-",VLOOKUP(ventas_b_mes1255[[#This Row],[CUIT]],Lista_CUIT[#All],2,0)),"CUIT NO CARGADO")</f>
        <v>-</v>
      </c>
      <c r="H2030" s="100">
        <f>ventas_b_mes1255[[#This Row],[TOTAL]]/1.21</f>
        <v>0</v>
      </c>
      <c r="I2030" s="64">
        <f>ventas_b_mes1255[[#This Row],[IMPORTE NETO]]*0.21</f>
        <v>0</v>
      </c>
      <c r="J2030" s="141"/>
      <c r="K2030" s="141"/>
      <c r="L2030" s="141"/>
      <c r="M2030" s="59"/>
    </row>
    <row r="2031" spans="2:13">
      <c r="B2031" s="135"/>
      <c r="C2031" s="41"/>
      <c r="D2031" s="137"/>
      <c r="E2031" s="138"/>
      <c r="F2031" s="139"/>
      <c r="G2031" s="1" t="str">
        <f>IFERROR(IF(ventas_b_mes1255[[#This Row],[CUIT]]="","-",VLOOKUP(ventas_b_mes1255[[#This Row],[CUIT]],Lista_CUIT[#All],2,0)),"CUIT NO CARGADO")</f>
        <v>-</v>
      </c>
      <c r="H2031" s="100">
        <f>ventas_b_mes1255[[#This Row],[TOTAL]]/1.21</f>
        <v>0</v>
      </c>
      <c r="I2031" s="64">
        <f>ventas_b_mes1255[[#This Row],[IMPORTE NETO]]*0.21</f>
        <v>0</v>
      </c>
      <c r="J2031" s="141"/>
      <c r="K2031" s="141"/>
      <c r="L2031" s="141"/>
      <c r="M2031" s="59"/>
    </row>
    <row r="2032" spans="2:13">
      <c r="B2032" s="135"/>
      <c r="C2032" s="41"/>
      <c r="D2032" s="137"/>
      <c r="E2032" s="138"/>
      <c r="F2032" s="139"/>
      <c r="G2032" s="1" t="str">
        <f>IFERROR(IF(ventas_b_mes1255[[#This Row],[CUIT]]="","-",VLOOKUP(ventas_b_mes1255[[#This Row],[CUIT]],Lista_CUIT[#All],2,0)),"CUIT NO CARGADO")</f>
        <v>-</v>
      </c>
      <c r="H2032" s="100">
        <f>ventas_b_mes1255[[#This Row],[TOTAL]]/1.21</f>
        <v>0</v>
      </c>
      <c r="I2032" s="64">
        <f>ventas_b_mes1255[[#This Row],[IMPORTE NETO]]*0.21</f>
        <v>0</v>
      </c>
      <c r="J2032" s="141"/>
      <c r="K2032" s="141"/>
      <c r="L2032" s="141"/>
      <c r="M2032" s="59"/>
    </row>
    <row r="2033" spans="2:13">
      <c r="B2033" s="135"/>
      <c r="C2033" s="41"/>
      <c r="D2033" s="137"/>
      <c r="E2033" s="138"/>
      <c r="F2033" s="139"/>
      <c r="G2033" s="1" t="str">
        <f>IFERROR(IF(ventas_b_mes1255[[#This Row],[CUIT]]="","-",VLOOKUP(ventas_b_mes1255[[#This Row],[CUIT]],Lista_CUIT[#All],2,0)),"CUIT NO CARGADO")</f>
        <v>-</v>
      </c>
      <c r="H2033" s="100">
        <f>ventas_b_mes1255[[#This Row],[TOTAL]]/1.21</f>
        <v>0</v>
      </c>
      <c r="I2033" s="64">
        <f>ventas_b_mes1255[[#This Row],[IMPORTE NETO]]*0.21</f>
        <v>0</v>
      </c>
      <c r="J2033" s="141"/>
      <c r="K2033" s="141"/>
      <c r="L2033" s="141"/>
      <c r="M2033" s="59"/>
    </row>
    <row r="2034" spans="2:13">
      <c r="B2034" s="135"/>
      <c r="C2034" s="41"/>
      <c r="D2034" s="137"/>
      <c r="E2034" s="138"/>
      <c r="F2034" s="139"/>
      <c r="G2034" s="1" t="str">
        <f>IFERROR(IF(ventas_b_mes1255[[#This Row],[CUIT]]="","-",VLOOKUP(ventas_b_mes1255[[#This Row],[CUIT]],Lista_CUIT[#All],2,0)),"CUIT NO CARGADO")</f>
        <v>-</v>
      </c>
      <c r="H2034" s="100">
        <f>ventas_b_mes1255[[#This Row],[TOTAL]]/1.21</f>
        <v>0</v>
      </c>
      <c r="I2034" s="64">
        <f>ventas_b_mes1255[[#This Row],[IMPORTE NETO]]*0.21</f>
        <v>0</v>
      </c>
      <c r="J2034" s="141"/>
      <c r="K2034" s="141"/>
      <c r="L2034" s="141"/>
      <c r="M2034" s="59"/>
    </row>
    <row r="2035" spans="2:13">
      <c r="B2035" s="135"/>
      <c r="C2035" s="41"/>
      <c r="D2035" s="137"/>
      <c r="E2035" s="138"/>
      <c r="F2035" s="139"/>
      <c r="G2035" s="1" t="str">
        <f>IFERROR(IF(ventas_b_mes1255[[#This Row],[CUIT]]="","-",VLOOKUP(ventas_b_mes1255[[#This Row],[CUIT]],Lista_CUIT[#All],2,0)),"CUIT NO CARGADO")</f>
        <v>-</v>
      </c>
      <c r="H2035" s="100">
        <f>ventas_b_mes1255[[#This Row],[TOTAL]]/1.21</f>
        <v>0</v>
      </c>
      <c r="I2035" s="64">
        <f>ventas_b_mes1255[[#This Row],[IMPORTE NETO]]*0.21</f>
        <v>0</v>
      </c>
      <c r="J2035" s="141"/>
      <c r="K2035" s="141"/>
      <c r="L2035" s="141"/>
      <c r="M2035" s="59"/>
    </row>
    <row r="2036" spans="2:13">
      <c r="B2036" s="135"/>
      <c r="C2036" s="41"/>
      <c r="D2036" s="137"/>
      <c r="E2036" s="138"/>
      <c r="F2036" s="139"/>
      <c r="G2036" s="1" t="str">
        <f>IFERROR(IF(ventas_b_mes1255[[#This Row],[CUIT]]="","-",VLOOKUP(ventas_b_mes1255[[#This Row],[CUIT]],Lista_CUIT[#All],2,0)),"CUIT NO CARGADO")</f>
        <v>-</v>
      </c>
      <c r="H2036" s="100">
        <f>ventas_b_mes1255[[#This Row],[TOTAL]]/1.21</f>
        <v>0</v>
      </c>
      <c r="I2036" s="64">
        <f>ventas_b_mes1255[[#This Row],[IMPORTE NETO]]*0.21</f>
        <v>0</v>
      </c>
      <c r="J2036" s="141"/>
      <c r="K2036" s="141"/>
      <c r="L2036" s="141"/>
      <c r="M2036" s="59"/>
    </row>
    <row r="2037" spans="2:13">
      <c r="B2037" s="135"/>
      <c r="C2037" s="41"/>
      <c r="D2037" s="137"/>
      <c r="E2037" s="138"/>
      <c r="F2037" s="139"/>
      <c r="G2037" s="1" t="str">
        <f>IFERROR(IF(ventas_b_mes1255[[#This Row],[CUIT]]="","-",VLOOKUP(ventas_b_mes1255[[#This Row],[CUIT]],Lista_CUIT[#All],2,0)),"CUIT NO CARGADO")</f>
        <v>-</v>
      </c>
      <c r="H2037" s="100">
        <f>ventas_b_mes1255[[#This Row],[TOTAL]]/1.21</f>
        <v>0</v>
      </c>
      <c r="I2037" s="64">
        <f>ventas_b_mes1255[[#This Row],[IMPORTE NETO]]*0.21</f>
        <v>0</v>
      </c>
      <c r="J2037" s="141"/>
      <c r="K2037" s="141"/>
      <c r="L2037" s="141"/>
      <c r="M2037" s="59"/>
    </row>
    <row r="2038" spans="2:13">
      <c r="B2038" s="135"/>
      <c r="C2038" s="41"/>
      <c r="D2038" s="137"/>
      <c r="E2038" s="138"/>
      <c r="F2038" s="139"/>
      <c r="G2038" s="1" t="str">
        <f>IFERROR(IF(ventas_b_mes1255[[#This Row],[CUIT]]="","-",VLOOKUP(ventas_b_mes1255[[#This Row],[CUIT]],Lista_CUIT[#All],2,0)),"CUIT NO CARGADO")</f>
        <v>-</v>
      </c>
      <c r="H2038" s="100">
        <f>ventas_b_mes1255[[#This Row],[TOTAL]]/1.21</f>
        <v>0</v>
      </c>
      <c r="I2038" s="64">
        <f>ventas_b_mes1255[[#This Row],[IMPORTE NETO]]*0.21</f>
        <v>0</v>
      </c>
      <c r="J2038" s="141"/>
      <c r="K2038" s="141"/>
      <c r="L2038" s="141"/>
      <c r="M2038" s="59"/>
    </row>
    <row r="2039" spans="2:13">
      <c r="B2039" s="135"/>
      <c r="C2039" s="41"/>
      <c r="D2039" s="137"/>
      <c r="E2039" s="138"/>
      <c r="F2039" s="139"/>
      <c r="G2039" s="1" t="str">
        <f>IFERROR(IF(ventas_b_mes1255[[#This Row],[CUIT]]="","-",VLOOKUP(ventas_b_mes1255[[#This Row],[CUIT]],Lista_CUIT[#All],2,0)),"CUIT NO CARGADO")</f>
        <v>-</v>
      </c>
      <c r="H2039" s="100">
        <f>ventas_b_mes1255[[#This Row],[TOTAL]]/1.21</f>
        <v>0</v>
      </c>
      <c r="I2039" s="64">
        <f>ventas_b_mes1255[[#This Row],[IMPORTE NETO]]*0.21</f>
        <v>0</v>
      </c>
      <c r="J2039" s="141"/>
      <c r="K2039" s="141"/>
      <c r="L2039" s="141"/>
      <c r="M2039" s="59"/>
    </row>
    <row r="2040" spans="2:13">
      <c r="B2040" s="135"/>
      <c r="C2040" s="41"/>
      <c r="D2040" s="137"/>
      <c r="E2040" s="138"/>
      <c r="F2040" s="139"/>
      <c r="G2040" s="1" t="str">
        <f>IFERROR(IF(ventas_b_mes1255[[#This Row],[CUIT]]="","-",VLOOKUP(ventas_b_mes1255[[#This Row],[CUIT]],Lista_CUIT[#All],2,0)),"CUIT NO CARGADO")</f>
        <v>-</v>
      </c>
      <c r="H2040" s="100">
        <f>ventas_b_mes1255[[#This Row],[TOTAL]]/1.21</f>
        <v>0</v>
      </c>
      <c r="I2040" s="64">
        <f>ventas_b_mes1255[[#This Row],[IMPORTE NETO]]*0.21</f>
        <v>0</v>
      </c>
      <c r="J2040" s="141"/>
      <c r="K2040" s="141"/>
      <c r="L2040" s="141"/>
      <c r="M2040" s="59"/>
    </row>
    <row r="2041" spans="2:13">
      <c r="B2041" s="135"/>
      <c r="C2041" s="41"/>
      <c r="D2041" s="137"/>
      <c r="E2041" s="138"/>
      <c r="F2041" s="139"/>
      <c r="G2041" s="1" t="str">
        <f>IFERROR(IF(ventas_b_mes1255[[#This Row],[CUIT]]="","-",VLOOKUP(ventas_b_mes1255[[#This Row],[CUIT]],Lista_CUIT[#All],2,0)),"CUIT NO CARGADO")</f>
        <v>-</v>
      </c>
      <c r="H2041" s="100">
        <f>ventas_b_mes1255[[#This Row],[TOTAL]]/1.21</f>
        <v>0</v>
      </c>
      <c r="I2041" s="64">
        <f>ventas_b_mes1255[[#This Row],[IMPORTE NETO]]*0.21</f>
        <v>0</v>
      </c>
      <c r="J2041" s="141"/>
      <c r="K2041" s="141"/>
      <c r="L2041" s="141"/>
      <c r="M2041" s="59"/>
    </row>
    <row r="2042" spans="2:13">
      <c r="B2042" s="135"/>
      <c r="C2042" s="41"/>
      <c r="D2042" s="137"/>
      <c r="E2042" s="138"/>
      <c r="F2042" s="139"/>
      <c r="G2042" s="1" t="str">
        <f>IFERROR(IF(ventas_b_mes1255[[#This Row],[CUIT]]="","-",VLOOKUP(ventas_b_mes1255[[#This Row],[CUIT]],Lista_CUIT[#All],2,0)),"CUIT NO CARGADO")</f>
        <v>-</v>
      </c>
      <c r="H2042" s="100">
        <f>ventas_b_mes1255[[#This Row],[TOTAL]]/1.21</f>
        <v>0</v>
      </c>
      <c r="I2042" s="64">
        <f>ventas_b_mes1255[[#This Row],[IMPORTE NETO]]*0.21</f>
        <v>0</v>
      </c>
      <c r="J2042" s="141"/>
      <c r="K2042" s="141"/>
      <c r="L2042" s="141"/>
      <c r="M2042" s="59"/>
    </row>
    <row r="2043" spans="2:13">
      <c r="B2043" s="135"/>
      <c r="C2043" s="41"/>
      <c r="D2043" s="137"/>
      <c r="E2043" s="138"/>
      <c r="F2043" s="139"/>
      <c r="G2043" s="1" t="str">
        <f>IFERROR(IF(ventas_b_mes1255[[#This Row],[CUIT]]="","-",VLOOKUP(ventas_b_mes1255[[#This Row],[CUIT]],Lista_CUIT[#All],2,0)),"CUIT NO CARGADO")</f>
        <v>-</v>
      </c>
      <c r="H2043" s="100">
        <f>ventas_b_mes1255[[#This Row],[TOTAL]]/1.21</f>
        <v>0</v>
      </c>
      <c r="I2043" s="64">
        <f>ventas_b_mes1255[[#This Row],[IMPORTE NETO]]*0.21</f>
        <v>0</v>
      </c>
      <c r="J2043" s="141"/>
      <c r="K2043" s="141"/>
      <c r="L2043" s="141"/>
      <c r="M2043" s="59"/>
    </row>
    <row r="2044" spans="2:13">
      <c r="B2044" s="135"/>
      <c r="C2044" s="41"/>
      <c r="D2044" s="137"/>
      <c r="E2044" s="138"/>
      <c r="F2044" s="139"/>
      <c r="G2044" s="1" t="str">
        <f>IFERROR(IF(ventas_b_mes1255[[#This Row],[CUIT]]="","-",VLOOKUP(ventas_b_mes1255[[#This Row],[CUIT]],Lista_CUIT[#All],2,0)),"CUIT NO CARGADO")</f>
        <v>-</v>
      </c>
      <c r="H2044" s="100">
        <f>ventas_b_mes1255[[#This Row],[TOTAL]]/1.21</f>
        <v>0</v>
      </c>
      <c r="I2044" s="64">
        <f>ventas_b_mes1255[[#This Row],[IMPORTE NETO]]*0.21</f>
        <v>0</v>
      </c>
      <c r="J2044" s="141"/>
      <c r="K2044" s="141"/>
      <c r="L2044" s="141"/>
      <c r="M2044" s="59"/>
    </row>
    <row r="2045" spans="2:13">
      <c r="B2045" s="135"/>
      <c r="C2045" s="41"/>
      <c r="D2045" s="137"/>
      <c r="E2045" s="138"/>
      <c r="F2045" s="139"/>
      <c r="G2045" s="1" t="str">
        <f>IFERROR(IF(ventas_b_mes1255[[#This Row],[CUIT]]="","-",VLOOKUP(ventas_b_mes1255[[#This Row],[CUIT]],Lista_CUIT[#All],2,0)),"CUIT NO CARGADO")</f>
        <v>-</v>
      </c>
      <c r="H2045" s="100">
        <f>ventas_b_mes1255[[#This Row],[TOTAL]]/1.21</f>
        <v>0</v>
      </c>
      <c r="I2045" s="64">
        <f>ventas_b_mes1255[[#This Row],[IMPORTE NETO]]*0.21</f>
        <v>0</v>
      </c>
      <c r="J2045" s="141"/>
      <c r="K2045" s="141"/>
      <c r="L2045" s="141"/>
      <c r="M2045" s="59"/>
    </row>
    <row r="2046" spans="2:13">
      <c r="B2046" s="135"/>
      <c r="C2046" s="41"/>
      <c r="D2046" s="137"/>
      <c r="E2046" s="138"/>
      <c r="F2046" s="139"/>
      <c r="G2046" s="1" t="str">
        <f>IFERROR(IF(ventas_b_mes1255[[#This Row],[CUIT]]="","-",VLOOKUP(ventas_b_mes1255[[#This Row],[CUIT]],Lista_CUIT[#All],2,0)),"CUIT NO CARGADO")</f>
        <v>-</v>
      </c>
      <c r="H2046" s="100">
        <f>ventas_b_mes1255[[#This Row],[TOTAL]]/1.21</f>
        <v>0</v>
      </c>
      <c r="I2046" s="64">
        <f>ventas_b_mes1255[[#This Row],[IMPORTE NETO]]*0.21</f>
        <v>0</v>
      </c>
      <c r="J2046" s="141"/>
      <c r="K2046" s="141"/>
      <c r="L2046" s="141"/>
      <c r="M2046" s="59"/>
    </row>
    <row r="2047" spans="2:13">
      <c r="B2047" s="135"/>
      <c r="C2047" s="41"/>
      <c r="D2047" s="137"/>
      <c r="E2047" s="138"/>
      <c r="F2047" s="139"/>
      <c r="G2047" s="1" t="str">
        <f>IFERROR(IF(ventas_b_mes1255[[#This Row],[CUIT]]="","-",VLOOKUP(ventas_b_mes1255[[#This Row],[CUIT]],Lista_CUIT[#All],2,0)),"CUIT NO CARGADO")</f>
        <v>-</v>
      </c>
      <c r="H2047" s="100">
        <f>ventas_b_mes1255[[#This Row],[TOTAL]]/1.21</f>
        <v>0</v>
      </c>
      <c r="I2047" s="64">
        <f>ventas_b_mes1255[[#This Row],[IMPORTE NETO]]*0.21</f>
        <v>0</v>
      </c>
      <c r="J2047" s="141"/>
      <c r="K2047" s="141"/>
      <c r="L2047" s="141"/>
      <c r="M2047" s="59"/>
    </row>
    <row r="2048" spans="2:13">
      <c r="B2048" s="135"/>
      <c r="C2048" s="41"/>
      <c r="D2048" s="137"/>
      <c r="E2048" s="138"/>
      <c r="F2048" s="139"/>
      <c r="G2048" s="1" t="str">
        <f>IFERROR(IF(ventas_b_mes1255[[#This Row],[CUIT]]="","-",VLOOKUP(ventas_b_mes1255[[#This Row],[CUIT]],Lista_CUIT[#All],2,0)),"CUIT NO CARGADO")</f>
        <v>-</v>
      </c>
      <c r="H2048" s="100">
        <f>ventas_b_mes1255[[#This Row],[TOTAL]]/1.21</f>
        <v>0</v>
      </c>
      <c r="I2048" s="64">
        <f>ventas_b_mes1255[[#This Row],[IMPORTE NETO]]*0.21</f>
        <v>0</v>
      </c>
      <c r="J2048" s="141"/>
      <c r="K2048" s="141"/>
      <c r="L2048" s="141"/>
      <c r="M2048" s="59"/>
    </row>
    <row r="2049" spans="2:13">
      <c r="B2049" s="135"/>
      <c r="C2049" s="41"/>
      <c r="D2049" s="137"/>
      <c r="E2049" s="138"/>
      <c r="F2049" s="139"/>
      <c r="G2049" s="1" t="str">
        <f>IFERROR(IF(ventas_b_mes1255[[#This Row],[CUIT]]="","-",VLOOKUP(ventas_b_mes1255[[#This Row],[CUIT]],Lista_CUIT[#All],2,0)),"CUIT NO CARGADO")</f>
        <v>-</v>
      </c>
      <c r="H2049" s="100">
        <f>ventas_b_mes1255[[#This Row],[TOTAL]]/1.21</f>
        <v>0</v>
      </c>
      <c r="I2049" s="64">
        <f>ventas_b_mes1255[[#This Row],[IMPORTE NETO]]*0.21</f>
        <v>0</v>
      </c>
      <c r="J2049" s="141"/>
      <c r="K2049" s="141"/>
      <c r="L2049" s="141"/>
      <c r="M2049" s="59"/>
    </row>
    <row r="2050" spans="2:13">
      <c r="B2050" s="135"/>
      <c r="C2050" s="41"/>
      <c r="D2050" s="137"/>
      <c r="E2050" s="138"/>
      <c r="F2050" s="139"/>
      <c r="G2050" s="1" t="str">
        <f>IFERROR(IF(ventas_b_mes1255[[#This Row],[CUIT]]="","-",VLOOKUP(ventas_b_mes1255[[#This Row],[CUIT]],Lista_CUIT[#All],2,0)),"CUIT NO CARGADO")</f>
        <v>-</v>
      </c>
      <c r="H2050" s="100">
        <f>ventas_b_mes1255[[#This Row],[TOTAL]]/1.21</f>
        <v>0</v>
      </c>
      <c r="I2050" s="64">
        <f>ventas_b_mes1255[[#This Row],[IMPORTE NETO]]*0.21</f>
        <v>0</v>
      </c>
      <c r="J2050" s="141"/>
      <c r="K2050" s="141"/>
      <c r="L2050" s="141"/>
      <c r="M2050" s="59"/>
    </row>
    <row r="2051" spans="2:13">
      <c r="B2051" s="135"/>
      <c r="C2051" s="41"/>
      <c r="D2051" s="137"/>
      <c r="E2051" s="138"/>
      <c r="F2051" s="139"/>
      <c r="G2051" s="1" t="str">
        <f>IFERROR(IF(ventas_b_mes1255[[#This Row],[CUIT]]="","-",VLOOKUP(ventas_b_mes1255[[#This Row],[CUIT]],Lista_CUIT[#All],2,0)),"CUIT NO CARGADO")</f>
        <v>-</v>
      </c>
      <c r="H2051" s="100">
        <f>ventas_b_mes1255[[#This Row],[TOTAL]]/1.21</f>
        <v>0</v>
      </c>
      <c r="I2051" s="64">
        <f>ventas_b_mes1255[[#This Row],[IMPORTE NETO]]*0.21</f>
        <v>0</v>
      </c>
      <c r="J2051" s="141"/>
      <c r="K2051" s="141"/>
      <c r="L2051" s="141"/>
      <c r="M2051" s="59"/>
    </row>
    <row r="2052" spans="2:13">
      <c r="B2052" s="135"/>
      <c r="C2052" s="41"/>
      <c r="D2052" s="137"/>
      <c r="E2052" s="138"/>
      <c r="F2052" s="139"/>
      <c r="G2052" s="1" t="str">
        <f>IFERROR(IF(ventas_b_mes1255[[#This Row],[CUIT]]="","-",VLOOKUP(ventas_b_mes1255[[#This Row],[CUIT]],Lista_CUIT[#All],2,0)),"CUIT NO CARGADO")</f>
        <v>-</v>
      </c>
      <c r="H2052" s="100">
        <f>ventas_b_mes1255[[#This Row],[TOTAL]]/1.21</f>
        <v>0</v>
      </c>
      <c r="I2052" s="64">
        <f>ventas_b_mes1255[[#This Row],[IMPORTE NETO]]*0.21</f>
        <v>0</v>
      </c>
      <c r="J2052" s="141"/>
      <c r="K2052" s="141"/>
      <c r="L2052" s="141"/>
      <c r="M2052" s="59"/>
    </row>
    <row r="2053" spans="2:13">
      <c r="B2053" s="135"/>
      <c r="C2053" s="41"/>
      <c r="D2053" s="137"/>
      <c r="E2053" s="138"/>
      <c r="F2053" s="139"/>
      <c r="G2053" s="1" t="str">
        <f>IFERROR(IF(ventas_b_mes1255[[#This Row],[CUIT]]="","-",VLOOKUP(ventas_b_mes1255[[#This Row],[CUIT]],Lista_CUIT[#All],2,0)),"CUIT NO CARGADO")</f>
        <v>-</v>
      </c>
      <c r="H2053" s="100">
        <f>ventas_b_mes1255[[#This Row],[TOTAL]]/1.21</f>
        <v>0</v>
      </c>
      <c r="I2053" s="64">
        <f>ventas_b_mes1255[[#This Row],[IMPORTE NETO]]*0.21</f>
        <v>0</v>
      </c>
      <c r="J2053" s="141"/>
      <c r="K2053" s="141"/>
      <c r="L2053" s="141"/>
      <c r="M2053" s="59"/>
    </row>
    <row r="2054" spans="2:13">
      <c r="B2054" s="135"/>
      <c r="C2054" s="41"/>
      <c r="D2054" s="137"/>
      <c r="E2054" s="138"/>
      <c r="F2054" s="139"/>
      <c r="G2054" s="1" t="str">
        <f>IFERROR(IF(ventas_b_mes1255[[#This Row],[CUIT]]="","-",VLOOKUP(ventas_b_mes1255[[#This Row],[CUIT]],Lista_CUIT[#All],2,0)),"CUIT NO CARGADO")</f>
        <v>-</v>
      </c>
      <c r="H2054" s="100">
        <f>ventas_b_mes1255[[#This Row],[TOTAL]]/1.21</f>
        <v>0</v>
      </c>
      <c r="I2054" s="64">
        <f>ventas_b_mes1255[[#This Row],[IMPORTE NETO]]*0.21</f>
        <v>0</v>
      </c>
      <c r="J2054" s="141"/>
      <c r="K2054" s="141"/>
      <c r="L2054" s="141"/>
      <c r="M2054" s="59"/>
    </row>
    <row r="2055" spans="2:13">
      <c r="B2055" s="135"/>
      <c r="C2055" s="41"/>
      <c r="D2055" s="137"/>
      <c r="E2055" s="138"/>
      <c r="F2055" s="139"/>
      <c r="G2055" s="1" t="str">
        <f>IFERROR(IF(ventas_b_mes1255[[#This Row],[CUIT]]="","-",VLOOKUP(ventas_b_mes1255[[#This Row],[CUIT]],Lista_CUIT[#All],2,0)),"CUIT NO CARGADO")</f>
        <v>-</v>
      </c>
      <c r="H2055" s="100">
        <f>ventas_b_mes1255[[#This Row],[TOTAL]]/1.21</f>
        <v>0</v>
      </c>
      <c r="I2055" s="64">
        <f>ventas_b_mes1255[[#This Row],[IMPORTE NETO]]*0.21</f>
        <v>0</v>
      </c>
      <c r="J2055" s="141"/>
      <c r="K2055" s="141"/>
      <c r="L2055" s="141"/>
      <c r="M2055" s="59"/>
    </row>
    <row r="2056" spans="2:13">
      <c r="B2056" s="135"/>
      <c r="C2056" s="41"/>
      <c r="D2056" s="137"/>
      <c r="E2056" s="138"/>
      <c r="F2056" s="139"/>
      <c r="G2056" s="1" t="str">
        <f>IFERROR(IF(ventas_b_mes1255[[#This Row],[CUIT]]="","-",VLOOKUP(ventas_b_mes1255[[#This Row],[CUIT]],Lista_CUIT[#All],2,0)),"CUIT NO CARGADO")</f>
        <v>-</v>
      </c>
      <c r="H2056" s="100">
        <f>ventas_b_mes1255[[#This Row],[TOTAL]]/1.21</f>
        <v>0</v>
      </c>
      <c r="I2056" s="64">
        <f>ventas_b_mes1255[[#This Row],[IMPORTE NETO]]*0.21</f>
        <v>0</v>
      </c>
      <c r="J2056" s="141"/>
      <c r="K2056" s="141"/>
      <c r="L2056" s="141"/>
      <c r="M2056" s="59"/>
    </row>
    <row r="2057" spans="2:13">
      <c r="B2057" s="135"/>
      <c r="C2057" s="41"/>
      <c r="D2057" s="137"/>
      <c r="E2057" s="138"/>
      <c r="F2057" s="139"/>
      <c r="G2057" s="1" t="str">
        <f>IFERROR(IF(ventas_b_mes1255[[#This Row],[CUIT]]="","-",VLOOKUP(ventas_b_mes1255[[#This Row],[CUIT]],Lista_CUIT[#All],2,0)),"CUIT NO CARGADO")</f>
        <v>-</v>
      </c>
      <c r="H2057" s="100">
        <f>ventas_b_mes1255[[#This Row],[TOTAL]]/1.21</f>
        <v>0</v>
      </c>
      <c r="I2057" s="64">
        <f>ventas_b_mes1255[[#This Row],[IMPORTE NETO]]*0.21</f>
        <v>0</v>
      </c>
      <c r="J2057" s="141"/>
      <c r="K2057" s="141"/>
      <c r="L2057" s="141"/>
      <c r="M2057" s="59"/>
    </row>
    <row r="2058" spans="2:13">
      <c r="B2058" s="135"/>
      <c r="C2058" s="41"/>
      <c r="D2058" s="137"/>
      <c r="E2058" s="138"/>
      <c r="F2058" s="139"/>
      <c r="G2058" s="1" t="str">
        <f>IFERROR(IF(ventas_b_mes1255[[#This Row],[CUIT]]="","-",VLOOKUP(ventas_b_mes1255[[#This Row],[CUIT]],Lista_CUIT[#All],2,0)),"CUIT NO CARGADO")</f>
        <v>-</v>
      </c>
      <c r="H2058" s="100">
        <f>ventas_b_mes1255[[#This Row],[TOTAL]]/1.21</f>
        <v>0</v>
      </c>
      <c r="I2058" s="64">
        <f>ventas_b_mes1255[[#This Row],[IMPORTE NETO]]*0.21</f>
        <v>0</v>
      </c>
      <c r="J2058" s="141"/>
      <c r="K2058" s="141"/>
      <c r="L2058" s="141"/>
      <c r="M2058" s="59"/>
    </row>
    <row r="2059" spans="2:13">
      <c r="B2059" s="135"/>
      <c r="C2059" s="41"/>
      <c r="D2059" s="137"/>
      <c r="E2059" s="138"/>
      <c r="F2059" s="139"/>
      <c r="G2059" s="1" t="str">
        <f>IFERROR(IF(ventas_b_mes1255[[#This Row],[CUIT]]="","-",VLOOKUP(ventas_b_mes1255[[#This Row],[CUIT]],Lista_CUIT[#All],2,0)),"CUIT NO CARGADO")</f>
        <v>-</v>
      </c>
      <c r="H2059" s="100">
        <f>ventas_b_mes1255[[#This Row],[TOTAL]]/1.21</f>
        <v>0</v>
      </c>
      <c r="I2059" s="64">
        <f>ventas_b_mes1255[[#This Row],[IMPORTE NETO]]*0.21</f>
        <v>0</v>
      </c>
      <c r="J2059" s="141"/>
      <c r="K2059" s="141"/>
      <c r="L2059" s="141"/>
      <c r="M2059" s="59"/>
    </row>
    <row r="2060" spans="2:13">
      <c r="B2060" s="135"/>
      <c r="C2060" s="41"/>
      <c r="D2060" s="137"/>
      <c r="E2060" s="138"/>
      <c r="F2060" s="139"/>
      <c r="G2060" s="1" t="str">
        <f>IFERROR(IF(ventas_b_mes1255[[#This Row],[CUIT]]="","-",VLOOKUP(ventas_b_mes1255[[#This Row],[CUIT]],Lista_CUIT[#All],2,0)),"CUIT NO CARGADO")</f>
        <v>-</v>
      </c>
      <c r="H2060" s="100">
        <f>ventas_b_mes1255[[#This Row],[TOTAL]]/1.21</f>
        <v>0</v>
      </c>
      <c r="I2060" s="64">
        <f>ventas_b_mes1255[[#This Row],[IMPORTE NETO]]*0.21</f>
        <v>0</v>
      </c>
      <c r="J2060" s="141"/>
      <c r="K2060" s="141"/>
      <c r="L2060" s="141"/>
      <c r="M2060" s="59"/>
    </row>
    <row r="2061" spans="2:13">
      <c r="B2061" s="135"/>
      <c r="C2061" s="41"/>
      <c r="D2061" s="137"/>
      <c r="E2061" s="138"/>
      <c r="F2061" s="139"/>
      <c r="G2061" s="1" t="str">
        <f>IFERROR(IF(ventas_b_mes1255[[#This Row],[CUIT]]="","-",VLOOKUP(ventas_b_mes1255[[#This Row],[CUIT]],Lista_CUIT[#All],2,0)),"CUIT NO CARGADO")</f>
        <v>-</v>
      </c>
      <c r="H2061" s="100">
        <f>ventas_b_mes1255[[#This Row],[TOTAL]]/1.21</f>
        <v>0</v>
      </c>
      <c r="I2061" s="64">
        <f>ventas_b_mes1255[[#This Row],[IMPORTE NETO]]*0.21</f>
        <v>0</v>
      </c>
      <c r="J2061" s="141"/>
      <c r="K2061" s="141"/>
      <c r="L2061" s="141"/>
      <c r="M2061" s="59"/>
    </row>
    <row r="2062" spans="2:13">
      <c r="B2062" s="135"/>
      <c r="C2062" s="41"/>
      <c r="D2062" s="137"/>
      <c r="E2062" s="138"/>
      <c r="F2062" s="139"/>
      <c r="G2062" s="1" t="str">
        <f>IFERROR(IF(ventas_b_mes1255[[#This Row],[CUIT]]="","-",VLOOKUP(ventas_b_mes1255[[#This Row],[CUIT]],Lista_CUIT[#All],2,0)),"CUIT NO CARGADO")</f>
        <v>-</v>
      </c>
      <c r="H2062" s="100">
        <f>ventas_b_mes1255[[#This Row],[TOTAL]]/1.21</f>
        <v>0</v>
      </c>
      <c r="I2062" s="64">
        <f>ventas_b_mes1255[[#This Row],[IMPORTE NETO]]*0.21</f>
        <v>0</v>
      </c>
      <c r="J2062" s="141"/>
      <c r="K2062" s="141"/>
      <c r="L2062" s="141"/>
      <c r="M2062" s="59"/>
    </row>
    <row r="2063" spans="2:13">
      <c r="B2063" s="135"/>
      <c r="C2063" s="41"/>
      <c r="D2063" s="137"/>
      <c r="E2063" s="138"/>
      <c r="F2063" s="139"/>
      <c r="G2063" s="1" t="str">
        <f>IFERROR(IF(ventas_b_mes1255[[#This Row],[CUIT]]="","-",VLOOKUP(ventas_b_mes1255[[#This Row],[CUIT]],Lista_CUIT[#All],2,0)),"CUIT NO CARGADO")</f>
        <v>-</v>
      </c>
      <c r="H2063" s="100">
        <f>ventas_b_mes1255[[#This Row],[TOTAL]]/1.21</f>
        <v>0</v>
      </c>
      <c r="I2063" s="64">
        <f>ventas_b_mes1255[[#This Row],[IMPORTE NETO]]*0.21</f>
        <v>0</v>
      </c>
      <c r="J2063" s="141"/>
      <c r="K2063" s="141"/>
      <c r="L2063" s="141"/>
      <c r="M2063" s="59"/>
    </row>
    <row r="2064" spans="2:13">
      <c r="B2064" s="135"/>
      <c r="C2064" s="41"/>
      <c r="D2064" s="137"/>
      <c r="E2064" s="138"/>
      <c r="F2064" s="139"/>
      <c r="G2064" s="1" t="str">
        <f>IFERROR(IF(ventas_b_mes1255[[#This Row],[CUIT]]="","-",VLOOKUP(ventas_b_mes1255[[#This Row],[CUIT]],Lista_CUIT[#All],2,0)),"CUIT NO CARGADO")</f>
        <v>-</v>
      </c>
      <c r="H2064" s="100">
        <f>ventas_b_mes1255[[#This Row],[TOTAL]]/1.21</f>
        <v>0</v>
      </c>
      <c r="I2064" s="64">
        <f>ventas_b_mes1255[[#This Row],[IMPORTE NETO]]*0.21</f>
        <v>0</v>
      </c>
      <c r="J2064" s="141"/>
      <c r="K2064" s="141"/>
      <c r="L2064" s="141"/>
      <c r="M2064" s="59"/>
    </row>
    <row r="2065" spans="2:13">
      <c r="B2065" s="135"/>
      <c r="C2065" s="41"/>
      <c r="D2065" s="137"/>
      <c r="E2065" s="138"/>
      <c r="F2065" s="139"/>
      <c r="G2065" s="1" t="str">
        <f>IFERROR(IF(ventas_b_mes1255[[#This Row],[CUIT]]="","-",VLOOKUP(ventas_b_mes1255[[#This Row],[CUIT]],Lista_CUIT[#All],2,0)),"CUIT NO CARGADO")</f>
        <v>-</v>
      </c>
      <c r="H2065" s="100">
        <f>ventas_b_mes1255[[#This Row],[TOTAL]]/1.21</f>
        <v>0</v>
      </c>
      <c r="I2065" s="64">
        <f>ventas_b_mes1255[[#This Row],[IMPORTE NETO]]*0.21</f>
        <v>0</v>
      </c>
      <c r="J2065" s="141"/>
      <c r="K2065" s="141"/>
      <c r="L2065" s="141"/>
      <c r="M2065" s="59"/>
    </row>
    <row r="2066" spans="2:13">
      <c r="B2066" s="135"/>
      <c r="C2066" s="41"/>
      <c r="D2066" s="137"/>
      <c r="E2066" s="138"/>
      <c r="F2066" s="139"/>
      <c r="G2066" s="1" t="str">
        <f>IFERROR(IF(ventas_b_mes1255[[#This Row],[CUIT]]="","-",VLOOKUP(ventas_b_mes1255[[#This Row],[CUIT]],Lista_CUIT[#All],2,0)),"CUIT NO CARGADO")</f>
        <v>-</v>
      </c>
      <c r="H2066" s="100">
        <f>ventas_b_mes1255[[#This Row],[TOTAL]]/1.21</f>
        <v>0</v>
      </c>
      <c r="I2066" s="64">
        <f>ventas_b_mes1255[[#This Row],[IMPORTE NETO]]*0.21</f>
        <v>0</v>
      </c>
      <c r="J2066" s="141"/>
      <c r="K2066" s="141"/>
      <c r="L2066" s="141"/>
      <c r="M2066" s="59"/>
    </row>
    <row r="2067" spans="2:13">
      <c r="B2067" s="135"/>
      <c r="C2067" s="41"/>
      <c r="D2067" s="137"/>
      <c r="E2067" s="138"/>
      <c r="F2067" s="139"/>
      <c r="G2067" s="1" t="str">
        <f>IFERROR(IF(ventas_b_mes1255[[#This Row],[CUIT]]="","-",VLOOKUP(ventas_b_mes1255[[#This Row],[CUIT]],Lista_CUIT[#All],2,0)),"CUIT NO CARGADO")</f>
        <v>-</v>
      </c>
      <c r="H2067" s="100">
        <f>ventas_b_mes1255[[#This Row],[TOTAL]]/1.21</f>
        <v>0</v>
      </c>
      <c r="I2067" s="64">
        <f>ventas_b_mes1255[[#This Row],[IMPORTE NETO]]*0.21</f>
        <v>0</v>
      </c>
      <c r="J2067" s="141"/>
      <c r="K2067" s="141"/>
      <c r="L2067" s="141"/>
      <c r="M2067" s="59"/>
    </row>
    <row r="2068" spans="2:13">
      <c r="B2068" s="135"/>
      <c r="C2068" s="41"/>
      <c r="D2068" s="137"/>
      <c r="E2068" s="138"/>
      <c r="F2068" s="139"/>
      <c r="G2068" s="1" t="str">
        <f>IFERROR(IF(ventas_b_mes1255[[#This Row],[CUIT]]="","-",VLOOKUP(ventas_b_mes1255[[#This Row],[CUIT]],Lista_CUIT[#All],2,0)),"CUIT NO CARGADO")</f>
        <v>-</v>
      </c>
      <c r="H2068" s="100">
        <f>ventas_b_mes1255[[#This Row],[TOTAL]]/1.21</f>
        <v>0</v>
      </c>
      <c r="I2068" s="64">
        <f>ventas_b_mes1255[[#This Row],[IMPORTE NETO]]*0.21</f>
        <v>0</v>
      </c>
      <c r="J2068" s="141"/>
      <c r="K2068" s="141"/>
      <c r="L2068" s="141"/>
      <c r="M2068" s="59"/>
    </row>
    <row r="2069" spans="2:13">
      <c r="B2069" s="135"/>
      <c r="C2069" s="41"/>
      <c r="D2069" s="137"/>
      <c r="E2069" s="138"/>
      <c r="F2069" s="139"/>
      <c r="G2069" s="1" t="str">
        <f>IFERROR(IF(ventas_b_mes1255[[#This Row],[CUIT]]="","-",VLOOKUP(ventas_b_mes1255[[#This Row],[CUIT]],Lista_CUIT[#All],2,0)),"CUIT NO CARGADO")</f>
        <v>-</v>
      </c>
      <c r="H2069" s="100">
        <f>ventas_b_mes1255[[#This Row],[TOTAL]]/1.21</f>
        <v>0</v>
      </c>
      <c r="I2069" s="64">
        <f>ventas_b_mes1255[[#This Row],[IMPORTE NETO]]*0.21</f>
        <v>0</v>
      </c>
      <c r="J2069" s="141"/>
      <c r="K2069" s="141"/>
      <c r="L2069" s="141"/>
      <c r="M2069" s="59"/>
    </row>
    <row r="2070" spans="2:13">
      <c r="B2070" s="135"/>
      <c r="C2070" s="41"/>
      <c r="D2070" s="137"/>
      <c r="E2070" s="138"/>
      <c r="F2070" s="139"/>
      <c r="G2070" s="1" t="str">
        <f>IFERROR(IF(ventas_b_mes1255[[#This Row],[CUIT]]="","-",VLOOKUP(ventas_b_mes1255[[#This Row],[CUIT]],Lista_CUIT[#All],2,0)),"CUIT NO CARGADO")</f>
        <v>-</v>
      </c>
      <c r="H2070" s="100">
        <f>ventas_b_mes1255[[#This Row],[TOTAL]]/1.21</f>
        <v>0</v>
      </c>
      <c r="I2070" s="64">
        <f>ventas_b_mes1255[[#This Row],[IMPORTE NETO]]*0.21</f>
        <v>0</v>
      </c>
      <c r="J2070" s="141"/>
      <c r="K2070" s="141"/>
      <c r="L2070" s="141"/>
      <c r="M2070" s="59"/>
    </row>
    <row r="2071" spans="2:13">
      <c r="B2071" s="135"/>
      <c r="C2071" s="41"/>
      <c r="D2071" s="137"/>
      <c r="E2071" s="138"/>
      <c r="F2071" s="139"/>
      <c r="G2071" s="1" t="str">
        <f>IFERROR(IF(ventas_b_mes1255[[#This Row],[CUIT]]="","-",VLOOKUP(ventas_b_mes1255[[#This Row],[CUIT]],Lista_CUIT[#All],2,0)),"CUIT NO CARGADO")</f>
        <v>-</v>
      </c>
      <c r="H2071" s="100">
        <f>ventas_b_mes1255[[#This Row],[TOTAL]]/1.21</f>
        <v>0</v>
      </c>
      <c r="I2071" s="64">
        <f>ventas_b_mes1255[[#This Row],[IMPORTE NETO]]*0.21</f>
        <v>0</v>
      </c>
      <c r="J2071" s="141"/>
      <c r="K2071" s="141"/>
      <c r="L2071" s="141"/>
      <c r="M2071" s="59"/>
    </row>
    <row r="2072" spans="2:13">
      <c r="B2072" s="135"/>
      <c r="C2072" s="41"/>
      <c r="D2072" s="137"/>
      <c r="E2072" s="138"/>
      <c r="F2072" s="139"/>
      <c r="G2072" s="1" t="str">
        <f>IFERROR(IF(ventas_b_mes1255[[#This Row],[CUIT]]="","-",VLOOKUP(ventas_b_mes1255[[#This Row],[CUIT]],Lista_CUIT[#All],2,0)),"CUIT NO CARGADO")</f>
        <v>-</v>
      </c>
      <c r="H2072" s="100">
        <f>ventas_b_mes1255[[#This Row],[TOTAL]]/1.21</f>
        <v>0</v>
      </c>
      <c r="I2072" s="64">
        <f>ventas_b_mes1255[[#This Row],[IMPORTE NETO]]*0.21</f>
        <v>0</v>
      </c>
      <c r="J2072" s="141"/>
      <c r="K2072" s="141"/>
      <c r="L2072" s="141"/>
      <c r="M2072" s="59"/>
    </row>
    <row r="2073" spans="2:13">
      <c r="B2073" s="135"/>
      <c r="C2073" s="41"/>
      <c r="D2073" s="137"/>
      <c r="E2073" s="138"/>
      <c r="F2073" s="139"/>
      <c r="G2073" s="1" t="str">
        <f>IFERROR(IF(ventas_b_mes1255[[#This Row],[CUIT]]="","-",VLOOKUP(ventas_b_mes1255[[#This Row],[CUIT]],Lista_CUIT[#All],2,0)),"CUIT NO CARGADO")</f>
        <v>-</v>
      </c>
      <c r="H2073" s="100">
        <f>ventas_b_mes1255[[#This Row],[TOTAL]]/1.21</f>
        <v>0</v>
      </c>
      <c r="I2073" s="64">
        <f>ventas_b_mes1255[[#This Row],[IMPORTE NETO]]*0.21</f>
        <v>0</v>
      </c>
      <c r="J2073" s="141"/>
      <c r="K2073" s="141"/>
      <c r="L2073" s="141"/>
      <c r="M2073" s="59"/>
    </row>
    <row r="2074" spans="2:13">
      <c r="B2074" s="135"/>
      <c r="C2074" s="41"/>
      <c r="D2074" s="137"/>
      <c r="E2074" s="138"/>
      <c r="F2074" s="139"/>
      <c r="G2074" s="1" t="str">
        <f>IFERROR(IF(ventas_b_mes1255[[#This Row],[CUIT]]="","-",VLOOKUP(ventas_b_mes1255[[#This Row],[CUIT]],Lista_CUIT[#All],2,0)),"CUIT NO CARGADO")</f>
        <v>-</v>
      </c>
      <c r="H2074" s="100">
        <f>ventas_b_mes1255[[#This Row],[TOTAL]]/1.21</f>
        <v>0</v>
      </c>
      <c r="I2074" s="64">
        <f>ventas_b_mes1255[[#This Row],[IMPORTE NETO]]*0.21</f>
        <v>0</v>
      </c>
      <c r="J2074" s="141"/>
      <c r="K2074" s="141"/>
      <c r="L2074" s="141"/>
      <c r="M2074" s="59"/>
    </row>
    <row r="2075" spans="2:13">
      <c r="B2075" s="135"/>
      <c r="C2075" s="41"/>
      <c r="D2075" s="137"/>
      <c r="E2075" s="138"/>
      <c r="F2075" s="139"/>
      <c r="G2075" s="1" t="str">
        <f>IFERROR(IF(ventas_b_mes1255[[#This Row],[CUIT]]="","-",VLOOKUP(ventas_b_mes1255[[#This Row],[CUIT]],Lista_CUIT[#All],2,0)),"CUIT NO CARGADO")</f>
        <v>-</v>
      </c>
      <c r="H2075" s="100">
        <f>ventas_b_mes1255[[#This Row],[TOTAL]]/1.21</f>
        <v>0</v>
      </c>
      <c r="I2075" s="64">
        <f>ventas_b_mes1255[[#This Row],[IMPORTE NETO]]*0.21</f>
        <v>0</v>
      </c>
      <c r="J2075" s="141"/>
      <c r="K2075" s="141"/>
      <c r="L2075" s="141"/>
      <c r="M2075" s="59"/>
    </row>
    <row r="2076" spans="2:13">
      <c r="B2076" s="135"/>
      <c r="C2076" s="41"/>
      <c r="D2076" s="137"/>
      <c r="E2076" s="138"/>
      <c r="F2076" s="139"/>
      <c r="G2076" s="1" t="str">
        <f>IFERROR(IF(ventas_b_mes1255[[#This Row],[CUIT]]="","-",VLOOKUP(ventas_b_mes1255[[#This Row],[CUIT]],Lista_CUIT[#All],2,0)),"CUIT NO CARGADO")</f>
        <v>-</v>
      </c>
      <c r="H2076" s="100">
        <f>ventas_b_mes1255[[#This Row],[TOTAL]]/1.21</f>
        <v>0</v>
      </c>
      <c r="I2076" s="64">
        <f>ventas_b_mes1255[[#This Row],[IMPORTE NETO]]*0.21</f>
        <v>0</v>
      </c>
      <c r="J2076" s="141"/>
      <c r="K2076" s="141"/>
      <c r="L2076" s="141"/>
      <c r="M2076" s="59"/>
    </row>
    <row r="2077" spans="2:13">
      <c r="B2077" s="135"/>
      <c r="C2077" s="41"/>
      <c r="D2077" s="137"/>
      <c r="E2077" s="138"/>
      <c r="F2077" s="139"/>
      <c r="G2077" s="1" t="str">
        <f>IFERROR(IF(ventas_b_mes1255[[#This Row],[CUIT]]="","-",VLOOKUP(ventas_b_mes1255[[#This Row],[CUIT]],Lista_CUIT[#All],2,0)),"CUIT NO CARGADO")</f>
        <v>-</v>
      </c>
      <c r="H2077" s="100">
        <f>ventas_b_mes1255[[#This Row],[TOTAL]]/1.21</f>
        <v>0</v>
      </c>
      <c r="I2077" s="64">
        <f>ventas_b_mes1255[[#This Row],[IMPORTE NETO]]*0.21</f>
        <v>0</v>
      </c>
      <c r="J2077" s="141"/>
      <c r="K2077" s="141"/>
      <c r="L2077" s="141"/>
      <c r="M2077" s="59"/>
    </row>
    <row r="2078" spans="2:13">
      <c r="B2078" s="135"/>
      <c r="C2078" s="41"/>
      <c r="D2078" s="137"/>
      <c r="E2078" s="138"/>
      <c r="F2078" s="139"/>
      <c r="G2078" s="1" t="str">
        <f>IFERROR(IF(ventas_b_mes1255[[#This Row],[CUIT]]="","-",VLOOKUP(ventas_b_mes1255[[#This Row],[CUIT]],Lista_CUIT[#All],2,0)),"CUIT NO CARGADO")</f>
        <v>-</v>
      </c>
      <c r="H2078" s="100">
        <f>ventas_b_mes1255[[#This Row],[TOTAL]]/1.21</f>
        <v>0</v>
      </c>
      <c r="I2078" s="64">
        <f>ventas_b_mes1255[[#This Row],[IMPORTE NETO]]*0.21</f>
        <v>0</v>
      </c>
      <c r="J2078" s="141"/>
      <c r="K2078" s="141"/>
      <c r="L2078" s="141"/>
      <c r="M2078" s="59"/>
    </row>
    <row r="2079" spans="2:13">
      <c r="B2079" s="135"/>
      <c r="C2079" s="41"/>
      <c r="D2079" s="137"/>
      <c r="E2079" s="138"/>
      <c r="F2079" s="139"/>
      <c r="G2079" s="1" t="str">
        <f>IFERROR(IF(ventas_b_mes1255[[#This Row],[CUIT]]="","-",VLOOKUP(ventas_b_mes1255[[#This Row],[CUIT]],Lista_CUIT[#All],2,0)),"CUIT NO CARGADO")</f>
        <v>-</v>
      </c>
      <c r="H2079" s="100">
        <f>ventas_b_mes1255[[#This Row],[TOTAL]]/1.21</f>
        <v>0</v>
      </c>
      <c r="I2079" s="64">
        <f>ventas_b_mes1255[[#This Row],[IMPORTE NETO]]*0.21</f>
        <v>0</v>
      </c>
      <c r="J2079" s="141"/>
      <c r="K2079" s="141"/>
      <c r="L2079" s="141"/>
      <c r="M2079" s="59"/>
    </row>
    <row r="2080" spans="2:13">
      <c r="B2080" s="135"/>
      <c r="C2080" s="41"/>
      <c r="D2080" s="137"/>
      <c r="E2080" s="138"/>
      <c r="F2080" s="139"/>
      <c r="G2080" s="1" t="str">
        <f>IFERROR(IF(ventas_b_mes1255[[#This Row],[CUIT]]="","-",VLOOKUP(ventas_b_mes1255[[#This Row],[CUIT]],Lista_CUIT[#All],2,0)),"CUIT NO CARGADO")</f>
        <v>-</v>
      </c>
      <c r="H2080" s="100">
        <f>ventas_b_mes1255[[#This Row],[TOTAL]]/1.21</f>
        <v>0</v>
      </c>
      <c r="I2080" s="64">
        <f>ventas_b_mes1255[[#This Row],[IMPORTE NETO]]*0.21</f>
        <v>0</v>
      </c>
      <c r="J2080" s="141"/>
      <c r="K2080" s="141"/>
      <c r="L2080" s="141"/>
      <c r="M2080" s="59"/>
    </row>
    <row r="2081" spans="2:13">
      <c r="B2081" s="135"/>
      <c r="C2081" s="41"/>
      <c r="D2081" s="137"/>
      <c r="E2081" s="138"/>
      <c r="F2081" s="139"/>
      <c r="G2081" s="1" t="str">
        <f>IFERROR(IF(ventas_b_mes1255[[#This Row],[CUIT]]="","-",VLOOKUP(ventas_b_mes1255[[#This Row],[CUIT]],Lista_CUIT[#All],2,0)),"CUIT NO CARGADO")</f>
        <v>-</v>
      </c>
      <c r="H2081" s="100">
        <f>ventas_b_mes1255[[#This Row],[TOTAL]]/1.21</f>
        <v>0</v>
      </c>
      <c r="I2081" s="64">
        <f>ventas_b_mes1255[[#This Row],[IMPORTE NETO]]*0.21</f>
        <v>0</v>
      </c>
      <c r="J2081" s="141"/>
      <c r="K2081" s="141"/>
      <c r="L2081" s="141"/>
      <c r="M2081" s="59"/>
    </row>
    <row r="2082" spans="2:13">
      <c r="B2082" s="135"/>
      <c r="C2082" s="41"/>
      <c r="D2082" s="137"/>
      <c r="E2082" s="138"/>
      <c r="F2082" s="139"/>
      <c r="G2082" s="1" t="str">
        <f>IFERROR(IF(ventas_b_mes1255[[#This Row],[CUIT]]="","-",VLOOKUP(ventas_b_mes1255[[#This Row],[CUIT]],Lista_CUIT[#All],2,0)),"CUIT NO CARGADO")</f>
        <v>-</v>
      </c>
      <c r="H2082" s="100">
        <f>ventas_b_mes1255[[#This Row],[TOTAL]]/1.21</f>
        <v>0</v>
      </c>
      <c r="I2082" s="64">
        <f>ventas_b_mes1255[[#This Row],[IMPORTE NETO]]*0.21</f>
        <v>0</v>
      </c>
      <c r="J2082" s="141"/>
      <c r="K2082" s="141"/>
      <c r="L2082" s="141"/>
      <c r="M2082" s="59"/>
    </row>
    <row r="2083" spans="2:13">
      <c r="B2083" s="135"/>
      <c r="C2083" s="41"/>
      <c r="D2083" s="137"/>
      <c r="E2083" s="138"/>
      <c r="F2083" s="139"/>
      <c r="G2083" s="1" t="str">
        <f>IFERROR(IF(ventas_b_mes1255[[#This Row],[CUIT]]="","-",VLOOKUP(ventas_b_mes1255[[#This Row],[CUIT]],Lista_CUIT[#All],2,0)),"CUIT NO CARGADO")</f>
        <v>-</v>
      </c>
      <c r="H2083" s="100">
        <f>ventas_b_mes1255[[#This Row],[TOTAL]]/1.21</f>
        <v>0</v>
      </c>
      <c r="I2083" s="64">
        <f>ventas_b_mes1255[[#This Row],[IMPORTE NETO]]*0.21</f>
        <v>0</v>
      </c>
      <c r="J2083" s="141"/>
      <c r="K2083" s="141"/>
      <c r="L2083" s="141"/>
      <c r="M2083" s="59"/>
    </row>
    <row r="2084" spans="2:13">
      <c r="B2084" s="135"/>
      <c r="C2084" s="41"/>
      <c r="D2084" s="137"/>
      <c r="E2084" s="138"/>
      <c r="F2084" s="139"/>
      <c r="G2084" s="1" t="str">
        <f>IFERROR(IF(ventas_b_mes1255[[#This Row],[CUIT]]="","-",VLOOKUP(ventas_b_mes1255[[#This Row],[CUIT]],Lista_CUIT[#All],2,0)),"CUIT NO CARGADO")</f>
        <v>-</v>
      </c>
      <c r="H2084" s="100">
        <f>ventas_b_mes1255[[#This Row],[TOTAL]]/1.21</f>
        <v>0</v>
      </c>
      <c r="I2084" s="64">
        <f>ventas_b_mes1255[[#This Row],[IMPORTE NETO]]*0.21</f>
        <v>0</v>
      </c>
      <c r="J2084" s="141"/>
      <c r="K2084" s="141"/>
      <c r="L2084" s="141"/>
      <c r="M2084" s="59"/>
    </row>
    <row r="2085" spans="2:13">
      <c r="B2085" s="135"/>
      <c r="C2085" s="41"/>
      <c r="D2085" s="137"/>
      <c r="E2085" s="138"/>
      <c r="F2085" s="139"/>
      <c r="G2085" s="1" t="str">
        <f>IFERROR(IF(ventas_b_mes1255[[#This Row],[CUIT]]="","-",VLOOKUP(ventas_b_mes1255[[#This Row],[CUIT]],Lista_CUIT[#All],2,0)),"CUIT NO CARGADO")</f>
        <v>-</v>
      </c>
      <c r="H2085" s="100">
        <f>ventas_b_mes1255[[#This Row],[TOTAL]]/1.21</f>
        <v>0</v>
      </c>
      <c r="I2085" s="64">
        <f>ventas_b_mes1255[[#This Row],[IMPORTE NETO]]*0.21</f>
        <v>0</v>
      </c>
      <c r="J2085" s="141"/>
      <c r="K2085" s="141"/>
      <c r="L2085" s="141"/>
      <c r="M2085" s="59"/>
    </row>
    <row r="2086" spans="2:13">
      <c r="B2086" s="135"/>
      <c r="C2086" s="41"/>
      <c r="D2086" s="137"/>
      <c r="E2086" s="138"/>
      <c r="F2086" s="139"/>
      <c r="G2086" s="1" t="str">
        <f>IFERROR(IF(ventas_b_mes1255[[#This Row],[CUIT]]="","-",VLOOKUP(ventas_b_mes1255[[#This Row],[CUIT]],Lista_CUIT[#All],2,0)),"CUIT NO CARGADO")</f>
        <v>-</v>
      </c>
      <c r="H2086" s="100">
        <f>ventas_b_mes1255[[#This Row],[TOTAL]]/1.21</f>
        <v>0</v>
      </c>
      <c r="I2086" s="64">
        <f>ventas_b_mes1255[[#This Row],[IMPORTE NETO]]*0.21</f>
        <v>0</v>
      </c>
      <c r="J2086" s="141"/>
      <c r="K2086" s="141"/>
      <c r="L2086" s="141"/>
      <c r="M2086" s="59"/>
    </row>
    <row r="2087" spans="2:13">
      <c r="B2087" s="135"/>
      <c r="C2087" s="41"/>
      <c r="D2087" s="137"/>
      <c r="E2087" s="138"/>
      <c r="F2087" s="139"/>
      <c r="G2087" s="1" t="str">
        <f>IFERROR(IF(ventas_b_mes1255[[#This Row],[CUIT]]="","-",VLOOKUP(ventas_b_mes1255[[#This Row],[CUIT]],Lista_CUIT[#All],2,0)),"CUIT NO CARGADO")</f>
        <v>-</v>
      </c>
      <c r="H2087" s="100">
        <f>ventas_b_mes1255[[#This Row],[TOTAL]]/1.21</f>
        <v>0</v>
      </c>
      <c r="I2087" s="64">
        <f>ventas_b_mes1255[[#This Row],[IMPORTE NETO]]*0.21</f>
        <v>0</v>
      </c>
      <c r="J2087" s="141"/>
      <c r="K2087" s="141"/>
      <c r="L2087" s="141"/>
      <c r="M2087" s="59"/>
    </row>
    <row r="2088" spans="2:13">
      <c r="B2088" s="135"/>
      <c r="C2088" s="41"/>
      <c r="D2088" s="137"/>
      <c r="E2088" s="138"/>
      <c r="F2088" s="139"/>
      <c r="G2088" s="1" t="str">
        <f>IFERROR(IF(ventas_b_mes1255[[#This Row],[CUIT]]="","-",VLOOKUP(ventas_b_mes1255[[#This Row],[CUIT]],Lista_CUIT[#All],2,0)),"CUIT NO CARGADO")</f>
        <v>-</v>
      </c>
      <c r="H2088" s="100">
        <f>ventas_b_mes1255[[#This Row],[TOTAL]]/1.21</f>
        <v>0</v>
      </c>
      <c r="I2088" s="64">
        <f>ventas_b_mes1255[[#This Row],[IMPORTE NETO]]*0.21</f>
        <v>0</v>
      </c>
      <c r="J2088" s="141"/>
      <c r="K2088" s="141"/>
      <c r="L2088" s="141"/>
      <c r="M2088" s="59"/>
    </row>
    <row r="2089" spans="2:13">
      <c r="B2089" s="135"/>
      <c r="C2089" s="41"/>
      <c r="D2089" s="137"/>
      <c r="E2089" s="138"/>
      <c r="F2089" s="139"/>
      <c r="G2089" s="1" t="str">
        <f>IFERROR(IF(ventas_b_mes1255[[#This Row],[CUIT]]="","-",VLOOKUP(ventas_b_mes1255[[#This Row],[CUIT]],Lista_CUIT[#All],2,0)),"CUIT NO CARGADO")</f>
        <v>-</v>
      </c>
      <c r="H2089" s="100">
        <f>ventas_b_mes1255[[#This Row],[TOTAL]]/1.21</f>
        <v>0</v>
      </c>
      <c r="I2089" s="64">
        <f>ventas_b_mes1255[[#This Row],[IMPORTE NETO]]*0.21</f>
        <v>0</v>
      </c>
      <c r="J2089" s="141"/>
      <c r="K2089" s="141"/>
      <c r="L2089" s="141"/>
      <c r="M2089" s="59"/>
    </row>
    <row r="2090" spans="2:13">
      <c r="B2090" s="135"/>
      <c r="C2090" s="41"/>
      <c r="D2090" s="137"/>
      <c r="E2090" s="138"/>
      <c r="F2090" s="139"/>
      <c r="G2090" s="1" t="str">
        <f>IFERROR(IF(ventas_b_mes1255[[#This Row],[CUIT]]="","-",VLOOKUP(ventas_b_mes1255[[#This Row],[CUIT]],Lista_CUIT[#All],2,0)),"CUIT NO CARGADO")</f>
        <v>-</v>
      </c>
      <c r="H2090" s="100">
        <f>ventas_b_mes1255[[#This Row],[TOTAL]]/1.21</f>
        <v>0</v>
      </c>
      <c r="I2090" s="64">
        <f>ventas_b_mes1255[[#This Row],[IMPORTE NETO]]*0.21</f>
        <v>0</v>
      </c>
      <c r="J2090" s="141"/>
      <c r="K2090" s="141"/>
      <c r="L2090" s="141"/>
      <c r="M2090" s="59"/>
    </row>
    <row r="2091" spans="2:13">
      <c r="B2091" s="135"/>
      <c r="C2091" s="41"/>
      <c r="D2091" s="137"/>
      <c r="E2091" s="138"/>
      <c r="F2091" s="139"/>
      <c r="G2091" s="1" t="str">
        <f>IFERROR(IF(ventas_b_mes1255[[#This Row],[CUIT]]="","-",VLOOKUP(ventas_b_mes1255[[#This Row],[CUIT]],Lista_CUIT[#All],2,0)),"CUIT NO CARGADO")</f>
        <v>-</v>
      </c>
      <c r="H2091" s="100">
        <f>ventas_b_mes1255[[#This Row],[TOTAL]]/1.21</f>
        <v>0</v>
      </c>
      <c r="I2091" s="64">
        <f>ventas_b_mes1255[[#This Row],[IMPORTE NETO]]*0.21</f>
        <v>0</v>
      </c>
      <c r="J2091" s="141"/>
      <c r="K2091" s="141"/>
      <c r="L2091" s="141"/>
      <c r="M2091" s="59"/>
    </row>
    <row r="2092" spans="2:13">
      <c r="B2092" s="135"/>
      <c r="C2092" s="41"/>
      <c r="D2092" s="137"/>
      <c r="E2092" s="138"/>
      <c r="F2092" s="139"/>
      <c r="G2092" s="1" t="str">
        <f>IFERROR(IF(ventas_b_mes1255[[#This Row],[CUIT]]="","-",VLOOKUP(ventas_b_mes1255[[#This Row],[CUIT]],Lista_CUIT[#All],2,0)),"CUIT NO CARGADO")</f>
        <v>-</v>
      </c>
      <c r="H2092" s="100">
        <f>ventas_b_mes1255[[#This Row],[TOTAL]]/1.21</f>
        <v>0</v>
      </c>
      <c r="I2092" s="64">
        <f>ventas_b_mes1255[[#This Row],[IMPORTE NETO]]*0.21</f>
        <v>0</v>
      </c>
      <c r="J2092" s="141"/>
      <c r="K2092" s="141"/>
      <c r="L2092" s="141"/>
      <c r="M2092" s="59"/>
    </row>
    <row r="2093" spans="2:13">
      <c r="B2093" s="135"/>
      <c r="C2093" s="41"/>
      <c r="D2093" s="137"/>
      <c r="E2093" s="138"/>
      <c r="F2093" s="139"/>
      <c r="G2093" s="1" t="str">
        <f>IFERROR(IF(ventas_b_mes1255[[#This Row],[CUIT]]="","-",VLOOKUP(ventas_b_mes1255[[#This Row],[CUIT]],Lista_CUIT[#All],2,0)),"CUIT NO CARGADO")</f>
        <v>-</v>
      </c>
      <c r="H2093" s="100">
        <f>ventas_b_mes1255[[#This Row],[TOTAL]]/1.21</f>
        <v>0</v>
      </c>
      <c r="I2093" s="64">
        <f>ventas_b_mes1255[[#This Row],[IMPORTE NETO]]*0.21</f>
        <v>0</v>
      </c>
      <c r="J2093" s="141"/>
      <c r="K2093" s="141"/>
      <c r="L2093" s="141"/>
      <c r="M2093" s="59"/>
    </row>
    <row r="2094" spans="2:13">
      <c r="B2094" s="135"/>
      <c r="C2094" s="41"/>
      <c r="D2094" s="137"/>
      <c r="E2094" s="138"/>
      <c r="F2094" s="139"/>
      <c r="G2094" s="1" t="str">
        <f>IFERROR(IF(ventas_b_mes1255[[#This Row],[CUIT]]="","-",VLOOKUP(ventas_b_mes1255[[#This Row],[CUIT]],Lista_CUIT[#All],2,0)),"CUIT NO CARGADO")</f>
        <v>-</v>
      </c>
      <c r="H2094" s="100">
        <f>ventas_b_mes1255[[#This Row],[TOTAL]]/1.21</f>
        <v>0</v>
      </c>
      <c r="I2094" s="64">
        <f>ventas_b_mes1255[[#This Row],[IMPORTE NETO]]*0.21</f>
        <v>0</v>
      </c>
      <c r="J2094" s="141"/>
      <c r="K2094" s="141"/>
      <c r="L2094" s="141"/>
      <c r="M2094" s="59"/>
    </row>
    <row r="2095" spans="2:13">
      <c r="B2095" s="135"/>
      <c r="C2095" s="41"/>
      <c r="D2095" s="137"/>
      <c r="E2095" s="138"/>
      <c r="F2095" s="139"/>
      <c r="G2095" s="1" t="str">
        <f>IFERROR(IF(ventas_b_mes1255[[#This Row],[CUIT]]="","-",VLOOKUP(ventas_b_mes1255[[#This Row],[CUIT]],Lista_CUIT[#All],2,0)),"CUIT NO CARGADO")</f>
        <v>-</v>
      </c>
      <c r="H2095" s="100">
        <f>ventas_b_mes1255[[#This Row],[TOTAL]]/1.21</f>
        <v>0</v>
      </c>
      <c r="I2095" s="64">
        <f>ventas_b_mes1255[[#This Row],[IMPORTE NETO]]*0.21</f>
        <v>0</v>
      </c>
      <c r="J2095" s="141"/>
      <c r="K2095" s="141"/>
      <c r="L2095" s="141"/>
      <c r="M2095" s="59"/>
    </row>
    <row r="2096" spans="2:13">
      <c r="B2096" s="135"/>
      <c r="C2096" s="41"/>
      <c r="D2096" s="137"/>
      <c r="E2096" s="138"/>
      <c r="F2096" s="139"/>
      <c r="G2096" s="1" t="str">
        <f>IFERROR(IF(ventas_b_mes1255[[#This Row],[CUIT]]="","-",VLOOKUP(ventas_b_mes1255[[#This Row],[CUIT]],Lista_CUIT[#All],2,0)),"CUIT NO CARGADO")</f>
        <v>-</v>
      </c>
      <c r="H2096" s="100">
        <f>ventas_b_mes1255[[#This Row],[TOTAL]]/1.21</f>
        <v>0</v>
      </c>
      <c r="I2096" s="64">
        <f>ventas_b_mes1255[[#This Row],[IMPORTE NETO]]*0.21</f>
        <v>0</v>
      </c>
      <c r="J2096" s="141"/>
      <c r="K2096" s="141"/>
      <c r="L2096" s="141"/>
      <c r="M2096" s="59"/>
    </row>
    <row r="2097" spans="2:13">
      <c r="B2097" s="135"/>
      <c r="C2097" s="41"/>
      <c r="D2097" s="137"/>
      <c r="E2097" s="138"/>
      <c r="F2097" s="139"/>
      <c r="G2097" s="1" t="str">
        <f>IFERROR(IF(ventas_b_mes1255[[#This Row],[CUIT]]="","-",VLOOKUP(ventas_b_mes1255[[#This Row],[CUIT]],Lista_CUIT[#All],2,0)),"CUIT NO CARGADO")</f>
        <v>-</v>
      </c>
      <c r="H2097" s="100">
        <f>ventas_b_mes1255[[#This Row],[TOTAL]]/1.21</f>
        <v>0</v>
      </c>
      <c r="I2097" s="64">
        <f>ventas_b_mes1255[[#This Row],[IMPORTE NETO]]*0.21</f>
        <v>0</v>
      </c>
      <c r="J2097" s="141"/>
      <c r="K2097" s="141"/>
      <c r="L2097" s="141"/>
      <c r="M2097" s="59"/>
    </row>
    <row r="2098" spans="2:13">
      <c r="B2098" s="135"/>
      <c r="C2098" s="41"/>
      <c r="D2098" s="137"/>
      <c r="E2098" s="138"/>
      <c r="F2098" s="139"/>
      <c r="G2098" s="1" t="str">
        <f>IFERROR(IF(ventas_b_mes1255[[#This Row],[CUIT]]="","-",VLOOKUP(ventas_b_mes1255[[#This Row],[CUIT]],Lista_CUIT[#All],2,0)),"CUIT NO CARGADO")</f>
        <v>-</v>
      </c>
      <c r="H2098" s="100">
        <f>ventas_b_mes1255[[#This Row],[TOTAL]]/1.21</f>
        <v>0</v>
      </c>
      <c r="I2098" s="64">
        <f>ventas_b_mes1255[[#This Row],[IMPORTE NETO]]*0.21</f>
        <v>0</v>
      </c>
      <c r="J2098" s="141"/>
      <c r="K2098" s="141"/>
      <c r="L2098" s="141"/>
      <c r="M2098" s="59"/>
    </row>
    <row r="2099" spans="2:13">
      <c r="B2099" s="135"/>
      <c r="C2099" s="41"/>
      <c r="D2099" s="137"/>
      <c r="E2099" s="138"/>
      <c r="F2099" s="139"/>
      <c r="G2099" s="1" t="str">
        <f>IFERROR(IF(ventas_b_mes1255[[#This Row],[CUIT]]="","-",VLOOKUP(ventas_b_mes1255[[#This Row],[CUIT]],Lista_CUIT[#All],2,0)),"CUIT NO CARGADO")</f>
        <v>-</v>
      </c>
      <c r="H2099" s="100">
        <f>ventas_b_mes1255[[#This Row],[TOTAL]]/1.21</f>
        <v>0</v>
      </c>
      <c r="I2099" s="64">
        <f>ventas_b_mes1255[[#This Row],[IMPORTE NETO]]*0.21</f>
        <v>0</v>
      </c>
      <c r="J2099" s="141"/>
      <c r="K2099" s="141"/>
      <c r="L2099" s="141"/>
      <c r="M2099" s="59"/>
    </row>
    <row r="2100" spans="2:13">
      <c r="B2100" s="135"/>
      <c r="C2100" s="41"/>
      <c r="D2100" s="137"/>
      <c r="E2100" s="138"/>
      <c r="F2100" s="139"/>
      <c r="G2100" s="1" t="str">
        <f>IFERROR(IF(ventas_b_mes1255[[#This Row],[CUIT]]="","-",VLOOKUP(ventas_b_mes1255[[#This Row],[CUIT]],Lista_CUIT[#All],2,0)),"CUIT NO CARGADO")</f>
        <v>-</v>
      </c>
      <c r="H2100" s="100">
        <f>ventas_b_mes1255[[#This Row],[TOTAL]]/1.21</f>
        <v>0</v>
      </c>
      <c r="I2100" s="64">
        <f>ventas_b_mes1255[[#This Row],[IMPORTE NETO]]*0.21</f>
        <v>0</v>
      </c>
      <c r="J2100" s="141"/>
      <c r="K2100" s="141"/>
      <c r="L2100" s="141"/>
      <c r="M2100" s="59"/>
    </row>
    <row r="2101" spans="2:13">
      <c r="B2101" s="135"/>
      <c r="C2101" s="41"/>
      <c r="D2101" s="137"/>
      <c r="E2101" s="138"/>
      <c r="F2101" s="139"/>
      <c r="G2101" s="1" t="str">
        <f>IFERROR(IF(ventas_b_mes1255[[#This Row],[CUIT]]="","-",VLOOKUP(ventas_b_mes1255[[#This Row],[CUIT]],Lista_CUIT[#All],2,0)),"CUIT NO CARGADO")</f>
        <v>-</v>
      </c>
      <c r="H2101" s="100">
        <f>ventas_b_mes1255[[#This Row],[TOTAL]]/1.21</f>
        <v>0</v>
      </c>
      <c r="I2101" s="64">
        <f>ventas_b_mes1255[[#This Row],[IMPORTE NETO]]*0.21</f>
        <v>0</v>
      </c>
      <c r="J2101" s="141"/>
      <c r="K2101" s="141"/>
      <c r="L2101" s="141"/>
      <c r="M2101" s="59"/>
    </row>
    <row r="2102" spans="2:13">
      <c r="B2102" s="135"/>
      <c r="C2102" s="41"/>
      <c r="D2102" s="137"/>
      <c r="E2102" s="138"/>
      <c r="F2102" s="139"/>
      <c r="G2102" s="1" t="str">
        <f>IFERROR(IF(ventas_b_mes1255[[#This Row],[CUIT]]="","-",VLOOKUP(ventas_b_mes1255[[#This Row],[CUIT]],Lista_CUIT[#All],2,0)),"CUIT NO CARGADO")</f>
        <v>-</v>
      </c>
      <c r="H2102" s="100">
        <f>ventas_b_mes1255[[#This Row],[TOTAL]]/1.21</f>
        <v>0</v>
      </c>
      <c r="I2102" s="64">
        <f>ventas_b_mes1255[[#This Row],[IMPORTE NETO]]*0.21</f>
        <v>0</v>
      </c>
      <c r="J2102" s="141"/>
      <c r="K2102" s="141"/>
      <c r="L2102" s="141"/>
      <c r="M2102" s="59"/>
    </row>
    <row r="2103" spans="2:13">
      <c r="B2103" s="135"/>
      <c r="C2103" s="41"/>
      <c r="D2103" s="137"/>
      <c r="E2103" s="138"/>
      <c r="F2103" s="139"/>
      <c r="G2103" s="1" t="str">
        <f>IFERROR(IF(ventas_b_mes1255[[#This Row],[CUIT]]="","-",VLOOKUP(ventas_b_mes1255[[#This Row],[CUIT]],Lista_CUIT[#All],2,0)),"CUIT NO CARGADO")</f>
        <v>-</v>
      </c>
      <c r="H2103" s="100">
        <f>ventas_b_mes1255[[#This Row],[TOTAL]]/1.21</f>
        <v>0</v>
      </c>
      <c r="I2103" s="64">
        <f>ventas_b_mes1255[[#This Row],[IMPORTE NETO]]*0.21</f>
        <v>0</v>
      </c>
      <c r="J2103" s="141"/>
      <c r="K2103" s="141"/>
      <c r="L2103" s="141"/>
      <c r="M2103" s="59"/>
    </row>
    <row r="2104" spans="2:13">
      <c r="B2104" s="135"/>
      <c r="C2104" s="41"/>
      <c r="D2104" s="137"/>
      <c r="E2104" s="138"/>
      <c r="F2104" s="139"/>
      <c r="G2104" s="1" t="str">
        <f>IFERROR(IF(ventas_b_mes1255[[#This Row],[CUIT]]="","-",VLOOKUP(ventas_b_mes1255[[#This Row],[CUIT]],Lista_CUIT[#All],2,0)),"CUIT NO CARGADO")</f>
        <v>-</v>
      </c>
      <c r="H2104" s="100">
        <f>ventas_b_mes1255[[#This Row],[TOTAL]]/1.21</f>
        <v>0</v>
      </c>
      <c r="I2104" s="64">
        <f>ventas_b_mes1255[[#This Row],[IMPORTE NETO]]*0.21</f>
        <v>0</v>
      </c>
      <c r="J2104" s="141"/>
      <c r="K2104" s="141"/>
      <c r="L2104" s="141"/>
      <c r="M2104" s="59"/>
    </row>
    <row r="2105" spans="2:13">
      <c r="B2105" s="135"/>
      <c r="C2105" s="41"/>
      <c r="D2105" s="137"/>
      <c r="E2105" s="138"/>
      <c r="F2105" s="139"/>
      <c r="G2105" s="1" t="str">
        <f>IFERROR(IF(ventas_b_mes1255[[#This Row],[CUIT]]="","-",VLOOKUP(ventas_b_mes1255[[#This Row],[CUIT]],Lista_CUIT[#All],2,0)),"CUIT NO CARGADO")</f>
        <v>-</v>
      </c>
      <c r="H2105" s="100">
        <f>ventas_b_mes1255[[#This Row],[TOTAL]]/1.21</f>
        <v>0</v>
      </c>
      <c r="I2105" s="64">
        <f>ventas_b_mes1255[[#This Row],[IMPORTE NETO]]*0.21</f>
        <v>0</v>
      </c>
      <c r="J2105" s="141"/>
      <c r="K2105" s="141"/>
      <c r="L2105" s="141"/>
      <c r="M2105" s="59"/>
    </row>
    <row r="2106" spans="2:13">
      <c r="B2106" s="135"/>
      <c r="C2106" s="41"/>
      <c r="D2106" s="137"/>
      <c r="E2106" s="138"/>
      <c r="F2106" s="139"/>
      <c r="G2106" s="1" t="str">
        <f>IFERROR(IF(ventas_b_mes1255[[#This Row],[CUIT]]="","-",VLOOKUP(ventas_b_mes1255[[#This Row],[CUIT]],Lista_CUIT[#All],2,0)),"CUIT NO CARGADO")</f>
        <v>-</v>
      </c>
      <c r="H2106" s="100">
        <f>ventas_b_mes1255[[#This Row],[TOTAL]]/1.21</f>
        <v>0</v>
      </c>
      <c r="I2106" s="64">
        <f>ventas_b_mes1255[[#This Row],[IMPORTE NETO]]*0.21</f>
        <v>0</v>
      </c>
      <c r="J2106" s="141"/>
      <c r="K2106" s="141"/>
      <c r="L2106" s="141"/>
      <c r="M2106" s="59"/>
    </row>
    <row r="2107" spans="2:13">
      <c r="B2107" s="135"/>
      <c r="C2107" s="41"/>
      <c r="D2107" s="137"/>
      <c r="E2107" s="138"/>
      <c r="F2107" s="139"/>
      <c r="G2107" s="1" t="str">
        <f>IFERROR(IF(ventas_b_mes1255[[#This Row],[CUIT]]="","-",VLOOKUP(ventas_b_mes1255[[#This Row],[CUIT]],Lista_CUIT[#All],2,0)),"CUIT NO CARGADO")</f>
        <v>-</v>
      </c>
      <c r="H2107" s="100">
        <f>ventas_b_mes1255[[#This Row],[TOTAL]]/1.21</f>
        <v>0</v>
      </c>
      <c r="I2107" s="64">
        <f>ventas_b_mes1255[[#This Row],[IMPORTE NETO]]*0.21</f>
        <v>0</v>
      </c>
      <c r="J2107" s="141"/>
      <c r="K2107" s="141"/>
      <c r="L2107" s="141"/>
      <c r="M2107" s="59"/>
    </row>
    <row r="2108" spans="2:13">
      <c r="B2108" s="135"/>
      <c r="C2108" s="41"/>
      <c r="D2108" s="137"/>
      <c r="E2108" s="138"/>
      <c r="F2108" s="139"/>
      <c r="G2108" s="1" t="str">
        <f>IFERROR(IF(ventas_b_mes1255[[#This Row],[CUIT]]="","-",VLOOKUP(ventas_b_mes1255[[#This Row],[CUIT]],Lista_CUIT[#All],2,0)),"CUIT NO CARGADO")</f>
        <v>-</v>
      </c>
      <c r="H2108" s="100">
        <f>ventas_b_mes1255[[#This Row],[TOTAL]]/1.21</f>
        <v>0</v>
      </c>
      <c r="I2108" s="64">
        <f>ventas_b_mes1255[[#This Row],[IMPORTE NETO]]*0.21</f>
        <v>0</v>
      </c>
      <c r="J2108" s="141"/>
      <c r="K2108" s="141"/>
      <c r="L2108" s="141"/>
      <c r="M2108" s="59"/>
    </row>
    <row r="2109" spans="2:13">
      <c r="B2109" s="135"/>
      <c r="C2109" s="41"/>
      <c r="D2109" s="137"/>
      <c r="E2109" s="138"/>
      <c r="F2109" s="139"/>
      <c r="G2109" s="1" t="str">
        <f>IFERROR(IF(ventas_b_mes1255[[#This Row],[CUIT]]="","-",VLOOKUP(ventas_b_mes1255[[#This Row],[CUIT]],Lista_CUIT[#All],2,0)),"CUIT NO CARGADO")</f>
        <v>-</v>
      </c>
      <c r="H2109" s="100">
        <f>ventas_b_mes1255[[#This Row],[TOTAL]]/1.21</f>
        <v>0</v>
      </c>
      <c r="I2109" s="64">
        <f>ventas_b_mes1255[[#This Row],[IMPORTE NETO]]*0.21</f>
        <v>0</v>
      </c>
      <c r="J2109" s="141"/>
      <c r="K2109" s="141"/>
      <c r="L2109" s="141"/>
      <c r="M2109" s="59"/>
    </row>
    <row r="2110" spans="2:13">
      <c r="B2110" s="135"/>
      <c r="C2110" s="41"/>
      <c r="D2110" s="137"/>
      <c r="E2110" s="138"/>
      <c r="F2110" s="139"/>
      <c r="G2110" s="1" t="str">
        <f>IFERROR(IF(ventas_b_mes1255[[#This Row],[CUIT]]="","-",VLOOKUP(ventas_b_mes1255[[#This Row],[CUIT]],Lista_CUIT[#All],2,0)),"CUIT NO CARGADO")</f>
        <v>-</v>
      </c>
      <c r="H2110" s="100">
        <f>ventas_b_mes1255[[#This Row],[TOTAL]]/1.21</f>
        <v>0</v>
      </c>
      <c r="I2110" s="64">
        <f>ventas_b_mes1255[[#This Row],[IMPORTE NETO]]*0.21</f>
        <v>0</v>
      </c>
      <c r="J2110" s="141"/>
      <c r="K2110" s="141"/>
      <c r="L2110" s="141"/>
      <c r="M2110" s="59"/>
    </row>
    <row r="2111" spans="2:13">
      <c r="B2111" s="135"/>
      <c r="C2111" s="41"/>
      <c r="D2111" s="137"/>
      <c r="E2111" s="138"/>
      <c r="F2111" s="139"/>
      <c r="G2111" s="1" t="str">
        <f>IFERROR(IF(ventas_b_mes1255[[#This Row],[CUIT]]="","-",VLOOKUP(ventas_b_mes1255[[#This Row],[CUIT]],Lista_CUIT[#All],2,0)),"CUIT NO CARGADO")</f>
        <v>-</v>
      </c>
      <c r="H2111" s="100">
        <f>ventas_b_mes1255[[#This Row],[TOTAL]]/1.21</f>
        <v>0</v>
      </c>
      <c r="I2111" s="64">
        <f>ventas_b_mes1255[[#This Row],[IMPORTE NETO]]*0.21</f>
        <v>0</v>
      </c>
      <c r="J2111" s="141"/>
      <c r="K2111" s="141"/>
      <c r="L2111" s="141"/>
      <c r="M2111" s="59"/>
    </row>
    <row r="2112" spans="2:13">
      <c r="B2112" s="135"/>
      <c r="C2112" s="41"/>
      <c r="D2112" s="137"/>
      <c r="E2112" s="138"/>
      <c r="F2112" s="139"/>
      <c r="G2112" s="1" t="str">
        <f>IFERROR(IF(ventas_b_mes1255[[#This Row],[CUIT]]="","-",VLOOKUP(ventas_b_mes1255[[#This Row],[CUIT]],Lista_CUIT[#All],2,0)),"CUIT NO CARGADO")</f>
        <v>-</v>
      </c>
      <c r="H2112" s="100">
        <f>ventas_b_mes1255[[#This Row],[TOTAL]]/1.21</f>
        <v>0</v>
      </c>
      <c r="I2112" s="64">
        <f>ventas_b_mes1255[[#This Row],[IMPORTE NETO]]*0.21</f>
        <v>0</v>
      </c>
      <c r="J2112" s="141"/>
      <c r="K2112" s="141"/>
      <c r="L2112" s="141"/>
      <c r="M2112" s="59"/>
    </row>
    <row r="2113" spans="2:13">
      <c r="B2113" s="135"/>
      <c r="C2113" s="41"/>
      <c r="D2113" s="137"/>
      <c r="E2113" s="138"/>
      <c r="F2113" s="139"/>
      <c r="G2113" s="1" t="str">
        <f>IFERROR(IF(ventas_b_mes1255[[#This Row],[CUIT]]="","-",VLOOKUP(ventas_b_mes1255[[#This Row],[CUIT]],Lista_CUIT[#All],2,0)),"CUIT NO CARGADO")</f>
        <v>-</v>
      </c>
      <c r="H2113" s="100">
        <f>ventas_b_mes1255[[#This Row],[TOTAL]]/1.21</f>
        <v>0</v>
      </c>
      <c r="I2113" s="64">
        <f>ventas_b_mes1255[[#This Row],[IMPORTE NETO]]*0.21</f>
        <v>0</v>
      </c>
      <c r="J2113" s="141"/>
      <c r="K2113" s="141"/>
      <c r="L2113" s="141"/>
      <c r="M2113" s="59"/>
    </row>
    <row r="2114" spans="2:13">
      <c r="B2114" s="135"/>
      <c r="C2114" s="41"/>
      <c r="D2114" s="137"/>
      <c r="E2114" s="138"/>
      <c r="F2114" s="139"/>
      <c r="G2114" s="1" t="str">
        <f>IFERROR(IF(ventas_b_mes1255[[#This Row],[CUIT]]="","-",VLOOKUP(ventas_b_mes1255[[#This Row],[CUIT]],Lista_CUIT[#All],2,0)),"CUIT NO CARGADO")</f>
        <v>-</v>
      </c>
      <c r="H2114" s="100">
        <f>ventas_b_mes1255[[#This Row],[TOTAL]]/1.21</f>
        <v>0</v>
      </c>
      <c r="I2114" s="64">
        <f>ventas_b_mes1255[[#This Row],[IMPORTE NETO]]*0.21</f>
        <v>0</v>
      </c>
      <c r="J2114" s="141"/>
      <c r="K2114" s="141"/>
      <c r="L2114" s="141"/>
      <c r="M2114" s="59"/>
    </row>
    <row r="2115" spans="2:13">
      <c r="B2115" s="135"/>
      <c r="C2115" s="41"/>
      <c r="D2115" s="137"/>
      <c r="E2115" s="138"/>
      <c r="F2115" s="139"/>
      <c r="G2115" s="1" t="str">
        <f>IFERROR(IF(ventas_b_mes1255[[#This Row],[CUIT]]="","-",VLOOKUP(ventas_b_mes1255[[#This Row],[CUIT]],Lista_CUIT[#All],2,0)),"CUIT NO CARGADO")</f>
        <v>-</v>
      </c>
      <c r="H2115" s="100">
        <f>ventas_b_mes1255[[#This Row],[TOTAL]]/1.21</f>
        <v>0</v>
      </c>
      <c r="I2115" s="64">
        <f>ventas_b_mes1255[[#This Row],[IMPORTE NETO]]*0.21</f>
        <v>0</v>
      </c>
      <c r="J2115" s="141"/>
      <c r="K2115" s="141"/>
      <c r="L2115" s="141"/>
      <c r="M2115" s="59"/>
    </row>
    <row r="2116" spans="2:13">
      <c r="B2116" s="135"/>
      <c r="C2116" s="41"/>
      <c r="D2116" s="137"/>
      <c r="E2116" s="138"/>
      <c r="F2116" s="139"/>
      <c r="G2116" s="1" t="str">
        <f>IFERROR(IF(ventas_b_mes1255[[#This Row],[CUIT]]="","-",VLOOKUP(ventas_b_mes1255[[#This Row],[CUIT]],Lista_CUIT[#All],2,0)),"CUIT NO CARGADO")</f>
        <v>-</v>
      </c>
      <c r="H2116" s="100">
        <f>ventas_b_mes1255[[#This Row],[TOTAL]]/1.21</f>
        <v>0</v>
      </c>
      <c r="I2116" s="64">
        <f>ventas_b_mes1255[[#This Row],[IMPORTE NETO]]*0.21</f>
        <v>0</v>
      </c>
      <c r="J2116" s="141"/>
      <c r="K2116" s="141"/>
      <c r="L2116" s="141"/>
      <c r="M2116" s="59"/>
    </row>
    <row r="2117" spans="2:13">
      <c r="B2117" s="135"/>
      <c r="C2117" s="41"/>
      <c r="D2117" s="137"/>
      <c r="E2117" s="138"/>
      <c r="F2117" s="139"/>
      <c r="G2117" s="1" t="str">
        <f>IFERROR(IF(ventas_b_mes1255[[#This Row],[CUIT]]="","-",VLOOKUP(ventas_b_mes1255[[#This Row],[CUIT]],Lista_CUIT[#All],2,0)),"CUIT NO CARGADO")</f>
        <v>-</v>
      </c>
      <c r="H2117" s="100">
        <f>ventas_b_mes1255[[#This Row],[TOTAL]]/1.21</f>
        <v>0</v>
      </c>
      <c r="I2117" s="64">
        <f>ventas_b_mes1255[[#This Row],[IMPORTE NETO]]*0.21</f>
        <v>0</v>
      </c>
      <c r="J2117" s="141"/>
      <c r="K2117" s="141"/>
      <c r="L2117" s="141"/>
      <c r="M2117" s="59"/>
    </row>
    <row r="2118" spans="2:13">
      <c r="B2118" s="135"/>
      <c r="C2118" s="41"/>
      <c r="D2118" s="137"/>
      <c r="E2118" s="138"/>
      <c r="F2118" s="139"/>
      <c r="G2118" s="1" t="str">
        <f>IFERROR(IF(ventas_b_mes1255[[#This Row],[CUIT]]="","-",VLOOKUP(ventas_b_mes1255[[#This Row],[CUIT]],Lista_CUIT[#All],2,0)),"CUIT NO CARGADO")</f>
        <v>-</v>
      </c>
      <c r="H2118" s="100">
        <f>ventas_b_mes1255[[#This Row],[TOTAL]]/1.21</f>
        <v>0</v>
      </c>
      <c r="I2118" s="64">
        <f>ventas_b_mes1255[[#This Row],[IMPORTE NETO]]*0.21</f>
        <v>0</v>
      </c>
      <c r="J2118" s="141"/>
      <c r="K2118" s="141"/>
      <c r="L2118" s="141"/>
      <c r="M2118" s="59"/>
    </row>
    <row r="2119" spans="2:13">
      <c r="B2119" s="135"/>
      <c r="C2119" s="41"/>
      <c r="D2119" s="137"/>
      <c r="E2119" s="138"/>
      <c r="F2119" s="139"/>
      <c r="G2119" s="1" t="str">
        <f>IFERROR(IF(ventas_b_mes1255[[#This Row],[CUIT]]="","-",VLOOKUP(ventas_b_mes1255[[#This Row],[CUIT]],Lista_CUIT[#All],2,0)),"CUIT NO CARGADO")</f>
        <v>-</v>
      </c>
      <c r="H2119" s="100">
        <f>ventas_b_mes1255[[#This Row],[TOTAL]]/1.21</f>
        <v>0</v>
      </c>
      <c r="I2119" s="64">
        <f>ventas_b_mes1255[[#This Row],[IMPORTE NETO]]*0.21</f>
        <v>0</v>
      </c>
      <c r="J2119" s="141"/>
      <c r="K2119" s="141"/>
      <c r="L2119" s="141"/>
      <c r="M2119" s="59"/>
    </row>
    <row r="2120" spans="2:13">
      <c r="B2120" s="135"/>
      <c r="C2120" s="41"/>
      <c r="D2120" s="137"/>
      <c r="E2120" s="138"/>
      <c r="F2120" s="139"/>
      <c r="G2120" s="1" t="str">
        <f>IFERROR(IF(ventas_b_mes1255[[#This Row],[CUIT]]="","-",VLOOKUP(ventas_b_mes1255[[#This Row],[CUIT]],Lista_CUIT[#All],2,0)),"CUIT NO CARGADO")</f>
        <v>-</v>
      </c>
      <c r="H2120" s="100">
        <f>ventas_b_mes1255[[#This Row],[TOTAL]]/1.21</f>
        <v>0</v>
      </c>
      <c r="I2120" s="64">
        <f>ventas_b_mes1255[[#This Row],[IMPORTE NETO]]*0.21</f>
        <v>0</v>
      </c>
      <c r="J2120" s="141"/>
      <c r="K2120" s="141"/>
      <c r="L2120" s="141"/>
      <c r="M2120" s="59"/>
    </row>
    <row r="2121" spans="2:13">
      <c r="B2121" s="135"/>
      <c r="C2121" s="41"/>
      <c r="D2121" s="137"/>
      <c r="E2121" s="138"/>
      <c r="F2121" s="139"/>
      <c r="G2121" s="1" t="str">
        <f>IFERROR(IF(ventas_b_mes1255[[#This Row],[CUIT]]="","-",VLOOKUP(ventas_b_mes1255[[#This Row],[CUIT]],Lista_CUIT[#All],2,0)),"CUIT NO CARGADO")</f>
        <v>-</v>
      </c>
      <c r="H2121" s="100">
        <f>ventas_b_mes1255[[#This Row],[TOTAL]]/1.21</f>
        <v>0</v>
      </c>
      <c r="I2121" s="64">
        <f>ventas_b_mes1255[[#This Row],[IMPORTE NETO]]*0.21</f>
        <v>0</v>
      </c>
      <c r="J2121" s="141"/>
      <c r="K2121" s="141"/>
      <c r="L2121" s="141"/>
      <c r="M2121" s="59"/>
    </row>
    <row r="2122" spans="2:13">
      <c r="B2122" s="135"/>
      <c r="C2122" s="41"/>
      <c r="D2122" s="137"/>
      <c r="E2122" s="138"/>
      <c r="F2122" s="139"/>
      <c r="G2122" s="1" t="str">
        <f>IFERROR(IF(ventas_b_mes1255[[#This Row],[CUIT]]="","-",VLOOKUP(ventas_b_mes1255[[#This Row],[CUIT]],Lista_CUIT[#All],2,0)),"CUIT NO CARGADO")</f>
        <v>-</v>
      </c>
      <c r="H2122" s="100">
        <f>ventas_b_mes1255[[#This Row],[TOTAL]]/1.21</f>
        <v>0</v>
      </c>
      <c r="I2122" s="64">
        <f>ventas_b_mes1255[[#This Row],[IMPORTE NETO]]*0.21</f>
        <v>0</v>
      </c>
      <c r="J2122" s="141"/>
      <c r="K2122" s="141"/>
      <c r="L2122" s="141"/>
      <c r="M2122" s="59"/>
    </row>
    <row r="2123" spans="2:13">
      <c r="B2123" s="135"/>
      <c r="C2123" s="41"/>
      <c r="D2123" s="137"/>
      <c r="E2123" s="138"/>
      <c r="F2123" s="139"/>
      <c r="G2123" s="1" t="str">
        <f>IFERROR(IF(ventas_b_mes1255[[#This Row],[CUIT]]="","-",VLOOKUP(ventas_b_mes1255[[#This Row],[CUIT]],Lista_CUIT[#All],2,0)),"CUIT NO CARGADO")</f>
        <v>-</v>
      </c>
      <c r="H2123" s="100">
        <f>ventas_b_mes1255[[#This Row],[TOTAL]]/1.21</f>
        <v>0</v>
      </c>
      <c r="I2123" s="64">
        <f>ventas_b_mes1255[[#This Row],[IMPORTE NETO]]*0.21</f>
        <v>0</v>
      </c>
      <c r="J2123" s="141"/>
      <c r="K2123" s="141"/>
      <c r="L2123" s="141"/>
      <c r="M2123" s="59"/>
    </row>
    <row r="2124" spans="2:13">
      <c r="B2124" s="135"/>
      <c r="C2124" s="41"/>
      <c r="D2124" s="137"/>
      <c r="E2124" s="138"/>
      <c r="F2124" s="139"/>
      <c r="G2124" s="1" t="str">
        <f>IFERROR(IF(ventas_b_mes1255[[#This Row],[CUIT]]="","-",VLOOKUP(ventas_b_mes1255[[#This Row],[CUIT]],Lista_CUIT[#All],2,0)),"CUIT NO CARGADO")</f>
        <v>-</v>
      </c>
      <c r="H2124" s="100">
        <f>ventas_b_mes1255[[#This Row],[TOTAL]]/1.21</f>
        <v>0</v>
      </c>
      <c r="I2124" s="64">
        <f>ventas_b_mes1255[[#This Row],[IMPORTE NETO]]*0.21</f>
        <v>0</v>
      </c>
      <c r="J2124" s="141"/>
      <c r="K2124" s="141"/>
      <c r="L2124" s="141"/>
      <c r="M2124" s="59"/>
    </row>
    <row r="2125" spans="2:13">
      <c r="B2125" s="135"/>
      <c r="C2125" s="41"/>
      <c r="D2125" s="137"/>
      <c r="E2125" s="138"/>
      <c r="F2125" s="139"/>
      <c r="G2125" s="1" t="str">
        <f>IFERROR(IF(ventas_b_mes1255[[#This Row],[CUIT]]="","-",VLOOKUP(ventas_b_mes1255[[#This Row],[CUIT]],Lista_CUIT[#All],2,0)),"CUIT NO CARGADO")</f>
        <v>-</v>
      </c>
      <c r="H2125" s="100">
        <f>ventas_b_mes1255[[#This Row],[TOTAL]]/1.21</f>
        <v>0</v>
      </c>
      <c r="I2125" s="64">
        <f>ventas_b_mes1255[[#This Row],[IMPORTE NETO]]*0.21</f>
        <v>0</v>
      </c>
      <c r="J2125" s="141"/>
      <c r="K2125" s="141"/>
      <c r="L2125" s="141"/>
      <c r="M2125" s="59"/>
    </row>
    <row r="2126" spans="2:13">
      <c r="B2126" s="135"/>
      <c r="C2126" s="41"/>
      <c r="D2126" s="137"/>
      <c r="E2126" s="138"/>
      <c r="F2126" s="139"/>
      <c r="G2126" s="1" t="str">
        <f>IFERROR(IF(ventas_b_mes1255[[#This Row],[CUIT]]="","-",VLOOKUP(ventas_b_mes1255[[#This Row],[CUIT]],Lista_CUIT[#All],2,0)),"CUIT NO CARGADO")</f>
        <v>-</v>
      </c>
      <c r="H2126" s="100">
        <f>ventas_b_mes1255[[#This Row],[TOTAL]]/1.21</f>
        <v>0</v>
      </c>
      <c r="I2126" s="64">
        <f>ventas_b_mes1255[[#This Row],[IMPORTE NETO]]*0.21</f>
        <v>0</v>
      </c>
      <c r="J2126" s="141"/>
      <c r="K2126" s="141"/>
      <c r="L2126" s="141"/>
      <c r="M2126" s="59"/>
    </row>
    <row r="2127" spans="2:13">
      <c r="B2127" s="135"/>
      <c r="C2127" s="41"/>
      <c r="D2127" s="137"/>
      <c r="E2127" s="138"/>
      <c r="F2127" s="139"/>
      <c r="G2127" s="1" t="str">
        <f>IFERROR(IF(ventas_b_mes1255[[#This Row],[CUIT]]="","-",VLOOKUP(ventas_b_mes1255[[#This Row],[CUIT]],Lista_CUIT[#All],2,0)),"CUIT NO CARGADO")</f>
        <v>-</v>
      </c>
      <c r="H2127" s="100">
        <f>ventas_b_mes1255[[#This Row],[TOTAL]]/1.21</f>
        <v>0</v>
      </c>
      <c r="I2127" s="64">
        <f>ventas_b_mes1255[[#This Row],[IMPORTE NETO]]*0.21</f>
        <v>0</v>
      </c>
      <c r="J2127" s="141"/>
      <c r="K2127" s="141"/>
      <c r="L2127" s="141"/>
      <c r="M2127" s="59"/>
    </row>
    <row r="2128" spans="2:13">
      <c r="B2128" s="135"/>
      <c r="C2128" s="41"/>
      <c r="D2128" s="137"/>
      <c r="E2128" s="138"/>
      <c r="F2128" s="139"/>
      <c r="G2128" s="1" t="str">
        <f>IFERROR(IF(ventas_b_mes1255[[#This Row],[CUIT]]="","-",VLOOKUP(ventas_b_mes1255[[#This Row],[CUIT]],Lista_CUIT[#All],2,0)),"CUIT NO CARGADO")</f>
        <v>-</v>
      </c>
      <c r="H2128" s="100">
        <f>ventas_b_mes1255[[#This Row],[TOTAL]]/1.21</f>
        <v>0</v>
      </c>
      <c r="I2128" s="64">
        <f>ventas_b_mes1255[[#This Row],[IMPORTE NETO]]*0.21</f>
        <v>0</v>
      </c>
      <c r="J2128" s="141"/>
      <c r="K2128" s="141"/>
      <c r="L2128" s="141"/>
      <c r="M2128" s="59"/>
    </row>
    <row r="2129" spans="2:13">
      <c r="B2129" s="135"/>
      <c r="C2129" s="41"/>
      <c r="D2129" s="137"/>
      <c r="E2129" s="138"/>
      <c r="F2129" s="139"/>
      <c r="G2129" s="1" t="str">
        <f>IFERROR(IF(ventas_b_mes1255[[#This Row],[CUIT]]="","-",VLOOKUP(ventas_b_mes1255[[#This Row],[CUIT]],Lista_CUIT[#All],2,0)),"CUIT NO CARGADO")</f>
        <v>-</v>
      </c>
      <c r="H2129" s="100">
        <f>ventas_b_mes1255[[#This Row],[TOTAL]]/1.21</f>
        <v>0</v>
      </c>
      <c r="I2129" s="64">
        <f>ventas_b_mes1255[[#This Row],[IMPORTE NETO]]*0.21</f>
        <v>0</v>
      </c>
      <c r="J2129" s="141"/>
      <c r="K2129" s="141"/>
      <c r="L2129" s="141"/>
      <c r="M2129" s="59"/>
    </row>
    <row r="2130" spans="2:13">
      <c r="B2130" s="135"/>
      <c r="C2130" s="41"/>
      <c r="D2130" s="137"/>
      <c r="E2130" s="138"/>
      <c r="F2130" s="139"/>
      <c r="G2130" s="1" t="str">
        <f>IFERROR(IF(ventas_b_mes1255[[#This Row],[CUIT]]="","-",VLOOKUP(ventas_b_mes1255[[#This Row],[CUIT]],Lista_CUIT[#All],2,0)),"CUIT NO CARGADO")</f>
        <v>-</v>
      </c>
      <c r="H2130" s="100">
        <f>ventas_b_mes1255[[#This Row],[TOTAL]]/1.21</f>
        <v>0</v>
      </c>
      <c r="I2130" s="64">
        <f>ventas_b_mes1255[[#This Row],[IMPORTE NETO]]*0.21</f>
        <v>0</v>
      </c>
      <c r="J2130" s="141"/>
      <c r="K2130" s="141"/>
      <c r="L2130" s="141"/>
      <c r="M2130" s="59"/>
    </row>
    <row r="2131" spans="2:13">
      <c r="B2131" s="135"/>
      <c r="C2131" s="41"/>
      <c r="D2131" s="137"/>
      <c r="E2131" s="138"/>
      <c r="F2131" s="139"/>
      <c r="G2131" s="1" t="str">
        <f>IFERROR(IF(ventas_b_mes1255[[#This Row],[CUIT]]="","-",VLOOKUP(ventas_b_mes1255[[#This Row],[CUIT]],Lista_CUIT[#All],2,0)),"CUIT NO CARGADO")</f>
        <v>-</v>
      </c>
      <c r="H2131" s="100">
        <f>ventas_b_mes1255[[#This Row],[TOTAL]]/1.21</f>
        <v>0</v>
      </c>
      <c r="I2131" s="64">
        <f>ventas_b_mes1255[[#This Row],[IMPORTE NETO]]*0.21</f>
        <v>0</v>
      </c>
      <c r="J2131" s="141"/>
      <c r="K2131" s="141"/>
      <c r="L2131" s="141"/>
      <c r="M2131" s="59"/>
    </row>
    <row r="2132" spans="2:13">
      <c r="B2132" s="135"/>
      <c r="C2132" s="41"/>
      <c r="D2132" s="137"/>
      <c r="E2132" s="138"/>
      <c r="F2132" s="139"/>
      <c r="G2132" s="1" t="str">
        <f>IFERROR(IF(ventas_b_mes1255[[#This Row],[CUIT]]="","-",VLOOKUP(ventas_b_mes1255[[#This Row],[CUIT]],Lista_CUIT[#All],2,0)),"CUIT NO CARGADO")</f>
        <v>-</v>
      </c>
      <c r="H2132" s="100">
        <f>ventas_b_mes1255[[#This Row],[TOTAL]]/1.21</f>
        <v>0</v>
      </c>
      <c r="I2132" s="64">
        <f>ventas_b_mes1255[[#This Row],[IMPORTE NETO]]*0.21</f>
        <v>0</v>
      </c>
      <c r="J2132" s="141"/>
      <c r="K2132" s="141"/>
      <c r="L2132" s="141"/>
      <c r="M2132" s="59"/>
    </row>
    <row r="2133" spans="2:13">
      <c r="B2133" s="135"/>
      <c r="C2133" s="41"/>
      <c r="D2133" s="137"/>
      <c r="E2133" s="138"/>
      <c r="F2133" s="139"/>
      <c r="G2133" s="1" t="str">
        <f>IFERROR(IF(ventas_b_mes1255[[#This Row],[CUIT]]="","-",VLOOKUP(ventas_b_mes1255[[#This Row],[CUIT]],Lista_CUIT[#All],2,0)),"CUIT NO CARGADO")</f>
        <v>-</v>
      </c>
      <c r="H2133" s="100">
        <f>ventas_b_mes1255[[#This Row],[TOTAL]]/1.21</f>
        <v>0</v>
      </c>
      <c r="I2133" s="64">
        <f>ventas_b_mes1255[[#This Row],[IMPORTE NETO]]*0.21</f>
        <v>0</v>
      </c>
      <c r="J2133" s="141"/>
      <c r="K2133" s="141"/>
      <c r="L2133" s="141"/>
      <c r="M2133" s="59"/>
    </row>
    <row r="2134" spans="2:13">
      <c r="B2134" s="135"/>
      <c r="C2134" s="41"/>
      <c r="D2134" s="137"/>
      <c r="E2134" s="138"/>
      <c r="F2134" s="139"/>
      <c r="G2134" s="1" t="str">
        <f>IFERROR(IF(ventas_b_mes1255[[#This Row],[CUIT]]="","-",VLOOKUP(ventas_b_mes1255[[#This Row],[CUIT]],Lista_CUIT[#All],2,0)),"CUIT NO CARGADO")</f>
        <v>-</v>
      </c>
      <c r="H2134" s="100">
        <f>ventas_b_mes1255[[#This Row],[TOTAL]]/1.21</f>
        <v>0</v>
      </c>
      <c r="I2134" s="64">
        <f>ventas_b_mes1255[[#This Row],[IMPORTE NETO]]*0.21</f>
        <v>0</v>
      </c>
      <c r="J2134" s="141"/>
      <c r="K2134" s="141"/>
      <c r="L2134" s="141"/>
      <c r="M2134" s="59"/>
    </row>
    <row r="2135" spans="2:13">
      <c r="B2135" s="135"/>
      <c r="C2135" s="41"/>
      <c r="D2135" s="137"/>
      <c r="E2135" s="138"/>
      <c r="F2135" s="139"/>
      <c r="G2135" s="1" t="str">
        <f>IFERROR(IF(ventas_b_mes1255[[#This Row],[CUIT]]="","-",VLOOKUP(ventas_b_mes1255[[#This Row],[CUIT]],Lista_CUIT[#All],2,0)),"CUIT NO CARGADO")</f>
        <v>-</v>
      </c>
      <c r="H2135" s="100">
        <f>ventas_b_mes1255[[#This Row],[TOTAL]]/1.21</f>
        <v>0</v>
      </c>
      <c r="I2135" s="64">
        <f>ventas_b_mes1255[[#This Row],[IMPORTE NETO]]*0.21</f>
        <v>0</v>
      </c>
      <c r="J2135" s="141"/>
      <c r="K2135" s="141"/>
      <c r="L2135" s="141"/>
      <c r="M2135" s="59"/>
    </row>
    <row r="2136" spans="2:13">
      <c r="B2136" s="135"/>
      <c r="C2136" s="41"/>
      <c r="D2136" s="137"/>
      <c r="E2136" s="138"/>
      <c r="F2136" s="139"/>
      <c r="G2136" s="1" t="str">
        <f>IFERROR(IF(ventas_b_mes1255[[#This Row],[CUIT]]="","-",VLOOKUP(ventas_b_mes1255[[#This Row],[CUIT]],Lista_CUIT[#All],2,0)),"CUIT NO CARGADO")</f>
        <v>-</v>
      </c>
      <c r="H2136" s="100">
        <f>ventas_b_mes1255[[#This Row],[TOTAL]]/1.21</f>
        <v>0</v>
      </c>
      <c r="I2136" s="64">
        <f>ventas_b_mes1255[[#This Row],[IMPORTE NETO]]*0.21</f>
        <v>0</v>
      </c>
      <c r="J2136" s="141"/>
      <c r="K2136" s="141"/>
      <c r="L2136" s="141"/>
      <c r="M2136" s="59"/>
    </row>
    <row r="2137" spans="2:13">
      <c r="B2137" s="135"/>
      <c r="C2137" s="41"/>
      <c r="D2137" s="137"/>
      <c r="E2137" s="138"/>
      <c r="F2137" s="139"/>
      <c r="G2137" s="1" t="str">
        <f>IFERROR(IF(ventas_b_mes1255[[#This Row],[CUIT]]="","-",VLOOKUP(ventas_b_mes1255[[#This Row],[CUIT]],Lista_CUIT[#All],2,0)),"CUIT NO CARGADO")</f>
        <v>-</v>
      </c>
      <c r="H2137" s="100">
        <f>ventas_b_mes1255[[#This Row],[TOTAL]]/1.21</f>
        <v>0</v>
      </c>
      <c r="I2137" s="64">
        <f>ventas_b_mes1255[[#This Row],[IMPORTE NETO]]*0.21</f>
        <v>0</v>
      </c>
      <c r="J2137" s="141"/>
      <c r="K2137" s="141"/>
      <c r="L2137" s="141"/>
      <c r="M2137" s="59"/>
    </row>
    <row r="2138" spans="2:13">
      <c r="B2138" s="135"/>
      <c r="C2138" s="41"/>
      <c r="D2138" s="137"/>
      <c r="E2138" s="138"/>
      <c r="F2138" s="139"/>
      <c r="G2138" s="1" t="str">
        <f>IFERROR(IF(ventas_b_mes1255[[#This Row],[CUIT]]="","-",VLOOKUP(ventas_b_mes1255[[#This Row],[CUIT]],Lista_CUIT[#All],2,0)),"CUIT NO CARGADO")</f>
        <v>-</v>
      </c>
      <c r="H2138" s="100">
        <f>ventas_b_mes1255[[#This Row],[TOTAL]]/1.21</f>
        <v>0</v>
      </c>
      <c r="I2138" s="64">
        <f>ventas_b_mes1255[[#This Row],[IMPORTE NETO]]*0.21</f>
        <v>0</v>
      </c>
      <c r="J2138" s="141"/>
      <c r="K2138" s="141"/>
      <c r="L2138" s="141"/>
      <c r="M2138" s="59"/>
    </row>
    <row r="2139" spans="2:13">
      <c r="B2139" s="135"/>
      <c r="C2139" s="41"/>
      <c r="D2139" s="137"/>
      <c r="E2139" s="138"/>
      <c r="F2139" s="139"/>
      <c r="G2139" s="1" t="str">
        <f>IFERROR(IF(ventas_b_mes1255[[#This Row],[CUIT]]="","-",VLOOKUP(ventas_b_mes1255[[#This Row],[CUIT]],Lista_CUIT[#All],2,0)),"CUIT NO CARGADO")</f>
        <v>-</v>
      </c>
      <c r="H2139" s="100">
        <f>ventas_b_mes1255[[#This Row],[TOTAL]]/1.21</f>
        <v>0</v>
      </c>
      <c r="I2139" s="64">
        <f>ventas_b_mes1255[[#This Row],[IMPORTE NETO]]*0.21</f>
        <v>0</v>
      </c>
      <c r="J2139" s="141"/>
      <c r="K2139" s="141"/>
      <c r="L2139" s="141"/>
      <c r="M2139" s="59"/>
    </row>
    <row r="2140" spans="2:13">
      <c r="B2140" s="135"/>
      <c r="C2140" s="41"/>
      <c r="D2140" s="137"/>
      <c r="E2140" s="138"/>
      <c r="F2140" s="139"/>
      <c r="G2140" s="1" t="str">
        <f>IFERROR(IF(ventas_b_mes1255[[#This Row],[CUIT]]="","-",VLOOKUP(ventas_b_mes1255[[#This Row],[CUIT]],Lista_CUIT[#All],2,0)),"CUIT NO CARGADO")</f>
        <v>-</v>
      </c>
      <c r="H2140" s="100">
        <f>ventas_b_mes1255[[#This Row],[TOTAL]]/1.21</f>
        <v>0</v>
      </c>
      <c r="I2140" s="64">
        <f>ventas_b_mes1255[[#This Row],[IMPORTE NETO]]*0.21</f>
        <v>0</v>
      </c>
      <c r="J2140" s="141"/>
      <c r="K2140" s="141"/>
      <c r="L2140" s="141"/>
      <c r="M2140" s="59"/>
    </row>
    <row r="2141" spans="2:13">
      <c r="B2141" s="135"/>
      <c r="C2141" s="41"/>
      <c r="D2141" s="137"/>
      <c r="E2141" s="138"/>
      <c r="F2141" s="139"/>
      <c r="G2141" s="1" t="str">
        <f>IFERROR(IF(ventas_b_mes1255[[#This Row],[CUIT]]="","-",VLOOKUP(ventas_b_mes1255[[#This Row],[CUIT]],Lista_CUIT[#All],2,0)),"CUIT NO CARGADO")</f>
        <v>-</v>
      </c>
      <c r="H2141" s="100">
        <f>ventas_b_mes1255[[#This Row],[TOTAL]]/1.21</f>
        <v>0</v>
      </c>
      <c r="I2141" s="64">
        <f>ventas_b_mes1255[[#This Row],[IMPORTE NETO]]*0.21</f>
        <v>0</v>
      </c>
      <c r="J2141" s="141"/>
      <c r="K2141" s="141"/>
      <c r="L2141" s="141"/>
      <c r="M2141" s="59"/>
    </row>
    <row r="2142" spans="2:13">
      <c r="B2142" s="135"/>
      <c r="C2142" s="41"/>
      <c r="D2142" s="137"/>
      <c r="E2142" s="138"/>
      <c r="F2142" s="139"/>
      <c r="G2142" s="1" t="str">
        <f>IFERROR(IF(ventas_b_mes1255[[#This Row],[CUIT]]="","-",VLOOKUP(ventas_b_mes1255[[#This Row],[CUIT]],Lista_CUIT[#All],2,0)),"CUIT NO CARGADO")</f>
        <v>-</v>
      </c>
      <c r="H2142" s="100">
        <f>ventas_b_mes1255[[#This Row],[TOTAL]]/1.21</f>
        <v>0</v>
      </c>
      <c r="I2142" s="64">
        <f>ventas_b_mes1255[[#This Row],[IMPORTE NETO]]*0.21</f>
        <v>0</v>
      </c>
      <c r="J2142" s="141"/>
      <c r="K2142" s="141"/>
      <c r="L2142" s="141"/>
      <c r="M2142" s="59"/>
    </row>
    <row r="2143" spans="2:13">
      <c r="B2143" s="135"/>
      <c r="C2143" s="41"/>
      <c r="D2143" s="137"/>
      <c r="E2143" s="138"/>
      <c r="F2143" s="139"/>
      <c r="G2143" s="1" t="str">
        <f>IFERROR(IF(ventas_b_mes1255[[#This Row],[CUIT]]="","-",VLOOKUP(ventas_b_mes1255[[#This Row],[CUIT]],Lista_CUIT[#All],2,0)),"CUIT NO CARGADO")</f>
        <v>-</v>
      </c>
      <c r="H2143" s="100">
        <f>ventas_b_mes1255[[#This Row],[TOTAL]]/1.21</f>
        <v>0</v>
      </c>
      <c r="I2143" s="64">
        <f>ventas_b_mes1255[[#This Row],[IMPORTE NETO]]*0.21</f>
        <v>0</v>
      </c>
      <c r="J2143" s="141"/>
      <c r="K2143" s="141"/>
      <c r="L2143" s="141"/>
      <c r="M2143" s="59"/>
    </row>
    <row r="2144" spans="2:13">
      <c r="B2144" s="135"/>
      <c r="C2144" s="41"/>
      <c r="D2144" s="137"/>
      <c r="E2144" s="138"/>
      <c r="F2144" s="139"/>
      <c r="G2144" s="1" t="str">
        <f>IFERROR(IF(ventas_b_mes1255[[#This Row],[CUIT]]="","-",VLOOKUP(ventas_b_mes1255[[#This Row],[CUIT]],Lista_CUIT[#All],2,0)),"CUIT NO CARGADO")</f>
        <v>-</v>
      </c>
      <c r="H2144" s="100">
        <f>ventas_b_mes1255[[#This Row],[TOTAL]]/1.21</f>
        <v>0</v>
      </c>
      <c r="I2144" s="64">
        <f>ventas_b_mes1255[[#This Row],[IMPORTE NETO]]*0.21</f>
        <v>0</v>
      </c>
      <c r="J2144" s="141"/>
      <c r="K2144" s="141"/>
      <c r="L2144" s="141"/>
      <c r="M2144" s="59"/>
    </row>
    <row r="2145" spans="2:13">
      <c r="B2145" s="135"/>
      <c r="C2145" s="41"/>
      <c r="D2145" s="137"/>
      <c r="E2145" s="138"/>
      <c r="F2145" s="139"/>
      <c r="G2145" s="1" t="str">
        <f>IFERROR(IF(ventas_b_mes1255[[#This Row],[CUIT]]="","-",VLOOKUP(ventas_b_mes1255[[#This Row],[CUIT]],Lista_CUIT[#All],2,0)),"CUIT NO CARGADO")</f>
        <v>-</v>
      </c>
      <c r="H2145" s="100">
        <f>ventas_b_mes1255[[#This Row],[TOTAL]]/1.21</f>
        <v>0</v>
      </c>
      <c r="I2145" s="64">
        <f>ventas_b_mes1255[[#This Row],[IMPORTE NETO]]*0.21</f>
        <v>0</v>
      </c>
      <c r="J2145" s="141"/>
      <c r="K2145" s="141"/>
      <c r="L2145" s="141"/>
      <c r="M2145" s="59"/>
    </row>
    <row r="2146" spans="2:13">
      <c r="B2146" s="135"/>
      <c r="C2146" s="41"/>
      <c r="D2146" s="137"/>
      <c r="E2146" s="138"/>
      <c r="F2146" s="139"/>
      <c r="G2146" s="1" t="str">
        <f>IFERROR(IF(ventas_b_mes1255[[#This Row],[CUIT]]="","-",VLOOKUP(ventas_b_mes1255[[#This Row],[CUIT]],Lista_CUIT[#All],2,0)),"CUIT NO CARGADO")</f>
        <v>-</v>
      </c>
      <c r="H2146" s="100">
        <f>ventas_b_mes1255[[#This Row],[TOTAL]]/1.21</f>
        <v>0</v>
      </c>
      <c r="I2146" s="64">
        <f>ventas_b_mes1255[[#This Row],[IMPORTE NETO]]*0.21</f>
        <v>0</v>
      </c>
      <c r="J2146" s="141"/>
      <c r="K2146" s="141"/>
      <c r="L2146" s="141"/>
      <c r="M2146" s="59"/>
    </row>
    <row r="2147" spans="2:13">
      <c r="B2147" s="135"/>
      <c r="C2147" s="41"/>
      <c r="D2147" s="137"/>
      <c r="E2147" s="138"/>
      <c r="F2147" s="139"/>
      <c r="G2147" s="1" t="str">
        <f>IFERROR(IF(ventas_b_mes1255[[#This Row],[CUIT]]="","-",VLOOKUP(ventas_b_mes1255[[#This Row],[CUIT]],Lista_CUIT[#All],2,0)),"CUIT NO CARGADO")</f>
        <v>-</v>
      </c>
      <c r="H2147" s="100">
        <f>ventas_b_mes1255[[#This Row],[TOTAL]]/1.21</f>
        <v>0</v>
      </c>
      <c r="I2147" s="64">
        <f>ventas_b_mes1255[[#This Row],[IMPORTE NETO]]*0.21</f>
        <v>0</v>
      </c>
      <c r="J2147" s="141"/>
      <c r="K2147" s="141"/>
      <c r="L2147" s="141"/>
      <c r="M2147" s="59"/>
    </row>
    <row r="2148" spans="2:13">
      <c r="B2148" s="135"/>
      <c r="C2148" s="41"/>
      <c r="D2148" s="137"/>
      <c r="E2148" s="138"/>
      <c r="F2148" s="139"/>
      <c r="G2148" s="1" t="str">
        <f>IFERROR(IF(ventas_b_mes1255[[#This Row],[CUIT]]="","-",VLOOKUP(ventas_b_mes1255[[#This Row],[CUIT]],Lista_CUIT[#All],2,0)),"CUIT NO CARGADO")</f>
        <v>-</v>
      </c>
      <c r="H2148" s="100">
        <f>ventas_b_mes1255[[#This Row],[TOTAL]]/1.21</f>
        <v>0</v>
      </c>
      <c r="I2148" s="64">
        <f>ventas_b_mes1255[[#This Row],[IMPORTE NETO]]*0.21</f>
        <v>0</v>
      </c>
      <c r="J2148" s="141"/>
      <c r="K2148" s="141"/>
      <c r="L2148" s="141"/>
      <c r="M2148" s="59"/>
    </row>
    <row r="2149" spans="2:13">
      <c r="B2149" s="135"/>
      <c r="C2149" s="41"/>
      <c r="D2149" s="137"/>
      <c r="E2149" s="138"/>
      <c r="F2149" s="139"/>
      <c r="G2149" s="1" t="str">
        <f>IFERROR(IF(ventas_b_mes1255[[#This Row],[CUIT]]="","-",VLOOKUP(ventas_b_mes1255[[#This Row],[CUIT]],Lista_CUIT[#All],2,0)),"CUIT NO CARGADO")</f>
        <v>-</v>
      </c>
      <c r="H2149" s="100">
        <f>ventas_b_mes1255[[#This Row],[TOTAL]]/1.21</f>
        <v>0</v>
      </c>
      <c r="I2149" s="64">
        <f>ventas_b_mes1255[[#This Row],[IMPORTE NETO]]*0.21</f>
        <v>0</v>
      </c>
      <c r="J2149" s="141"/>
      <c r="K2149" s="141"/>
      <c r="L2149" s="141"/>
      <c r="M2149" s="59"/>
    </row>
    <row r="2150" spans="2:13">
      <c r="B2150" s="135"/>
      <c r="C2150" s="41"/>
      <c r="D2150" s="137"/>
      <c r="E2150" s="138"/>
      <c r="F2150" s="139"/>
      <c r="G2150" s="1" t="str">
        <f>IFERROR(IF(ventas_b_mes1255[[#This Row],[CUIT]]="","-",VLOOKUP(ventas_b_mes1255[[#This Row],[CUIT]],Lista_CUIT[#All],2,0)),"CUIT NO CARGADO")</f>
        <v>-</v>
      </c>
      <c r="H2150" s="100">
        <f>ventas_b_mes1255[[#This Row],[TOTAL]]/1.21</f>
        <v>0</v>
      </c>
      <c r="I2150" s="64">
        <f>ventas_b_mes1255[[#This Row],[IMPORTE NETO]]*0.21</f>
        <v>0</v>
      </c>
      <c r="J2150" s="141"/>
      <c r="K2150" s="141"/>
      <c r="L2150" s="141"/>
      <c r="M2150" s="59"/>
    </row>
    <row r="2151" spans="2:13">
      <c r="B2151" s="135"/>
      <c r="C2151" s="41"/>
      <c r="D2151" s="137"/>
      <c r="E2151" s="138"/>
      <c r="F2151" s="139"/>
      <c r="G2151" s="1" t="str">
        <f>IFERROR(IF(ventas_b_mes1255[[#This Row],[CUIT]]="","-",VLOOKUP(ventas_b_mes1255[[#This Row],[CUIT]],Lista_CUIT[#All],2,0)),"CUIT NO CARGADO")</f>
        <v>-</v>
      </c>
      <c r="H2151" s="100">
        <f>ventas_b_mes1255[[#This Row],[TOTAL]]/1.21</f>
        <v>0</v>
      </c>
      <c r="I2151" s="64">
        <f>ventas_b_mes1255[[#This Row],[IMPORTE NETO]]*0.21</f>
        <v>0</v>
      </c>
      <c r="J2151" s="141"/>
      <c r="K2151" s="141"/>
      <c r="L2151" s="141"/>
      <c r="M2151" s="59"/>
    </row>
    <row r="2152" spans="2:13">
      <c r="B2152" s="135"/>
      <c r="C2152" s="41"/>
      <c r="D2152" s="137"/>
      <c r="E2152" s="138"/>
      <c r="F2152" s="139"/>
      <c r="G2152" s="1" t="str">
        <f>IFERROR(IF(ventas_b_mes1255[[#This Row],[CUIT]]="","-",VLOOKUP(ventas_b_mes1255[[#This Row],[CUIT]],Lista_CUIT[#All],2,0)),"CUIT NO CARGADO")</f>
        <v>-</v>
      </c>
      <c r="H2152" s="100">
        <f>ventas_b_mes1255[[#This Row],[TOTAL]]/1.21</f>
        <v>0</v>
      </c>
      <c r="I2152" s="64">
        <f>ventas_b_mes1255[[#This Row],[IMPORTE NETO]]*0.21</f>
        <v>0</v>
      </c>
      <c r="J2152" s="141"/>
      <c r="K2152" s="141"/>
      <c r="L2152" s="141"/>
      <c r="M2152" s="59"/>
    </row>
    <row r="2153" spans="2:13">
      <c r="B2153" s="135"/>
      <c r="C2153" s="41"/>
      <c r="D2153" s="137"/>
      <c r="E2153" s="138"/>
      <c r="F2153" s="139"/>
      <c r="G2153" s="1" t="str">
        <f>IFERROR(IF(ventas_b_mes1255[[#This Row],[CUIT]]="","-",VLOOKUP(ventas_b_mes1255[[#This Row],[CUIT]],Lista_CUIT[#All],2,0)),"CUIT NO CARGADO")</f>
        <v>-</v>
      </c>
      <c r="H2153" s="100">
        <f>ventas_b_mes1255[[#This Row],[TOTAL]]/1.21</f>
        <v>0</v>
      </c>
      <c r="I2153" s="64">
        <f>ventas_b_mes1255[[#This Row],[IMPORTE NETO]]*0.21</f>
        <v>0</v>
      </c>
      <c r="J2153" s="141"/>
      <c r="K2153" s="141"/>
      <c r="L2153" s="141"/>
      <c r="M2153" s="59"/>
    </row>
    <row r="2154" spans="2:13">
      <c r="B2154" s="135"/>
      <c r="C2154" s="41"/>
      <c r="D2154" s="137"/>
      <c r="E2154" s="138"/>
      <c r="F2154" s="139"/>
      <c r="G2154" s="1" t="str">
        <f>IFERROR(IF(ventas_b_mes1255[[#This Row],[CUIT]]="","-",VLOOKUP(ventas_b_mes1255[[#This Row],[CUIT]],Lista_CUIT[#All],2,0)),"CUIT NO CARGADO")</f>
        <v>-</v>
      </c>
      <c r="H2154" s="100">
        <f>ventas_b_mes1255[[#This Row],[TOTAL]]/1.21</f>
        <v>0</v>
      </c>
      <c r="I2154" s="64">
        <f>ventas_b_mes1255[[#This Row],[IMPORTE NETO]]*0.21</f>
        <v>0</v>
      </c>
      <c r="J2154" s="141"/>
      <c r="K2154" s="141"/>
      <c r="L2154" s="141"/>
      <c r="M2154" s="59"/>
    </row>
    <row r="2155" spans="2:13">
      <c r="B2155" s="135"/>
      <c r="C2155" s="41"/>
      <c r="D2155" s="137"/>
      <c r="E2155" s="138"/>
      <c r="F2155" s="139"/>
      <c r="G2155" s="1" t="str">
        <f>IFERROR(IF(ventas_b_mes1255[[#This Row],[CUIT]]="","-",VLOOKUP(ventas_b_mes1255[[#This Row],[CUIT]],Lista_CUIT[#All],2,0)),"CUIT NO CARGADO")</f>
        <v>-</v>
      </c>
      <c r="H2155" s="100">
        <f>ventas_b_mes1255[[#This Row],[TOTAL]]/1.21</f>
        <v>0</v>
      </c>
      <c r="I2155" s="64">
        <f>ventas_b_mes1255[[#This Row],[IMPORTE NETO]]*0.21</f>
        <v>0</v>
      </c>
      <c r="J2155" s="141"/>
      <c r="K2155" s="141"/>
      <c r="L2155" s="141"/>
      <c r="M2155" s="59"/>
    </row>
    <row r="2156" spans="2:13">
      <c r="B2156" s="135"/>
      <c r="C2156" s="41"/>
      <c r="D2156" s="137"/>
      <c r="E2156" s="138"/>
      <c r="F2156" s="139"/>
      <c r="G2156" s="1" t="str">
        <f>IFERROR(IF(ventas_b_mes1255[[#This Row],[CUIT]]="","-",VLOOKUP(ventas_b_mes1255[[#This Row],[CUIT]],Lista_CUIT[#All],2,0)),"CUIT NO CARGADO")</f>
        <v>-</v>
      </c>
      <c r="H2156" s="100">
        <f>ventas_b_mes1255[[#This Row],[TOTAL]]/1.21</f>
        <v>0</v>
      </c>
      <c r="I2156" s="64">
        <f>ventas_b_mes1255[[#This Row],[IMPORTE NETO]]*0.21</f>
        <v>0</v>
      </c>
      <c r="J2156" s="141"/>
      <c r="K2156" s="141"/>
      <c r="L2156" s="141"/>
      <c r="M2156" s="59"/>
    </row>
    <row r="2157" spans="2:13">
      <c r="B2157" s="135"/>
      <c r="C2157" s="41"/>
      <c r="D2157" s="137"/>
      <c r="E2157" s="138"/>
      <c r="F2157" s="139"/>
      <c r="G2157" s="1" t="str">
        <f>IFERROR(IF(ventas_b_mes1255[[#This Row],[CUIT]]="","-",VLOOKUP(ventas_b_mes1255[[#This Row],[CUIT]],Lista_CUIT[#All],2,0)),"CUIT NO CARGADO")</f>
        <v>-</v>
      </c>
      <c r="H2157" s="100">
        <f>ventas_b_mes1255[[#This Row],[TOTAL]]/1.21</f>
        <v>0</v>
      </c>
      <c r="I2157" s="64">
        <f>ventas_b_mes1255[[#This Row],[IMPORTE NETO]]*0.21</f>
        <v>0</v>
      </c>
      <c r="J2157" s="141"/>
      <c r="K2157" s="141"/>
      <c r="L2157" s="141"/>
      <c r="M2157" s="59"/>
    </row>
    <row r="2158" spans="2:13">
      <c r="B2158" s="135"/>
      <c r="C2158" s="41"/>
      <c r="D2158" s="137"/>
      <c r="E2158" s="138"/>
      <c r="F2158" s="139"/>
      <c r="G2158" s="1" t="str">
        <f>IFERROR(IF(ventas_b_mes1255[[#This Row],[CUIT]]="","-",VLOOKUP(ventas_b_mes1255[[#This Row],[CUIT]],Lista_CUIT[#All],2,0)),"CUIT NO CARGADO")</f>
        <v>-</v>
      </c>
      <c r="H2158" s="100">
        <f>ventas_b_mes1255[[#This Row],[TOTAL]]/1.21</f>
        <v>0</v>
      </c>
      <c r="I2158" s="64">
        <f>ventas_b_mes1255[[#This Row],[IMPORTE NETO]]*0.21</f>
        <v>0</v>
      </c>
      <c r="J2158" s="141"/>
      <c r="K2158" s="141"/>
      <c r="L2158" s="141"/>
      <c r="M2158" s="59"/>
    </row>
    <row r="2159" spans="2:13">
      <c r="B2159" s="135"/>
      <c r="C2159" s="41"/>
      <c r="D2159" s="137"/>
      <c r="E2159" s="138"/>
      <c r="F2159" s="139"/>
      <c r="G2159" s="1" t="str">
        <f>IFERROR(IF(ventas_b_mes1255[[#This Row],[CUIT]]="","-",VLOOKUP(ventas_b_mes1255[[#This Row],[CUIT]],Lista_CUIT[#All],2,0)),"CUIT NO CARGADO")</f>
        <v>-</v>
      </c>
      <c r="H2159" s="100">
        <f>ventas_b_mes1255[[#This Row],[TOTAL]]/1.21</f>
        <v>0</v>
      </c>
      <c r="I2159" s="64">
        <f>ventas_b_mes1255[[#This Row],[IMPORTE NETO]]*0.21</f>
        <v>0</v>
      </c>
      <c r="J2159" s="141"/>
      <c r="K2159" s="141"/>
      <c r="L2159" s="141"/>
      <c r="M2159" s="59"/>
    </row>
    <row r="2160" spans="2:13">
      <c r="B2160" s="135"/>
      <c r="C2160" s="41"/>
      <c r="D2160" s="137"/>
      <c r="E2160" s="138"/>
      <c r="F2160" s="139"/>
      <c r="G2160" s="1" t="str">
        <f>IFERROR(IF(ventas_b_mes1255[[#This Row],[CUIT]]="","-",VLOOKUP(ventas_b_mes1255[[#This Row],[CUIT]],Lista_CUIT[#All],2,0)),"CUIT NO CARGADO")</f>
        <v>-</v>
      </c>
      <c r="H2160" s="100">
        <f>ventas_b_mes1255[[#This Row],[TOTAL]]/1.21</f>
        <v>0</v>
      </c>
      <c r="I2160" s="64">
        <f>ventas_b_mes1255[[#This Row],[IMPORTE NETO]]*0.21</f>
        <v>0</v>
      </c>
      <c r="J2160" s="141"/>
      <c r="K2160" s="141"/>
      <c r="L2160" s="141"/>
      <c r="M2160" s="59"/>
    </row>
    <row r="2161" spans="2:13">
      <c r="B2161" s="135"/>
      <c r="C2161" s="41"/>
      <c r="D2161" s="137"/>
      <c r="E2161" s="138"/>
      <c r="F2161" s="139"/>
      <c r="G2161" s="1" t="str">
        <f>IFERROR(IF(ventas_b_mes1255[[#This Row],[CUIT]]="","-",VLOOKUP(ventas_b_mes1255[[#This Row],[CUIT]],Lista_CUIT[#All],2,0)),"CUIT NO CARGADO")</f>
        <v>-</v>
      </c>
      <c r="H2161" s="100">
        <f>ventas_b_mes1255[[#This Row],[TOTAL]]/1.21</f>
        <v>0</v>
      </c>
      <c r="I2161" s="64">
        <f>ventas_b_mes1255[[#This Row],[IMPORTE NETO]]*0.21</f>
        <v>0</v>
      </c>
      <c r="J2161" s="141"/>
      <c r="K2161" s="141"/>
      <c r="L2161" s="141"/>
      <c r="M2161" s="59"/>
    </row>
    <row r="2162" spans="2:13">
      <c r="B2162" s="135"/>
      <c r="C2162" s="41"/>
      <c r="D2162" s="137"/>
      <c r="E2162" s="138"/>
      <c r="F2162" s="139"/>
      <c r="G2162" s="1" t="str">
        <f>IFERROR(IF(ventas_b_mes1255[[#This Row],[CUIT]]="","-",VLOOKUP(ventas_b_mes1255[[#This Row],[CUIT]],Lista_CUIT[#All],2,0)),"CUIT NO CARGADO")</f>
        <v>-</v>
      </c>
      <c r="H2162" s="100">
        <f>ventas_b_mes1255[[#This Row],[TOTAL]]/1.21</f>
        <v>0</v>
      </c>
      <c r="I2162" s="64">
        <f>ventas_b_mes1255[[#This Row],[IMPORTE NETO]]*0.21</f>
        <v>0</v>
      </c>
      <c r="J2162" s="141"/>
      <c r="K2162" s="141"/>
      <c r="L2162" s="141"/>
      <c r="M2162" s="59"/>
    </row>
    <row r="2163" spans="2:13">
      <c r="B2163" s="135"/>
      <c r="C2163" s="41"/>
      <c r="D2163" s="137"/>
      <c r="E2163" s="138"/>
      <c r="F2163" s="139"/>
      <c r="G2163" s="1" t="str">
        <f>IFERROR(IF(ventas_b_mes1255[[#This Row],[CUIT]]="","-",VLOOKUP(ventas_b_mes1255[[#This Row],[CUIT]],Lista_CUIT[#All],2,0)),"CUIT NO CARGADO")</f>
        <v>-</v>
      </c>
      <c r="H2163" s="100">
        <f>ventas_b_mes1255[[#This Row],[TOTAL]]/1.21</f>
        <v>0</v>
      </c>
      <c r="I2163" s="64">
        <f>ventas_b_mes1255[[#This Row],[IMPORTE NETO]]*0.21</f>
        <v>0</v>
      </c>
      <c r="J2163" s="141"/>
      <c r="K2163" s="141"/>
      <c r="L2163" s="141"/>
      <c r="M2163" s="59"/>
    </row>
    <row r="2164" spans="2:13">
      <c r="B2164" s="135"/>
      <c r="C2164" s="41"/>
      <c r="D2164" s="137"/>
      <c r="E2164" s="138"/>
      <c r="F2164" s="139"/>
      <c r="G2164" s="1" t="str">
        <f>IFERROR(IF(ventas_b_mes1255[[#This Row],[CUIT]]="","-",VLOOKUP(ventas_b_mes1255[[#This Row],[CUIT]],Lista_CUIT[#All],2,0)),"CUIT NO CARGADO")</f>
        <v>-</v>
      </c>
      <c r="H2164" s="100">
        <f>ventas_b_mes1255[[#This Row],[TOTAL]]/1.21</f>
        <v>0</v>
      </c>
      <c r="I2164" s="64">
        <f>ventas_b_mes1255[[#This Row],[IMPORTE NETO]]*0.21</f>
        <v>0</v>
      </c>
      <c r="J2164" s="141"/>
      <c r="K2164" s="141"/>
      <c r="L2164" s="141"/>
      <c r="M2164" s="59"/>
    </row>
    <row r="2165" spans="2:13">
      <c r="B2165" s="135"/>
      <c r="C2165" s="41"/>
      <c r="D2165" s="137"/>
      <c r="E2165" s="138"/>
      <c r="F2165" s="139"/>
      <c r="G2165" s="1" t="str">
        <f>IFERROR(IF(ventas_b_mes1255[[#This Row],[CUIT]]="","-",VLOOKUP(ventas_b_mes1255[[#This Row],[CUIT]],Lista_CUIT[#All],2,0)),"CUIT NO CARGADO")</f>
        <v>-</v>
      </c>
      <c r="H2165" s="100">
        <f>ventas_b_mes1255[[#This Row],[TOTAL]]/1.21</f>
        <v>0</v>
      </c>
      <c r="I2165" s="64">
        <f>ventas_b_mes1255[[#This Row],[IMPORTE NETO]]*0.21</f>
        <v>0</v>
      </c>
      <c r="J2165" s="141"/>
      <c r="K2165" s="141"/>
      <c r="L2165" s="141"/>
      <c r="M2165" s="59"/>
    </row>
    <row r="2166" spans="2:13">
      <c r="B2166" s="135"/>
      <c r="C2166" s="41"/>
      <c r="D2166" s="137"/>
      <c r="E2166" s="138"/>
      <c r="F2166" s="139"/>
      <c r="G2166" s="1" t="str">
        <f>IFERROR(IF(ventas_b_mes1255[[#This Row],[CUIT]]="","-",VLOOKUP(ventas_b_mes1255[[#This Row],[CUIT]],Lista_CUIT[#All],2,0)),"CUIT NO CARGADO")</f>
        <v>-</v>
      </c>
      <c r="H2166" s="100">
        <f>ventas_b_mes1255[[#This Row],[TOTAL]]/1.21</f>
        <v>0</v>
      </c>
      <c r="I2166" s="64">
        <f>ventas_b_mes1255[[#This Row],[IMPORTE NETO]]*0.21</f>
        <v>0</v>
      </c>
      <c r="J2166" s="141"/>
      <c r="K2166" s="141"/>
      <c r="L2166" s="141"/>
      <c r="M2166" s="59"/>
    </row>
    <row r="2167" spans="2:13">
      <c r="B2167" s="135"/>
      <c r="C2167" s="41"/>
      <c r="D2167" s="137"/>
      <c r="E2167" s="138"/>
      <c r="F2167" s="139"/>
      <c r="G2167" s="1" t="str">
        <f>IFERROR(IF(ventas_b_mes1255[[#This Row],[CUIT]]="","-",VLOOKUP(ventas_b_mes1255[[#This Row],[CUIT]],Lista_CUIT[#All],2,0)),"CUIT NO CARGADO")</f>
        <v>-</v>
      </c>
      <c r="H2167" s="100">
        <f>ventas_b_mes1255[[#This Row],[TOTAL]]/1.21</f>
        <v>0</v>
      </c>
      <c r="I2167" s="64">
        <f>ventas_b_mes1255[[#This Row],[IMPORTE NETO]]*0.21</f>
        <v>0</v>
      </c>
      <c r="J2167" s="141"/>
      <c r="K2167" s="141"/>
      <c r="L2167" s="141"/>
      <c r="M2167" s="59"/>
    </row>
    <row r="2168" spans="2:13">
      <c r="B2168" s="135"/>
      <c r="C2168" s="41"/>
      <c r="D2168" s="137"/>
      <c r="E2168" s="138"/>
      <c r="F2168" s="139"/>
      <c r="G2168" s="1" t="str">
        <f>IFERROR(IF(ventas_b_mes1255[[#This Row],[CUIT]]="","-",VLOOKUP(ventas_b_mes1255[[#This Row],[CUIT]],Lista_CUIT[#All],2,0)),"CUIT NO CARGADO")</f>
        <v>-</v>
      </c>
      <c r="H2168" s="100">
        <f>ventas_b_mes1255[[#This Row],[TOTAL]]/1.21</f>
        <v>0</v>
      </c>
      <c r="I2168" s="64">
        <f>ventas_b_mes1255[[#This Row],[IMPORTE NETO]]*0.21</f>
        <v>0</v>
      </c>
      <c r="J2168" s="141"/>
      <c r="K2168" s="141"/>
      <c r="L2168" s="141"/>
      <c r="M2168" s="59"/>
    </row>
    <row r="2169" spans="2:13">
      <c r="B2169" s="135"/>
      <c r="C2169" s="41"/>
      <c r="D2169" s="137"/>
      <c r="E2169" s="138"/>
      <c r="F2169" s="139"/>
      <c r="G2169" s="1" t="str">
        <f>IFERROR(IF(ventas_b_mes1255[[#This Row],[CUIT]]="","-",VLOOKUP(ventas_b_mes1255[[#This Row],[CUIT]],Lista_CUIT[#All],2,0)),"CUIT NO CARGADO")</f>
        <v>-</v>
      </c>
      <c r="H2169" s="100">
        <f>ventas_b_mes1255[[#This Row],[TOTAL]]/1.21</f>
        <v>0</v>
      </c>
      <c r="I2169" s="64">
        <f>ventas_b_mes1255[[#This Row],[IMPORTE NETO]]*0.21</f>
        <v>0</v>
      </c>
      <c r="J2169" s="141"/>
      <c r="K2169" s="141"/>
      <c r="L2169" s="141"/>
      <c r="M2169" s="59"/>
    </row>
    <row r="2170" spans="2:13">
      <c r="B2170" s="135"/>
      <c r="C2170" s="41"/>
      <c r="D2170" s="137"/>
      <c r="E2170" s="138"/>
      <c r="F2170" s="139"/>
      <c r="G2170" s="1" t="str">
        <f>IFERROR(IF(ventas_b_mes1255[[#This Row],[CUIT]]="","-",VLOOKUP(ventas_b_mes1255[[#This Row],[CUIT]],Lista_CUIT[#All],2,0)),"CUIT NO CARGADO")</f>
        <v>-</v>
      </c>
      <c r="H2170" s="100">
        <f>ventas_b_mes1255[[#This Row],[TOTAL]]/1.21</f>
        <v>0</v>
      </c>
      <c r="I2170" s="64">
        <f>ventas_b_mes1255[[#This Row],[IMPORTE NETO]]*0.21</f>
        <v>0</v>
      </c>
      <c r="J2170" s="141"/>
      <c r="K2170" s="141"/>
      <c r="L2170" s="141"/>
      <c r="M2170" s="59"/>
    </row>
    <row r="2171" spans="2:13">
      <c r="B2171" s="135"/>
      <c r="C2171" s="41"/>
      <c r="D2171" s="137"/>
      <c r="E2171" s="138"/>
      <c r="F2171" s="139"/>
      <c r="G2171" s="1" t="str">
        <f>IFERROR(IF(ventas_b_mes1255[[#This Row],[CUIT]]="","-",VLOOKUP(ventas_b_mes1255[[#This Row],[CUIT]],Lista_CUIT[#All],2,0)),"CUIT NO CARGADO")</f>
        <v>-</v>
      </c>
      <c r="H2171" s="100">
        <f>ventas_b_mes1255[[#This Row],[TOTAL]]/1.21</f>
        <v>0</v>
      </c>
      <c r="I2171" s="64">
        <f>ventas_b_mes1255[[#This Row],[IMPORTE NETO]]*0.21</f>
        <v>0</v>
      </c>
      <c r="J2171" s="141"/>
      <c r="K2171" s="141"/>
      <c r="L2171" s="141"/>
      <c r="M2171" s="59"/>
    </row>
    <row r="2172" spans="2:13">
      <c r="B2172" s="135"/>
      <c r="C2172" s="41"/>
      <c r="D2172" s="137"/>
      <c r="E2172" s="138"/>
      <c r="F2172" s="139"/>
      <c r="G2172" s="1" t="str">
        <f>IFERROR(IF(ventas_b_mes1255[[#This Row],[CUIT]]="","-",VLOOKUP(ventas_b_mes1255[[#This Row],[CUIT]],Lista_CUIT[#All],2,0)),"CUIT NO CARGADO")</f>
        <v>-</v>
      </c>
      <c r="H2172" s="100">
        <f>ventas_b_mes1255[[#This Row],[TOTAL]]/1.21</f>
        <v>0</v>
      </c>
      <c r="I2172" s="64">
        <f>ventas_b_mes1255[[#This Row],[IMPORTE NETO]]*0.21</f>
        <v>0</v>
      </c>
      <c r="J2172" s="141"/>
      <c r="K2172" s="141"/>
      <c r="L2172" s="141"/>
      <c r="M2172" s="59"/>
    </row>
    <row r="2173" spans="2:13">
      <c r="B2173" s="135"/>
      <c r="C2173" s="41"/>
      <c r="D2173" s="137"/>
      <c r="E2173" s="138"/>
      <c r="F2173" s="139"/>
      <c r="G2173" s="1" t="str">
        <f>IFERROR(IF(ventas_b_mes1255[[#This Row],[CUIT]]="","-",VLOOKUP(ventas_b_mes1255[[#This Row],[CUIT]],Lista_CUIT[#All],2,0)),"CUIT NO CARGADO")</f>
        <v>-</v>
      </c>
      <c r="H2173" s="100">
        <f>ventas_b_mes1255[[#This Row],[TOTAL]]/1.21</f>
        <v>0</v>
      </c>
      <c r="I2173" s="64">
        <f>ventas_b_mes1255[[#This Row],[IMPORTE NETO]]*0.21</f>
        <v>0</v>
      </c>
      <c r="J2173" s="141"/>
      <c r="K2173" s="141"/>
      <c r="L2173" s="141"/>
      <c r="M2173" s="59"/>
    </row>
    <row r="2174" spans="2:13">
      <c r="B2174" s="135"/>
      <c r="C2174" s="41"/>
      <c r="D2174" s="137"/>
      <c r="E2174" s="138"/>
      <c r="F2174" s="139"/>
      <c r="G2174" s="1" t="str">
        <f>IFERROR(IF(ventas_b_mes1255[[#This Row],[CUIT]]="","-",VLOOKUP(ventas_b_mes1255[[#This Row],[CUIT]],Lista_CUIT[#All],2,0)),"CUIT NO CARGADO")</f>
        <v>-</v>
      </c>
      <c r="H2174" s="100">
        <f>ventas_b_mes1255[[#This Row],[TOTAL]]/1.21</f>
        <v>0</v>
      </c>
      <c r="I2174" s="64">
        <f>ventas_b_mes1255[[#This Row],[IMPORTE NETO]]*0.21</f>
        <v>0</v>
      </c>
      <c r="J2174" s="141"/>
      <c r="K2174" s="141"/>
      <c r="L2174" s="141"/>
      <c r="M2174" s="59"/>
    </row>
    <row r="2175" spans="2:13">
      <c r="B2175" s="135"/>
      <c r="C2175" s="41"/>
      <c r="D2175" s="137"/>
      <c r="E2175" s="138"/>
      <c r="F2175" s="139"/>
      <c r="G2175" s="1" t="str">
        <f>IFERROR(IF(ventas_b_mes1255[[#This Row],[CUIT]]="","-",VLOOKUP(ventas_b_mes1255[[#This Row],[CUIT]],Lista_CUIT[#All],2,0)),"CUIT NO CARGADO")</f>
        <v>-</v>
      </c>
      <c r="H2175" s="100">
        <f>ventas_b_mes1255[[#This Row],[TOTAL]]/1.21</f>
        <v>0</v>
      </c>
      <c r="I2175" s="64">
        <f>ventas_b_mes1255[[#This Row],[IMPORTE NETO]]*0.21</f>
        <v>0</v>
      </c>
      <c r="J2175" s="141"/>
      <c r="K2175" s="141"/>
      <c r="L2175" s="141"/>
      <c r="M2175" s="59"/>
    </row>
    <row r="2176" spans="2:13">
      <c r="B2176" s="135"/>
      <c r="C2176" s="41"/>
      <c r="D2176" s="137"/>
      <c r="E2176" s="138"/>
      <c r="F2176" s="139"/>
      <c r="G2176" s="1" t="str">
        <f>IFERROR(IF(ventas_b_mes1255[[#This Row],[CUIT]]="","-",VLOOKUP(ventas_b_mes1255[[#This Row],[CUIT]],Lista_CUIT[#All],2,0)),"CUIT NO CARGADO")</f>
        <v>-</v>
      </c>
      <c r="H2176" s="100">
        <f>ventas_b_mes1255[[#This Row],[TOTAL]]/1.21</f>
        <v>0</v>
      </c>
      <c r="I2176" s="64">
        <f>ventas_b_mes1255[[#This Row],[IMPORTE NETO]]*0.21</f>
        <v>0</v>
      </c>
      <c r="J2176" s="141"/>
      <c r="K2176" s="141"/>
      <c r="L2176" s="141"/>
      <c r="M2176" s="59"/>
    </row>
    <row r="2177" spans="2:13">
      <c r="B2177" s="135"/>
      <c r="C2177" s="41"/>
      <c r="D2177" s="137"/>
      <c r="E2177" s="138"/>
      <c r="F2177" s="139"/>
      <c r="G2177" s="1" t="str">
        <f>IFERROR(IF(ventas_b_mes1255[[#This Row],[CUIT]]="","-",VLOOKUP(ventas_b_mes1255[[#This Row],[CUIT]],Lista_CUIT[#All],2,0)),"CUIT NO CARGADO")</f>
        <v>-</v>
      </c>
      <c r="H2177" s="100">
        <f>ventas_b_mes1255[[#This Row],[TOTAL]]/1.21</f>
        <v>0</v>
      </c>
      <c r="I2177" s="64">
        <f>ventas_b_mes1255[[#This Row],[IMPORTE NETO]]*0.21</f>
        <v>0</v>
      </c>
      <c r="J2177" s="141"/>
      <c r="K2177" s="141"/>
      <c r="L2177" s="141"/>
      <c r="M2177" s="59"/>
    </row>
    <row r="2178" spans="2:13">
      <c r="B2178" s="135"/>
      <c r="C2178" s="41"/>
      <c r="D2178" s="137"/>
      <c r="E2178" s="138"/>
      <c r="F2178" s="139"/>
      <c r="G2178" s="1" t="str">
        <f>IFERROR(IF(ventas_b_mes1255[[#This Row],[CUIT]]="","-",VLOOKUP(ventas_b_mes1255[[#This Row],[CUIT]],Lista_CUIT[#All],2,0)),"CUIT NO CARGADO")</f>
        <v>-</v>
      </c>
      <c r="H2178" s="100">
        <f>ventas_b_mes1255[[#This Row],[TOTAL]]/1.21</f>
        <v>0</v>
      </c>
      <c r="I2178" s="64">
        <f>ventas_b_mes1255[[#This Row],[IMPORTE NETO]]*0.21</f>
        <v>0</v>
      </c>
      <c r="J2178" s="141"/>
      <c r="K2178" s="141"/>
      <c r="L2178" s="141"/>
      <c r="M2178" s="59"/>
    </row>
    <row r="2179" spans="2:13">
      <c r="B2179" s="135"/>
      <c r="C2179" s="41"/>
      <c r="D2179" s="137"/>
      <c r="E2179" s="138"/>
      <c r="F2179" s="139"/>
      <c r="G2179" s="1" t="str">
        <f>IFERROR(IF(ventas_b_mes1255[[#This Row],[CUIT]]="","-",VLOOKUP(ventas_b_mes1255[[#This Row],[CUIT]],Lista_CUIT[#All],2,0)),"CUIT NO CARGADO")</f>
        <v>-</v>
      </c>
      <c r="H2179" s="100">
        <f>ventas_b_mes1255[[#This Row],[TOTAL]]/1.21</f>
        <v>0</v>
      </c>
      <c r="I2179" s="64">
        <f>ventas_b_mes1255[[#This Row],[IMPORTE NETO]]*0.21</f>
        <v>0</v>
      </c>
      <c r="J2179" s="141"/>
      <c r="K2179" s="141"/>
      <c r="L2179" s="141"/>
      <c r="M2179" s="59"/>
    </row>
    <row r="2180" spans="2:13">
      <c r="B2180" s="135"/>
      <c r="C2180" s="41"/>
      <c r="D2180" s="137"/>
      <c r="E2180" s="138"/>
      <c r="F2180" s="139"/>
      <c r="G2180" s="1" t="str">
        <f>IFERROR(IF(ventas_b_mes1255[[#This Row],[CUIT]]="","-",VLOOKUP(ventas_b_mes1255[[#This Row],[CUIT]],Lista_CUIT[#All],2,0)),"CUIT NO CARGADO")</f>
        <v>-</v>
      </c>
      <c r="H2180" s="100">
        <f>ventas_b_mes1255[[#This Row],[TOTAL]]/1.21</f>
        <v>0</v>
      </c>
      <c r="I2180" s="64">
        <f>ventas_b_mes1255[[#This Row],[IMPORTE NETO]]*0.21</f>
        <v>0</v>
      </c>
      <c r="J2180" s="141"/>
      <c r="K2180" s="141"/>
      <c r="L2180" s="141"/>
      <c r="M2180" s="59"/>
    </row>
    <row r="2181" spans="2:13">
      <c r="B2181" s="135"/>
      <c r="C2181" s="41"/>
      <c r="D2181" s="137"/>
      <c r="E2181" s="138"/>
      <c r="F2181" s="139"/>
      <c r="G2181" s="1" t="str">
        <f>IFERROR(IF(ventas_b_mes1255[[#This Row],[CUIT]]="","-",VLOOKUP(ventas_b_mes1255[[#This Row],[CUIT]],Lista_CUIT[#All],2,0)),"CUIT NO CARGADO")</f>
        <v>-</v>
      </c>
      <c r="H2181" s="100">
        <f>ventas_b_mes1255[[#This Row],[TOTAL]]/1.21</f>
        <v>0</v>
      </c>
      <c r="I2181" s="64">
        <f>ventas_b_mes1255[[#This Row],[IMPORTE NETO]]*0.21</f>
        <v>0</v>
      </c>
      <c r="J2181" s="141"/>
      <c r="K2181" s="141"/>
      <c r="L2181" s="141"/>
      <c r="M2181" s="59"/>
    </row>
    <row r="2182" spans="2:13">
      <c r="B2182" s="135"/>
      <c r="C2182" s="41"/>
      <c r="D2182" s="137"/>
      <c r="E2182" s="138"/>
      <c r="F2182" s="139"/>
      <c r="G2182" s="1" t="str">
        <f>IFERROR(IF(ventas_b_mes1255[[#This Row],[CUIT]]="","-",VLOOKUP(ventas_b_mes1255[[#This Row],[CUIT]],Lista_CUIT[#All],2,0)),"CUIT NO CARGADO")</f>
        <v>-</v>
      </c>
      <c r="H2182" s="100">
        <f>ventas_b_mes1255[[#This Row],[TOTAL]]/1.21</f>
        <v>0</v>
      </c>
      <c r="I2182" s="64">
        <f>ventas_b_mes1255[[#This Row],[IMPORTE NETO]]*0.21</f>
        <v>0</v>
      </c>
      <c r="J2182" s="141"/>
      <c r="K2182" s="141"/>
      <c r="L2182" s="141"/>
      <c r="M2182" s="59"/>
    </row>
    <row r="2183" spans="2:13">
      <c r="B2183" s="135"/>
      <c r="C2183" s="41"/>
      <c r="D2183" s="137"/>
      <c r="E2183" s="138"/>
      <c r="F2183" s="139"/>
      <c r="G2183" s="1" t="str">
        <f>IFERROR(IF(ventas_b_mes1255[[#This Row],[CUIT]]="","-",VLOOKUP(ventas_b_mes1255[[#This Row],[CUIT]],Lista_CUIT[#All],2,0)),"CUIT NO CARGADO")</f>
        <v>-</v>
      </c>
      <c r="H2183" s="100">
        <f>ventas_b_mes1255[[#This Row],[TOTAL]]/1.21</f>
        <v>0</v>
      </c>
      <c r="I2183" s="64">
        <f>ventas_b_mes1255[[#This Row],[IMPORTE NETO]]*0.21</f>
        <v>0</v>
      </c>
      <c r="J2183" s="141"/>
      <c r="K2183" s="141"/>
      <c r="L2183" s="141"/>
      <c r="M2183" s="59"/>
    </row>
    <row r="2184" spans="2:13">
      <c r="B2184" s="135"/>
      <c r="C2184" s="41"/>
      <c r="D2184" s="137"/>
      <c r="E2184" s="138"/>
      <c r="F2184" s="139"/>
      <c r="G2184" s="1" t="str">
        <f>IFERROR(IF(ventas_b_mes1255[[#This Row],[CUIT]]="","-",VLOOKUP(ventas_b_mes1255[[#This Row],[CUIT]],Lista_CUIT[#All],2,0)),"CUIT NO CARGADO")</f>
        <v>-</v>
      </c>
      <c r="H2184" s="100">
        <f>ventas_b_mes1255[[#This Row],[TOTAL]]/1.21</f>
        <v>0</v>
      </c>
      <c r="I2184" s="64">
        <f>ventas_b_mes1255[[#This Row],[IMPORTE NETO]]*0.21</f>
        <v>0</v>
      </c>
      <c r="J2184" s="141"/>
      <c r="K2184" s="141"/>
      <c r="L2184" s="141"/>
      <c r="M2184" s="59"/>
    </row>
    <row r="2185" spans="2:13">
      <c r="B2185" s="135"/>
      <c r="C2185" s="41"/>
      <c r="D2185" s="137"/>
      <c r="E2185" s="138"/>
      <c r="F2185" s="139"/>
      <c r="G2185" s="1" t="str">
        <f>IFERROR(IF(ventas_b_mes1255[[#This Row],[CUIT]]="","-",VLOOKUP(ventas_b_mes1255[[#This Row],[CUIT]],Lista_CUIT[#All],2,0)),"CUIT NO CARGADO")</f>
        <v>-</v>
      </c>
      <c r="H2185" s="100">
        <f>ventas_b_mes1255[[#This Row],[TOTAL]]/1.21</f>
        <v>0</v>
      </c>
      <c r="I2185" s="64">
        <f>ventas_b_mes1255[[#This Row],[IMPORTE NETO]]*0.21</f>
        <v>0</v>
      </c>
      <c r="J2185" s="141"/>
      <c r="K2185" s="141"/>
      <c r="L2185" s="141"/>
      <c r="M2185" s="59"/>
    </row>
    <row r="2186" spans="2:13">
      <c r="B2186" s="135"/>
      <c r="C2186" s="41"/>
      <c r="D2186" s="137"/>
      <c r="E2186" s="138"/>
      <c r="F2186" s="139"/>
      <c r="G2186" s="1" t="str">
        <f>IFERROR(IF(ventas_b_mes1255[[#This Row],[CUIT]]="","-",VLOOKUP(ventas_b_mes1255[[#This Row],[CUIT]],Lista_CUIT[#All],2,0)),"CUIT NO CARGADO")</f>
        <v>-</v>
      </c>
      <c r="H2186" s="100">
        <f>ventas_b_mes1255[[#This Row],[TOTAL]]/1.21</f>
        <v>0</v>
      </c>
      <c r="I2186" s="64">
        <f>ventas_b_mes1255[[#This Row],[IMPORTE NETO]]*0.21</f>
        <v>0</v>
      </c>
      <c r="J2186" s="141"/>
      <c r="K2186" s="141"/>
      <c r="L2186" s="141"/>
      <c r="M2186" s="59"/>
    </row>
    <row r="2187" spans="2:13">
      <c r="B2187" s="135"/>
      <c r="C2187" s="41"/>
      <c r="D2187" s="137"/>
      <c r="E2187" s="138"/>
      <c r="F2187" s="139"/>
      <c r="G2187" s="1" t="str">
        <f>IFERROR(IF(ventas_b_mes1255[[#This Row],[CUIT]]="","-",VLOOKUP(ventas_b_mes1255[[#This Row],[CUIT]],Lista_CUIT[#All],2,0)),"CUIT NO CARGADO")</f>
        <v>-</v>
      </c>
      <c r="H2187" s="100">
        <f>ventas_b_mes1255[[#This Row],[TOTAL]]/1.21</f>
        <v>0</v>
      </c>
      <c r="I2187" s="64">
        <f>ventas_b_mes1255[[#This Row],[IMPORTE NETO]]*0.21</f>
        <v>0</v>
      </c>
      <c r="J2187" s="141"/>
      <c r="K2187" s="141"/>
      <c r="L2187" s="141"/>
      <c r="M2187" s="59"/>
    </row>
    <row r="2188" spans="2:13">
      <c r="B2188" s="135"/>
      <c r="C2188" s="41"/>
      <c r="D2188" s="137"/>
      <c r="E2188" s="138"/>
      <c r="F2188" s="139"/>
      <c r="G2188" s="1" t="str">
        <f>IFERROR(IF(ventas_b_mes1255[[#This Row],[CUIT]]="","-",VLOOKUP(ventas_b_mes1255[[#This Row],[CUIT]],Lista_CUIT[#All],2,0)),"CUIT NO CARGADO")</f>
        <v>-</v>
      </c>
      <c r="H2188" s="100">
        <f>ventas_b_mes1255[[#This Row],[TOTAL]]/1.21</f>
        <v>0</v>
      </c>
      <c r="I2188" s="64">
        <f>ventas_b_mes1255[[#This Row],[IMPORTE NETO]]*0.21</f>
        <v>0</v>
      </c>
      <c r="J2188" s="141"/>
      <c r="K2188" s="141"/>
      <c r="L2188" s="141"/>
      <c r="M2188" s="59"/>
    </row>
    <row r="2189" spans="2:13">
      <c r="B2189" s="135"/>
      <c r="C2189" s="41"/>
      <c r="D2189" s="137"/>
      <c r="E2189" s="138"/>
      <c r="F2189" s="139"/>
      <c r="G2189" s="1" t="str">
        <f>IFERROR(IF(ventas_b_mes1255[[#This Row],[CUIT]]="","-",VLOOKUP(ventas_b_mes1255[[#This Row],[CUIT]],Lista_CUIT[#All],2,0)),"CUIT NO CARGADO")</f>
        <v>-</v>
      </c>
      <c r="H2189" s="100">
        <f>ventas_b_mes1255[[#This Row],[TOTAL]]/1.21</f>
        <v>0</v>
      </c>
      <c r="I2189" s="64">
        <f>ventas_b_mes1255[[#This Row],[IMPORTE NETO]]*0.21</f>
        <v>0</v>
      </c>
      <c r="J2189" s="141"/>
      <c r="K2189" s="141"/>
      <c r="L2189" s="141"/>
      <c r="M2189" s="59"/>
    </row>
    <row r="2190" spans="2:13">
      <c r="B2190" s="135"/>
      <c r="C2190" s="41"/>
      <c r="D2190" s="137"/>
      <c r="E2190" s="138"/>
      <c r="F2190" s="139"/>
      <c r="G2190" s="1" t="str">
        <f>IFERROR(IF(ventas_b_mes1255[[#This Row],[CUIT]]="","-",VLOOKUP(ventas_b_mes1255[[#This Row],[CUIT]],Lista_CUIT[#All],2,0)),"CUIT NO CARGADO")</f>
        <v>-</v>
      </c>
      <c r="H2190" s="100">
        <f>ventas_b_mes1255[[#This Row],[TOTAL]]/1.21</f>
        <v>0</v>
      </c>
      <c r="I2190" s="64">
        <f>ventas_b_mes1255[[#This Row],[IMPORTE NETO]]*0.21</f>
        <v>0</v>
      </c>
      <c r="J2190" s="141"/>
      <c r="K2190" s="141"/>
      <c r="L2190" s="141"/>
      <c r="M2190" s="59"/>
    </row>
    <row r="2191" spans="2:13">
      <c r="B2191" s="135"/>
      <c r="C2191" s="41"/>
      <c r="D2191" s="137"/>
      <c r="E2191" s="138"/>
      <c r="F2191" s="139"/>
      <c r="G2191" s="1" t="str">
        <f>IFERROR(IF(ventas_b_mes1255[[#This Row],[CUIT]]="","-",VLOOKUP(ventas_b_mes1255[[#This Row],[CUIT]],Lista_CUIT[#All],2,0)),"CUIT NO CARGADO")</f>
        <v>-</v>
      </c>
      <c r="H2191" s="100">
        <f>ventas_b_mes1255[[#This Row],[TOTAL]]/1.21</f>
        <v>0</v>
      </c>
      <c r="I2191" s="64">
        <f>ventas_b_mes1255[[#This Row],[IMPORTE NETO]]*0.21</f>
        <v>0</v>
      </c>
      <c r="J2191" s="141"/>
      <c r="K2191" s="141"/>
      <c r="L2191" s="141"/>
      <c r="M2191" s="59"/>
    </row>
    <row r="2192" spans="2:13">
      <c r="B2192" s="135"/>
      <c r="C2192" s="41"/>
      <c r="D2192" s="137"/>
      <c r="E2192" s="138"/>
      <c r="F2192" s="139"/>
      <c r="G2192" s="1" t="str">
        <f>IFERROR(IF(ventas_b_mes1255[[#This Row],[CUIT]]="","-",VLOOKUP(ventas_b_mes1255[[#This Row],[CUIT]],Lista_CUIT[#All],2,0)),"CUIT NO CARGADO")</f>
        <v>-</v>
      </c>
      <c r="H2192" s="100">
        <f>ventas_b_mes1255[[#This Row],[TOTAL]]/1.21</f>
        <v>0</v>
      </c>
      <c r="I2192" s="64">
        <f>ventas_b_mes1255[[#This Row],[IMPORTE NETO]]*0.21</f>
        <v>0</v>
      </c>
      <c r="J2192" s="141"/>
      <c r="K2192" s="141"/>
      <c r="L2192" s="141"/>
      <c r="M2192" s="59"/>
    </row>
    <row r="2193" spans="2:13">
      <c r="B2193" s="135"/>
      <c r="C2193" s="41"/>
      <c r="D2193" s="137"/>
      <c r="E2193" s="138"/>
      <c r="F2193" s="139"/>
      <c r="G2193" s="1" t="str">
        <f>IFERROR(IF(ventas_b_mes1255[[#This Row],[CUIT]]="","-",VLOOKUP(ventas_b_mes1255[[#This Row],[CUIT]],Lista_CUIT[#All],2,0)),"CUIT NO CARGADO")</f>
        <v>-</v>
      </c>
      <c r="H2193" s="100">
        <f>ventas_b_mes1255[[#This Row],[TOTAL]]/1.21</f>
        <v>0</v>
      </c>
      <c r="I2193" s="64">
        <f>ventas_b_mes1255[[#This Row],[IMPORTE NETO]]*0.21</f>
        <v>0</v>
      </c>
      <c r="J2193" s="141"/>
      <c r="K2193" s="141"/>
      <c r="L2193" s="141"/>
      <c r="M2193" s="59"/>
    </row>
    <row r="2194" spans="2:13">
      <c r="B2194" s="135"/>
      <c r="C2194" s="41"/>
      <c r="D2194" s="137"/>
      <c r="E2194" s="138"/>
      <c r="F2194" s="139"/>
      <c r="G2194" s="1" t="str">
        <f>IFERROR(IF(ventas_b_mes1255[[#This Row],[CUIT]]="","-",VLOOKUP(ventas_b_mes1255[[#This Row],[CUIT]],Lista_CUIT[#All],2,0)),"CUIT NO CARGADO")</f>
        <v>-</v>
      </c>
      <c r="H2194" s="100">
        <f>ventas_b_mes1255[[#This Row],[TOTAL]]/1.21</f>
        <v>0</v>
      </c>
      <c r="I2194" s="64">
        <f>ventas_b_mes1255[[#This Row],[IMPORTE NETO]]*0.21</f>
        <v>0</v>
      </c>
      <c r="J2194" s="141"/>
      <c r="K2194" s="141"/>
      <c r="L2194" s="141"/>
      <c r="M2194" s="59"/>
    </row>
    <row r="2195" spans="2:13">
      <c r="B2195" s="135"/>
      <c r="C2195" s="41"/>
      <c r="D2195" s="137"/>
      <c r="E2195" s="138"/>
      <c r="F2195" s="139"/>
      <c r="G2195" s="1" t="str">
        <f>IFERROR(IF(ventas_b_mes1255[[#This Row],[CUIT]]="","-",VLOOKUP(ventas_b_mes1255[[#This Row],[CUIT]],Lista_CUIT[#All],2,0)),"CUIT NO CARGADO")</f>
        <v>-</v>
      </c>
      <c r="H2195" s="100">
        <f>ventas_b_mes1255[[#This Row],[TOTAL]]/1.21</f>
        <v>0</v>
      </c>
      <c r="I2195" s="64">
        <f>ventas_b_mes1255[[#This Row],[IMPORTE NETO]]*0.21</f>
        <v>0</v>
      </c>
      <c r="J2195" s="141"/>
      <c r="K2195" s="141"/>
      <c r="L2195" s="141"/>
      <c r="M2195" s="59"/>
    </row>
    <row r="2196" spans="2:13">
      <c r="B2196" s="135"/>
      <c r="C2196" s="41"/>
      <c r="D2196" s="137"/>
      <c r="E2196" s="138"/>
      <c r="F2196" s="139"/>
      <c r="G2196" s="1" t="str">
        <f>IFERROR(IF(ventas_b_mes1255[[#This Row],[CUIT]]="","-",VLOOKUP(ventas_b_mes1255[[#This Row],[CUIT]],Lista_CUIT[#All],2,0)),"CUIT NO CARGADO")</f>
        <v>-</v>
      </c>
      <c r="H2196" s="100">
        <f>ventas_b_mes1255[[#This Row],[TOTAL]]/1.21</f>
        <v>0</v>
      </c>
      <c r="I2196" s="64">
        <f>ventas_b_mes1255[[#This Row],[IMPORTE NETO]]*0.21</f>
        <v>0</v>
      </c>
      <c r="J2196" s="141"/>
      <c r="K2196" s="141"/>
      <c r="L2196" s="141"/>
      <c r="M2196" s="59"/>
    </row>
    <row r="2197" spans="2:13">
      <c r="B2197" s="135"/>
      <c r="C2197" s="41"/>
      <c r="D2197" s="137"/>
      <c r="E2197" s="138"/>
      <c r="F2197" s="139"/>
      <c r="G2197" s="1" t="str">
        <f>IFERROR(IF(ventas_b_mes1255[[#This Row],[CUIT]]="","-",VLOOKUP(ventas_b_mes1255[[#This Row],[CUIT]],Lista_CUIT[#All],2,0)),"CUIT NO CARGADO")</f>
        <v>-</v>
      </c>
      <c r="H2197" s="100">
        <f>ventas_b_mes1255[[#This Row],[TOTAL]]/1.21</f>
        <v>0</v>
      </c>
      <c r="I2197" s="64">
        <f>ventas_b_mes1255[[#This Row],[IMPORTE NETO]]*0.21</f>
        <v>0</v>
      </c>
      <c r="J2197" s="141"/>
      <c r="K2197" s="141"/>
      <c r="L2197" s="141"/>
      <c r="M2197" s="59"/>
    </row>
    <row r="2198" spans="2:13">
      <c r="B2198" s="135"/>
      <c r="C2198" s="41"/>
      <c r="D2198" s="137"/>
      <c r="E2198" s="138"/>
      <c r="F2198" s="139"/>
      <c r="G2198" s="1" t="str">
        <f>IFERROR(IF(ventas_b_mes1255[[#This Row],[CUIT]]="","-",VLOOKUP(ventas_b_mes1255[[#This Row],[CUIT]],Lista_CUIT[#All],2,0)),"CUIT NO CARGADO")</f>
        <v>-</v>
      </c>
      <c r="H2198" s="100">
        <f>ventas_b_mes1255[[#This Row],[TOTAL]]/1.21</f>
        <v>0</v>
      </c>
      <c r="I2198" s="64">
        <f>ventas_b_mes1255[[#This Row],[IMPORTE NETO]]*0.21</f>
        <v>0</v>
      </c>
      <c r="J2198" s="141"/>
      <c r="K2198" s="141"/>
      <c r="L2198" s="141"/>
      <c r="M2198" s="59"/>
    </row>
    <row r="2199" spans="2:13">
      <c r="B2199" s="135"/>
      <c r="C2199" s="41"/>
      <c r="D2199" s="137"/>
      <c r="E2199" s="138"/>
      <c r="F2199" s="139"/>
      <c r="G2199" s="1" t="str">
        <f>IFERROR(IF(ventas_b_mes1255[[#This Row],[CUIT]]="","-",VLOOKUP(ventas_b_mes1255[[#This Row],[CUIT]],Lista_CUIT[#All],2,0)),"CUIT NO CARGADO")</f>
        <v>-</v>
      </c>
      <c r="H2199" s="100">
        <f>ventas_b_mes1255[[#This Row],[TOTAL]]/1.21</f>
        <v>0</v>
      </c>
      <c r="I2199" s="64">
        <f>ventas_b_mes1255[[#This Row],[IMPORTE NETO]]*0.21</f>
        <v>0</v>
      </c>
      <c r="J2199" s="141"/>
      <c r="K2199" s="141"/>
      <c r="L2199" s="141"/>
      <c r="M2199" s="59"/>
    </row>
    <row r="2200" spans="2:13">
      <c r="B2200" s="135"/>
      <c r="C2200" s="41"/>
      <c r="D2200" s="137"/>
      <c r="E2200" s="138"/>
      <c r="F2200" s="139"/>
      <c r="G2200" s="1" t="str">
        <f>IFERROR(IF(ventas_b_mes1255[[#This Row],[CUIT]]="","-",VLOOKUP(ventas_b_mes1255[[#This Row],[CUIT]],Lista_CUIT[#All],2,0)),"CUIT NO CARGADO")</f>
        <v>-</v>
      </c>
      <c r="H2200" s="100">
        <f>ventas_b_mes1255[[#This Row],[TOTAL]]/1.21</f>
        <v>0</v>
      </c>
      <c r="I2200" s="64">
        <f>ventas_b_mes1255[[#This Row],[IMPORTE NETO]]*0.21</f>
        <v>0</v>
      </c>
      <c r="J2200" s="141"/>
      <c r="K2200" s="141"/>
      <c r="L2200" s="141"/>
      <c r="M2200" s="59"/>
    </row>
    <row r="2201" spans="2:13">
      <c r="B2201" s="135"/>
      <c r="C2201" s="41"/>
      <c r="D2201" s="137"/>
      <c r="E2201" s="138"/>
      <c r="F2201" s="139"/>
      <c r="G2201" s="1" t="str">
        <f>IFERROR(IF(ventas_b_mes1255[[#This Row],[CUIT]]="","-",VLOOKUP(ventas_b_mes1255[[#This Row],[CUIT]],Lista_CUIT[#All],2,0)),"CUIT NO CARGADO")</f>
        <v>-</v>
      </c>
      <c r="H2201" s="100">
        <f>ventas_b_mes1255[[#This Row],[TOTAL]]/1.21</f>
        <v>0</v>
      </c>
      <c r="I2201" s="64">
        <f>ventas_b_mes1255[[#This Row],[IMPORTE NETO]]*0.21</f>
        <v>0</v>
      </c>
      <c r="J2201" s="141"/>
      <c r="K2201" s="141"/>
      <c r="L2201" s="141"/>
      <c r="M2201" s="59"/>
    </row>
    <row r="2202" spans="2:13">
      <c r="B2202" s="135"/>
      <c r="C2202" s="41"/>
      <c r="D2202" s="137"/>
      <c r="E2202" s="138"/>
      <c r="F2202" s="139"/>
      <c r="G2202" s="1" t="str">
        <f>IFERROR(IF(ventas_b_mes1255[[#This Row],[CUIT]]="","-",VLOOKUP(ventas_b_mes1255[[#This Row],[CUIT]],Lista_CUIT[#All],2,0)),"CUIT NO CARGADO")</f>
        <v>-</v>
      </c>
      <c r="H2202" s="100">
        <f>ventas_b_mes1255[[#This Row],[TOTAL]]/1.21</f>
        <v>0</v>
      </c>
      <c r="I2202" s="64">
        <f>ventas_b_mes1255[[#This Row],[IMPORTE NETO]]*0.21</f>
        <v>0</v>
      </c>
      <c r="J2202" s="141"/>
      <c r="K2202" s="141"/>
      <c r="L2202" s="141"/>
      <c r="M2202" s="59"/>
    </row>
    <row r="2203" spans="2:13">
      <c r="B2203" s="135"/>
      <c r="C2203" s="41"/>
      <c r="D2203" s="137"/>
      <c r="E2203" s="138"/>
      <c r="F2203" s="139"/>
      <c r="G2203" s="1" t="str">
        <f>IFERROR(IF(ventas_b_mes1255[[#This Row],[CUIT]]="","-",VLOOKUP(ventas_b_mes1255[[#This Row],[CUIT]],Lista_CUIT[#All],2,0)),"CUIT NO CARGADO")</f>
        <v>-</v>
      </c>
      <c r="H2203" s="100">
        <f>ventas_b_mes1255[[#This Row],[TOTAL]]/1.21</f>
        <v>0</v>
      </c>
      <c r="I2203" s="64">
        <f>ventas_b_mes1255[[#This Row],[IMPORTE NETO]]*0.21</f>
        <v>0</v>
      </c>
      <c r="J2203" s="141"/>
      <c r="K2203" s="141"/>
      <c r="L2203" s="141"/>
      <c r="M2203" s="59"/>
    </row>
    <row r="2204" spans="2:13">
      <c r="B2204" s="135"/>
      <c r="C2204" s="41"/>
      <c r="D2204" s="137"/>
      <c r="E2204" s="138"/>
      <c r="F2204" s="139"/>
      <c r="G2204" s="1" t="str">
        <f>IFERROR(IF(ventas_b_mes1255[[#This Row],[CUIT]]="","-",VLOOKUP(ventas_b_mes1255[[#This Row],[CUIT]],Lista_CUIT[#All],2,0)),"CUIT NO CARGADO")</f>
        <v>-</v>
      </c>
      <c r="H2204" s="100">
        <f>ventas_b_mes1255[[#This Row],[TOTAL]]/1.21</f>
        <v>0</v>
      </c>
      <c r="I2204" s="64">
        <f>ventas_b_mes1255[[#This Row],[IMPORTE NETO]]*0.21</f>
        <v>0</v>
      </c>
      <c r="J2204" s="141"/>
      <c r="K2204" s="141"/>
      <c r="L2204" s="141"/>
      <c r="M2204" s="59"/>
    </row>
    <row r="2205" spans="2:13">
      <c r="B2205" s="135"/>
      <c r="C2205" s="41"/>
      <c r="D2205" s="137"/>
      <c r="E2205" s="138"/>
      <c r="F2205" s="139"/>
      <c r="G2205" s="1" t="str">
        <f>IFERROR(IF(ventas_b_mes1255[[#This Row],[CUIT]]="","-",VLOOKUP(ventas_b_mes1255[[#This Row],[CUIT]],Lista_CUIT[#All],2,0)),"CUIT NO CARGADO")</f>
        <v>-</v>
      </c>
      <c r="H2205" s="100">
        <f>ventas_b_mes1255[[#This Row],[TOTAL]]/1.21</f>
        <v>0</v>
      </c>
      <c r="I2205" s="64">
        <f>ventas_b_mes1255[[#This Row],[IMPORTE NETO]]*0.21</f>
        <v>0</v>
      </c>
      <c r="J2205" s="141"/>
      <c r="K2205" s="141"/>
      <c r="L2205" s="141"/>
      <c r="M2205" s="59"/>
    </row>
    <row r="2206" spans="2:13">
      <c r="B2206" s="135"/>
      <c r="C2206" s="41"/>
      <c r="D2206" s="137"/>
      <c r="E2206" s="138"/>
      <c r="F2206" s="139"/>
      <c r="G2206" s="1" t="str">
        <f>IFERROR(IF(ventas_b_mes1255[[#This Row],[CUIT]]="","-",VLOOKUP(ventas_b_mes1255[[#This Row],[CUIT]],Lista_CUIT[#All],2,0)),"CUIT NO CARGADO")</f>
        <v>-</v>
      </c>
      <c r="H2206" s="100">
        <f>ventas_b_mes1255[[#This Row],[TOTAL]]/1.21</f>
        <v>0</v>
      </c>
      <c r="I2206" s="64">
        <f>ventas_b_mes1255[[#This Row],[IMPORTE NETO]]*0.21</f>
        <v>0</v>
      </c>
      <c r="J2206" s="141"/>
      <c r="K2206" s="141"/>
      <c r="L2206" s="141"/>
      <c r="M2206" s="59"/>
    </row>
    <row r="2207" spans="2:13">
      <c r="B2207" s="135"/>
      <c r="C2207" s="41"/>
      <c r="D2207" s="137"/>
      <c r="E2207" s="138"/>
      <c r="F2207" s="139"/>
      <c r="G2207" s="1" t="str">
        <f>IFERROR(IF(ventas_b_mes1255[[#This Row],[CUIT]]="","-",VLOOKUP(ventas_b_mes1255[[#This Row],[CUIT]],Lista_CUIT[#All],2,0)),"CUIT NO CARGADO")</f>
        <v>-</v>
      </c>
      <c r="H2207" s="100">
        <f>ventas_b_mes1255[[#This Row],[TOTAL]]/1.21</f>
        <v>0</v>
      </c>
      <c r="I2207" s="64">
        <f>ventas_b_mes1255[[#This Row],[IMPORTE NETO]]*0.21</f>
        <v>0</v>
      </c>
      <c r="J2207" s="141"/>
      <c r="K2207" s="141"/>
      <c r="L2207" s="141"/>
      <c r="M2207" s="59"/>
    </row>
    <row r="2208" spans="2:13">
      <c r="B2208" s="135"/>
      <c r="C2208" s="41"/>
      <c r="D2208" s="137"/>
      <c r="E2208" s="138"/>
      <c r="F2208" s="139"/>
      <c r="G2208" s="1" t="str">
        <f>IFERROR(IF(ventas_b_mes1255[[#This Row],[CUIT]]="","-",VLOOKUP(ventas_b_mes1255[[#This Row],[CUIT]],Lista_CUIT[#All],2,0)),"CUIT NO CARGADO")</f>
        <v>-</v>
      </c>
      <c r="H2208" s="100">
        <f>ventas_b_mes1255[[#This Row],[TOTAL]]/1.21</f>
        <v>0</v>
      </c>
      <c r="I2208" s="64">
        <f>ventas_b_mes1255[[#This Row],[IMPORTE NETO]]*0.21</f>
        <v>0</v>
      </c>
      <c r="J2208" s="141"/>
      <c r="K2208" s="141"/>
      <c r="L2208" s="141"/>
      <c r="M2208" s="59"/>
    </row>
    <row r="2209" spans="2:13">
      <c r="B2209" s="135"/>
      <c r="C2209" s="41"/>
      <c r="D2209" s="137"/>
      <c r="E2209" s="138"/>
      <c r="F2209" s="139"/>
      <c r="G2209" s="1" t="str">
        <f>IFERROR(IF(ventas_b_mes1255[[#This Row],[CUIT]]="","-",VLOOKUP(ventas_b_mes1255[[#This Row],[CUIT]],Lista_CUIT[#All],2,0)),"CUIT NO CARGADO")</f>
        <v>-</v>
      </c>
      <c r="H2209" s="100">
        <f>ventas_b_mes1255[[#This Row],[TOTAL]]/1.21</f>
        <v>0</v>
      </c>
      <c r="I2209" s="64">
        <f>ventas_b_mes1255[[#This Row],[IMPORTE NETO]]*0.21</f>
        <v>0</v>
      </c>
      <c r="J2209" s="141"/>
      <c r="K2209" s="141"/>
      <c r="L2209" s="141"/>
      <c r="M2209" s="59"/>
    </row>
    <row r="2210" spans="2:13">
      <c r="B2210" s="135"/>
      <c r="C2210" s="41"/>
      <c r="D2210" s="137"/>
      <c r="E2210" s="138"/>
      <c r="F2210" s="139"/>
      <c r="G2210" s="1" t="str">
        <f>IFERROR(IF(ventas_b_mes1255[[#This Row],[CUIT]]="","-",VLOOKUP(ventas_b_mes1255[[#This Row],[CUIT]],Lista_CUIT[#All],2,0)),"CUIT NO CARGADO")</f>
        <v>-</v>
      </c>
      <c r="H2210" s="100">
        <f>ventas_b_mes1255[[#This Row],[TOTAL]]/1.21</f>
        <v>0</v>
      </c>
      <c r="I2210" s="64">
        <f>ventas_b_mes1255[[#This Row],[IMPORTE NETO]]*0.21</f>
        <v>0</v>
      </c>
      <c r="J2210" s="141"/>
      <c r="K2210" s="141"/>
      <c r="L2210" s="141"/>
      <c r="M2210" s="59"/>
    </row>
    <row r="2211" spans="2:13">
      <c r="B2211" s="135"/>
      <c r="C2211" s="41"/>
      <c r="D2211" s="137"/>
      <c r="E2211" s="138"/>
      <c r="F2211" s="139"/>
      <c r="G2211" s="1" t="str">
        <f>IFERROR(IF(ventas_b_mes1255[[#This Row],[CUIT]]="","-",VLOOKUP(ventas_b_mes1255[[#This Row],[CUIT]],Lista_CUIT[#All],2,0)),"CUIT NO CARGADO")</f>
        <v>-</v>
      </c>
      <c r="H2211" s="100">
        <f>ventas_b_mes1255[[#This Row],[TOTAL]]/1.21</f>
        <v>0</v>
      </c>
      <c r="I2211" s="64">
        <f>ventas_b_mes1255[[#This Row],[IMPORTE NETO]]*0.21</f>
        <v>0</v>
      </c>
      <c r="J2211" s="141"/>
      <c r="K2211" s="141"/>
      <c r="L2211" s="141"/>
      <c r="M2211" s="59"/>
    </row>
    <row r="2212" spans="2:13">
      <c r="B2212" s="135"/>
      <c r="C2212" s="41"/>
      <c r="D2212" s="137"/>
      <c r="E2212" s="138"/>
      <c r="F2212" s="139"/>
      <c r="G2212" s="1" t="str">
        <f>IFERROR(IF(ventas_b_mes1255[[#This Row],[CUIT]]="","-",VLOOKUP(ventas_b_mes1255[[#This Row],[CUIT]],Lista_CUIT[#All],2,0)),"CUIT NO CARGADO")</f>
        <v>-</v>
      </c>
      <c r="H2212" s="100">
        <f>ventas_b_mes1255[[#This Row],[TOTAL]]/1.21</f>
        <v>0</v>
      </c>
      <c r="I2212" s="64">
        <f>ventas_b_mes1255[[#This Row],[IMPORTE NETO]]*0.21</f>
        <v>0</v>
      </c>
      <c r="J2212" s="141"/>
      <c r="K2212" s="141"/>
      <c r="L2212" s="141"/>
      <c r="M2212" s="59"/>
    </row>
    <row r="2213" spans="2:13">
      <c r="B2213" s="135"/>
      <c r="C2213" s="41"/>
      <c r="D2213" s="137"/>
      <c r="E2213" s="138"/>
      <c r="F2213" s="139"/>
      <c r="G2213" s="1" t="str">
        <f>IFERROR(IF(ventas_b_mes1255[[#This Row],[CUIT]]="","-",VLOOKUP(ventas_b_mes1255[[#This Row],[CUIT]],Lista_CUIT[#All],2,0)),"CUIT NO CARGADO")</f>
        <v>-</v>
      </c>
      <c r="H2213" s="100">
        <f>ventas_b_mes1255[[#This Row],[TOTAL]]/1.21</f>
        <v>0</v>
      </c>
      <c r="I2213" s="64">
        <f>ventas_b_mes1255[[#This Row],[IMPORTE NETO]]*0.21</f>
        <v>0</v>
      </c>
      <c r="J2213" s="141"/>
      <c r="K2213" s="141"/>
      <c r="L2213" s="141"/>
      <c r="M2213" s="59"/>
    </row>
    <row r="2214" spans="2:13">
      <c r="B2214" s="135"/>
      <c r="C2214" s="41"/>
      <c r="D2214" s="137"/>
      <c r="E2214" s="138"/>
      <c r="F2214" s="139"/>
      <c r="G2214" s="1" t="str">
        <f>IFERROR(IF(ventas_b_mes1255[[#This Row],[CUIT]]="","-",VLOOKUP(ventas_b_mes1255[[#This Row],[CUIT]],Lista_CUIT[#All],2,0)),"CUIT NO CARGADO")</f>
        <v>-</v>
      </c>
      <c r="H2214" s="100">
        <f>ventas_b_mes1255[[#This Row],[TOTAL]]/1.21</f>
        <v>0</v>
      </c>
      <c r="I2214" s="64">
        <f>ventas_b_mes1255[[#This Row],[IMPORTE NETO]]*0.21</f>
        <v>0</v>
      </c>
      <c r="J2214" s="141"/>
      <c r="K2214" s="141"/>
      <c r="L2214" s="141"/>
      <c r="M2214" s="59"/>
    </row>
    <row r="2215" spans="2:13">
      <c r="B2215" s="135"/>
      <c r="C2215" s="41"/>
      <c r="D2215" s="137"/>
      <c r="E2215" s="138"/>
      <c r="F2215" s="139"/>
      <c r="G2215" s="1" t="str">
        <f>IFERROR(IF(ventas_b_mes1255[[#This Row],[CUIT]]="","-",VLOOKUP(ventas_b_mes1255[[#This Row],[CUIT]],Lista_CUIT[#All],2,0)),"CUIT NO CARGADO")</f>
        <v>-</v>
      </c>
      <c r="H2215" s="100">
        <f>ventas_b_mes1255[[#This Row],[TOTAL]]/1.21</f>
        <v>0</v>
      </c>
      <c r="I2215" s="64">
        <f>ventas_b_mes1255[[#This Row],[IMPORTE NETO]]*0.21</f>
        <v>0</v>
      </c>
      <c r="J2215" s="141"/>
      <c r="K2215" s="141"/>
      <c r="L2215" s="141"/>
      <c r="M2215" s="59"/>
    </row>
    <row r="2216" spans="2:13">
      <c r="B2216" s="135"/>
      <c r="C2216" s="41"/>
      <c r="D2216" s="137"/>
      <c r="E2216" s="138"/>
      <c r="F2216" s="139"/>
      <c r="G2216" s="1" t="str">
        <f>IFERROR(IF(ventas_b_mes1255[[#This Row],[CUIT]]="","-",VLOOKUP(ventas_b_mes1255[[#This Row],[CUIT]],Lista_CUIT[#All],2,0)),"CUIT NO CARGADO")</f>
        <v>-</v>
      </c>
      <c r="H2216" s="100">
        <f>ventas_b_mes1255[[#This Row],[TOTAL]]/1.21</f>
        <v>0</v>
      </c>
      <c r="I2216" s="64">
        <f>ventas_b_mes1255[[#This Row],[IMPORTE NETO]]*0.21</f>
        <v>0</v>
      </c>
      <c r="J2216" s="141"/>
      <c r="K2216" s="141"/>
      <c r="L2216" s="141"/>
      <c r="M2216" s="59"/>
    </row>
    <row r="2217" spans="2:13">
      <c r="B2217" s="135"/>
      <c r="C2217" s="41"/>
      <c r="D2217" s="137"/>
      <c r="E2217" s="138"/>
      <c r="F2217" s="139"/>
      <c r="G2217" s="1" t="str">
        <f>IFERROR(IF(ventas_b_mes1255[[#This Row],[CUIT]]="","-",VLOOKUP(ventas_b_mes1255[[#This Row],[CUIT]],Lista_CUIT[#All],2,0)),"CUIT NO CARGADO")</f>
        <v>-</v>
      </c>
      <c r="H2217" s="100">
        <f>ventas_b_mes1255[[#This Row],[TOTAL]]/1.21</f>
        <v>0</v>
      </c>
      <c r="I2217" s="64">
        <f>ventas_b_mes1255[[#This Row],[IMPORTE NETO]]*0.21</f>
        <v>0</v>
      </c>
      <c r="J2217" s="141"/>
      <c r="K2217" s="141"/>
      <c r="L2217" s="141"/>
      <c r="M2217" s="59"/>
    </row>
    <row r="2218" spans="2:13">
      <c r="B2218" s="135"/>
      <c r="C2218" s="41"/>
      <c r="D2218" s="137"/>
      <c r="E2218" s="138"/>
      <c r="F2218" s="139"/>
      <c r="G2218" s="1" t="str">
        <f>IFERROR(IF(ventas_b_mes1255[[#This Row],[CUIT]]="","-",VLOOKUP(ventas_b_mes1255[[#This Row],[CUIT]],Lista_CUIT[#All],2,0)),"CUIT NO CARGADO")</f>
        <v>-</v>
      </c>
      <c r="H2218" s="100">
        <f>ventas_b_mes1255[[#This Row],[TOTAL]]/1.21</f>
        <v>0</v>
      </c>
      <c r="I2218" s="64">
        <f>ventas_b_mes1255[[#This Row],[IMPORTE NETO]]*0.21</f>
        <v>0</v>
      </c>
      <c r="J2218" s="141"/>
      <c r="K2218" s="141"/>
      <c r="L2218" s="141"/>
      <c r="M2218" s="59"/>
    </row>
    <row r="2219" spans="2:13">
      <c r="B2219" s="135"/>
      <c r="C2219" s="41"/>
      <c r="D2219" s="137"/>
      <c r="E2219" s="138"/>
      <c r="F2219" s="139"/>
      <c r="G2219" s="1" t="str">
        <f>IFERROR(IF(ventas_b_mes1255[[#This Row],[CUIT]]="","-",VLOOKUP(ventas_b_mes1255[[#This Row],[CUIT]],Lista_CUIT[#All],2,0)),"CUIT NO CARGADO")</f>
        <v>-</v>
      </c>
      <c r="H2219" s="100">
        <f>ventas_b_mes1255[[#This Row],[TOTAL]]/1.21</f>
        <v>0</v>
      </c>
      <c r="I2219" s="64">
        <f>ventas_b_mes1255[[#This Row],[IMPORTE NETO]]*0.21</f>
        <v>0</v>
      </c>
      <c r="J2219" s="141"/>
      <c r="K2219" s="141"/>
      <c r="L2219" s="141"/>
      <c r="M2219" s="59"/>
    </row>
    <row r="2220" spans="2:13">
      <c r="B2220" s="135"/>
      <c r="C2220" s="41"/>
      <c r="D2220" s="137"/>
      <c r="E2220" s="138"/>
      <c r="F2220" s="139"/>
      <c r="G2220" s="1" t="str">
        <f>IFERROR(IF(ventas_b_mes1255[[#This Row],[CUIT]]="","-",VLOOKUP(ventas_b_mes1255[[#This Row],[CUIT]],Lista_CUIT[#All],2,0)),"CUIT NO CARGADO")</f>
        <v>-</v>
      </c>
      <c r="H2220" s="100">
        <f>ventas_b_mes1255[[#This Row],[TOTAL]]/1.21</f>
        <v>0</v>
      </c>
      <c r="I2220" s="64">
        <f>ventas_b_mes1255[[#This Row],[IMPORTE NETO]]*0.21</f>
        <v>0</v>
      </c>
      <c r="J2220" s="141"/>
      <c r="K2220" s="141"/>
      <c r="L2220" s="141"/>
      <c r="M2220" s="59"/>
    </row>
    <row r="2221" spans="2:13">
      <c r="B2221" s="135"/>
      <c r="C2221" s="41"/>
      <c r="D2221" s="137"/>
      <c r="E2221" s="138"/>
      <c r="F2221" s="139"/>
      <c r="G2221" s="1" t="str">
        <f>IFERROR(IF(ventas_b_mes1255[[#This Row],[CUIT]]="","-",VLOOKUP(ventas_b_mes1255[[#This Row],[CUIT]],Lista_CUIT[#All],2,0)),"CUIT NO CARGADO")</f>
        <v>-</v>
      </c>
      <c r="H2221" s="100">
        <f>ventas_b_mes1255[[#This Row],[TOTAL]]/1.21</f>
        <v>0</v>
      </c>
      <c r="I2221" s="64">
        <f>ventas_b_mes1255[[#This Row],[IMPORTE NETO]]*0.21</f>
        <v>0</v>
      </c>
      <c r="J2221" s="141"/>
      <c r="K2221" s="141"/>
      <c r="L2221" s="141"/>
      <c r="M2221" s="59"/>
    </row>
    <row r="2222" spans="2:13">
      <c r="B2222" s="135"/>
      <c r="C2222" s="41"/>
      <c r="D2222" s="137"/>
      <c r="E2222" s="138"/>
      <c r="F2222" s="139"/>
      <c r="G2222" s="1" t="str">
        <f>IFERROR(IF(ventas_b_mes1255[[#This Row],[CUIT]]="","-",VLOOKUP(ventas_b_mes1255[[#This Row],[CUIT]],Lista_CUIT[#All],2,0)),"CUIT NO CARGADO")</f>
        <v>-</v>
      </c>
      <c r="H2222" s="100">
        <f>ventas_b_mes1255[[#This Row],[TOTAL]]/1.21</f>
        <v>0</v>
      </c>
      <c r="I2222" s="64">
        <f>ventas_b_mes1255[[#This Row],[IMPORTE NETO]]*0.21</f>
        <v>0</v>
      </c>
      <c r="J2222" s="141"/>
      <c r="K2222" s="141"/>
      <c r="L2222" s="141"/>
      <c r="M2222" s="59"/>
    </row>
    <row r="2223" spans="2:13">
      <c r="B2223" s="135"/>
      <c r="C2223" s="41"/>
      <c r="D2223" s="137"/>
      <c r="E2223" s="138"/>
      <c r="F2223" s="139"/>
      <c r="G2223" s="1" t="str">
        <f>IFERROR(IF(ventas_b_mes1255[[#This Row],[CUIT]]="","-",VLOOKUP(ventas_b_mes1255[[#This Row],[CUIT]],Lista_CUIT[#All],2,0)),"CUIT NO CARGADO")</f>
        <v>-</v>
      </c>
      <c r="H2223" s="100">
        <f>ventas_b_mes1255[[#This Row],[TOTAL]]/1.21</f>
        <v>0</v>
      </c>
      <c r="I2223" s="64">
        <f>ventas_b_mes1255[[#This Row],[IMPORTE NETO]]*0.21</f>
        <v>0</v>
      </c>
      <c r="J2223" s="141"/>
      <c r="K2223" s="141"/>
      <c r="L2223" s="141"/>
      <c r="M2223" s="59"/>
    </row>
    <row r="2224" spans="2:13">
      <c r="B2224" s="135"/>
      <c r="C2224" s="41"/>
      <c r="D2224" s="137"/>
      <c r="E2224" s="138"/>
      <c r="F2224" s="139"/>
      <c r="G2224" s="1" t="str">
        <f>IFERROR(IF(ventas_b_mes1255[[#This Row],[CUIT]]="","-",VLOOKUP(ventas_b_mes1255[[#This Row],[CUIT]],Lista_CUIT[#All],2,0)),"CUIT NO CARGADO")</f>
        <v>-</v>
      </c>
      <c r="H2224" s="100">
        <f>ventas_b_mes1255[[#This Row],[TOTAL]]/1.21</f>
        <v>0</v>
      </c>
      <c r="I2224" s="64">
        <f>ventas_b_mes1255[[#This Row],[IMPORTE NETO]]*0.21</f>
        <v>0</v>
      </c>
      <c r="J2224" s="141"/>
      <c r="K2224" s="141"/>
      <c r="L2224" s="141"/>
      <c r="M2224" s="59"/>
    </row>
    <row r="2225" spans="2:13">
      <c r="B2225" s="135"/>
      <c r="C2225" s="41"/>
      <c r="D2225" s="137"/>
      <c r="E2225" s="138"/>
      <c r="F2225" s="139"/>
      <c r="G2225" s="1" t="str">
        <f>IFERROR(IF(ventas_b_mes1255[[#This Row],[CUIT]]="","-",VLOOKUP(ventas_b_mes1255[[#This Row],[CUIT]],Lista_CUIT[#All],2,0)),"CUIT NO CARGADO")</f>
        <v>-</v>
      </c>
      <c r="H2225" s="100">
        <f>ventas_b_mes1255[[#This Row],[TOTAL]]/1.21</f>
        <v>0</v>
      </c>
      <c r="I2225" s="64">
        <f>ventas_b_mes1255[[#This Row],[IMPORTE NETO]]*0.21</f>
        <v>0</v>
      </c>
      <c r="J2225" s="141"/>
      <c r="K2225" s="141"/>
      <c r="L2225" s="141"/>
      <c r="M2225" s="59"/>
    </row>
    <row r="2226" spans="2:13">
      <c r="B2226" s="135"/>
      <c r="C2226" s="41"/>
      <c r="D2226" s="137"/>
      <c r="E2226" s="138"/>
      <c r="F2226" s="139"/>
      <c r="G2226" s="1" t="str">
        <f>IFERROR(IF(ventas_b_mes1255[[#This Row],[CUIT]]="","-",VLOOKUP(ventas_b_mes1255[[#This Row],[CUIT]],Lista_CUIT[#All],2,0)),"CUIT NO CARGADO")</f>
        <v>-</v>
      </c>
      <c r="H2226" s="100">
        <f>ventas_b_mes1255[[#This Row],[TOTAL]]/1.21</f>
        <v>0</v>
      </c>
      <c r="I2226" s="64">
        <f>ventas_b_mes1255[[#This Row],[IMPORTE NETO]]*0.21</f>
        <v>0</v>
      </c>
      <c r="J2226" s="141"/>
      <c r="K2226" s="141"/>
      <c r="L2226" s="141"/>
      <c r="M2226" s="59"/>
    </row>
    <row r="2227" spans="2:13">
      <c r="B2227" s="135"/>
      <c r="C2227" s="41"/>
      <c r="D2227" s="137"/>
      <c r="E2227" s="138"/>
      <c r="F2227" s="139"/>
      <c r="G2227" s="1" t="str">
        <f>IFERROR(IF(ventas_b_mes1255[[#This Row],[CUIT]]="","-",VLOOKUP(ventas_b_mes1255[[#This Row],[CUIT]],Lista_CUIT[#All],2,0)),"CUIT NO CARGADO")</f>
        <v>-</v>
      </c>
      <c r="H2227" s="100">
        <f>ventas_b_mes1255[[#This Row],[TOTAL]]/1.21</f>
        <v>0</v>
      </c>
      <c r="I2227" s="64">
        <f>ventas_b_mes1255[[#This Row],[IMPORTE NETO]]*0.21</f>
        <v>0</v>
      </c>
      <c r="J2227" s="141"/>
      <c r="K2227" s="141"/>
      <c r="L2227" s="141"/>
      <c r="M2227" s="59"/>
    </row>
    <row r="2228" spans="2:13">
      <c r="B2228" s="135"/>
      <c r="C2228" s="41"/>
      <c r="D2228" s="137"/>
      <c r="E2228" s="138"/>
      <c r="F2228" s="139"/>
      <c r="G2228" s="1" t="str">
        <f>IFERROR(IF(ventas_b_mes1255[[#This Row],[CUIT]]="","-",VLOOKUP(ventas_b_mes1255[[#This Row],[CUIT]],Lista_CUIT[#All],2,0)),"CUIT NO CARGADO")</f>
        <v>-</v>
      </c>
      <c r="H2228" s="100">
        <f>ventas_b_mes1255[[#This Row],[TOTAL]]/1.21</f>
        <v>0</v>
      </c>
      <c r="I2228" s="64">
        <f>ventas_b_mes1255[[#This Row],[IMPORTE NETO]]*0.21</f>
        <v>0</v>
      </c>
      <c r="J2228" s="141"/>
      <c r="K2228" s="141"/>
      <c r="L2228" s="141"/>
      <c r="M2228" s="59"/>
    </row>
    <row r="2229" spans="2:13">
      <c r="B2229" s="135"/>
      <c r="C2229" s="41"/>
      <c r="D2229" s="137"/>
      <c r="E2229" s="138"/>
      <c r="F2229" s="139"/>
      <c r="G2229" s="1" t="str">
        <f>IFERROR(IF(ventas_b_mes1255[[#This Row],[CUIT]]="","-",VLOOKUP(ventas_b_mes1255[[#This Row],[CUIT]],Lista_CUIT[#All],2,0)),"CUIT NO CARGADO")</f>
        <v>-</v>
      </c>
      <c r="H2229" s="100">
        <f>ventas_b_mes1255[[#This Row],[TOTAL]]/1.21</f>
        <v>0</v>
      </c>
      <c r="I2229" s="64">
        <f>ventas_b_mes1255[[#This Row],[IMPORTE NETO]]*0.21</f>
        <v>0</v>
      </c>
      <c r="J2229" s="141"/>
      <c r="K2229" s="141"/>
      <c r="L2229" s="141"/>
      <c r="M2229" s="59"/>
    </row>
    <row r="2230" spans="2:13">
      <c r="B2230" s="135"/>
      <c r="C2230" s="41"/>
      <c r="D2230" s="137"/>
      <c r="E2230" s="138"/>
      <c r="F2230" s="139"/>
      <c r="G2230" s="1" t="str">
        <f>IFERROR(IF(ventas_b_mes1255[[#This Row],[CUIT]]="","-",VLOOKUP(ventas_b_mes1255[[#This Row],[CUIT]],Lista_CUIT[#All],2,0)),"CUIT NO CARGADO")</f>
        <v>-</v>
      </c>
      <c r="H2230" s="100">
        <f>ventas_b_mes1255[[#This Row],[TOTAL]]/1.21</f>
        <v>0</v>
      </c>
      <c r="I2230" s="64">
        <f>ventas_b_mes1255[[#This Row],[IMPORTE NETO]]*0.21</f>
        <v>0</v>
      </c>
      <c r="J2230" s="141"/>
      <c r="K2230" s="141"/>
      <c r="L2230" s="141"/>
      <c r="M2230" s="59"/>
    </row>
    <row r="2231" spans="2:13">
      <c r="B2231" s="135"/>
      <c r="C2231" s="41"/>
      <c r="D2231" s="137"/>
      <c r="E2231" s="138"/>
      <c r="F2231" s="139"/>
      <c r="G2231" s="1" t="str">
        <f>IFERROR(IF(ventas_b_mes1255[[#This Row],[CUIT]]="","-",VLOOKUP(ventas_b_mes1255[[#This Row],[CUIT]],Lista_CUIT[#All],2,0)),"CUIT NO CARGADO")</f>
        <v>-</v>
      </c>
      <c r="H2231" s="100">
        <f>ventas_b_mes1255[[#This Row],[TOTAL]]/1.21</f>
        <v>0</v>
      </c>
      <c r="I2231" s="64">
        <f>ventas_b_mes1255[[#This Row],[IMPORTE NETO]]*0.21</f>
        <v>0</v>
      </c>
      <c r="J2231" s="141"/>
      <c r="K2231" s="141"/>
      <c r="L2231" s="141"/>
      <c r="M2231" s="59"/>
    </row>
    <row r="2232" spans="2:13">
      <c r="B2232" s="135"/>
      <c r="C2232" s="41"/>
      <c r="D2232" s="137"/>
      <c r="E2232" s="138"/>
      <c r="F2232" s="139"/>
      <c r="G2232" s="1" t="str">
        <f>IFERROR(IF(ventas_b_mes1255[[#This Row],[CUIT]]="","-",VLOOKUP(ventas_b_mes1255[[#This Row],[CUIT]],Lista_CUIT[#All],2,0)),"CUIT NO CARGADO")</f>
        <v>-</v>
      </c>
      <c r="H2232" s="100">
        <f>ventas_b_mes1255[[#This Row],[TOTAL]]/1.21</f>
        <v>0</v>
      </c>
      <c r="I2232" s="64">
        <f>ventas_b_mes1255[[#This Row],[IMPORTE NETO]]*0.21</f>
        <v>0</v>
      </c>
      <c r="J2232" s="141"/>
      <c r="K2232" s="141"/>
      <c r="L2232" s="141"/>
      <c r="M2232" s="59"/>
    </row>
    <row r="2233" spans="2:13">
      <c r="B2233" s="135"/>
      <c r="C2233" s="41"/>
      <c r="D2233" s="137"/>
      <c r="E2233" s="138"/>
      <c r="F2233" s="139"/>
      <c r="G2233" s="1" t="str">
        <f>IFERROR(IF(ventas_b_mes1255[[#This Row],[CUIT]]="","-",VLOOKUP(ventas_b_mes1255[[#This Row],[CUIT]],Lista_CUIT[#All],2,0)),"CUIT NO CARGADO")</f>
        <v>-</v>
      </c>
      <c r="H2233" s="100">
        <f>ventas_b_mes1255[[#This Row],[TOTAL]]/1.21</f>
        <v>0</v>
      </c>
      <c r="I2233" s="64">
        <f>ventas_b_mes1255[[#This Row],[IMPORTE NETO]]*0.21</f>
        <v>0</v>
      </c>
      <c r="J2233" s="141"/>
      <c r="K2233" s="141"/>
      <c r="L2233" s="141"/>
      <c r="M2233" s="59"/>
    </row>
    <row r="2234" spans="2:13">
      <c r="B2234" s="135"/>
      <c r="C2234" s="41"/>
      <c r="D2234" s="137"/>
      <c r="E2234" s="138"/>
      <c r="F2234" s="139"/>
      <c r="G2234" s="1" t="str">
        <f>IFERROR(IF(ventas_b_mes1255[[#This Row],[CUIT]]="","-",VLOOKUP(ventas_b_mes1255[[#This Row],[CUIT]],Lista_CUIT[#All],2,0)),"CUIT NO CARGADO")</f>
        <v>-</v>
      </c>
      <c r="H2234" s="100">
        <f>ventas_b_mes1255[[#This Row],[TOTAL]]/1.21</f>
        <v>0</v>
      </c>
      <c r="I2234" s="64">
        <f>ventas_b_mes1255[[#This Row],[IMPORTE NETO]]*0.21</f>
        <v>0</v>
      </c>
      <c r="J2234" s="141"/>
      <c r="K2234" s="141"/>
      <c r="L2234" s="141"/>
      <c r="M2234" s="59"/>
    </row>
    <row r="2235" spans="2:13">
      <c r="B2235" s="135"/>
      <c r="C2235" s="41"/>
      <c r="D2235" s="137"/>
      <c r="E2235" s="138"/>
      <c r="F2235" s="139"/>
      <c r="G2235" s="1" t="str">
        <f>IFERROR(IF(ventas_b_mes1255[[#This Row],[CUIT]]="","-",VLOOKUP(ventas_b_mes1255[[#This Row],[CUIT]],Lista_CUIT[#All],2,0)),"CUIT NO CARGADO")</f>
        <v>-</v>
      </c>
      <c r="H2235" s="100">
        <f>ventas_b_mes1255[[#This Row],[TOTAL]]/1.21</f>
        <v>0</v>
      </c>
      <c r="I2235" s="64">
        <f>ventas_b_mes1255[[#This Row],[IMPORTE NETO]]*0.21</f>
        <v>0</v>
      </c>
      <c r="J2235" s="141"/>
      <c r="K2235" s="141"/>
      <c r="L2235" s="141"/>
      <c r="M2235" s="59"/>
    </row>
    <row r="2236" spans="2:13">
      <c r="B2236" s="135"/>
      <c r="C2236" s="41"/>
      <c r="D2236" s="137"/>
      <c r="E2236" s="138"/>
      <c r="F2236" s="139"/>
      <c r="G2236" s="1" t="str">
        <f>IFERROR(IF(ventas_b_mes1255[[#This Row],[CUIT]]="","-",VLOOKUP(ventas_b_mes1255[[#This Row],[CUIT]],Lista_CUIT[#All],2,0)),"CUIT NO CARGADO")</f>
        <v>-</v>
      </c>
      <c r="H2236" s="100">
        <f>ventas_b_mes1255[[#This Row],[TOTAL]]/1.21</f>
        <v>0</v>
      </c>
      <c r="I2236" s="64">
        <f>ventas_b_mes1255[[#This Row],[IMPORTE NETO]]*0.21</f>
        <v>0</v>
      </c>
      <c r="J2236" s="141"/>
      <c r="K2236" s="141"/>
      <c r="L2236" s="141"/>
      <c r="M2236" s="59"/>
    </row>
    <row r="2237" spans="2:13">
      <c r="B2237" s="135"/>
      <c r="C2237" s="41"/>
      <c r="D2237" s="137"/>
      <c r="E2237" s="138"/>
      <c r="F2237" s="139"/>
      <c r="G2237" s="1" t="str">
        <f>IFERROR(IF(ventas_b_mes1255[[#This Row],[CUIT]]="","-",VLOOKUP(ventas_b_mes1255[[#This Row],[CUIT]],Lista_CUIT[#All],2,0)),"CUIT NO CARGADO")</f>
        <v>-</v>
      </c>
      <c r="H2237" s="100">
        <f>ventas_b_mes1255[[#This Row],[TOTAL]]/1.21</f>
        <v>0</v>
      </c>
      <c r="I2237" s="64">
        <f>ventas_b_mes1255[[#This Row],[IMPORTE NETO]]*0.21</f>
        <v>0</v>
      </c>
      <c r="J2237" s="141"/>
      <c r="K2237" s="141"/>
      <c r="L2237" s="141"/>
      <c r="M2237" s="59"/>
    </row>
    <row r="2238" spans="2:13">
      <c r="B2238" s="135"/>
      <c r="C2238" s="41"/>
      <c r="D2238" s="137"/>
      <c r="E2238" s="138"/>
      <c r="F2238" s="139"/>
      <c r="G2238" s="1" t="str">
        <f>IFERROR(IF(ventas_b_mes1255[[#This Row],[CUIT]]="","-",VLOOKUP(ventas_b_mes1255[[#This Row],[CUIT]],Lista_CUIT[#All],2,0)),"CUIT NO CARGADO")</f>
        <v>-</v>
      </c>
      <c r="H2238" s="100">
        <f>ventas_b_mes1255[[#This Row],[TOTAL]]/1.21</f>
        <v>0</v>
      </c>
      <c r="I2238" s="64">
        <f>ventas_b_mes1255[[#This Row],[IMPORTE NETO]]*0.21</f>
        <v>0</v>
      </c>
      <c r="J2238" s="141"/>
      <c r="K2238" s="141"/>
      <c r="L2238" s="141"/>
      <c r="M2238" s="59"/>
    </row>
    <row r="2239" spans="2:13">
      <c r="B2239" s="135"/>
      <c r="C2239" s="41"/>
      <c r="D2239" s="137"/>
      <c r="E2239" s="138"/>
      <c r="F2239" s="139"/>
      <c r="G2239" s="1" t="str">
        <f>IFERROR(IF(ventas_b_mes1255[[#This Row],[CUIT]]="","-",VLOOKUP(ventas_b_mes1255[[#This Row],[CUIT]],Lista_CUIT[#All],2,0)),"CUIT NO CARGADO")</f>
        <v>-</v>
      </c>
      <c r="H2239" s="100">
        <f>ventas_b_mes1255[[#This Row],[TOTAL]]/1.21</f>
        <v>0</v>
      </c>
      <c r="I2239" s="64">
        <f>ventas_b_mes1255[[#This Row],[IMPORTE NETO]]*0.21</f>
        <v>0</v>
      </c>
      <c r="J2239" s="141"/>
      <c r="K2239" s="141"/>
      <c r="L2239" s="141"/>
      <c r="M2239" s="59"/>
    </row>
    <row r="2240" spans="2:13">
      <c r="B2240" s="135"/>
      <c r="C2240" s="41"/>
      <c r="D2240" s="137"/>
      <c r="E2240" s="138"/>
      <c r="F2240" s="139"/>
      <c r="G2240" s="1" t="str">
        <f>IFERROR(IF(ventas_b_mes1255[[#This Row],[CUIT]]="","-",VLOOKUP(ventas_b_mes1255[[#This Row],[CUIT]],Lista_CUIT[#All],2,0)),"CUIT NO CARGADO")</f>
        <v>-</v>
      </c>
      <c r="H2240" s="100">
        <f>ventas_b_mes1255[[#This Row],[TOTAL]]/1.21</f>
        <v>0</v>
      </c>
      <c r="I2240" s="64">
        <f>ventas_b_mes1255[[#This Row],[IMPORTE NETO]]*0.21</f>
        <v>0</v>
      </c>
      <c r="J2240" s="141"/>
      <c r="K2240" s="141"/>
      <c r="L2240" s="141"/>
      <c r="M2240" s="59"/>
    </row>
    <row r="2241" spans="2:13">
      <c r="B2241" s="135"/>
      <c r="C2241" s="41"/>
      <c r="D2241" s="137"/>
      <c r="E2241" s="138"/>
      <c r="F2241" s="139"/>
      <c r="G2241" s="1" t="str">
        <f>IFERROR(IF(ventas_b_mes1255[[#This Row],[CUIT]]="","-",VLOOKUP(ventas_b_mes1255[[#This Row],[CUIT]],Lista_CUIT[#All],2,0)),"CUIT NO CARGADO")</f>
        <v>-</v>
      </c>
      <c r="H2241" s="100">
        <f>ventas_b_mes1255[[#This Row],[TOTAL]]/1.21</f>
        <v>0</v>
      </c>
      <c r="I2241" s="64">
        <f>ventas_b_mes1255[[#This Row],[IMPORTE NETO]]*0.21</f>
        <v>0</v>
      </c>
      <c r="J2241" s="141"/>
      <c r="K2241" s="141"/>
      <c r="L2241" s="141"/>
      <c r="M2241" s="59"/>
    </row>
    <row r="2242" spans="2:13">
      <c r="B2242" s="135"/>
      <c r="C2242" s="41"/>
      <c r="D2242" s="137"/>
      <c r="E2242" s="138"/>
      <c r="F2242" s="139"/>
      <c r="G2242" s="1" t="str">
        <f>IFERROR(IF(ventas_b_mes1255[[#This Row],[CUIT]]="","-",VLOOKUP(ventas_b_mes1255[[#This Row],[CUIT]],Lista_CUIT[#All],2,0)),"CUIT NO CARGADO")</f>
        <v>-</v>
      </c>
      <c r="H2242" s="100">
        <f>ventas_b_mes1255[[#This Row],[TOTAL]]/1.21</f>
        <v>0</v>
      </c>
      <c r="I2242" s="64">
        <f>ventas_b_mes1255[[#This Row],[IMPORTE NETO]]*0.21</f>
        <v>0</v>
      </c>
      <c r="J2242" s="141"/>
      <c r="K2242" s="141"/>
      <c r="L2242" s="141"/>
      <c r="M2242" s="59"/>
    </row>
    <row r="2243" spans="2:13">
      <c r="B2243" s="135"/>
      <c r="C2243" s="41"/>
      <c r="D2243" s="137"/>
      <c r="E2243" s="138"/>
      <c r="F2243" s="139"/>
      <c r="G2243" s="1" t="str">
        <f>IFERROR(IF(ventas_b_mes1255[[#This Row],[CUIT]]="","-",VLOOKUP(ventas_b_mes1255[[#This Row],[CUIT]],Lista_CUIT[#All],2,0)),"CUIT NO CARGADO")</f>
        <v>-</v>
      </c>
      <c r="H2243" s="100">
        <f>ventas_b_mes1255[[#This Row],[TOTAL]]/1.21</f>
        <v>0</v>
      </c>
      <c r="I2243" s="64">
        <f>ventas_b_mes1255[[#This Row],[IMPORTE NETO]]*0.21</f>
        <v>0</v>
      </c>
      <c r="J2243" s="141"/>
      <c r="K2243" s="141"/>
      <c r="L2243" s="141"/>
      <c r="M2243" s="59"/>
    </row>
    <row r="2244" spans="2:13">
      <c r="B2244" s="135"/>
      <c r="C2244" s="41"/>
      <c r="D2244" s="137"/>
      <c r="E2244" s="138"/>
      <c r="F2244" s="139"/>
      <c r="G2244" s="1" t="str">
        <f>IFERROR(IF(ventas_b_mes1255[[#This Row],[CUIT]]="","-",VLOOKUP(ventas_b_mes1255[[#This Row],[CUIT]],Lista_CUIT[#All],2,0)),"CUIT NO CARGADO")</f>
        <v>-</v>
      </c>
      <c r="H2244" s="100">
        <f>ventas_b_mes1255[[#This Row],[TOTAL]]/1.21</f>
        <v>0</v>
      </c>
      <c r="I2244" s="64">
        <f>ventas_b_mes1255[[#This Row],[IMPORTE NETO]]*0.21</f>
        <v>0</v>
      </c>
      <c r="J2244" s="141"/>
      <c r="K2244" s="141"/>
      <c r="L2244" s="141"/>
      <c r="M2244" s="59"/>
    </row>
    <row r="2245" spans="2:13">
      <c r="B2245" s="135"/>
      <c r="C2245" s="41"/>
      <c r="D2245" s="137"/>
      <c r="E2245" s="138"/>
      <c r="F2245" s="139"/>
      <c r="G2245" s="1" t="str">
        <f>IFERROR(IF(ventas_b_mes1255[[#This Row],[CUIT]]="","-",VLOOKUP(ventas_b_mes1255[[#This Row],[CUIT]],Lista_CUIT[#All],2,0)),"CUIT NO CARGADO")</f>
        <v>-</v>
      </c>
      <c r="H2245" s="100">
        <f>ventas_b_mes1255[[#This Row],[TOTAL]]/1.21</f>
        <v>0</v>
      </c>
      <c r="I2245" s="64">
        <f>ventas_b_mes1255[[#This Row],[IMPORTE NETO]]*0.21</f>
        <v>0</v>
      </c>
      <c r="J2245" s="141"/>
      <c r="K2245" s="141"/>
      <c r="L2245" s="141"/>
      <c r="M2245" s="59"/>
    </row>
    <row r="2246" spans="2:13">
      <c r="B2246" s="135"/>
      <c r="C2246" s="41"/>
      <c r="D2246" s="137"/>
      <c r="E2246" s="138"/>
      <c r="F2246" s="139"/>
      <c r="G2246" s="1" t="str">
        <f>IFERROR(IF(ventas_b_mes1255[[#This Row],[CUIT]]="","-",VLOOKUP(ventas_b_mes1255[[#This Row],[CUIT]],Lista_CUIT[#All],2,0)),"CUIT NO CARGADO")</f>
        <v>-</v>
      </c>
      <c r="H2246" s="100">
        <f>ventas_b_mes1255[[#This Row],[TOTAL]]/1.21</f>
        <v>0</v>
      </c>
      <c r="I2246" s="64">
        <f>ventas_b_mes1255[[#This Row],[IMPORTE NETO]]*0.21</f>
        <v>0</v>
      </c>
      <c r="J2246" s="141"/>
      <c r="K2246" s="141"/>
      <c r="L2246" s="141"/>
      <c r="M2246" s="59"/>
    </row>
    <row r="2247" spans="2:13">
      <c r="B2247" s="135"/>
      <c r="C2247" s="41"/>
      <c r="D2247" s="137"/>
      <c r="E2247" s="138"/>
      <c r="F2247" s="139"/>
      <c r="G2247" s="1" t="str">
        <f>IFERROR(IF(ventas_b_mes1255[[#This Row],[CUIT]]="","-",VLOOKUP(ventas_b_mes1255[[#This Row],[CUIT]],Lista_CUIT[#All],2,0)),"CUIT NO CARGADO")</f>
        <v>-</v>
      </c>
      <c r="H2247" s="100">
        <f>ventas_b_mes1255[[#This Row],[TOTAL]]/1.21</f>
        <v>0</v>
      </c>
      <c r="I2247" s="64">
        <f>ventas_b_mes1255[[#This Row],[IMPORTE NETO]]*0.21</f>
        <v>0</v>
      </c>
      <c r="J2247" s="141"/>
      <c r="K2247" s="141"/>
      <c r="L2247" s="141"/>
      <c r="M2247" s="59"/>
    </row>
    <row r="2248" spans="2:13">
      <c r="B2248" s="135"/>
      <c r="C2248" s="41"/>
      <c r="D2248" s="137"/>
      <c r="E2248" s="138"/>
      <c r="F2248" s="139"/>
      <c r="G2248" s="1" t="str">
        <f>IFERROR(IF(ventas_b_mes1255[[#This Row],[CUIT]]="","-",VLOOKUP(ventas_b_mes1255[[#This Row],[CUIT]],Lista_CUIT[#All],2,0)),"CUIT NO CARGADO")</f>
        <v>-</v>
      </c>
      <c r="H2248" s="100">
        <f>ventas_b_mes1255[[#This Row],[TOTAL]]/1.21</f>
        <v>0</v>
      </c>
      <c r="I2248" s="64">
        <f>ventas_b_mes1255[[#This Row],[IMPORTE NETO]]*0.21</f>
        <v>0</v>
      </c>
      <c r="J2248" s="141"/>
      <c r="K2248" s="141"/>
      <c r="L2248" s="141"/>
      <c r="M2248" s="59"/>
    </row>
    <row r="2249" spans="2:13">
      <c r="B2249" s="135"/>
      <c r="C2249" s="41"/>
      <c r="D2249" s="137"/>
      <c r="E2249" s="138"/>
      <c r="F2249" s="139"/>
      <c r="G2249" s="1" t="str">
        <f>IFERROR(IF(ventas_b_mes1255[[#This Row],[CUIT]]="","-",VLOOKUP(ventas_b_mes1255[[#This Row],[CUIT]],Lista_CUIT[#All],2,0)),"CUIT NO CARGADO")</f>
        <v>-</v>
      </c>
      <c r="H2249" s="100">
        <f>ventas_b_mes1255[[#This Row],[TOTAL]]/1.21</f>
        <v>0</v>
      </c>
      <c r="I2249" s="64">
        <f>ventas_b_mes1255[[#This Row],[IMPORTE NETO]]*0.21</f>
        <v>0</v>
      </c>
      <c r="J2249" s="141"/>
      <c r="K2249" s="141"/>
      <c r="L2249" s="141"/>
      <c r="M2249" s="59"/>
    </row>
    <row r="2250" spans="2:13">
      <c r="B2250" s="135"/>
      <c r="C2250" s="41"/>
      <c r="D2250" s="137"/>
      <c r="E2250" s="138"/>
      <c r="F2250" s="139"/>
      <c r="G2250" s="1" t="str">
        <f>IFERROR(IF(ventas_b_mes1255[[#This Row],[CUIT]]="","-",VLOOKUP(ventas_b_mes1255[[#This Row],[CUIT]],Lista_CUIT[#All],2,0)),"CUIT NO CARGADO")</f>
        <v>-</v>
      </c>
      <c r="H2250" s="100">
        <f>ventas_b_mes1255[[#This Row],[TOTAL]]/1.21</f>
        <v>0</v>
      </c>
      <c r="I2250" s="64">
        <f>ventas_b_mes1255[[#This Row],[IMPORTE NETO]]*0.21</f>
        <v>0</v>
      </c>
      <c r="J2250" s="141"/>
      <c r="K2250" s="141"/>
      <c r="L2250" s="141"/>
      <c r="M2250" s="59"/>
    </row>
    <row r="2251" spans="2:13">
      <c r="B2251" s="135"/>
      <c r="C2251" s="41"/>
      <c r="D2251" s="137"/>
      <c r="E2251" s="138"/>
      <c r="F2251" s="139"/>
      <c r="G2251" s="1" t="str">
        <f>IFERROR(IF(ventas_b_mes1255[[#This Row],[CUIT]]="","-",VLOOKUP(ventas_b_mes1255[[#This Row],[CUIT]],Lista_CUIT[#All],2,0)),"CUIT NO CARGADO")</f>
        <v>-</v>
      </c>
      <c r="H2251" s="100">
        <f>ventas_b_mes1255[[#This Row],[TOTAL]]/1.21</f>
        <v>0</v>
      </c>
      <c r="I2251" s="64">
        <f>ventas_b_mes1255[[#This Row],[IMPORTE NETO]]*0.21</f>
        <v>0</v>
      </c>
      <c r="J2251" s="141"/>
      <c r="K2251" s="141"/>
      <c r="L2251" s="141"/>
      <c r="M2251" s="59"/>
    </row>
    <row r="2252" spans="2:13">
      <c r="B2252" s="135"/>
      <c r="C2252" s="41"/>
      <c r="D2252" s="137"/>
      <c r="E2252" s="138"/>
      <c r="F2252" s="139"/>
      <c r="G2252" s="1" t="str">
        <f>IFERROR(IF(ventas_b_mes1255[[#This Row],[CUIT]]="","-",VLOOKUP(ventas_b_mes1255[[#This Row],[CUIT]],Lista_CUIT[#All],2,0)),"CUIT NO CARGADO")</f>
        <v>-</v>
      </c>
      <c r="H2252" s="100">
        <f>ventas_b_mes1255[[#This Row],[TOTAL]]/1.21</f>
        <v>0</v>
      </c>
      <c r="I2252" s="64">
        <f>ventas_b_mes1255[[#This Row],[IMPORTE NETO]]*0.21</f>
        <v>0</v>
      </c>
      <c r="J2252" s="141"/>
      <c r="K2252" s="141"/>
      <c r="L2252" s="141"/>
      <c r="M2252" s="59"/>
    </row>
    <row r="2253" spans="2:13">
      <c r="B2253" s="135"/>
      <c r="C2253" s="41"/>
      <c r="D2253" s="137"/>
      <c r="E2253" s="138"/>
      <c r="F2253" s="139"/>
      <c r="G2253" s="1" t="str">
        <f>IFERROR(IF(ventas_b_mes1255[[#This Row],[CUIT]]="","-",VLOOKUP(ventas_b_mes1255[[#This Row],[CUIT]],Lista_CUIT[#All],2,0)),"CUIT NO CARGADO")</f>
        <v>-</v>
      </c>
      <c r="H2253" s="100">
        <f>ventas_b_mes1255[[#This Row],[TOTAL]]/1.21</f>
        <v>0</v>
      </c>
      <c r="I2253" s="64">
        <f>ventas_b_mes1255[[#This Row],[IMPORTE NETO]]*0.21</f>
        <v>0</v>
      </c>
      <c r="J2253" s="141"/>
      <c r="K2253" s="141"/>
      <c r="L2253" s="141"/>
      <c r="M2253" s="59"/>
    </row>
    <row r="2254" spans="2:13">
      <c r="B2254" s="135"/>
      <c r="C2254" s="41"/>
      <c r="D2254" s="137"/>
      <c r="E2254" s="138"/>
      <c r="F2254" s="139"/>
      <c r="G2254" s="1" t="str">
        <f>IFERROR(IF(ventas_b_mes1255[[#This Row],[CUIT]]="","-",VLOOKUP(ventas_b_mes1255[[#This Row],[CUIT]],Lista_CUIT[#All],2,0)),"CUIT NO CARGADO")</f>
        <v>-</v>
      </c>
      <c r="H2254" s="100">
        <f>ventas_b_mes1255[[#This Row],[TOTAL]]/1.21</f>
        <v>0</v>
      </c>
      <c r="I2254" s="64">
        <f>ventas_b_mes1255[[#This Row],[IMPORTE NETO]]*0.21</f>
        <v>0</v>
      </c>
      <c r="J2254" s="141"/>
      <c r="K2254" s="141"/>
      <c r="L2254" s="141"/>
      <c r="M2254" s="59"/>
    </row>
    <row r="2255" spans="2:13">
      <c r="B2255" s="135"/>
      <c r="C2255" s="41"/>
      <c r="D2255" s="137"/>
      <c r="E2255" s="138"/>
      <c r="F2255" s="139"/>
      <c r="G2255" s="1" t="str">
        <f>IFERROR(IF(ventas_b_mes1255[[#This Row],[CUIT]]="","-",VLOOKUP(ventas_b_mes1255[[#This Row],[CUIT]],Lista_CUIT[#All],2,0)),"CUIT NO CARGADO")</f>
        <v>-</v>
      </c>
      <c r="H2255" s="100">
        <f>ventas_b_mes1255[[#This Row],[TOTAL]]/1.21</f>
        <v>0</v>
      </c>
      <c r="I2255" s="64">
        <f>ventas_b_mes1255[[#This Row],[IMPORTE NETO]]*0.21</f>
        <v>0</v>
      </c>
      <c r="J2255" s="141"/>
      <c r="K2255" s="141"/>
      <c r="L2255" s="141"/>
      <c r="M2255" s="59"/>
    </row>
    <row r="2256" spans="2:13">
      <c r="B2256" s="135"/>
      <c r="C2256" s="41"/>
      <c r="D2256" s="137"/>
      <c r="E2256" s="138"/>
      <c r="F2256" s="139"/>
      <c r="G2256" s="1" t="str">
        <f>IFERROR(IF(ventas_b_mes1255[[#This Row],[CUIT]]="","-",VLOOKUP(ventas_b_mes1255[[#This Row],[CUIT]],Lista_CUIT[#All],2,0)),"CUIT NO CARGADO")</f>
        <v>-</v>
      </c>
      <c r="H2256" s="100">
        <f>ventas_b_mes1255[[#This Row],[TOTAL]]/1.21</f>
        <v>0</v>
      </c>
      <c r="I2256" s="64">
        <f>ventas_b_mes1255[[#This Row],[IMPORTE NETO]]*0.21</f>
        <v>0</v>
      </c>
      <c r="J2256" s="141"/>
      <c r="K2256" s="141"/>
      <c r="L2256" s="141"/>
      <c r="M2256" s="59"/>
    </row>
    <row r="2257" spans="2:13">
      <c r="B2257" s="135"/>
      <c r="C2257" s="41"/>
      <c r="D2257" s="137"/>
      <c r="E2257" s="138"/>
      <c r="F2257" s="139"/>
      <c r="G2257" s="1" t="str">
        <f>IFERROR(IF(ventas_b_mes1255[[#This Row],[CUIT]]="","-",VLOOKUP(ventas_b_mes1255[[#This Row],[CUIT]],Lista_CUIT[#All],2,0)),"CUIT NO CARGADO")</f>
        <v>-</v>
      </c>
      <c r="H2257" s="100">
        <f>ventas_b_mes1255[[#This Row],[TOTAL]]/1.21</f>
        <v>0</v>
      </c>
      <c r="I2257" s="64">
        <f>ventas_b_mes1255[[#This Row],[IMPORTE NETO]]*0.21</f>
        <v>0</v>
      </c>
      <c r="J2257" s="141"/>
      <c r="K2257" s="141"/>
      <c r="L2257" s="141"/>
      <c r="M2257" s="59"/>
    </row>
    <row r="2258" spans="2:13">
      <c r="B2258" s="135"/>
      <c r="C2258" s="41"/>
      <c r="D2258" s="137"/>
      <c r="E2258" s="138"/>
      <c r="F2258" s="139"/>
      <c r="G2258" s="1" t="str">
        <f>IFERROR(IF(ventas_b_mes1255[[#This Row],[CUIT]]="","-",VLOOKUP(ventas_b_mes1255[[#This Row],[CUIT]],Lista_CUIT[#All],2,0)),"CUIT NO CARGADO")</f>
        <v>-</v>
      </c>
      <c r="H2258" s="100">
        <f>ventas_b_mes1255[[#This Row],[TOTAL]]/1.21</f>
        <v>0</v>
      </c>
      <c r="I2258" s="64">
        <f>ventas_b_mes1255[[#This Row],[IMPORTE NETO]]*0.21</f>
        <v>0</v>
      </c>
      <c r="J2258" s="141"/>
      <c r="K2258" s="141"/>
      <c r="L2258" s="141"/>
      <c r="M2258" s="59"/>
    </row>
    <row r="2259" spans="2:13">
      <c r="B2259" s="135"/>
      <c r="C2259" s="41"/>
      <c r="D2259" s="137"/>
      <c r="E2259" s="138"/>
      <c r="F2259" s="139"/>
      <c r="G2259" s="1" t="str">
        <f>IFERROR(IF(ventas_b_mes1255[[#This Row],[CUIT]]="","-",VLOOKUP(ventas_b_mes1255[[#This Row],[CUIT]],Lista_CUIT[#All],2,0)),"CUIT NO CARGADO")</f>
        <v>-</v>
      </c>
      <c r="H2259" s="100">
        <f>ventas_b_mes1255[[#This Row],[TOTAL]]/1.21</f>
        <v>0</v>
      </c>
      <c r="I2259" s="64">
        <f>ventas_b_mes1255[[#This Row],[IMPORTE NETO]]*0.21</f>
        <v>0</v>
      </c>
      <c r="J2259" s="141"/>
      <c r="K2259" s="141"/>
      <c r="L2259" s="141"/>
      <c r="M2259" s="59"/>
    </row>
    <row r="2260" spans="2:13">
      <c r="B2260" s="135"/>
      <c r="C2260" s="41"/>
      <c r="D2260" s="137"/>
      <c r="E2260" s="138"/>
      <c r="F2260" s="139"/>
      <c r="G2260" s="1" t="str">
        <f>IFERROR(IF(ventas_b_mes1255[[#This Row],[CUIT]]="","-",VLOOKUP(ventas_b_mes1255[[#This Row],[CUIT]],Lista_CUIT[#All],2,0)),"CUIT NO CARGADO")</f>
        <v>-</v>
      </c>
      <c r="H2260" s="100">
        <f>ventas_b_mes1255[[#This Row],[TOTAL]]/1.21</f>
        <v>0</v>
      </c>
      <c r="I2260" s="64">
        <f>ventas_b_mes1255[[#This Row],[IMPORTE NETO]]*0.21</f>
        <v>0</v>
      </c>
      <c r="J2260" s="141"/>
      <c r="K2260" s="141"/>
      <c r="L2260" s="141"/>
      <c r="M2260" s="59"/>
    </row>
    <row r="2261" spans="2:13">
      <c r="B2261" s="135"/>
      <c r="C2261" s="41"/>
      <c r="D2261" s="137"/>
      <c r="E2261" s="138"/>
      <c r="F2261" s="139"/>
      <c r="G2261" s="1" t="str">
        <f>IFERROR(IF(ventas_b_mes1255[[#This Row],[CUIT]]="","-",VLOOKUP(ventas_b_mes1255[[#This Row],[CUIT]],Lista_CUIT[#All],2,0)),"CUIT NO CARGADO")</f>
        <v>-</v>
      </c>
      <c r="H2261" s="100">
        <f>ventas_b_mes1255[[#This Row],[TOTAL]]/1.21</f>
        <v>0</v>
      </c>
      <c r="I2261" s="64">
        <f>ventas_b_mes1255[[#This Row],[IMPORTE NETO]]*0.21</f>
        <v>0</v>
      </c>
      <c r="J2261" s="141"/>
      <c r="K2261" s="141"/>
      <c r="L2261" s="141"/>
      <c r="M2261" s="59"/>
    </row>
    <row r="2262" spans="2:13">
      <c r="B2262" s="135"/>
      <c r="C2262" s="41"/>
      <c r="D2262" s="137"/>
      <c r="E2262" s="138"/>
      <c r="F2262" s="139"/>
      <c r="G2262" s="1" t="str">
        <f>IFERROR(IF(ventas_b_mes1255[[#This Row],[CUIT]]="","-",VLOOKUP(ventas_b_mes1255[[#This Row],[CUIT]],Lista_CUIT[#All],2,0)),"CUIT NO CARGADO")</f>
        <v>-</v>
      </c>
      <c r="H2262" s="100">
        <f>ventas_b_mes1255[[#This Row],[TOTAL]]/1.21</f>
        <v>0</v>
      </c>
      <c r="I2262" s="64">
        <f>ventas_b_mes1255[[#This Row],[IMPORTE NETO]]*0.21</f>
        <v>0</v>
      </c>
      <c r="J2262" s="141"/>
      <c r="K2262" s="141"/>
      <c r="L2262" s="141"/>
      <c r="M2262" s="59"/>
    </row>
    <row r="2263" spans="2:13">
      <c r="B2263" s="135"/>
      <c r="C2263" s="41"/>
      <c r="D2263" s="137"/>
      <c r="E2263" s="138"/>
      <c r="F2263" s="139"/>
      <c r="G2263" s="1" t="str">
        <f>IFERROR(IF(ventas_b_mes1255[[#This Row],[CUIT]]="","-",VLOOKUP(ventas_b_mes1255[[#This Row],[CUIT]],Lista_CUIT[#All],2,0)),"CUIT NO CARGADO")</f>
        <v>-</v>
      </c>
      <c r="H2263" s="100">
        <f>ventas_b_mes1255[[#This Row],[TOTAL]]/1.21</f>
        <v>0</v>
      </c>
      <c r="I2263" s="64">
        <f>ventas_b_mes1255[[#This Row],[IMPORTE NETO]]*0.21</f>
        <v>0</v>
      </c>
      <c r="J2263" s="141"/>
      <c r="K2263" s="141"/>
      <c r="L2263" s="141"/>
      <c r="M2263" s="59"/>
    </row>
    <row r="2264" spans="2:13">
      <c r="B2264" s="135"/>
      <c r="C2264" s="41"/>
      <c r="D2264" s="137"/>
      <c r="E2264" s="138"/>
      <c r="F2264" s="139"/>
      <c r="G2264" s="1" t="str">
        <f>IFERROR(IF(ventas_b_mes1255[[#This Row],[CUIT]]="","-",VLOOKUP(ventas_b_mes1255[[#This Row],[CUIT]],Lista_CUIT[#All],2,0)),"CUIT NO CARGADO")</f>
        <v>-</v>
      </c>
      <c r="H2264" s="100">
        <f>ventas_b_mes1255[[#This Row],[TOTAL]]/1.21</f>
        <v>0</v>
      </c>
      <c r="I2264" s="64">
        <f>ventas_b_mes1255[[#This Row],[IMPORTE NETO]]*0.21</f>
        <v>0</v>
      </c>
      <c r="J2264" s="141"/>
      <c r="K2264" s="141"/>
      <c r="L2264" s="141"/>
      <c r="M2264" s="59"/>
    </row>
    <row r="2265" spans="2:13">
      <c r="B2265" s="135"/>
      <c r="C2265" s="41"/>
      <c r="D2265" s="137"/>
      <c r="E2265" s="138"/>
      <c r="F2265" s="139"/>
      <c r="G2265" s="1" t="str">
        <f>IFERROR(IF(ventas_b_mes1255[[#This Row],[CUIT]]="","-",VLOOKUP(ventas_b_mes1255[[#This Row],[CUIT]],Lista_CUIT[#All],2,0)),"CUIT NO CARGADO")</f>
        <v>-</v>
      </c>
      <c r="H2265" s="100">
        <f>ventas_b_mes1255[[#This Row],[TOTAL]]/1.21</f>
        <v>0</v>
      </c>
      <c r="I2265" s="64">
        <f>ventas_b_mes1255[[#This Row],[IMPORTE NETO]]*0.21</f>
        <v>0</v>
      </c>
      <c r="J2265" s="141"/>
      <c r="K2265" s="141"/>
      <c r="L2265" s="141"/>
      <c r="M2265" s="59"/>
    </row>
    <row r="2266" spans="2:13">
      <c r="B2266" s="135"/>
      <c r="C2266" s="41"/>
      <c r="D2266" s="137"/>
      <c r="E2266" s="138"/>
      <c r="F2266" s="139"/>
      <c r="G2266" s="1" t="str">
        <f>IFERROR(IF(ventas_b_mes1255[[#This Row],[CUIT]]="","-",VLOOKUP(ventas_b_mes1255[[#This Row],[CUIT]],Lista_CUIT[#All],2,0)),"CUIT NO CARGADO")</f>
        <v>-</v>
      </c>
      <c r="H2266" s="100">
        <f>ventas_b_mes1255[[#This Row],[TOTAL]]/1.21</f>
        <v>0</v>
      </c>
      <c r="I2266" s="64">
        <f>ventas_b_mes1255[[#This Row],[IMPORTE NETO]]*0.21</f>
        <v>0</v>
      </c>
      <c r="J2266" s="141"/>
      <c r="K2266" s="141"/>
      <c r="L2266" s="141"/>
      <c r="M2266" s="59"/>
    </row>
    <row r="2267" spans="2:13">
      <c r="B2267" s="135"/>
      <c r="C2267" s="41"/>
      <c r="D2267" s="137"/>
      <c r="E2267" s="138"/>
      <c r="F2267" s="139"/>
      <c r="G2267" s="1" t="str">
        <f>IFERROR(IF(ventas_b_mes1255[[#This Row],[CUIT]]="","-",VLOOKUP(ventas_b_mes1255[[#This Row],[CUIT]],Lista_CUIT[#All],2,0)),"CUIT NO CARGADO")</f>
        <v>-</v>
      </c>
      <c r="H2267" s="100">
        <f>ventas_b_mes1255[[#This Row],[TOTAL]]/1.21</f>
        <v>0</v>
      </c>
      <c r="I2267" s="64">
        <f>ventas_b_mes1255[[#This Row],[IMPORTE NETO]]*0.21</f>
        <v>0</v>
      </c>
      <c r="J2267" s="141"/>
      <c r="K2267" s="141"/>
      <c r="L2267" s="141"/>
      <c r="M2267" s="59"/>
    </row>
    <row r="2268" spans="2:13">
      <c r="B2268" s="135"/>
      <c r="C2268" s="41"/>
      <c r="D2268" s="137"/>
      <c r="E2268" s="138"/>
      <c r="F2268" s="139"/>
      <c r="G2268" s="1" t="str">
        <f>IFERROR(IF(ventas_b_mes1255[[#This Row],[CUIT]]="","-",VLOOKUP(ventas_b_mes1255[[#This Row],[CUIT]],Lista_CUIT[#All],2,0)),"CUIT NO CARGADO")</f>
        <v>-</v>
      </c>
      <c r="H2268" s="100">
        <f>ventas_b_mes1255[[#This Row],[TOTAL]]/1.21</f>
        <v>0</v>
      </c>
      <c r="I2268" s="64">
        <f>ventas_b_mes1255[[#This Row],[IMPORTE NETO]]*0.21</f>
        <v>0</v>
      </c>
      <c r="J2268" s="141"/>
      <c r="K2268" s="141"/>
      <c r="L2268" s="141"/>
      <c r="M2268" s="59"/>
    </row>
    <row r="2269" spans="2:13">
      <c r="B2269" s="135"/>
      <c r="C2269" s="41"/>
      <c r="D2269" s="137"/>
      <c r="E2269" s="138"/>
      <c r="F2269" s="139"/>
      <c r="G2269" s="1" t="str">
        <f>IFERROR(IF(ventas_b_mes1255[[#This Row],[CUIT]]="","-",VLOOKUP(ventas_b_mes1255[[#This Row],[CUIT]],Lista_CUIT[#All],2,0)),"CUIT NO CARGADO")</f>
        <v>-</v>
      </c>
      <c r="H2269" s="100">
        <f>ventas_b_mes1255[[#This Row],[TOTAL]]/1.21</f>
        <v>0</v>
      </c>
      <c r="I2269" s="64">
        <f>ventas_b_mes1255[[#This Row],[IMPORTE NETO]]*0.21</f>
        <v>0</v>
      </c>
      <c r="J2269" s="141"/>
      <c r="K2269" s="141"/>
      <c r="L2269" s="141"/>
      <c r="M2269" s="59"/>
    </row>
    <row r="2270" spans="2:13">
      <c r="B2270" s="135"/>
      <c r="C2270" s="41"/>
      <c r="D2270" s="137"/>
      <c r="E2270" s="138"/>
      <c r="F2270" s="139"/>
      <c r="G2270" s="1" t="str">
        <f>IFERROR(IF(ventas_b_mes1255[[#This Row],[CUIT]]="","-",VLOOKUP(ventas_b_mes1255[[#This Row],[CUIT]],Lista_CUIT[#All],2,0)),"CUIT NO CARGADO")</f>
        <v>-</v>
      </c>
      <c r="H2270" s="100">
        <f>ventas_b_mes1255[[#This Row],[TOTAL]]/1.21</f>
        <v>0</v>
      </c>
      <c r="I2270" s="64">
        <f>ventas_b_mes1255[[#This Row],[IMPORTE NETO]]*0.21</f>
        <v>0</v>
      </c>
      <c r="J2270" s="141"/>
      <c r="K2270" s="141"/>
      <c r="L2270" s="141"/>
      <c r="M2270" s="59"/>
    </row>
    <row r="2271" spans="2:13">
      <c r="B2271" s="135"/>
      <c r="C2271" s="41"/>
      <c r="D2271" s="137"/>
      <c r="E2271" s="138"/>
      <c r="F2271" s="139"/>
      <c r="G2271" s="1" t="str">
        <f>IFERROR(IF(ventas_b_mes1255[[#This Row],[CUIT]]="","-",VLOOKUP(ventas_b_mes1255[[#This Row],[CUIT]],Lista_CUIT[#All],2,0)),"CUIT NO CARGADO")</f>
        <v>-</v>
      </c>
      <c r="H2271" s="100">
        <f>ventas_b_mes1255[[#This Row],[TOTAL]]/1.21</f>
        <v>0</v>
      </c>
      <c r="I2271" s="64">
        <f>ventas_b_mes1255[[#This Row],[IMPORTE NETO]]*0.21</f>
        <v>0</v>
      </c>
      <c r="J2271" s="141"/>
      <c r="K2271" s="141"/>
      <c r="L2271" s="141"/>
      <c r="M2271" s="59"/>
    </row>
    <row r="2272" spans="2:13">
      <c r="B2272" s="135"/>
      <c r="C2272" s="41"/>
      <c r="D2272" s="137"/>
      <c r="E2272" s="138"/>
      <c r="F2272" s="139"/>
      <c r="G2272" s="1" t="str">
        <f>IFERROR(IF(ventas_b_mes1255[[#This Row],[CUIT]]="","-",VLOOKUP(ventas_b_mes1255[[#This Row],[CUIT]],Lista_CUIT[#All],2,0)),"CUIT NO CARGADO")</f>
        <v>-</v>
      </c>
      <c r="H2272" s="100">
        <f>ventas_b_mes1255[[#This Row],[TOTAL]]/1.21</f>
        <v>0</v>
      </c>
      <c r="I2272" s="64">
        <f>ventas_b_mes1255[[#This Row],[IMPORTE NETO]]*0.21</f>
        <v>0</v>
      </c>
      <c r="J2272" s="141"/>
      <c r="K2272" s="141"/>
      <c r="L2272" s="141"/>
      <c r="M2272" s="59"/>
    </row>
    <row r="2273" spans="2:13">
      <c r="B2273" s="135"/>
      <c r="C2273" s="41"/>
      <c r="D2273" s="137"/>
      <c r="E2273" s="138"/>
      <c r="F2273" s="139"/>
      <c r="G2273" s="1" t="str">
        <f>IFERROR(IF(ventas_b_mes1255[[#This Row],[CUIT]]="","-",VLOOKUP(ventas_b_mes1255[[#This Row],[CUIT]],Lista_CUIT[#All],2,0)),"CUIT NO CARGADO")</f>
        <v>-</v>
      </c>
      <c r="H2273" s="100">
        <f>ventas_b_mes1255[[#This Row],[TOTAL]]/1.21</f>
        <v>0</v>
      </c>
      <c r="I2273" s="64">
        <f>ventas_b_mes1255[[#This Row],[IMPORTE NETO]]*0.21</f>
        <v>0</v>
      </c>
      <c r="J2273" s="141"/>
      <c r="K2273" s="141"/>
      <c r="L2273" s="141"/>
      <c r="M2273" s="59"/>
    </row>
    <row r="2274" spans="2:13">
      <c r="B2274" s="135"/>
      <c r="C2274" s="41"/>
      <c r="D2274" s="137"/>
      <c r="E2274" s="138"/>
      <c r="F2274" s="139"/>
      <c r="G2274" s="1" t="str">
        <f>IFERROR(IF(ventas_b_mes1255[[#This Row],[CUIT]]="","-",VLOOKUP(ventas_b_mes1255[[#This Row],[CUIT]],Lista_CUIT[#All],2,0)),"CUIT NO CARGADO")</f>
        <v>-</v>
      </c>
      <c r="H2274" s="100">
        <f>ventas_b_mes1255[[#This Row],[TOTAL]]/1.21</f>
        <v>0</v>
      </c>
      <c r="I2274" s="64">
        <f>ventas_b_mes1255[[#This Row],[IMPORTE NETO]]*0.21</f>
        <v>0</v>
      </c>
      <c r="J2274" s="141"/>
      <c r="K2274" s="141"/>
      <c r="L2274" s="141"/>
      <c r="M2274" s="59"/>
    </row>
    <row r="2275" spans="2:13">
      <c r="B2275" s="135"/>
      <c r="C2275" s="41"/>
      <c r="D2275" s="137"/>
      <c r="E2275" s="138"/>
      <c r="F2275" s="139"/>
      <c r="G2275" s="1" t="str">
        <f>IFERROR(IF(ventas_b_mes1255[[#This Row],[CUIT]]="","-",VLOOKUP(ventas_b_mes1255[[#This Row],[CUIT]],Lista_CUIT[#All],2,0)),"CUIT NO CARGADO")</f>
        <v>-</v>
      </c>
      <c r="H2275" s="100">
        <f>ventas_b_mes1255[[#This Row],[TOTAL]]/1.21</f>
        <v>0</v>
      </c>
      <c r="I2275" s="64">
        <f>ventas_b_mes1255[[#This Row],[IMPORTE NETO]]*0.21</f>
        <v>0</v>
      </c>
      <c r="J2275" s="141"/>
      <c r="K2275" s="141"/>
      <c r="L2275" s="141"/>
      <c r="M2275" s="59"/>
    </row>
    <row r="2276" spans="2:13">
      <c r="B2276" s="135"/>
      <c r="C2276" s="41"/>
      <c r="D2276" s="137"/>
      <c r="E2276" s="138"/>
      <c r="F2276" s="139"/>
      <c r="G2276" s="1" t="str">
        <f>IFERROR(IF(ventas_b_mes1255[[#This Row],[CUIT]]="","-",VLOOKUP(ventas_b_mes1255[[#This Row],[CUIT]],Lista_CUIT[#All],2,0)),"CUIT NO CARGADO")</f>
        <v>-</v>
      </c>
      <c r="H2276" s="100">
        <f>ventas_b_mes1255[[#This Row],[TOTAL]]/1.21</f>
        <v>0</v>
      </c>
      <c r="I2276" s="64">
        <f>ventas_b_mes1255[[#This Row],[IMPORTE NETO]]*0.21</f>
        <v>0</v>
      </c>
      <c r="J2276" s="141"/>
      <c r="K2276" s="141"/>
      <c r="L2276" s="141"/>
      <c r="M2276" s="59"/>
    </row>
    <row r="2277" spans="2:13">
      <c r="B2277" s="135"/>
      <c r="C2277" s="41"/>
      <c r="D2277" s="137"/>
      <c r="E2277" s="138"/>
      <c r="F2277" s="139"/>
      <c r="G2277" s="1" t="str">
        <f>IFERROR(IF(ventas_b_mes1255[[#This Row],[CUIT]]="","-",VLOOKUP(ventas_b_mes1255[[#This Row],[CUIT]],Lista_CUIT[#All],2,0)),"CUIT NO CARGADO")</f>
        <v>-</v>
      </c>
      <c r="H2277" s="100">
        <f>ventas_b_mes1255[[#This Row],[TOTAL]]/1.21</f>
        <v>0</v>
      </c>
      <c r="I2277" s="64">
        <f>ventas_b_mes1255[[#This Row],[IMPORTE NETO]]*0.21</f>
        <v>0</v>
      </c>
      <c r="J2277" s="141"/>
      <c r="K2277" s="141"/>
      <c r="L2277" s="141"/>
      <c r="M2277" s="59"/>
    </row>
    <row r="2278" spans="2:13">
      <c r="B2278" s="135"/>
      <c r="C2278" s="41"/>
      <c r="D2278" s="137"/>
      <c r="E2278" s="138"/>
      <c r="F2278" s="139"/>
      <c r="G2278" s="1" t="str">
        <f>IFERROR(IF(ventas_b_mes1255[[#This Row],[CUIT]]="","-",VLOOKUP(ventas_b_mes1255[[#This Row],[CUIT]],Lista_CUIT[#All],2,0)),"CUIT NO CARGADO")</f>
        <v>-</v>
      </c>
      <c r="H2278" s="100">
        <f>ventas_b_mes1255[[#This Row],[TOTAL]]/1.21</f>
        <v>0</v>
      </c>
      <c r="I2278" s="64">
        <f>ventas_b_mes1255[[#This Row],[IMPORTE NETO]]*0.21</f>
        <v>0</v>
      </c>
      <c r="J2278" s="141"/>
      <c r="K2278" s="141"/>
      <c r="L2278" s="141"/>
      <c r="M2278" s="59"/>
    </row>
    <row r="2279" spans="2:13">
      <c r="B2279" s="135"/>
      <c r="C2279" s="41"/>
      <c r="D2279" s="137"/>
      <c r="E2279" s="138"/>
      <c r="F2279" s="139"/>
      <c r="G2279" s="1" t="str">
        <f>IFERROR(IF(ventas_b_mes1255[[#This Row],[CUIT]]="","-",VLOOKUP(ventas_b_mes1255[[#This Row],[CUIT]],Lista_CUIT[#All],2,0)),"CUIT NO CARGADO")</f>
        <v>-</v>
      </c>
      <c r="H2279" s="100">
        <f>ventas_b_mes1255[[#This Row],[TOTAL]]/1.21</f>
        <v>0</v>
      </c>
      <c r="I2279" s="64">
        <f>ventas_b_mes1255[[#This Row],[IMPORTE NETO]]*0.21</f>
        <v>0</v>
      </c>
      <c r="J2279" s="141"/>
      <c r="K2279" s="141"/>
      <c r="L2279" s="141"/>
      <c r="M2279" s="59"/>
    </row>
    <row r="2280" spans="2:13">
      <c r="B2280" s="135"/>
      <c r="C2280" s="41"/>
      <c r="D2280" s="137"/>
      <c r="E2280" s="138"/>
      <c r="F2280" s="139"/>
      <c r="G2280" s="1" t="str">
        <f>IFERROR(IF(ventas_b_mes1255[[#This Row],[CUIT]]="","-",VLOOKUP(ventas_b_mes1255[[#This Row],[CUIT]],Lista_CUIT[#All],2,0)),"CUIT NO CARGADO")</f>
        <v>-</v>
      </c>
      <c r="H2280" s="100">
        <f>ventas_b_mes1255[[#This Row],[TOTAL]]/1.21</f>
        <v>0</v>
      </c>
      <c r="I2280" s="64">
        <f>ventas_b_mes1255[[#This Row],[IMPORTE NETO]]*0.21</f>
        <v>0</v>
      </c>
      <c r="J2280" s="141"/>
      <c r="K2280" s="141"/>
      <c r="L2280" s="141"/>
      <c r="M2280" s="59"/>
    </row>
    <row r="2281" spans="2:13">
      <c r="B2281" s="135"/>
      <c r="C2281" s="41"/>
      <c r="D2281" s="137"/>
      <c r="E2281" s="138"/>
      <c r="F2281" s="139"/>
      <c r="G2281" s="1" t="str">
        <f>IFERROR(IF(ventas_b_mes1255[[#This Row],[CUIT]]="","-",VLOOKUP(ventas_b_mes1255[[#This Row],[CUIT]],Lista_CUIT[#All],2,0)),"CUIT NO CARGADO")</f>
        <v>-</v>
      </c>
      <c r="H2281" s="100">
        <f>ventas_b_mes1255[[#This Row],[TOTAL]]/1.21</f>
        <v>0</v>
      </c>
      <c r="I2281" s="64">
        <f>ventas_b_mes1255[[#This Row],[IMPORTE NETO]]*0.21</f>
        <v>0</v>
      </c>
      <c r="J2281" s="141"/>
      <c r="K2281" s="141"/>
      <c r="L2281" s="141"/>
      <c r="M2281" s="59"/>
    </row>
    <row r="2282" spans="2:13">
      <c r="B2282" s="135"/>
      <c r="C2282" s="41"/>
      <c r="D2282" s="137"/>
      <c r="E2282" s="138"/>
      <c r="F2282" s="139"/>
      <c r="G2282" s="1" t="str">
        <f>IFERROR(IF(ventas_b_mes1255[[#This Row],[CUIT]]="","-",VLOOKUP(ventas_b_mes1255[[#This Row],[CUIT]],Lista_CUIT[#All],2,0)),"CUIT NO CARGADO")</f>
        <v>-</v>
      </c>
      <c r="H2282" s="100">
        <f>ventas_b_mes1255[[#This Row],[TOTAL]]/1.21</f>
        <v>0</v>
      </c>
      <c r="I2282" s="64">
        <f>ventas_b_mes1255[[#This Row],[IMPORTE NETO]]*0.21</f>
        <v>0</v>
      </c>
      <c r="J2282" s="141"/>
      <c r="K2282" s="141"/>
      <c r="L2282" s="141"/>
      <c r="M2282" s="59"/>
    </row>
    <row r="2283" spans="2:13">
      <c r="B2283" s="135"/>
      <c r="C2283" s="41"/>
      <c r="D2283" s="137"/>
      <c r="E2283" s="138"/>
      <c r="F2283" s="139"/>
      <c r="G2283" s="1" t="str">
        <f>IFERROR(IF(ventas_b_mes1255[[#This Row],[CUIT]]="","-",VLOOKUP(ventas_b_mes1255[[#This Row],[CUIT]],Lista_CUIT[#All],2,0)),"CUIT NO CARGADO")</f>
        <v>-</v>
      </c>
      <c r="H2283" s="100">
        <f>ventas_b_mes1255[[#This Row],[TOTAL]]/1.21</f>
        <v>0</v>
      </c>
      <c r="I2283" s="64">
        <f>ventas_b_mes1255[[#This Row],[IMPORTE NETO]]*0.21</f>
        <v>0</v>
      </c>
      <c r="J2283" s="141"/>
      <c r="K2283" s="141"/>
      <c r="L2283" s="141"/>
      <c r="M2283" s="59"/>
    </row>
    <row r="2284" spans="2:13">
      <c r="B2284" s="135"/>
      <c r="C2284" s="41"/>
      <c r="D2284" s="137"/>
      <c r="E2284" s="138"/>
      <c r="F2284" s="139"/>
      <c r="G2284" s="1" t="str">
        <f>IFERROR(IF(ventas_b_mes1255[[#This Row],[CUIT]]="","-",VLOOKUP(ventas_b_mes1255[[#This Row],[CUIT]],Lista_CUIT[#All],2,0)),"CUIT NO CARGADO")</f>
        <v>-</v>
      </c>
      <c r="H2284" s="100">
        <f>ventas_b_mes1255[[#This Row],[TOTAL]]/1.21</f>
        <v>0</v>
      </c>
      <c r="I2284" s="64">
        <f>ventas_b_mes1255[[#This Row],[IMPORTE NETO]]*0.21</f>
        <v>0</v>
      </c>
      <c r="J2284" s="141"/>
      <c r="K2284" s="141"/>
      <c r="L2284" s="141"/>
      <c r="M2284" s="59"/>
    </row>
    <row r="2285" spans="2:13">
      <c r="B2285" s="135"/>
      <c r="C2285" s="41"/>
      <c r="D2285" s="137"/>
      <c r="E2285" s="138"/>
      <c r="F2285" s="139"/>
      <c r="G2285" s="1" t="str">
        <f>IFERROR(IF(ventas_b_mes1255[[#This Row],[CUIT]]="","-",VLOOKUP(ventas_b_mes1255[[#This Row],[CUIT]],Lista_CUIT[#All],2,0)),"CUIT NO CARGADO")</f>
        <v>-</v>
      </c>
      <c r="H2285" s="100">
        <f>ventas_b_mes1255[[#This Row],[TOTAL]]/1.21</f>
        <v>0</v>
      </c>
      <c r="I2285" s="64">
        <f>ventas_b_mes1255[[#This Row],[IMPORTE NETO]]*0.21</f>
        <v>0</v>
      </c>
      <c r="J2285" s="141"/>
      <c r="K2285" s="141"/>
      <c r="L2285" s="141"/>
      <c r="M2285" s="59"/>
    </row>
    <row r="2286" spans="2:13">
      <c r="B2286" s="135"/>
      <c r="C2286" s="41"/>
      <c r="D2286" s="137"/>
      <c r="E2286" s="138"/>
      <c r="F2286" s="139"/>
      <c r="G2286" s="1" t="str">
        <f>IFERROR(IF(ventas_b_mes1255[[#This Row],[CUIT]]="","-",VLOOKUP(ventas_b_mes1255[[#This Row],[CUIT]],Lista_CUIT[#All],2,0)),"CUIT NO CARGADO")</f>
        <v>-</v>
      </c>
      <c r="H2286" s="100">
        <f>ventas_b_mes1255[[#This Row],[TOTAL]]/1.21</f>
        <v>0</v>
      </c>
      <c r="I2286" s="64">
        <f>ventas_b_mes1255[[#This Row],[IMPORTE NETO]]*0.21</f>
        <v>0</v>
      </c>
      <c r="J2286" s="141"/>
      <c r="K2286" s="141"/>
      <c r="L2286" s="141"/>
      <c r="M2286" s="59"/>
    </row>
    <row r="2287" spans="2:13">
      <c r="B2287" s="135"/>
      <c r="C2287" s="41"/>
      <c r="D2287" s="137"/>
      <c r="E2287" s="138"/>
      <c r="F2287" s="139"/>
      <c r="G2287" s="1" t="str">
        <f>IFERROR(IF(ventas_b_mes1255[[#This Row],[CUIT]]="","-",VLOOKUP(ventas_b_mes1255[[#This Row],[CUIT]],Lista_CUIT[#All],2,0)),"CUIT NO CARGADO")</f>
        <v>-</v>
      </c>
      <c r="H2287" s="100">
        <f>ventas_b_mes1255[[#This Row],[TOTAL]]/1.21</f>
        <v>0</v>
      </c>
      <c r="I2287" s="64">
        <f>ventas_b_mes1255[[#This Row],[IMPORTE NETO]]*0.21</f>
        <v>0</v>
      </c>
      <c r="J2287" s="141"/>
      <c r="K2287" s="141"/>
      <c r="L2287" s="141"/>
      <c r="M2287" s="59"/>
    </row>
    <row r="2288" spans="2:13">
      <c r="B2288" s="135"/>
      <c r="C2288" s="41"/>
      <c r="D2288" s="137"/>
      <c r="E2288" s="138"/>
      <c r="F2288" s="139"/>
      <c r="G2288" s="1" t="str">
        <f>IFERROR(IF(ventas_b_mes1255[[#This Row],[CUIT]]="","-",VLOOKUP(ventas_b_mes1255[[#This Row],[CUIT]],Lista_CUIT[#All],2,0)),"CUIT NO CARGADO")</f>
        <v>-</v>
      </c>
      <c r="H2288" s="100">
        <f>ventas_b_mes1255[[#This Row],[TOTAL]]/1.21</f>
        <v>0</v>
      </c>
      <c r="I2288" s="64">
        <f>ventas_b_mes1255[[#This Row],[IMPORTE NETO]]*0.21</f>
        <v>0</v>
      </c>
      <c r="J2288" s="141"/>
      <c r="K2288" s="141"/>
      <c r="L2288" s="141"/>
      <c r="M2288" s="59"/>
    </row>
    <row r="2289" spans="2:13">
      <c r="B2289" s="135"/>
      <c r="C2289" s="41"/>
      <c r="D2289" s="137"/>
      <c r="E2289" s="138"/>
      <c r="F2289" s="139"/>
      <c r="G2289" s="1" t="str">
        <f>IFERROR(IF(ventas_b_mes1255[[#This Row],[CUIT]]="","-",VLOOKUP(ventas_b_mes1255[[#This Row],[CUIT]],Lista_CUIT[#All],2,0)),"CUIT NO CARGADO")</f>
        <v>-</v>
      </c>
      <c r="H2289" s="100">
        <f>ventas_b_mes1255[[#This Row],[TOTAL]]/1.21</f>
        <v>0</v>
      </c>
      <c r="I2289" s="64">
        <f>ventas_b_mes1255[[#This Row],[IMPORTE NETO]]*0.21</f>
        <v>0</v>
      </c>
      <c r="J2289" s="141"/>
      <c r="K2289" s="141"/>
      <c r="L2289" s="141"/>
      <c r="M2289" s="59"/>
    </row>
    <row r="2290" spans="2:13">
      <c r="B2290" s="135"/>
      <c r="C2290" s="41"/>
      <c r="D2290" s="137"/>
      <c r="E2290" s="138"/>
      <c r="F2290" s="139"/>
      <c r="G2290" s="1" t="str">
        <f>IFERROR(IF(ventas_b_mes1255[[#This Row],[CUIT]]="","-",VLOOKUP(ventas_b_mes1255[[#This Row],[CUIT]],Lista_CUIT[#All],2,0)),"CUIT NO CARGADO")</f>
        <v>-</v>
      </c>
      <c r="H2290" s="100">
        <f>ventas_b_mes1255[[#This Row],[TOTAL]]/1.21</f>
        <v>0</v>
      </c>
      <c r="I2290" s="64">
        <f>ventas_b_mes1255[[#This Row],[IMPORTE NETO]]*0.21</f>
        <v>0</v>
      </c>
      <c r="J2290" s="141"/>
      <c r="K2290" s="141"/>
      <c r="L2290" s="141"/>
      <c r="M2290" s="59"/>
    </row>
    <row r="2291" spans="2:13">
      <c r="B2291" s="135"/>
      <c r="C2291" s="41"/>
      <c r="D2291" s="137"/>
      <c r="E2291" s="138"/>
      <c r="F2291" s="139"/>
      <c r="G2291" s="1" t="str">
        <f>IFERROR(IF(ventas_b_mes1255[[#This Row],[CUIT]]="","-",VLOOKUP(ventas_b_mes1255[[#This Row],[CUIT]],Lista_CUIT[#All],2,0)),"CUIT NO CARGADO")</f>
        <v>-</v>
      </c>
      <c r="H2291" s="100">
        <f>ventas_b_mes1255[[#This Row],[TOTAL]]/1.21</f>
        <v>0</v>
      </c>
      <c r="I2291" s="64">
        <f>ventas_b_mes1255[[#This Row],[IMPORTE NETO]]*0.21</f>
        <v>0</v>
      </c>
      <c r="J2291" s="141"/>
      <c r="K2291" s="141"/>
      <c r="L2291" s="141"/>
      <c r="M2291" s="59"/>
    </row>
    <row r="2292" spans="2:13">
      <c r="B2292" s="135"/>
      <c r="C2292" s="41"/>
      <c r="D2292" s="137"/>
      <c r="E2292" s="138"/>
      <c r="F2292" s="139"/>
      <c r="G2292" s="1" t="str">
        <f>IFERROR(IF(ventas_b_mes1255[[#This Row],[CUIT]]="","-",VLOOKUP(ventas_b_mes1255[[#This Row],[CUIT]],Lista_CUIT[#All],2,0)),"CUIT NO CARGADO")</f>
        <v>-</v>
      </c>
      <c r="H2292" s="100">
        <f>ventas_b_mes1255[[#This Row],[TOTAL]]/1.21</f>
        <v>0</v>
      </c>
      <c r="I2292" s="64">
        <f>ventas_b_mes1255[[#This Row],[IMPORTE NETO]]*0.21</f>
        <v>0</v>
      </c>
      <c r="J2292" s="141"/>
      <c r="K2292" s="141"/>
      <c r="L2292" s="141"/>
      <c r="M2292" s="59"/>
    </row>
    <row r="2293" spans="2:13">
      <c r="B2293" s="135"/>
      <c r="C2293" s="41"/>
      <c r="D2293" s="137"/>
      <c r="E2293" s="138"/>
      <c r="F2293" s="139"/>
      <c r="G2293" s="1" t="str">
        <f>IFERROR(IF(ventas_b_mes1255[[#This Row],[CUIT]]="","-",VLOOKUP(ventas_b_mes1255[[#This Row],[CUIT]],Lista_CUIT[#All],2,0)),"CUIT NO CARGADO")</f>
        <v>-</v>
      </c>
      <c r="H2293" s="100">
        <f>ventas_b_mes1255[[#This Row],[TOTAL]]/1.21</f>
        <v>0</v>
      </c>
      <c r="I2293" s="64">
        <f>ventas_b_mes1255[[#This Row],[IMPORTE NETO]]*0.21</f>
        <v>0</v>
      </c>
      <c r="J2293" s="141"/>
      <c r="K2293" s="141"/>
      <c r="L2293" s="141"/>
      <c r="M2293" s="59"/>
    </row>
    <row r="2294" spans="2:13">
      <c r="B2294" s="135"/>
      <c r="C2294" s="41"/>
      <c r="D2294" s="137"/>
      <c r="E2294" s="138"/>
      <c r="F2294" s="139"/>
      <c r="G2294" s="1" t="str">
        <f>IFERROR(IF(ventas_b_mes1255[[#This Row],[CUIT]]="","-",VLOOKUP(ventas_b_mes1255[[#This Row],[CUIT]],Lista_CUIT[#All],2,0)),"CUIT NO CARGADO")</f>
        <v>-</v>
      </c>
      <c r="H2294" s="100">
        <f>ventas_b_mes1255[[#This Row],[TOTAL]]/1.21</f>
        <v>0</v>
      </c>
      <c r="I2294" s="64">
        <f>ventas_b_mes1255[[#This Row],[IMPORTE NETO]]*0.21</f>
        <v>0</v>
      </c>
      <c r="J2294" s="141"/>
      <c r="K2294" s="141"/>
      <c r="L2294" s="141"/>
      <c r="M2294" s="59"/>
    </row>
    <row r="2295" spans="2:13">
      <c r="B2295" s="135"/>
      <c r="C2295" s="41"/>
      <c r="D2295" s="137"/>
      <c r="E2295" s="138"/>
      <c r="F2295" s="139"/>
      <c r="G2295" s="1" t="str">
        <f>IFERROR(IF(ventas_b_mes1255[[#This Row],[CUIT]]="","-",VLOOKUP(ventas_b_mes1255[[#This Row],[CUIT]],Lista_CUIT[#All],2,0)),"CUIT NO CARGADO")</f>
        <v>-</v>
      </c>
      <c r="H2295" s="100">
        <f>ventas_b_mes1255[[#This Row],[TOTAL]]/1.21</f>
        <v>0</v>
      </c>
      <c r="I2295" s="64">
        <f>ventas_b_mes1255[[#This Row],[IMPORTE NETO]]*0.21</f>
        <v>0</v>
      </c>
      <c r="J2295" s="141"/>
      <c r="K2295" s="141"/>
      <c r="L2295" s="141"/>
      <c r="M2295" s="59"/>
    </row>
    <row r="2296" spans="2:13">
      <c r="B2296" s="135"/>
      <c r="C2296" s="41"/>
      <c r="D2296" s="137"/>
      <c r="E2296" s="138"/>
      <c r="F2296" s="139"/>
      <c r="G2296" s="1" t="str">
        <f>IFERROR(IF(ventas_b_mes1255[[#This Row],[CUIT]]="","-",VLOOKUP(ventas_b_mes1255[[#This Row],[CUIT]],Lista_CUIT[#All],2,0)),"CUIT NO CARGADO")</f>
        <v>-</v>
      </c>
      <c r="H2296" s="100">
        <f>ventas_b_mes1255[[#This Row],[TOTAL]]/1.21</f>
        <v>0</v>
      </c>
      <c r="I2296" s="64">
        <f>ventas_b_mes1255[[#This Row],[IMPORTE NETO]]*0.21</f>
        <v>0</v>
      </c>
      <c r="J2296" s="141"/>
      <c r="K2296" s="141"/>
      <c r="L2296" s="141"/>
      <c r="M2296" s="59"/>
    </row>
    <row r="2297" spans="2:13">
      <c r="B2297" s="135"/>
      <c r="C2297" s="41"/>
      <c r="D2297" s="137"/>
      <c r="E2297" s="138"/>
      <c r="F2297" s="139"/>
      <c r="G2297" s="1" t="str">
        <f>IFERROR(IF(ventas_b_mes1255[[#This Row],[CUIT]]="","-",VLOOKUP(ventas_b_mes1255[[#This Row],[CUIT]],Lista_CUIT[#All],2,0)),"CUIT NO CARGADO")</f>
        <v>-</v>
      </c>
      <c r="H2297" s="100">
        <f>ventas_b_mes1255[[#This Row],[TOTAL]]/1.21</f>
        <v>0</v>
      </c>
      <c r="I2297" s="64">
        <f>ventas_b_mes1255[[#This Row],[IMPORTE NETO]]*0.21</f>
        <v>0</v>
      </c>
      <c r="J2297" s="141"/>
      <c r="K2297" s="141"/>
      <c r="L2297" s="141"/>
      <c r="M2297" s="59"/>
    </row>
    <row r="2298" spans="2:13">
      <c r="B2298" s="135"/>
      <c r="C2298" s="41"/>
      <c r="D2298" s="137"/>
      <c r="E2298" s="138"/>
      <c r="F2298" s="139"/>
      <c r="G2298" s="1" t="str">
        <f>IFERROR(IF(ventas_b_mes1255[[#This Row],[CUIT]]="","-",VLOOKUP(ventas_b_mes1255[[#This Row],[CUIT]],Lista_CUIT[#All],2,0)),"CUIT NO CARGADO")</f>
        <v>-</v>
      </c>
      <c r="H2298" s="100">
        <f>ventas_b_mes1255[[#This Row],[TOTAL]]/1.21</f>
        <v>0</v>
      </c>
      <c r="I2298" s="64">
        <f>ventas_b_mes1255[[#This Row],[IMPORTE NETO]]*0.21</f>
        <v>0</v>
      </c>
      <c r="J2298" s="141"/>
      <c r="K2298" s="141"/>
      <c r="L2298" s="141"/>
      <c r="M2298" s="59"/>
    </row>
    <row r="2299" spans="2:13">
      <c r="B2299" s="135"/>
      <c r="C2299" s="41"/>
      <c r="D2299" s="137"/>
      <c r="E2299" s="138"/>
      <c r="F2299" s="139"/>
      <c r="G2299" s="1" t="str">
        <f>IFERROR(IF(ventas_b_mes1255[[#This Row],[CUIT]]="","-",VLOOKUP(ventas_b_mes1255[[#This Row],[CUIT]],Lista_CUIT[#All],2,0)),"CUIT NO CARGADO")</f>
        <v>-</v>
      </c>
      <c r="H2299" s="100">
        <f>ventas_b_mes1255[[#This Row],[TOTAL]]/1.21</f>
        <v>0</v>
      </c>
      <c r="I2299" s="64">
        <f>ventas_b_mes1255[[#This Row],[IMPORTE NETO]]*0.21</f>
        <v>0</v>
      </c>
      <c r="J2299" s="141"/>
      <c r="K2299" s="141"/>
      <c r="L2299" s="141"/>
      <c r="M2299" s="59"/>
    </row>
    <row r="2300" spans="2:13">
      <c r="B2300" s="135"/>
      <c r="C2300" s="41"/>
      <c r="D2300" s="137"/>
      <c r="E2300" s="138"/>
      <c r="F2300" s="139"/>
      <c r="G2300" s="1" t="str">
        <f>IFERROR(IF(ventas_b_mes1255[[#This Row],[CUIT]]="","-",VLOOKUP(ventas_b_mes1255[[#This Row],[CUIT]],Lista_CUIT[#All],2,0)),"CUIT NO CARGADO")</f>
        <v>-</v>
      </c>
      <c r="H2300" s="100">
        <f>ventas_b_mes1255[[#This Row],[TOTAL]]/1.21</f>
        <v>0</v>
      </c>
      <c r="I2300" s="64">
        <f>ventas_b_mes1255[[#This Row],[IMPORTE NETO]]*0.21</f>
        <v>0</v>
      </c>
      <c r="J2300" s="141"/>
      <c r="K2300" s="141"/>
      <c r="L2300" s="141"/>
      <c r="M2300" s="59"/>
    </row>
    <row r="2301" spans="2:13">
      <c r="B2301" s="135"/>
      <c r="C2301" s="41"/>
      <c r="D2301" s="137"/>
      <c r="E2301" s="138"/>
      <c r="F2301" s="139"/>
      <c r="G2301" s="1" t="str">
        <f>IFERROR(IF(ventas_b_mes1255[[#This Row],[CUIT]]="","-",VLOOKUP(ventas_b_mes1255[[#This Row],[CUIT]],Lista_CUIT[#All],2,0)),"CUIT NO CARGADO")</f>
        <v>-</v>
      </c>
      <c r="H2301" s="100">
        <f>ventas_b_mes1255[[#This Row],[TOTAL]]/1.21</f>
        <v>0</v>
      </c>
      <c r="I2301" s="64">
        <f>ventas_b_mes1255[[#This Row],[IMPORTE NETO]]*0.21</f>
        <v>0</v>
      </c>
      <c r="J2301" s="141"/>
      <c r="K2301" s="141"/>
      <c r="L2301" s="141"/>
      <c r="M2301" s="59"/>
    </row>
    <row r="2302" spans="2:13">
      <c r="B2302" s="135"/>
      <c r="C2302" s="41"/>
      <c r="D2302" s="137"/>
      <c r="E2302" s="138"/>
      <c r="F2302" s="139"/>
      <c r="G2302" s="1" t="str">
        <f>IFERROR(IF(ventas_b_mes1255[[#This Row],[CUIT]]="","-",VLOOKUP(ventas_b_mes1255[[#This Row],[CUIT]],Lista_CUIT[#All],2,0)),"CUIT NO CARGADO")</f>
        <v>-</v>
      </c>
      <c r="H2302" s="100">
        <f>ventas_b_mes1255[[#This Row],[TOTAL]]/1.21</f>
        <v>0</v>
      </c>
      <c r="I2302" s="64">
        <f>ventas_b_mes1255[[#This Row],[IMPORTE NETO]]*0.21</f>
        <v>0</v>
      </c>
      <c r="J2302" s="141"/>
      <c r="K2302" s="141"/>
      <c r="L2302" s="141"/>
      <c r="M2302" s="59"/>
    </row>
    <row r="2303" spans="2:13">
      <c r="B2303" s="135"/>
      <c r="C2303" s="41"/>
      <c r="D2303" s="137"/>
      <c r="E2303" s="138"/>
      <c r="F2303" s="139"/>
      <c r="G2303" s="1" t="str">
        <f>IFERROR(IF(ventas_b_mes1255[[#This Row],[CUIT]]="","-",VLOOKUP(ventas_b_mes1255[[#This Row],[CUIT]],Lista_CUIT[#All],2,0)),"CUIT NO CARGADO")</f>
        <v>-</v>
      </c>
      <c r="H2303" s="100">
        <f>ventas_b_mes1255[[#This Row],[TOTAL]]/1.21</f>
        <v>0</v>
      </c>
      <c r="I2303" s="64">
        <f>ventas_b_mes1255[[#This Row],[IMPORTE NETO]]*0.21</f>
        <v>0</v>
      </c>
      <c r="J2303" s="141"/>
      <c r="K2303" s="141"/>
      <c r="L2303" s="141"/>
      <c r="M2303" s="59"/>
    </row>
    <row r="2304" spans="2:13">
      <c r="B2304" s="135"/>
      <c r="C2304" s="41"/>
      <c r="D2304" s="137"/>
      <c r="E2304" s="138"/>
      <c r="F2304" s="139"/>
      <c r="G2304" s="1" t="str">
        <f>IFERROR(IF(ventas_b_mes1255[[#This Row],[CUIT]]="","-",VLOOKUP(ventas_b_mes1255[[#This Row],[CUIT]],Lista_CUIT[#All],2,0)),"CUIT NO CARGADO")</f>
        <v>-</v>
      </c>
      <c r="H2304" s="100">
        <f>ventas_b_mes1255[[#This Row],[TOTAL]]/1.21</f>
        <v>0</v>
      </c>
      <c r="I2304" s="64">
        <f>ventas_b_mes1255[[#This Row],[IMPORTE NETO]]*0.21</f>
        <v>0</v>
      </c>
      <c r="J2304" s="141"/>
      <c r="K2304" s="141"/>
      <c r="L2304" s="141"/>
      <c r="M2304" s="59"/>
    </row>
    <row r="2305" spans="2:13">
      <c r="B2305" s="135"/>
      <c r="C2305" s="41"/>
      <c r="D2305" s="137"/>
      <c r="E2305" s="138"/>
      <c r="F2305" s="139"/>
      <c r="G2305" s="1" t="str">
        <f>IFERROR(IF(ventas_b_mes1255[[#This Row],[CUIT]]="","-",VLOOKUP(ventas_b_mes1255[[#This Row],[CUIT]],Lista_CUIT[#All],2,0)),"CUIT NO CARGADO")</f>
        <v>-</v>
      </c>
      <c r="H2305" s="100">
        <f>ventas_b_mes1255[[#This Row],[TOTAL]]/1.21</f>
        <v>0</v>
      </c>
      <c r="I2305" s="64">
        <f>ventas_b_mes1255[[#This Row],[IMPORTE NETO]]*0.21</f>
        <v>0</v>
      </c>
      <c r="J2305" s="141"/>
      <c r="K2305" s="141"/>
      <c r="L2305" s="141"/>
      <c r="M2305" s="59"/>
    </row>
    <row r="2306" spans="2:13">
      <c r="B2306" s="135"/>
      <c r="C2306" s="41"/>
      <c r="D2306" s="137"/>
      <c r="E2306" s="138"/>
      <c r="F2306" s="139"/>
      <c r="G2306" s="1" t="str">
        <f>IFERROR(IF(ventas_b_mes1255[[#This Row],[CUIT]]="","-",VLOOKUP(ventas_b_mes1255[[#This Row],[CUIT]],Lista_CUIT[#All],2,0)),"CUIT NO CARGADO")</f>
        <v>-</v>
      </c>
      <c r="H2306" s="100">
        <f>ventas_b_mes1255[[#This Row],[TOTAL]]/1.21</f>
        <v>0</v>
      </c>
      <c r="I2306" s="64">
        <f>ventas_b_mes1255[[#This Row],[IMPORTE NETO]]*0.21</f>
        <v>0</v>
      </c>
      <c r="J2306" s="141"/>
      <c r="K2306" s="141"/>
      <c r="L2306" s="141"/>
      <c r="M2306" s="59"/>
    </row>
    <row r="2307" spans="2:13">
      <c r="B2307" s="135"/>
      <c r="C2307" s="41"/>
      <c r="D2307" s="137"/>
      <c r="E2307" s="138"/>
      <c r="F2307" s="139"/>
      <c r="G2307" s="1" t="str">
        <f>IFERROR(IF(ventas_b_mes1255[[#This Row],[CUIT]]="","-",VLOOKUP(ventas_b_mes1255[[#This Row],[CUIT]],Lista_CUIT[#All],2,0)),"CUIT NO CARGADO")</f>
        <v>-</v>
      </c>
      <c r="H2307" s="100">
        <f>ventas_b_mes1255[[#This Row],[TOTAL]]/1.21</f>
        <v>0</v>
      </c>
      <c r="I2307" s="64">
        <f>ventas_b_mes1255[[#This Row],[IMPORTE NETO]]*0.21</f>
        <v>0</v>
      </c>
      <c r="J2307" s="141"/>
      <c r="K2307" s="141"/>
      <c r="L2307" s="141"/>
      <c r="M2307" s="59"/>
    </row>
    <row r="2308" spans="2:13">
      <c r="B2308" s="135"/>
      <c r="C2308" s="41"/>
      <c r="D2308" s="137"/>
      <c r="E2308" s="138"/>
      <c r="F2308" s="139"/>
      <c r="G2308" s="1" t="str">
        <f>IFERROR(IF(ventas_b_mes1255[[#This Row],[CUIT]]="","-",VLOOKUP(ventas_b_mes1255[[#This Row],[CUIT]],Lista_CUIT[#All],2,0)),"CUIT NO CARGADO")</f>
        <v>-</v>
      </c>
      <c r="H2308" s="100">
        <f>ventas_b_mes1255[[#This Row],[TOTAL]]/1.21</f>
        <v>0</v>
      </c>
      <c r="I2308" s="64">
        <f>ventas_b_mes1255[[#This Row],[IMPORTE NETO]]*0.21</f>
        <v>0</v>
      </c>
      <c r="J2308" s="141"/>
      <c r="K2308" s="141"/>
      <c r="L2308" s="141"/>
      <c r="M2308" s="59"/>
    </row>
    <row r="2309" spans="2:13">
      <c r="B2309" s="135"/>
      <c r="C2309" s="41"/>
      <c r="D2309" s="137"/>
      <c r="E2309" s="138"/>
      <c r="F2309" s="139"/>
      <c r="G2309" s="1" t="str">
        <f>IFERROR(IF(ventas_b_mes1255[[#This Row],[CUIT]]="","-",VLOOKUP(ventas_b_mes1255[[#This Row],[CUIT]],Lista_CUIT[#All],2,0)),"CUIT NO CARGADO")</f>
        <v>-</v>
      </c>
      <c r="H2309" s="100">
        <f>ventas_b_mes1255[[#This Row],[TOTAL]]/1.21</f>
        <v>0</v>
      </c>
      <c r="I2309" s="64">
        <f>ventas_b_mes1255[[#This Row],[IMPORTE NETO]]*0.21</f>
        <v>0</v>
      </c>
      <c r="J2309" s="141"/>
      <c r="K2309" s="141"/>
      <c r="L2309" s="141"/>
      <c r="M2309" s="59"/>
    </row>
    <row r="2310" spans="2:13">
      <c r="B2310" s="135"/>
      <c r="C2310" s="41"/>
      <c r="D2310" s="137"/>
      <c r="E2310" s="138"/>
      <c r="F2310" s="139"/>
      <c r="G2310" s="1" t="str">
        <f>IFERROR(IF(ventas_b_mes1255[[#This Row],[CUIT]]="","-",VLOOKUP(ventas_b_mes1255[[#This Row],[CUIT]],Lista_CUIT[#All],2,0)),"CUIT NO CARGADO")</f>
        <v>-</v>
      </c>
      <c r="H2310" s="100">
        <f>ventas_b_mes1255[[#This Row],[TOTAL]]/1.21</f>
        <v>0</v>
      </c>
      <c r="I2310" s="64">
        <f>ventas_b_mes1255[[#This Row],[IMPORTE NETO]]*0.21</f>
        <v>0</v>
      </c>
      <c r="J2310" s="141"/>
      <c r="K2310" s="141"/>
      <c r="L2310" s="141"/>
      <c r="M2310" s="59"/>
    </row>
    <row r="2311" spans="2:13">
      <c r="B2311" s="135"/>
      <c r="C2311" s="41"/>
      <c r="D2311" s="137"/>
      <c r="E2311" s="138"/>
      <c r="F2311" s="139"/>
      <c r="G2311" s="1" t="str">
        <f>IFERROR(IF(ventas_b_mes1255[[#This Row],[CUIT]]="","-",VLOOKUP(ventas_b_mes1255[[#This Row],[CUIT]],Lista_CUIT[#All],2,0)),"CUIT NO CARGADO")</f>
        <v>-</v>
      </c>
      <c r="H2311" s="100">
        <f>ventas_b_mes1255[[#This Row],[TOTAL]]/1.21</f>
        <v>0</v>
      </c>
      <c r="I2311" s="64">
        <f>ventas_b_mes1255[[#This Row],[IMPORTE NETO]]*0.21</f>
        <v>0</v>
      </c>
      <c r="J2311" s="141"/>
      <c r="K2311" s="141"/>
      <c r="L2311" s="141"/>
      <c r="M2311" s="59"/>
    </row>
    <row r="2312" spans="2:13">
      <c r="B2312" s="135"/>
      <c r="C2312" s="41"/>
      <c r="D2312" s="137"/>
      <c r="E2312" s="138"/>
      <c r="F2312" s="139"/>
      <c r="G2312" s="1" t="str">
        <f>IFERROR(IF(ventas_b_mes1255[[#This Row],[CUIT]]="","-",VLOOKUP(ventas_b_mes1255[[#This Row],[CUIT]],Lista_CUIT[#All],2,0)),"CUIT NO CARGADO")</f>
        <v>-</v>
      </c>
      <c r="H2312" s="100">
        <f>ventas_b_mes1255[[#This Row],[TOTAL]]/1.21</f>
        <v>0</v>
      </c>
      <c r="I2312" s="64">
        <f>ventas_b_mes1255[[#This Row],[IMPORTE NETO]]*0.21</f>
        <v>0</v>
      </c>
      <c r="J2312" s="141"/>
      <c r="K2312" s="141"/>
      <c r="L2312" s="141"/>
      <c r="M2312" s="59"/>
    </row>
    <row r="2313" spans="2:13">
      <c r="B2313" s="135"/>
      <c r="C2313" s="41"/>
      <c r="D2313" s="137"/>
      <c r="E2313" s="138"/>
      <c r="F2313" s="139"/>
      <c r="G2313" s="1" t="str">
        <f>IFERROR(IF(ventas_b_mes1255[[#This Row],[CUIT]]="","-",VLOOKUP(ventas_b_mes1255[[#This Row],[CUIT]],Lista_CUIT[#All],2,0)),"CUIT NO CARGADO")</f>
        <v>-</v>
      </c>
      <c r="H2313" s="100">
        <f>ventas_b_mes1255[[#This Row],[TOTAL]]/1.21</f>
        <v>0</v>
      </c>
      <c r="I2313" s="64">
        <f>ventas_b_mes1255[[#This Row],[IMPORTE NETO]]*0.21</f>
        <v>0</v>
      </c>
      <c r="J2313" s="141"/>
      <c r="K2313" s="141"/>
      <c r="L2313" s="141"/>
      <c r="M2313" s="59"/>
    </row>
    <row r="2314" spans="2:13">
      <c r="B2314" s="135"/>
      <c r="C2314" s="41"/>
      <c r="D2314" s="137"/>
      <c r="E2314" s="138"/>
      <c r="F2314" s="139"/>
      <c r="G2314" s="1" t="str">
        <f>IFERROR(IF(ventas_b_mes1255[[#This Row],[CUIT]]="","-",VLOOKUP(ventas_b_mes1255[[#This Row],[CUIT]],Lista_CUIT[#All],2,0)),"CUIT NO CARGADO")</f>
        <v>-</v>
      </c>
      <c r="H2314" s="100">
        <f>ventas_b_mes1255[[#This Row],[TOTAL]]/1.21</f>
        <v>0</v>
      </c>
      <c r="I2314" s="64">
        <f>ventas_b_mes1255[[#This Row],[IMPORTE NETO]]*0.21</f>
        <v>0</v>
      </c>
      <c r="J2314" s="141"/>
      <c r="K2314" s="141"/>
      <c r="L2314" s="141"/>
      <c r="M2314" s="59"/>
    </row>
    <row r="2315" spans="2:13">
      <c r="B2315" s="135"/>
      <c r="C2315" s="41"/>
      <c r="D2315" s="137"/>
      <c r="E2315" s="138"/>
      <c r="F2315" s="139"/>
      <c r="G2315" s="1" t="str">
        <f>IFERROR(IF(ventas_b_mes1255[[#This Row],[CUIT]]="","-",VLOOKUP(ventas_b_mes1255[[#This Row],[CUIT]],Lista_CUIT[#All],2,0)),"CUIT NO CARGADO")</f>
        <v>-</v>
      </c>
      <c r="H2315" s="100">
        <f>ventas_b_mes1255[[#This Row],[TOTAL]]/1.21</f>
        <v>0</v>
      </c>
      <c r="I2315" s="64">
        <f>ventas_b_mes1255[[#This Row],[IMPORTE NETO]]*0.21</f>
        <v>0</v>
      </c>
      <c r="J2315" s="141"/>
      <c r="K2315" s="141"/>
      <c r="L2315" s="141"/>
      <c r="M2315" s="59"/>
    </row>
    <row r="2316" spans="2:13">
      <c r="B2316" s="135"/>
      <c r="C2316" s="41"/>
      <c r="D2316" s="137"/>
      <c r="E2316" s="138"/>
      <c r="F2316" s="139"/>
      <c r="G2316" s="1" t="str">
        <f>IFERROR(IF(ventas_b_mes1255[[#This Row],[CUIT]]="","-",VLOOKUP(ventas_b_mes1255[[#This Row],[CUIT]],Lista_CUIT[#All],2,0)),"CUIT NO CARGADO")</f>
        <v>-</v>
      </c>
      <c r="H2316" s="100">
        <f>ventas_b_mes1255[[#This Row],[TOTAL]]/1.21</f>
        <v>0</v>
      </c>
      <c r="I2316" s="64">
        <f>ventas_b_mes1255[[#This Row],[IMPORTE NETO]]*0.21</f>
        <v>0</v>
      </c>
      <c r="J2316" s="141"/>
      <c r="K2316" s="141"/>
      <c r="L2316" s="141"/>
      <c r="M2316" s="59"/>
    </row>
    <row r="2317" spans="2:13">
      <c r="B2317" s="135"/>
      <c r="C2317" s="41"/>
      <c r="D2317" s="137"/>
      <c r="E2317" s="138"/>
      <c r="F2317" s="139"/>
      <c r="G2317" s="1" t="str">
        <f>IFERROR(IF(ventas_b_mes1255[[#This Row],[CUIT]]="","-",VLOOKUP(ventas_b_mes1255[[#This Row],[CUIT]],Lista_CUIT[#All],2,0)),"CUIT NO CARGADO")</f>
        <v>-</v>
      </c>
      <c r="H2317" s="100">
        <f>ventas_b_mes1255[[#This Row],[TOTAL]]/1.21</f>
        <v>0</v>
      </c>
      <c r="I2317" s="64">
        <f>ventas_b_mes1255[[#This Row],[IMPORTE NETO]]*0.21</f>
        <v>0</v>
      </c>
      <c r="J2317" s="141"/>
      <c r="K2317" s="141"/>
      <c r="L2317" s="141"/>
      <c r="M2317" s="59"/>
    </row>
    <row r="2318" spans="2:13">
      <c r="B2318" s="135"/>
      <c r="C2318" s="41"/>
      <c r="D2318" s="137"/>
      <c r="E2318" s="138"/>
      <c r="F2318" s="139"/>
      <c r="G2318" s="1" t="str">
        <f>IFERROR(IF(ventas_b_mes1255[[#This Row],[CUIT]]="","-",VLOOKUP(ventas_b_mes1255[[#This Row],[CUIT]],Lista_CUIT[#All],2,0)),"CUIT NO CARGADO")</f>
        <v>-</v>
      </c>
      <c r="H2318" s="100">
        <f>ventas_b_mes1255[[#This Row],[TOTAL]]/1.21</f>
        <v>0</v>
      </c>
      <c r="I2318" s="64">
        <f>ventas_b_mes1255[[#This Row],[IMPORTE NETO]]*0.21</f>
        <v>0</v>
      </c>
      <c r="J2318" s="141"/>
      <c r="K2318" s="141"/>
      <c r="L2318" s="141"/>
      <c r="M2318" s="59"/>
    </row>
    <row r="2319" spans="2:13">
      <c r="B2319" s="135"/>
      <c r="C2319" s="41"/>
      <c r="D2319" s="137"/>
      <c r="E2319" s="138"/>
      <c r="F2319" s="139"/>
      <c r="G2319" s="1" t="str">
        <f>IFERROR(IF(ventas_b_mes1255[[#This Row],[CUIT]]="","-",VLOOKUP(ventas_b_mes1255[[#This Row],[CUIT]],Lista_CUIT[#All],2,0)),"CUIT NO CARGADO")</f>
        <v>-</v>
      </c>
      <c r="H2319" s="100">
        <f>ventas_b_mes1255[[#This Row],[TOTAL]]/1.21</f>
        <v>0</v>
      </c>
      <c r="I2319" s="64">
        <f>ventas_b_mes1255[[#This Row],[IMPORTE NETO]]*0.21</f>
        <v>0</v>
      </c>
      <c r="J2319" s="141"/>
      <c r="K2319" s="141"/>
      <c r="L2319" s="141"/>
      <c r="M2319" s="59"/>
    </row>
    <row r="2320" spans="2:13">
      <c r="B2320" s="135"/>
      <c r="C2320" s="41"/>
      <c r="D2320" s="137"/>
      <c r="E2320" s="138"/>
      <c r="F2320" s="139"/>
      <c r="G2320" s="1" t="str">
        <f>IFERROR(IF(ventas_b_mes1255[[#This Row],[CUIT]]="","-",VLOOKUP(ventas_b_mes1255[[#This Row],[CUIT]],Lista_CUIT[#All],2,0)),"CUIT NO CARGADO")</f>
        <v>-</v>
      </c>
      <c r="H2320" s="100">
        <f>ventas_b_mes1255[[#This Row],[TOTAL]]/1.21</f>
        <v>0</v>
      </c>
      <c r="I2320" s="64">
        <f>ventas_b_mes1255[[#This Row],[IMPORTE NETO]]*0.21</f>
        <v>0</v>
      </c>
      <c r="J2320" s="141"/>
      <c r="K2320" s="141"/>
      <c r="L2320" s="141"/>
      <c r="M2320" s="59"/>
    </row>
    <row r="2321" spans="2:13">
      <c r="B2321" s="135"/>
      <c r="C2321" s="41"/>
      <c r="D2321" s="137"/>
      <c r="E2321" s="138"/>
      <c r="F2321" s="139"/>
      <c r="G2321" s="1" t="str">
        <f>IFERROR(IF(ventas_b_mes1255[[#This Row],[CUIT]]="","-",VLOOKUP(ventas_b_mes1255[[#This Row],[CUIT]],Lista_CUIT[#All],2,0)),"CUIT NO CARGADO")</f>
        <v>-</v>
      </c>
      <c r="H2321" s="100">
        <f>ventas_b_mes1255[[#This Row],[TOTAL]]/1.21</f>
        <v>0</v>
      </c>
      <c r="I2321" s="64">
        <f>ventas_b_mes1255[[#This Row],[IMPORTE NETO]]*0.21</f>
        <v>0</v>
      </c>
      <c r="J2321" s="141"/>
      <c r="K2321" s="141"/>
      <c r="L2321" s="141"/>
      <c r="M2321" s="59"/>
    </row>
    <row r="2322" spans="2:13">
      <c r="B2322" s="135"/>
      <c r="C2322" s="41"/>
      <c r="D2322" s="137"/>
      <c r="E2322" s="138"/>
      <c r="F2322" s="139"/>
      <c r="G2322" s="1" t="str">
        <f>IFERROR(IF(ventas_b_mes1255[[#This Row],[CUIT]]="","-",VLOOKUP(ventas_b_mes1255[[#This Row],[CUIT]],Lista_CUIT[#All],2,0)),"CUIT NO CARGADO")</f>
        <v>-</v>
      </c>
      <c r="H2322" s="100">
        <f>ventas_b_mes1255[[#This Row],[TOTAL]]/1.21</f>
        <v>0</v>
      </c>
      <c r="I2322" s="64">
        <f>ventas_b_mes1255[[#This Row],[IMPORTE NETO]]*0.21</f>
        <v>0</v>
      </c>
      <c r="J2322" s="141"/>
      <c r="K2322" s="141"/>
      <c r="L2322" s="141"/>
      <c r="M2322" s="59"/>
    </row>
    <row r="2323" spans="2:13">
      <c r="B2323" s="135"/>
      <c r="C2323" s="41"/>
      <c r="D2323" s="137"/>
      <c r="E2323" s="138"/>
      <c r="F2323" s="139"/>
      <c r="G2323" s="1" t="str">
        <f>IFERROR(IF(ventas_b_mes1255[[#This Row],[CUIT]]="","-",VLOOKUP(ventas_b_mes1255[[#This Row],[CUIT]],Lista_CUIT[#All],2,0)),"CUIT NO CARGADO")</f>
        <v>-</v>
      </c>
      <c r="H2323" s="100">
        <f>ventas_b_mes1255[[#This Row],[TOTAL]]/1.21</f>
        <v>0</v>
      </c>
      <c r="I2323" s="64">
        <f>ventas_b_mes1255[[#This Row],[IMPORTE NETO]]*0.21</f>
        <v>0</v>
      </c>
      <c r="J2323" s="141"/>
      <c r="K2323" s="141"/>
      <c r="L2323" s="141"/>
      <c r="M2323" s="59"/>
    </row>
    <row r="2324" spans="2:13">
      <c r="B2324" s="135"/>
      <c r="C2324" s="41"/>
      <c r="D2324" s="137"/>
      <c r="E2324" s="138"/>
      <c r="F2324" s="139"/>
      <c r="G2324" s="1" t="str">
        <f>IFERROR(IF(ventas_b_mes1255[[#This Row],[CUIT]]="","-",VLOOKUP(ventas_b_mes1255[[#This Row],[CUIT]],Lista_CUIT[#All],2,0)),"CUIT NO CARGADO")</f>
        <v>-</v>
      </c>
      <c r="H2324" s="100">
        <f>ventas_b_mes1255[[#This Row],[TOTAL]]/1.21</f>
        <v>0</v>
      </c>
      <c r="I2324" s="64">
        <f>ventas_b_mes1255[[#This Row],[IMPORTE NETO]]*0.21</f>
        <v>0</v>
      </c>
      <c r="J2324" s="141"/>
      <c r="K2324" s="141"/>
      <c r="L2324" s="141"/>
      <c r="M2324" s="59"/>
    </row>
    <row r="2325" spans="2:13">
      <c r="B2325" s="135"/>
      <c r="C2325" s="41"/>
      <c r="D2325" s="137"/>
      <c r="E2325" s="138"/>
      <c r="F2325" s="139"/>
      <c r="G2325" s="1" t="str">
        <f>IFERROR(IF(ventas_b_mes1255[[#This Row],[CUIT]]="","-",VLOOKUP(ventas_b_mes1255[[#This Row],[CUIT]],Lista_CUIT[#All],2,0)),"CUIT NO CARGADO")</f>
        <v>-</v>
      </c>
      <c r="H2325" s="100">
        <f>ventas_b_mes1255[[#This Row],[TOTAL]]/1.21</f>
        <v>0</v>
      </c>
      <c r="I2325" s="64">
        <f>ventas_b_mes1255[[#This Row],[IMPORTE NETO]]*0.21</f>
        <v>0</v>
      </c>
      <c r="J2325" s="141"/>
      <c r="K2325" s="141"/>
      <c r="L2325" s="141"/>
      <c r="M2325" s="59"/>
    </row>
    <row r="2326" spans="2:13">
      <c r="B2326" s="135"/>
      <c r="C2326" s="41"/>
      <c r="D2326" s="137"/>
      <c r="E2326" s="138"/>
      <c r="F2326" s="139"/>
      <c r="G2326" s="1" t="str">
        <f>IFERROR(IF(ventas_b_mes1255[[#This Row],[CUIT]]="","-",VLOOKUP(ventas_b_mes1255[[#This Row],[CUIT]],Lista_CUIT[#All],2,0)),"CUIT NO CARGADO")</f>
        <v>-</v>
      </c>
      <c r="H2326" s="100">
        <f>ventas_b_mes1255[[#This Row],[TOTAL]]/1.21</f>
        <v>0</v>
      </c>
      <c r="I2326" s="64">
        <f>ventas_b_mes1255[[#This Row],[IMPORTE NETO]]*0.21</f>
        <v>0</v>
      </c>
      <c r="J2326" s="141"/>
      <c r="K2326" s="141"/>
      <c r="L2326" s="141"/>
      <c r="M2326" s="59"/>
    </row>
    <row r="2327" spans="2:13">
      <c r="B2327" s="135"/>
      <c r="C2327" s="41"/>
      <c r="D2327" s="137"/>
      <c r="E2327" s="138"/>
      <c r="F2327" s="139"/>
      <c r="G2327" s="1" t="str">
        <f>IFERROR(IF(ventas_b_mes1255[[#This Row],[CUIT]]="","-",VLOOKUP(ventas_b_mes1255[[#This Row],[CUIT]],Lista_CUIT[#All],2,0)),"CUIT NO CARGADO")</f>
        <v>-</v>
      </c>
      <c r="H2327" s="100">
        <f>ventas_b_mes1255[[#This Row],[TOTAL]]/1.21</f>
        <v>0</v>
      </c>
      <c r="I2327" s="64">
        <f>ventas_b_mes1255[[#This Row],[IMPORTE NETO]]*0.21</f>
        <v>0</v>
      </c>
      <c r="J2327" s="141"/>
      <c r="K2327" s="141"/>
      <c r="L2327" s="141"/>
      <c r="M2327" s="59"/>
    </row>
    <row r="2328" spans="2:13">
      <c r="B2328" s="135"/>
      <c r="C2328" s="41"/>
      <c r="D2328" s="137"/>
      <c r="E2328" s="138"/>
      <c r="F2328" s="139"/>
      <c r="G2328" s="1" t="str">
        <f>IFERROR(IF(ventas_b_mes1255[[#This Row],[CUIT]]="","-",VLOOKUP(ventas_b_mes1255[[#This Row],[CUIT]],Lista_CUIT[#All],2,0)),"CUIT NO CARGADO")</f>
        <v>-</v>
      </c>
      <c r="H2328" s="100">
        <f>ventas_b_mes1255[[#This Row],[TOTAL]]/1.21</f>
        <v>0</v>
      </c>
      <c r="I2328" s="64">
        <f>ventas_b_mes1255[[#This Row],[IMPORTE NETO]]*0.21</f>
        <v>0</v>
      </c>
      <c r="J2328" s="141"/>
      <c r="K2328" s="141"/>
      <c r="L2328" s="141"/>
      <c r="M2328" s="59"/>
    </row>
    <row r="2329" spans="2:13">
      <c r="B2329" s="135"/>
      <c r="C2329" s="41"/>
      <c r="D2329" s="137"/>
      <c r="E2329" s="138"/>
      <c r="F2329" s="139"/>
      <c r="G2329" s="1" t="str">
        <f>IFERROR(IF(ventas_b_mes1255[[#This Row],[CUIT]]="","-",VLOOKUP(ventas_b_mes1255[[#This Row],[CUIT]],Lista_CUIT[#All],2,0)),"CUIT NO CARGADO")</f>
        <v>-</v>
      </c>
      <c r="H2329" s="100">
        <f>ventas_b_mes1255[[#This Row],[TOTAL]]/1.21</f>
        <v>0</v>
      </c>
      <c r="I2329" s="64">
        <f>ventas_b_mes1255[[#This Row],[IMPORTE NETO]]*0.21</f>
        <v>0</v>
      </c>
      <c r="J2329" s="141"/>
      <c r="K2329" s="141"/>
      <c r="L2329" s="141"/>
      <c r="M2329" s="59"/>
    </row>
    <row r="2330" spans="2:13">
      <c r="B2330" s="135"/>
      <c r="C2330" s="41"/>
      <c r="D2330" s="137"/>
      <c r="E2330" s="138"/>
      <c r="F2330" s="139"/>
      <c r="G2330" s="1" t="str">
        <f>IFERROR(IF(ventas_b_mes1255[[#This Row],[CUIT]]="","-",VLOOKUP(ventas_b_mes1255[[#This Row],[CUIT]],Lista_CUIT[#All],2,0)),"CUIT NO CARGADO")</f>
        <v>-</v>
      </c>
      <c r="H2330" s="100">
        <f>ventas_b_mes1255[[#This Row],[TOTAL]]/1.21</f>
        <v>0</v>
      </c>
      <c r="I2330" s="64">
        <f>ventas_b_mes1255[[#This Row],[IMPORTE NETO]]*0.21</f>
        <v>0</v>
      </c>
      <c r="J2330" s="141"/>
      <c r="K2330" s="141"/>
      <c r="L2330" s="141"/>
      <c r="M2330" s="59"/>
    </row>
    <row r="2331" spans="2:13">
      <c r="B2331" s="135"/>
      <c r="C2331" s="41"/>
      <c r="D2331" s="137"/>
      <c r="E2331" s="138"/>
      <c r="F2331" s="139"/>
      <c r="G2331" s="1" t="str">
        <f>IFERROR(IF(ventas_b_mes1255[[#This Row],[CUIT]]="","-",VLOOKUP(ventas_b_mes1255[[#This Row],[CUIT]],Lista_CUIT[#All],2,0)),"CUIT NO CARGADO")</f>
        <v>-</v>
      </c>
      <c r="H2331" s="100">
        <f>ventas_b_mes1255[[#This Row],[TOTAL]]/1.21</f>
        <v>0</v>
      </c>
      <c r="I2331" s="64">
        <f>ventas_b_mes1255[[#This Row],[IMPORTE NETO]]*0.21</f>
        <v>0</v>
      </c>
      <c r="J2331" s="141"/>
      <c r="K2331" s="141"/>
      <c r="L2331" s="141"/>
      <c r="M2331" s="59"/>
    </row>
    <row r="2332" spans="2:13">
      <c r="B2332" s="135"/>
      <c r="C2332" s="41"/>
      <c r="D2332" s="137"/>
      <c r="E2332" s="138"/>
      <c r="F2332" s="139"/>
      <c r="G2332" s="1" t="str">
        <f>IFERROR(IF(ventas_b_mes1255[[#This Row],[CUIT]]="","-",VLOOKUP(ventas_b_mes1255[[#This Row],[CUIT]],Lista_CUIT[#All],2,0)),"CUIT NO CARGADO")</f>
        <v>-</v>
      </c>
      <c r="H2332" s="100">
        <f>ventas_b_mes1255[[#This Row],[TOTAL]]/1.21</f>
        <v>0</v>
      </c>
      <c r="I2332" s="64">
        <f>ventas_b_mes1255[[#This Row],[IMPORTE NETO]]*0.21</f>
        <v>0</v>
      </c>
      <c r="J2332" s="141"/>
      <c r="K2332" s="141"/>
      <c r="L2332" s="141"/>
      <c r="M2332" s="59"/>
    </row>
    <row r="2333" spans="2:13">
      <c r="B2333" s="135"/>
      <c r="C2333" s="41"/>
      <c r="D2333" s="137"/>
      <c r="E2333" s="138"/>
      <c r="F2333" s="139"/>
      <c r="G2333" s="1" t="str">
        <f>IFERROR(IF(ventas_b_mes1255[[#This Row],[CUIT]]="","-",VLOOKUP(ventas_b_mes1255[[#This Row],[CUIT]],Lista_CUIT[#All],2,0)),"CUIT NO CARGADO")</f>
        <v>-</v>
      </c>
      <c r="H2333" s="100">
        <f>ventas_b_mes1255[[#This Row],[TOTAL]]/1.21</f>
        <v>0</v>
      </c>
      <c r="I2333" s="64">
        <f>ventas_b_mes1255[[#This Row],[IMPORTE NETO]]*0.21</f>
        <v>0</v>
      </c>
      <c r="J2333" s="141"/>
      <c r="K2333" s="141"/>
      <c r="L2333" s="141"/>
      <c r="M2333" s="59"/>
    </row>
    <row r="2334" spans="2:13">
      <c r="B2334" s="135"/>
      <c r="C2334" s="41"/>
      <c r="D2334" s="137"/>
      <c r="E2334" s="138"/>
      <c r="F2334" s="139"/>
      <c r="G2334" s="1" t="str">
        <f>IFERROR(IF(ventas_b_mes1255[[#This Row],[CUIT]]="","-",VLOOKUP(ventas_b_mes1255[[#This Row],[CUIT]],Lista_CUIT[#All],2,0)),"CUIT NO CARGADO")</f>
        <v>-</v>
      </c>
      <c r="H2334" s="100">
        <f>ventas_b_mes1255[[#This Row],[TOTAL]]/1.21</f>
        <v>0</v>
      </c>
      <c r="I2334" s="64">
        <f>ventas_b_mes1255[[#This Row],[IMPORTE NETO]]*0.21</f>
        <v>0</v>
      </c>
      <c r="J2334" s="141"/>
      <c r="K2334" s="141"/>
      <c r="L2334" s="141"/>
      <c r="M2334" s="59"/>
    </row>
    <row r="2335" spans="2:13">
      <c r="B2335" s="135"/>
      <c r="C2335" s="41"/>
      <c r="D2335" s="137"/>
      <c r="E2335" s="138"/>
      <c r="F2335" s="139"/>
      <c r="G2335" s="1" t="str">
        <f>IFERROR(IF(ventas_b_mes1255[[#This Row],[CUIT]]="","-",VLOOKUP(ventas_b_mes1255[[#This Row],[CUIT]],Lista_CUIT[#All],2,0)),"CUIT NO CARGADO")</f>
        <v>-</v>
      </c>
      <c r="H2335" s="100">
        <f>ventas_b_mes1255[[#This Row],[TOTAL]]/1.21</f>
        <v>0</v>
      </c>
      <c r="I2335" s="64">
        <f>ventas_b_mes1255[[#This Row],[IMPORTE NETO]]*0.21</f>
        <v>0</v>
      </c>
      <c r="J2335" s="141"/>
      <c r="K2335" s="141"/>
      <c r="L2335" s="141"/>
      <c r="M2335" s="59"/>
    </row>
    <row r="2336" spans="2:13">
      <c r="B2336" s="135"/>
      <c r="C2336" s="41"/>
      <c r="D2336" s="137"/>
      <c r="E2336" s="138"/>
      <c r="F2336" s="139"/>
      <c r="G2336" s="1" t="str">
        <f>IFERROR(IF(ventas_b_mes1255[[#This Row],[CUIT]]="","-",VLOOKUP(ventas_b_mes1255[[#This Row],[CUIT]],Lista_CUIT[#All],2,0)),"CUIT NO CARGADO")</f>
        <v>-</v>
      </c>
      <c r="H2336" s="100">
        <f>ventas_b_mes1255[[#This Row],[TOTAL]]/1.21</f>
        <v>0</v>
      </c>
      <c r="I2336" s="64">
        <f>ventas_b_mes1255[[#This Row],[IMPORTE NETO]]*0.21</f>
        <v>0</v>
      </c>
      <c r="J2336" s="141"/>
      <c r="K2336" s="141"/>
      <c r="L2336" s="141"/>
      <c r="M2336" s="59"/>
    </row>
    <row r="2337" spans="2:13">
      <c r="B2337" s="135"/>
      <c r="C2337" s="41"/>
      <c r="D2337" s="137"/>
      <c r="E2337" s="138"/>
      <c r="F2337" s="139"/>
      <c r="G2337" s="1" t="str">
        <f>IFERROR(IF(ventas_b_mes1255[[#This Row],[CUIT]]="","-",VLOOKUP(ventas_b_mes1255[[#This Row],[CUIT]],Lista_CUIT[#All],2,0)),"CUIT NO CARGADO")</f>
        <v>-</v>
      </c>
      <c r="H2337" s="100">
        <f>ventas_b_mes1255[[#This Row],[TOTAL]]/1.21</f>
        <v>0</v>
      </c>
      <c r="I2337" s="64">
        <f>ventas_b_mes1255[[#This Row],[IMPORTE NETO]]*0.21</f>
        <v>0</v>
      </c>
      <c r="J2337" s="141"/>
      <c r="K2337" s="141"/>
      <c r="L2337" s="141"/>
      <c r="M2337" s="59"/>
    </row>
    <row r="2338" spans="2:13">
      <c r="B2338" s="135"/>
      <c r="C2338" s="41"/>
      <c r="D2338" s="137"/>
      <c r="E2338" s="138"/>
      <c r="F2338" s="139"/>
      <c r="G2338" s="1" t="str">
        <f>IFERROR(IF(ventas_b_mes1255[[#This Row],[CUIT]]="","-",VLOOKUP(ventas_b_mes1255[[#This Row],[CUIT]],Lista_CUIT[#All],2,0)),"CUIT NO CARGADO")</f>
        <v>-</v>
      </c>
      <c r="H2338" s="100">
        <f>ventas_b_mes1255[[#This Row],[TOTAL]]/1.21</f>
        <v>0</v>
      </c>
      <c r="I2338" s="64">
        <f>ventas_b_mes1255[[#This Row],[IMPORTE NETO]]*0.21</f>
        <v>0</v>
      </c>
      <c r="J2338" s="141"/>
      <c r="K2338" s="141"/>
      <c r="L2338" s="141"/>
      <c r="M2338" s="59"/>
    </row>
    <row r="2339" spans="2:13">
      <c r="B2339" s="135"/>
      <c r="C2339" s="41"/>
      <c r="D2339" s="137"/>
      <c r="E2339" s="138"/>
      <c r="F2339" s="139"/>
      <c r="G2339" s="1" t="str">
        <f>IFERROR(IF(ventas_b_mes1255[[#This Row],[CUIT]]="","-",VLOOKUP(ventas_b_mes1255[[#This Row],[CUIT]],Lista_CUIT[#All],2,0)),"CUIT NO CARGADO")</f>
        <v>-</v>
      </c>
      <c r="H2339" s="100">
        <f>ventas_b_mes1255[[#This Row],[TOTAL]]/1.21</f>
        <v>0</v>
      </c>
      <c r="I2339" s="64">
        <f>ventas_b_mes1255[[#This Row],[IMPORTE NETO]]*0.21</f>
        <v>0</v>
      </c>
      <c r="J2339" s="141"/>
      <c r="K2339" s="141"/>
      <c r="L2339" s="141"/>
      <c r="M2339" s="59"/>
    </row>
    <row r="2340" spans="2:13">
      <c r="B2340" s="135"/>
      <c r="C2340" s="41"/>
      <c r="D2340" s="137"/>
      <c r="E2340" s="138"/>
      <c r="F2340" s="139"/>
      <c r="G2340" s="1" t="str">
        <f>IFERROR(IF(ventas_b_mes1255[[#This Row],[CUIT]]="","-",VLOOKUP(ventas_b_mes1255[[#This Row],[CUIT]],Lista_CUIT[#All],2,0)),"CUIT NO CARGADO")</f>
        <v>-</v>
      </c>
      <c r="H2340" s="100">
        <f>ventas_b_mes1255[[#This Row],[TOTAL]]/1.21</f>
        <v>0</v>
      </c>
      <c r="I2340" s="64">
        <f>ventas_b_mes1255[[#This Row],[IMPORTE NETO]]*0.21</f>
        <v>0</v>
      </c>
      <c r="J2340" s="141"/>
      <c r="K2340" s="141"/>
      <c r="L2340" s="141"/>
      <c r="M2340" s="59"/>
    </row>
    <row r="2341" spans="2:13">
      <c r="B2341" s="135"/>
      <c r="C2341" s="41"/>
      <c r="D2341" s="137"/>
      <c r="E2341" s="138"/>
      <c r="F2341" s="139"/>
      <c r="G2341" s="1" t="str">
        <f>IFERROR(IF(ventas_b_mes1255[[#This Row],[CUIT]]="","-",VLOOKUP(ventas_b_mes1255[[#This Row],[CUIT]],Lista_CUIT[#All],2,0)),"CUIT NO CARGADO")</f>
        <v>-</v>
      </c>
      <c r="H2341" s="100">
        <f>ventas_b_mes1255[[#This Row],[TOTAL]]/1.21</f>
        <v>0</v>
      </c>
      <c r="I2341" s="64">
        <f>ventas_b_mes1255[[#This Row],[IMPORTE NETO]]*0.21</f>
        <v>0</v>
      </c>
      <c r="J2341" s="141"/>
      <c r="K2341" s="141"/>
      <c r="L2341" s="141"/>
      <c r="M2341" s="59"/>
    </row>
    <row r="2342" spans="2:13">
      <c r="B2342" s="135"/>
      <c r="C2342" s="41"/>
      <c r="D2342" s="137"/>
      <c r="E2342" s="138"/>
      <c r="F2342" s="139"/>
      <c r="G2342" s="1" t="str">
        <f>IFERROR(IF(ventas_b_mes1255[[#This Row],[CUIT]]="","-",VLOOKUP(ventas_b_mes1255[[#This Row],[CUIT]],Lista_CUIT[#All],2,0)),"CUIT NO CARGADO")</f>
        <v>-</v>
      </c>
      <c r="H2342" s="100">
        <f>ventas_b_mes1255[[#This Row],[TOTAL]]/1.21</f>
        <v>0</v>
      </c>
      <c r="I2342" s="64">
        <f>ventas_b_mes1255[[#This Row],[IMPORTE NETO]]*0.21</f>
        <v>0</v>
      </c>
      <c r="J2342" s="141"/>
      <c r="K2342" s="141"/>
      <c r="L2342" s="141"/>
      <c r="M2342" s="59"/>
    </row>
    <row r="2343" spans="2:13">
      <c r="B2343" s="135"/>
      <c r="C2343" s="41"/>
      <c r="D2343" s="137"/>
      <c r="E2343" s="138"/>
      <c r="F2343" s="139"/>
      <c r="G2343" s="1" t="str">
        <f>IFERROR(IF(ventas_b_mes1255[[#This Row],[CUIT]]="","-",VLOOKUP(ventas_b_mes1255[[#This Row],[CUIT]],Lista_CUIT[#All],2,0)),"CUIT NO CARGADO")</f>
        <v>-</v>
      </c>
      <c r="H2343" s="100">
        <f>ventas_b_mes1255[[#This Row],[TOTAL]]/1.21</f>
        <v>0</v>
      </c>
      <c r="I2343" s="64">
        <f>ventas_b_mes1255[[#This Row],[IMPORTE NETO]]*0.21</f>
        <v>0</v>
      </c>
      <c r="J2343" s="141"/>
      <c r="K2343" s="141"/>
      <c r="L2343" s="141"/>
      <c r="M2343" s="59"/>
    </row>
    <row r="2344" spans="2:13">
      <c r="B2344" s="135"/>
      <c r="C2344" s="41"/>
      <c r="D2344" s="137"/>
      <c r="E2344" s="138"/>
      <c r="F2344" s="139"/>
      <c r="G2344" s="1" t="str">
        <f>IFERROR(IF(ventas_b_mes1255[[#This Row],[CUIT]]="","-",VLOOKUP(ventas_b_mes1255[[#This Row],[CUIT]],Lista_CUIT[#All],2,0)),"CUIT NO CARGADO")</f>
        <v>-</v>
      </c>
      <c r="H2344" s="100">
        <f>ventas_b_mes1255[[#This Row],[TOTAL]]/1.21</f>
        <v>0</v>
      </c>
      <c r="I2344" s="64">
        <f>ventas_b_mes1255[[#This Row],[IMPORTE NETO]]*0.21</f>
        <v>0</v>
      </c>
      <c r="J2344" s="141"/>
      <c r="K2344" s="141"/>
      <c r="L2344" s="141"/>
      <c r="M2344" s="59"/>
    </row>
    <row r="2345" spans="2:13">
      <c r="B2345" s="135"/>
      <c r="C2345" s="41"/>
      <c r="D2345" s="137"/>
      <c r="E2345" s="138"/>
      <c r="F2345" s="139"/>
      <c r="G2345" s="1" t="str">
        <f>IFERROR(IF(ventas_b_mes1255[[#This Row],[CUIT]]="","-",VLOOKUP(ventas_b_mes1255[[#This Row],[CUIT]],Lista_CUIT[#All],2,0)),"CUIT NO CARGADO")</f>
        <v>-</v>
      </c>
      <c r="H2345" s="100">
        <f>ventas_b_mes1255[[#This Row],[TOTAL]]/1.21</f>
        <v>0</v>
      </c>
      <c r="I2345" s="64">
        <f>ventas_b_mes1255[[#This Row],[IMPORTE NETO]]*0.21</f>
        <v>0</v>
      </c>
      <c r="J2345" s="141"/>
      <c r="K2345" s="141"/>
      <c r="L2345" s="141"/>
      <c r="M2345" s="59"/>
    </row>
    <row r="2346" spans="2:13">
      <c r="B2346" s="135"/>
      <c r="C2346" s="41"/>
      <c r="D2346" s="137"/>
      <c r="E2346" s="138"/>
      <c r="F2346" s="139"/>
      <c r="G2346" s="1" t="str">
        <f>IFERROR(IF(ventas_b_mes1255[[#This Row],[CUIT]]="","-",VLOOKUP(ventas_b_mes1255[[#This Row],[CUIT]],Lista_CUIT[#All],2,0)),"CUIT NO CARGADO")</f>
        <v>-</v>
      </c>
      <c r="H2346" s="100">
        <f>ventas_b_mes1255[[#This Row],[TOTAL]]/1.21</f>
        <v>0</v>
      </c>
      <c r="I2346" s="64">
        <f>ventas_b_mes1255[[#This Row],[IMPORTE NETO]]*0.21</f>
        <v>0</v>
      </c>
      <c r="J2346" s="141"/>
      <c r="K2346" s="141"/>
      <c r="L2346" s="141"/>
      <c r="M2346" s="59"/>
    </row>
    <row r="2347" spans="2:13">
      <c r="B2347" s="135"/>
      <c r="C2347" s="41"/>
      <c r="D2347" s="137"/>
      <c r="E2347" s="138"/>
      <c r="F2347" s="139"/>
      <c r="G2347" s="1" t="str">
        <f>IFERROR(IF(ventas_b_mes1255[[#This Row],[CUIT]]="","-",VLOOKUP(ventas_b_mes1255[[#This Row],[CUIT]],Lista_CUIT[#All],2,0)),"CUIT NO CARGADO")</f>
        <v>-</v>
      </c>
      <c r="H2347" s="100">
        <f>ventas_b_mes1255[[#This Row],[TOTAL]]/1.21</f>
        <v>0</v>
      </c>
      <c r="I2347" s="64">
        <f>ventas_b_mes1255[[#This Row],[IMPORTE NETO]]*0.21</f>
        <v>0</v>
      </c>
      <c r="J2347" s="141"/>
      <c r="K2347" s="141"/>
      <c r="L2347" s="141"/>
      <c r="M2347" s="59"/>
    </row>
    <row r="2348" spans="2:13">
      <c r="B2348" s="135"/>
      <c r="C2348" s="41"/>
      <c r="D2348" s="137"/>
      <c r="E2348" s="138"/>
      <c r="F2348" s="139"/>
      <c r="G2348" s="1" t="str">
        <f>IFERROR(IF(ventas_b_mes1255[[#This Row],[CUIT]]="","-",VLOOKUP(ventas_b_mes1255[[#This Row],[CUIT]],Lista_CUIT[#All],2,0)),"CUIT NO CARGADO")</f>
        <v>-</v>
      </c>
      <c r="H2348" s="100">
        <f>ventas_b_mes1255[[#This Row],[TOTAL]]/1.21</f>
        <v>0</v>
      </c>
      <c r="I2348" s="64">
        <f>ventas_b_mes1255[[#This Row],[IMPORTE NETO]]*0.21</f>
        <v>0</v>
      </c>
      <c r="J2348" s="141"/>
      <c r="K2348" s="141"/>
      <c r="L2348" s="141"/>
      <c r="M2348" s="59"/>
    </row>
    <row r="2349" spans="2:13">
      <c r="B2349" s="135"/>
      <c r="C2349" s="41"/>
      <c r="D2349" s="137"/>
      <c r="E2349" s="138"/>
      <c r="F2349" s="139"/>
      <c r="G2349" s="1" t="str">
        <f>IFERROR(IF(ventas_b_mes1255[[#This Row],[CUIT]]="","-",VLOOKUP(ventas_b_mes1255[[#This Row],[CUIT]],Lista_CUIT[#All],2,0)),"CUIT NO CARGADO")</f>
        <v>-</v>
      </c>
      <c r="H2349" s="100">
        <f>ventas_b_mes1255[[#This Row],[TOTAL]]/1.21</f>
        <v>0</v>
      </c>
      <c r="I2349" s="64">
        <f>ventas_b_mes1255[[#This Row],[IMPORTE NETO]]*0.21</f>
        <v>0</v>
      </c>
      <c r="J2349" s="141"/>
      <c r="K2349" s="141"/>
      <c r="L2349" s="141"/>
      <c r="M2349" s="59"/>
    </row>
    <row r="2350" spans="2:13">
      <c r="B2350" s="135"/>
      <c r="C2350" s="41"/>
      <c r="D2350" s="137"/>
      <c r="E2350" s="138"/>
      <c r="F2350" s="139"/>
      <c r="G2350" s="1" t="str">
        <f>IFERROR(IF(ventas_b_mes1255[[#This Row],[CUIT]]="","-",VLOOKUP(ventas_b_mes1255[[#This Row],[CUIT]],Lista_CUIT[#All],2,0)),"CUIT NO CARGADO")</f>
        <v>-</v>
      </c>
      <c r="H2350" s="100">
        <f>ventas_b_mes1255[[#This Row],[TOTAL]]/1.21</f>
        <v>0</v>
      </c>
      <c r="I2350" s="64">
        <f>ventas_b_mes1255[[#This Row],[IMPORTE NETO]]*0.21</f>
        <v>0</v>
      </c>
      <c r="J2350" s="141"/>
      <c r="K2350" s="141"/>
      <c r="L2350" s="141"/>
      <c r="M2350" s="59"/>
    </row>
    <row r="2351" spans="2:13">
      <c r="B2351" s="135"/>
      <c r="C2351" s="41"/>
      <c r="D2351" s="137"/>
      <c r="E2351" s="138"/>
      <c r="F2351" s="139"/>
      <c r="G2351" s="1" t="str">
        <f>IFERROR(IF(ventas_b_mes1255[[#This Row],[CUIT]]="","-",VLOOKUP(ventas_b_mes1255[[#This Row],[CUIT]],Lista_CUIT[#All],2,0)),"CUIT NO CARGADO")</f>
        <v>-</v>
      </c>
      <c r="H2351" s="100">
        <f>ventas_b_mes1255[[#This Row],[TOTAL]]/1.21</f>
        <v>0</v>
      </c>
      <c r="I2351" s="64">
        <f>ventas_b_mes1255[[#This Row],[IMPORTE NETO]]*0.21</f>
        <v>0</v>
      </c>
      <c r="J2351" s="141"/>
      <c r="K2351" s="141"/>
      <c r="L2351" s="141"/>
      <c r="M2351" s="59"/>
    </row>
    <row r="2352" spans="2:13">
      <c r="B2352" s="135"/>
      <c r="C2352" s="41"/>
      <c r="D2352" s="137"/>
      <c r="E2352" s="138"/>
      <c r="F2352" s="139"/>
      <c r="G2352" s="1" t="str">
        <f>IFERROR(IF(ventas_b_mes1255[[#This Row],[CUIT]]="","-",VLOOKUP(ventas_b_mes1255[[#This Row],[CUIT]],Lista_CUIT[#All],2,0)),"CUIT NO CARGADO")</f>
        <v>-</v>
      </c>
      <c r="H2352" s="100">
        <f>ventas_b_mes1255[[#This Row],[TOTAL]]/1.21</f>
        <v>0</v>
      </c>
      <c r="I2352" s="64">
        <f>ventas_b_mes1255[[#This Row],[IMPORTE NETO]]*0.21</f>
        <v>0</v>
      </c>
      <c r="J2352" s="141"/>
      <c r="K2352" s="141"/>
      <c r="L2352" s="141"/>
      <c r="M2352" s="59"/>
    </row>
    <row r="2353" spans="2:13">
      <c r="B2353" s="135"/>
      <c r="C2353" s="41"/>
      <c r="D2353" s="137"/>
      <c r="E2353" s="138"/>
      <c r="F2353" s="139"/>
      <c r="G2353" s="1" t="str">
        <f>IFERROR(IF(ventas_b_mes1255[[#This Row],[CUIT]]="","-",VLOOKUP(ventas_b_mes1255[[#This Row],[CUIT]],Lista_CUIT[#All],2,0)),"CUIT NO CARGADO")</f>
        <v>-</v>
      </c>
      <c r="H2353" s="100">
        <f>ventas_b_mes1255[[#This Row],[TOTAL]]/1.21</f>
        <v>0</v>
      </c>
      <c r="I2353" s="64">
        <f>ventas_b_mes1255[[#This Row],[IMPORTE NETO]]*0.21</f>
        <v>0</v>
      </c>
      <c r="J2353" s="141"/>
      <c r="K2353" s="141"/>
      <c r="L2353" s="141"/>
      <c r="M2353" s="59"/>
    </row>
    <row r="2354" spans="2:13">
      <c r="B2354" s="135"/>
      <c r="C2354" s="41"/>
      <c r="D2354" s="137"/>
      <c r="E2354" s="138"/>
      <c r="F2354" s="139"/>
      <c r="G2354" s="1" t="str">
        <f>IFERROR(IF(ventas_b_mes1255[[#This Row],[CUIT]]="","-",VLOOKUP(ventas_b_mes1255[[#This Row],[CUIT]],Lista_CUIT[#All],2,0)),"CUIT NO CARGADO")</f>
        <v>-</v>
      </c>
      <c r="H2354" s="100">
        <f>ventas_b_mes1255[[#This Row],[TOTAL]]/1.21</f>
        <v>0</v>
      </c>
      <c r="I2354" s="64">
        <f>ventas_b_mes1255[[#This Row],[IMPORTE NETO]]*0.21</f>
        <v>0</v>
      </c>
      <c r="J2354" s="141"/>
      <c r="K2354" s="141"/>
      <c r="L2354" s="141"/>
      <c r="M2354" s="59"/>
    </row>
    <row r="2355" spans="2:13">
      <c r="B2355" s="135"/>
      <c r="C2355" s="41"/>
      <c r="D2355" s="137"/>
      <c r="E2355" s="138"/>
      <c r="F2355" s="139"/>
      <c r="G2355" s="1" t="str">
        <f>IFERROR(IF(ventas_b_mes1255[[#This Row],[CUIT]]="","-",VLOOKUP(ventas_b_mes1255[[#This Row],[CUIT]],Lista_CUIT[#All],2,0)),"CUIT NO CARGADO")</f>
        <v>-</v>
      </c>
      <c r="H2355" s="100">
        <f>ventas_b_mes1255[[#This Row],[TOTAL]]/1.21</f>
        <v>0</v>
      </c>
      <c r="I2355" s="64">
        <f>ventas_b_mes1255[[#This Row],[IMPORTE NETO]]*0.21</f>
        <v>0</v>
      </c>
      <c r="J2355" s="141"/>
      <c r="K2355" s="141"/>
      <c r="L2355" s="141"/>
      <c r="M2355" s="59"/>
    </row>
    <row r="2356" spans="2:13">
      <c r="B2356" s="135"/>
      <c r="C2356" s="41"/>
      <c r="D2356" s="137"/>
      <c r="E2356" s="138"/>
      <c r="F2356" s="139"/>
      <c r="G2356" s="1" t="str">
        <f>IFERROR(IF(ventas_b_mes1255[[#This Row],[CUIT]]="","-",VLOOKUP(ventas_b_mes1255[[#This Row],[CUIT]],Lista_CUIT[#All],2,0)),"CUIT NO CARGADO")</f>
        <v>-</v>
      </c>
      <c r="H2356" s="100">
        <f>ventas_b_mes1255[[#This Row],[TOTAL]]/1.21</f>
        <v>0</v>
      </c>
      <c r="I2356" s="64">
        <f>ventas_b_mes1255[[#This Row],[IMPORTE NETO]]*0.21</f>
        <v>0</v>
      </c>
      <c r="J2356" s="141"/>
      <c r="K2356" s="141"/>
      <c r="L2356" s="141"/>
      <c r="M2356" s="59"/>
    </row>
    <row r="2357" spans="2:13">
      <c r="B2357" s="135"/>
      <c r="C2357" s="41"/>
      <c r="D2357" s="137"/>
      <c r="E2357" s="138"/>
      <c r="F2357" s="139"/>
      <c r="G2357" s="1" t="str">
        <f>IFERROR(IF(ventas_b_mes1255[[#This Row],[CUIT]]="","-",VLOOKUP(ventas_b_mes1255[[#This Row],[CUIT]],Lista_CUIT[#All],2,0)),"CUIT NO CARGADO")</f>
        <v>-</v>
      </c>
      <c r="H2357" s="100">
        <f>ventas_b_mes1255[[#This Row],[TOTAL]]/1.21</f>
        <v>0</v>
      </c>
      <c r="I2357" s="64">
        <f>ventas_b_mes1255[[#This Row],[IMPORTE NETO]]*0.21</f>
        <v>0</v>
      </c>
      <c r="J2357" s="141"/>
      <c r="K2357" s="141"/>
      <c r="L2357" s="141"/>
      <c r="M2357" s="59"/>
    </row>
    <row r="2358" spans="2:13">
      <c r="B2358" s="135"/>
      <c r="C2358" s="41"/>
      <c r="D2358" s="137"/>
      <c r="E2358" s="138"/>
      <c r="F2358" s="139"/>
      <c r="G2358" s="1" t="str">
        <f>IFERROR(IF(ventas_b_mes1255[[#This Row],[CUIT]]="","-",VLOOKUP(ventas_b_mes1255[[#This Row],[CUIT]],Lista_CUIT[#All],2,0)),"CUIT NO CARGADO")</f>
        <v>-</v>
      </c>
      <c r="H2358" s="100">
        <f>ventas_b_mes1255[[#This Row],[TOTAL]]/1.21</f>
        <v>0</v>
      </c>
      <c r="I2358" s="64">
        <f>ventas_b_mes1255[[#This Row],[IMPORTE NETO]]*0.21</f>
        <v>0</v>
      </c>
      <c r="J2358" s="141"/>
      <c r="K2358" s="141"/>
      <c r="L2358" s="141"/>
      <c r="M2358" s="59"/>
    </row>
    <row r="2359" spans="2:13">
      <c r="B2359" s="135"/>
      <c r="C2359" s="41"/>
      <c r="D2359" s="137"/>
      <c r="E2359" s="138"/>
      <c r="F2359" s="139"/>
      <c r="G2359" s="1" t="str">
        <f>IFERROR(IF(ventas_b_mes1255[[#This Row],[CUIT]]="","-",VLOOKUP(ventas_b_mes1255[[#This Row],[CUIT]],Lista_CUIT[#All],2,0)),"CUIT NO CARGADO")</f>
        <v>-</v>
      </c>
      <c r="H2359" s="100">
        <f>ventas_b_mes1255[[#This Row],[TOTAL]]/1.21</f>
        <v>0</v>
      </c>
      <c r="I2359" s="64">
        <f>ventas_b_mes1255[[#This Row],[IMPORTE NETO]]*0.21</f>
        <v>0</v>
      </c>
      <c r="J2359" s="141"/>
      <c r="K2359" s="141"/>
      <c r="L2359" s="141"/>
      <c r="M2359" s="59"/>
    </row>
    <row r="2360" spans="2:13">
      <c r="B2360" s="135"/>
      <c r="C2360" s="41"/>
      <c r="D2360" s="137"/>
      <c r="E2360" s="138"/>
      <c r="F2360" s="139"/>
      <c r="G2360" s="1" t="str">
        <f>IFERROR(IF(ventas_b_mes1255[[#This Row],[CUIT]]="","-",VLOOKUP(ventas_b_mes1255[[#This Row],[CUIT]],Lista_CUIT[#All],2,0)),"CUIT NO CARGADO")</f>
        <v>-</v>
      </c>
      <c r="H2360" s="100">
        <f>ventas_b_mes1255[[#This Row],[TOTAL]]/1.21</f>
        <v>0</v>
      </c>
      <c r="I2360" s="64">
        <f>ventas_b_mes1255[[#This Row],[IMPORTE NETO]]*0.21</f>
        <v>0</v>
      </c>
      <c r="J2360" s="141"/>
      <c r="K2360" s="141"/>
      <c r="L2360" s="141"/>
      <c r="M2360" s="59"/>
    </row>
    <row r="2361" spans="2:13">
      <c r="B2361" s="135"/>
      <c r="C2361" s="41"/>
      <c r="D2361" s="137"/>
      <c r="E2361" s="138"/>
      <c r="F2361" s="139"/>
      <c r="G2361" s="1" t="str">
        <f>IFERROR(IF(ventas_b_mes1255[[#This Row],[CUIT]]="","-",VLOOKUP(ventas_b_mes1255[[#This Row],[CUIT]],Lista_CUIT[#All],2,0)),"CUIT NO CARGADO")</f>
        <v>-</v>
      </c>
      <c r="H2361" s="100">
        <f>ventas_b_mes1255[[#This Row],[TOTAL]]/1.21</f>
        <v>0</v>
      </c>
      <c r="I2361" s="64">
        <f>ventas_b_mes1255[[#This Row],[IMPORTE NETO]]*0.21</f>
        <v>0</v>
      </c>
      <c r="J2361" s="141"/>
      <c r="K2361" s="141"/>
      <c r="L2361" s="141"/>
      <c r="M2361" s="59"/>
    </row>
    <row r="2362" spans="2:13">
      <c r="B2362" s="135"/>
      <c r="C2362" s="41"/>
      <c r="D2362" s="137"/>
      <c r="E2362" s="138"/>
      <c r="F2362" s="139"/>
      <c r="G2362" s="1" t="str">
        <f>IFERROR(IF(ventas_b_mes1255[[#This Row],[CUIT]]="","-",VLOOKUP(ventas_b_mes1255[[#This Row],[CUIT]],Lista_CUIT[#All],2,0)),"CUIT NO CARGADO")</f>
        <v>-</v>
      </c>
      <c r="H2362" s="100">
        <f>ventas_b_mes1255[[#This Row],[TOTAL]]/1.21</f>
        <v>0</v>
      </c>
      <c r="I2362" s="64">
        <f>ventas_b_mes1255[[#This Row],[IMPORTE NETO]]*0.21</f>
        <v>0</v>
      </c>
      <c r="J2362" s="141"/>
      <c r="K2362" s="141"/>
      <c r="L2362" s="141"/>
      <c r="M2362" s="59"/>
    </row>
    <row r="2363" spans="2:13">
      <c r="B2363" s="135"/>
      <c r="C2363" s="41"/>
      <c r="D2363" s="137"/>
      <c r="E2363" s="138"/>
      <c r="F2363" s="139"/>
      <c r="G2363" s="1" t="str">
        <f>IFERROR(IF(ventas_b_mes1255[[#This Row],[CUIT]]="","-",VLOOKUP(ventas_b_mes1255[[#This Row],[CUIT]],Lista_CUIT[#All],2,0)),"CUIT NO CARGADO")</f>
        <v>-</v>
      </c>
      <c r="H2363" s="100">
        <f>ventas_b_mes1255[[#This Row],[TOTAL]]/1.21</f>
        <v>0</v>
      </c>
      <c r="I2363" s="64">
        <f>ventas_b_mes1255[[#This Row],[IMPORTE NETO]]*0.21</f>
        <v>0</v>
      </c>
      <c r="J2363" s="141"/>
      <c r="K2363" s="141"/>
      <c r="L2363" s="141"/>
      <c r="M2363" s="59"/>
    </row>
    <row r="2364" spans="2:13">
      <c r="B2364" s="135"/>
      <c r="C2364" s="41"/>
      <c r="D2364" s="137"/>
      <c r="E2364" s="138"/>
      <c r="F2364" s="139"/>
      <c r="G2364" s="1" t="str">
        <f>IFERROR(IF(ventas_b_mes1255[[#This Row],[CUIT]]="","-",VLOOKUP(ventas_b_mes1255[[#This Row],[CUIT]],Lista_CUIT[#All],2,0)),"CUIT NO CARGADO")</f>
        <v>-</v>
      </c>
      <c r="H2364" s="100">
        <f>ventas_b_mes1255[[#This Row],[TOTAL]]/1.21</f>
        <v>0</v>
      </c>
      <c r="I2364" s="64">
        <f>ventas_b_mes1255[[#This Row],[IMPORTE NETO]]*0.21</f>
        <v>0</v>
      </c>
      <c r="J2364" s="141"/>
      <c r="K2364" s="141"/>
      <c r="L2364" s="141"/>
      <c r="M2364" s="59"/>
    </row>
    <row r="2365" spans="2:13">
      <c r="B2365" s="135"/>
      <c r="C2365" s="41"/>
      <c r="D2365" s="137"/>
      <c r="E2365" s="138"/>
      <c r="F2365" s="139"/>
      <c r="G2365" s="1" t="str">
        <f>IFERROR(IF(ventas_b_mes1255[[#This Row],[CUIT]]="","-",VLOOKUP(ventas_b_mes1255[[#This Row],[CUIT]],Lista_CUIT[#All],2,0)),"CUIT NO CARGADO")</f>
        <v>-</v>
      </c>
      <c r="H2365" s="100">
        <f>ventas_b_mes1255[[#This Row],[TOTAL]]/1.21</f>
        <v>0</v>
      </c>
      <c r="I2365" s="64">
        <f>ventas_b_mes1255[[#This Row],[IMPORTE NETO]]*0.21</f>
        <v>0</v>
      </c>
      <c r="J2365" s="141"/>
      <c r="K2365" s="141"/>
      <c r="L2365" s="141"/>
      <c r="M2365" s="59"/>
    </row>
    <row r="2366" spans="2:13">
      <c r="B2366" s="135"/>
      <c r="C2366" s="41"/>
      <c r="D2366" s="137"/>
      <c r="E2366" s="138"/>
      <c r="F2366" s="139"/>
      <c r="G2366" s="1" t="str">
        <f>IFERROR(IF(ventas_b_mes1255[[#This Row],[CUIT]]="","-",VLOOKUP(ventas_b_mes1255[[#This Row],[CUIT]],Lista_CUIT[#All],2,0)),"CUIT NO CARGADO")</f>
        <v>-</v>
      </c>
      <c r="H2366" s="100">
        <f>ventas_b_mes1255[[#This Row],[TOTAL]]/1.21</f>
        <v>0</v>
      </c>
      <c r="I2366" s="64">
        <f>ventas_b_mes1255[[#This Row],[IMPORTE NETO]]*0.21</f>
        <v>0</v>
      </c>
      <c r="J2366" s="141"/>
      <c r="K2366" s="141"/>
      <c r="L2366" s="141"/>
      <c r="M2366" s="59"/>
    </row>
    <row r="2367" spans="2:13">
      <c r="B2367" s="135"/>
      <c r="C2367" s="41"/>
      <c r="D2367" s="137"/>
      <c r="E2367" s="138"/>
      <c r="F2367" s="139"/>
      <c r="G2367" s="1" t="str">
        <f>IFERROR(IF(ventas_b_mes1255[[#This Row],[CUIT]]="","-",VLOOKUP(ventas_b_mes1255[[#This Row],[CUIT]],Lista_CUIT[#All],2,0)),"CUIT NO CARGADO")</f>
        <v>-</v>
      </c>
      <c r="H2367" s="100">
        <f>ventas_b_mes1255[[#This Row],[TOTAL]]/1.21</f>
        <v>0</v>
      </c>
      <c r="I2367" s="64">
        <f>ventas_b_mes1255[[#This Row],[IMPORTE NETO]]*0.21</f>
        <v>0</v>
      </c>
      <c r="J2367" s="141"/>
      <c r="K2367" s="141"/>
      <c r="L2367" s="141"/>
      <c r="M2367" s="59"/>
    </row>
    <row r="2368" spans="2:13">
      <c r="B2368" s="135"/>
      <c r="C2368" s="41"/>
      <c r="D2368" s="137"/>
      <c r="E2368" s="138"/>
      <c r="F2368" s="139"/>
      <c r="G2368" s="1" t="str">
        <f>IFERROR(IF(ventas_b_mes1255[[#This Row],[CUIT]]="","-",VLOOKUP(ventas_b_mes1255[[#This Row],[CUIT]],Lista_CUIT[#All],2,0)),"CUIT NO CARGADO")</f>
        <v>-</v>
      </c>
      <c r="H2368" s="100">
        <f>ventas_b_mes1255[[#This Row],[TOTAL]]/1.21</f>
        <v>0</v>
      </c>
      <c r="I2368" s="64">
        <f>ventas_b_mes1255[[#This Row],[IMPORTE NETO]]*0.21</f>
        <v>0</v>
      </c>
      <c r="J2368" s="141"/>
      <c r="K2368" s="141"/>
      <c r="L2368" s="141"/>
      <c r="M2368" s="59"/>
    </row>
    <row r="2369" spans="2:13">
      <c r="B2369" s="135"/>
      <c r="C2369" s="41"/>
      <c r="D2369" s="137"/>
      <c r="E2369" s="138"/>
      <c r="F2369" s="139"/>
      <c r="G2369" s="1" t="str">
        <f>IFERROR(IF(ventas_b_mes1255[[#This Row],[CUIT]]="","-",VLOOKUP(ventas_b_mes1255[[#This Row],[CUIT]],Lista_CUIT[#All],2,0)),"CUIT NO CARGADO")</f>
        <v>-</v>
      </c>
      <c r="H2369" s="100">
        <f>ventas_b_mes1255[[#This Row],[TOTAL]]/1.21</f>
        <v>0</v>
      </c>
      <c r="I2369" s="64">
        <f>ventas_b_mes1255[[#This Row],[IMPORTE NETO]]*0.21</f>
        <v>0</v>
      </c>
      <c r="J2369" s="141"/>
      <c r="K2369" s="141"/>
      <c r="L2369" s="141"/>
      <c r="M2369" s="59"/>
    </row>
    <row r="2370" spans="2:13">
      <c r="B2370" s="135"/>
      <c r="C2370" s="41"/>
      <c r="D2370" s="137"/>
      <c r="E2370" s="138"/>
      <c r="F2370" s="139"/>
      <c r="G2370" s="1" t="str">
        <f>IFERROR(IF(ventas_b_mes1255[[#This Row],[CUIT]]="","-",VLOOKUP(ventas_b_mes1255[[#This Row],[CUIT]],Lista_CUIT[#All],2,0)),"CUIT NO CARGADO")</f>
        <v>-</v>
      </c>
      <c r="H2370" s="100">
        <f>ventas_b_mes1255[[#This Row],[TOTAL]]/1.21</f>
        <v>0</v>
      </c>
      <c r="I2370" s="64">
        <f>ventas_b_mes1255[[#This Row],[IMPORTE NETO]]*0.21</f>
        <v>0</v>
      </c>
      <c r="J2370" s="141"/>
      <c r="K2370" s="141"/>
      <c r="L2370" s="141"/>
      <c r="M2370" s="59"/>
    </row>
    <row r="2371" spans="2:13">
      <c r="B2371" s="135"/>
      <c r="C2371" s="41"/>
      <c r="D2371" s="137"/>
      <c r="E2371" s="138"/>
      <c r="F2371" s="139"/>
      <c r="G2371" s="1" t="str">
        <f>IFERROR(IF(ventas_b_mes1255[[#This Row],[CUIT]]="","-",VLOOKUP(ventas_b_mes1255[[#This Row],[CUIT]],Lista_CUIT[#All],2,0)),"CUIT NO CARGADO")</f>
        <v>-</v>
      </c>
      <c r="H2371" s="100">
        <f>ventas_b_mes1255[[#This Row],[TOTAL]]/1.21</f>
        <v>0</v>
      </c>
      <c r="I2371" s="64">
        <f>ventas_b_mes1255[[#This Row],[IMPORTE NETO]]*0.21</f>
        <v>0</v>
      </c>
      <c r="J2371" s="141"/>
      <c r="K2371" s="141"/>
      <c r="L2371" s="141"/>
      <c r="M2371" s="59"/>
    </row>
    <row r="2372" spans="2:13">
      <c r="B2372" s="135"/>
      <c r="C2372" s="41"/>
      <c r="D2372" s="137"/>
      <c r="E2372" s="138"/>
      <c r="F2372" s="139"/>
      <c r="G2372" s="1" t="str">
        <f>IFERROR(IF(ventas_b_mes1255[[#This Row],[CUIT]]="","-",VLOOKUP(ventas_b_mes1255[[#This Row],[CUIT]],Lista_CUIT[#All],2,0)),"CUIT NO CARGADO")</f>
        <v>-</v>
      </c>
      <c r="H2372" s="100">
        <f>ventas_b_mes1255[[#This Row],[TOTAL]]/1.21</f>
        <v>0</v>
      </c>
      <c r="I2372" s="64">
        <f>ventas_b_mes1255[[#This Row],[IMPORTE NETO]]*0.21</f>
        <v>0</v>
      </c>
      <c r="J2372" s="141"/>
      <c r="K2372" s="141"/>
      <c r="L2372" s="141"/>
      <c r="M2372" s="59"/>
    </row>
    <row r="2373" spans="2:13">
      <c r="B2373" s="135"/>
      <c r="C2373" s="41"/>
      <c r="D2373" s="137"/>
      <c r="E2373" s="138"/>
      <c r="F2373" s="139"/>
      <c r="G2373" s="1" t="str">
        <f>IFERROR(IF(ventas_b_mes1255[[#This Row],[CUIT]]="","-",VLOOKUP(ventas_b_mes1255[[#This Row],[CUIT]],Lista_CUIT[#All],2,0)),"CUIT NO CARGADO")</f>
        <v>-</v>
      </c>
      <c r="H2373" s="100">
        <f>ventas_b_mes1255[[#This Row],[TOTAL]]/1.21</f>
        <v>0</v>
      </c>
      <c r="I2373" s="64">
        <f>ventas_b_mes1255[[#This Row],[IMPORTE NETO]]*0.21</f>
        <v>0</v>
      </c>
      <c r="J2373" s="141"/>
      <c r="K2373" s="141"/>
      <c r="L2373" s="141"/>
      <c r="M2373" s="59"/>
    </row>
    <row r="2374" spans="2:13">
      <c r="B2374" s="135"/>
      <c r="C2374" s="41"/>
      <c r="D2374" s="137"/>
      <c r="E2374" s="138"/>
      <c r="F2374" s="139"/>
      <c r="G2374" s="1" t="str">
        <f>IFERROR(IF(ventas_b_mes1255[[#This Row],[CUIT]]="","-",VLOOKUP(ventas_b_mes1255[[#This Row],[CUIT]],Lista_CUIT[#All],2,0)),"CUIT NO CARGADO")</f>
        <v>-</v>
      </c>
      <c r="H2374" s="100">
        <f>ventas_b_mes1255[[#This Row],[TOTAL]]/1.21</f>
        <v>0</v>
      </c>
      <c r="I2374" s="64">
        <f>ventas_b_mes1255[[#This Row],[IMPORTE NETO]]*0.21</f>
        <v>0</v>
      </c>
      <c r="J2374" s="141"/>
      <c r="K2374" s="141"/>
      <c r="L2374" s="141"/>
      <c r="M2374" s="59"/>
    </row>
    <row r="2375" spans="2:13">
      <c r="B2375" s="135"/>
      <c r="C2375" s="41"/>
      <c r="D2375" s="137"/>
      <c r="E2375" s="138"/>
      <c r="F2375" s="139"/>
      <c r="G2375" s="1" t="str">
        <f>IFERROR(IF(ventas_b_mes1255[[#This Row],[CUIT]]="","-",VLOOKUP(ventas_b_mes1255[[#This Row],[CUIT]],Lista_CUIT[#All],2,0)),"CUIT NO CARGADO")</f>
        <v>-</v>
      </c>
      <c r="H2375" s="100">
        <f>ventas_b_mes1255[[#This Row],[TOTAL]]/1.21</f>
        <v>0</v>
      </c>
      <c r="I2375" s="64">
        <f>ventas_b_mes1255[[#This Row],[IMPORTE NETO]]*0.21</f>
        <v>0</v>
      </c>
      <c r="J2375" s="141"/>
      <c r="K2375" s="141"/>
      <c r="L2375" s="141"/>
      <c r="M2375" s="59"/>
    </row>
    <row r="2376" spans="2:13">
      <c r="B2376" s="135"/>
      <c r="C2376" s="41"/>
      <c r="D2376" s="137"/>
      <c r="E2376" s="138"/>
      <c r="F2376" s="139"/>
      <c r="G2376" s="1" t="str">
        <f>IFERROR(IF(ventas_b_mes1255[[#This Row],[CUIT]]="","-",VLOOKUP(ventas_b_mes1255[[#This Row],[CUIT]],Lista_CUIT[#All],2,0)),"CUIT NO CARGADO")</f>
        <v>-</v>
      </c>
      <c r="H2376" s="100">
        <f>ventas_b_mes1255[[#This Row],[TOTAL]]/1.21</f>
        <v>0</v>
      </c>
      <c r="I2376" s="64">
        <f>ventas_b_mes1255[[#This Row],[IMPORTE NETO]]*0.21</f>
        <v>0</v>
      </c>
      <c r="J2376" s="141"/>
      <c r="K2376" s="141"/>
      <c r="L2376" s="141"/>
      <c r="M2376" s="59"/>
    </row>
    <row r="2377" spans="2:13">
      <c r="B2377" s="135"/>
      <c r="C2377" s="41"/>
      <c r="D2377" s="137"/>
      <c r="E2377" s="138"/>
      <c r="F2377" s="139"/>
      <c r="G2377" s="1" t="str">
        <f>IFERROR(IF(ventas_b_mes1255[[#This Row],[CUIT]]="","-",VLOOKUP(ventas_b_mes1255[[#This Row],[CUIT]],Lista_CUIT[#All],2,0)),"CUIT NO CARGADO")</f>
        <v>-</v>
      </c>
      <c r="H2377" s="100">
        <f>ventas_b_mes1255[[#This Row],[TOTAL]]/1.21</f>
        <v>0</v>
      </c>
      <c r="I2377" s="64">
        <f>ventas_b_mes1255[[#This Row],[IMPORTE NETO]]*0.21</f>
        <v>0</v>
      </c>
      <c r="J2377" s="141"/>
      <c r="K2377" s="141"/>
      <c r="L2377" s="141"/>
      <c r="M2377" s="59"/>
    </row>
    <row r="2378" spans="2:13">
      <c r="B2378" s="135"/>
      <c r="C2378" s="41"/>
      <c r="D2378" s="137"/>
      <c r="E2378" s="138"/>
      <c r="F2378" s="139"/>
      <c r="G2378" s="1" t="str">
        <f>IFERROR(IF(ventas_b_mes1255[[#This Row],[CUIT]]="","-",VLOOKUP(ventas_b_mes1255[[#This Row],[CUIT]],Lista_CUIT[#All],2,0)),"CUIT NO CARGADO")</f>
        <v>-</v>
      </c>
      <c r="H2378" s="100">
        <f>ventas_b_mes1255[[#This Row],[TOTAL]]/1.21</f>
        <v>0</v>
      </c>
      <c r="I2378" s="64">
        <f>ventas_b_mes1255[[#This Row],[IMPORTE NETO]]*0.21</f>
        <v>0</v>
      </c>
      <c r="J2378" s="141"/>
      <c r="K2378" s="141"/>
      <c r="L2378" s="141"/>
      <c r="M2378" s="59"/>
    </row>
    <row r="2379" spans="2:13">
      <c r="B2379" s="135"/>
      <c r="C2379" s="41"/>
      <c r="D2379" s="137"/>
      <c r="E2379" s="138"/>
      <c r="F2379" s="139"/>
      <c r="G2379" s="1" t="str">
        <f>IFERROR(IF(ventas_b_mes1255[[#This Row],[CUIT]]="","-",VLOOKUP(ventas_b_mes1255[[#This Row],[CUIT]],Lista_CUIT[#All],2,0)),"CUIT NO CARGADO")</f>
        <v>-</v>
      </c>
      <c r="H2379" s="100">
        <f>ventas_b_mes1255[[#This Row],[TOTAL]]/1.21</f>
        <v>0</v>
      </c>
      <c r="I2379" s="64">
        <f>ventas_b_mes1255[[#This Row],[IMPORTE NETO]]*0.21</f>
        <v>0</v>
      </c>
      <c r="J2379" s="141"/>
      <c r="K2379" s="141"/>
      <c r="L2379" s="141"/>
      <c r="M2379" s="59"/>
    </row>
    <row r="2380" spans="2:13">
      <c r="B2380" s="135"/>
      <c r="C2380" s="41"/>
      <c r="D2380" s="137"/>
      <c r="E2380" s="138"/>
      <c r="F2380" s="139"/>
      <c r="G2380" s="1" t="str">
        <f>IFERROR(IF(ventas_b_mes1255[[#This Row],[CUIT]]="","-",VLOOKUP(ventas_b_mes1255[[#This Row],[CUIT]],Lista_CUIT[#All],2,0)),"CUIT NO CARGADO")</f>
        <v>-</v>
      </c>
      <c r="H2380" s="100">
        <f>ventas_b_mes1255[[#This Row],[TOTAL]]/1.21</f>
        <v>0</v>
      </c>
      <c r="I2380" s="64">
        <f>ventas_b_mes1255[[#This Row],[IMPORTE NETO]]*0.21</f>
        <v>0</v>
      </c>
      <c r="J2380" s="141"/>
      <c r="K2380" s="141"/>
      <c r="L2380" s="141"/>
      <c r="M2380" s="59"/>
    </row>
    <row r="2381" spans="2:13">
      <c r="B2381" s="135"/>
      <c r="C2381" s="41"/>
      <c r="D2381" s="137"/>
      <c r="E2381" s="138"/>
      <c r="F2381" s="139"/>
      <c r="G2381" s="1" t="str">
        <f>IFERROR(IF(ventas_b_mes1255[[#This Row],[CUIT]]="","-",VLOOKUP(ventas_b_mes1255[[#This Row],[CUIT]],Lista_CUIT[#All],2,0)),"CUIT NO CARGADO")</f>
        <v>-</v>
      </c>
      <c r="H2381" s="100">
        <f>ventas_b_mes1255[[#This Row],[TOTAL]]/1.21</f>
        <v>0</v>
      </c>
      <c r="I2381" s="64">
        <f>ventas_b_mes1255[[#This Row],[IMPORTE NETO]]*0.21</f>
        <v>0</v>
      </c>
      <c r="J2381" s="141"/>
      <c r="K2381" s="141"/>
      <c r="L2381" s="141"/>
      <c r="M2381" s="59"/>
    </row>
    <row r="2382" spans="2:13">
      <c r="B2382" s="135"/>
      <c r="C2382" s="41"/>
      <c r="D2382" s="137"/>
      <c r="E2382" s="138"/>
      <c r="F2382" s="139"/>
      <c r="G2382" s="1" t="str">
        <f>IFERROR(IF(ventas_b_mes1255[[#This Row],[CUIT]]="","-",VLOOKUP(ventas_b_mes1255[[#This Row],[CUIT]],Lista_CUIT[#All],2,0)),"CUIT NO CARGADO")</f>
        <v>-</v>
      </c>
      <c r="H2382" s="100">
        <f>ventas_b_mes1255[[#This Row],[TOTAL]]/1.21</f>
        <v>0</v>
      </c>
      <c r="I2382" s="64">
        <f>ventas_b_mes1255[[#This Row],[IMPORTE NETO]]*0.21</f>
        <v>0</v>
      </c>
      <c r="J2382" s="141"/>
      <c r="K2382" s="141"/>
      <c r="L2382" s="141"/>
      <c r="M2382" s="59"/>
    </row>
    <row r="2383" spans="2:13">
      <c r="B2383" s="135"/>
      <c r="C2383" s="41"/>
      <c r="D2383" s="137"/>
      <c r="E2383" s="138"/>
      <c r="F2383" s="139"/>
      <c r="G2383" s="1" t="str">
        <f>IFERROR(IF(ventas_b_mes1255[[#This Row],[CUIT]]="","-",VLOOKUP(ventas_b_mes1255[[#This Row],[CUIT]],Lista_CUIT[#All],2,0)),"CUIT NO CARGADO")</f>
        <v>-</v>
      </c>
      <c r="H2383" s="100">
        <f>ventas_b_mes1255[[#This Row],[TOTAL]]/1.21</f>
        <v>0</v>
      </c>
      <c r="I2383" s="64">
        <f>ventas_b_mes1255[[#This Row],[IMPORTE NETO]]*0.21</f>
        <v>0</v>
      </c>
      <c r="J2383" s="141"/>
      <c r="K2383" s="141"/>
      <c r="L2383" s="141"/>
      <c r="M2383" s="59"/>
    </row>
    <row r="2384" spans="2:13">
      <c r="B2384" s="135"/>
      <c r="C2384" s="41"/>
      <c r="D2384" s="137"/>
      <c r="E2384" s="138"/>
      <c r="F2384" s="139"/>
      <c r="G2384" s="1" t="str">
        <f>IFERROR(IF(ventas_b_mes1255[[#This Row],[CUIT]]="","-",VLOOKUP(ventas_b_mes1255[[#This Row],[CUIT]],Lista_CUIT[#All],2,0)),"CUIT NO CARGADO")</f>
        <v>-</v>
      </c>
      <c r="H2384" s="100">
        <f>ventas_b_mes1255[[#This Row],[TOTAL]]/1.21</f>
        <v>0</v>
      </c>
      <c r="I2384" s="64">
        <f>ventas_b_mes1255[[#This Row],[IMPORTE NETO]]*0.21</f>
        <v>0</v>
      </c>
      <c r="J2384" s="141"/>
      <c r="K2384" s="141"/>
      <c r="L2384" s="141"/>
      <c r="M2384" s="59"/>
    </row>
    <row r="2385" spans="2:13">
      <c r="B2385" s="135"/>
      <c r="C2385" s="41"/>
      <c r="D2385" s="137"/>
      <c r="E2385" s="138"/>
      <c r="F2385" s="139"/>
      <c r="G2385" s="1" t="str">
        <f>IFERROR(IF(ventas_b_mes1255[[#This Row],[CUIT]]="","-",VLOOKUP(ventas_b_mes1255[[#This Row],[CUIT]],Lista_CUIT[#All],2,0)),"CUIT NO CARGADO")</f>
        <v>-</v>
      </c>
      <c r="H2385" s="100">
        <f>ventas_b_mes1255[[#This Row],[TOTAL]]/1.21</f>
        <v>0</v>
      </c>
      <c r="I2385" s="64">
        <f>ventas_b_mes1255[[#This Row],[IMPORTE NETO]]*0.21</f>
        <v>0</v>
      </c>
      <c r="J2385" s="141"/>
      <c r="K2385" s="141"/>
      <c r="L2385" s="141"/>
      <c r="M2385" s="59"/>
    </row>
    <row r="2386" spans="2:13">
      <c r="B2386" s="135"/>
      <c r="C2386" s="41"/>
      <c r="D2386" s="137"/>
      <c r="E2386" s="138"/>
      <c r="F2386" s="139"/>
      <c r="G2386" s="1" t="str">
        <f>IFERROR(IF(ventas_b_mes1255[[#This Row],[CUIT]]="","-",VLOOKUP(ventas_b_mes1255[[#This Row],[CUIT]],Lista_CUIT[#All],2,0)),"CUIT NO CARGADO")</f>
        <v>-</v>
      </c>
      <c r="H2386" s="100">
        <f>ventas_b_mes1255[[#This Row],[TOTAL]]/1.21</f>
        <v>0</v>
      </c>
      <c r="I2386" s="64">
        <f>ventas_b_mes1255[[#This Row],[IMPORTE NETO]]*0.21</f>
        <v>0</v>
      </c>
      <c r="J2386" s="141"/>
      <c r="K2386" s="141"/>
      <c r="L2386" s="141"/>
      <c r="M2386" s="59"/>
    </row>
    <row r="2387" spans="2:13">
      <c r="B2387" s="135"/>
      <c r="C2387" s="41"/>
      <c r="D2387" s="137"/>
      <c r="E2387" s="138"/>
      <c r="F2387" s="139"/>
      <c r="G2387" s="1" t="str">
        <f>IFERROR(IF(ventas_b_mes1255[[#This Row],[CUIT]]="","-",VLOOKUP(ventas_b_mes1255[[#This Row],[CUIT]],Lista_CUIT[#All],2,0)),"CUIT NO CARGADO")</f>
        <v>-</v>
      </c>
      <c r="H2387" s="100">
        <f>ventas_b_mes1255[[#This Row],[TOTAL]]/1.21</f>
        <v>0</v>
      </c>
      <c r="I2387" s="64">
        <f>ventas_b_mes1255[[#This Row],[IMPORTE NETO]]*0.21</f>
        <v>0</v>
      </c>
      <c r="J2387" s="141"/>
      <c r="K2387" s="141"/>
      <c r="L2387" s="141"/>
      <c r="M2387" s="59"/>
    </row>
    <row r="2388" spans="2:13">
      <c r="B2388" s="135"/>
      <c r="C2388" s="41"/>
      <c r="D2388" s="137"/>
      <c r="E2388" s="138"/>
      <c r="F2388" s="139"/>
      <c r="G2388" s="1" t="str">
        <f>IFERROR(IF(ventas_b_mes1255[[#This Row],[CUIT]]="","-",VLOOKUP(ventas_b_mes1255[[#This Row],[CUIT]],Lista_CUIT[#All],2,0)),"CUIT NO CARGADO")</f>
        <v>-</v>
      </c>
      <c r="H2388" s="100">
        <f>ventas_b_mes1255[[#This Row],[TOTAL]]/1.21</f>
        <v>0</v>
      </c>
      <c r="I2388" s="64">
        <f>ventas_b_mes1255[[#This Row],[IMPORTE NETO]]*0.21</f>
        <v>0</v>
      </c>
      <c r="J2388" s="141"/>
      <c r="K2388" s="141"/>
      <c r="L2388" s="141"/>
      <c r="M2388" s="59"/>
    </row>
    <row r="2389" spans="2:13">
      <c r="B2389" s="135"/>
      <c r="C2389" s="41"/>
      <c r="D2389" s="137"/>
      <c r="E2389" s="138"/>
      <c r="F2389" s="139"/>
      <c r="G2389" s="1" t="str">
        <f>IFERROR(IF(ventas_b_mes1255[[#This Row],[CUIT]]="","-",VLOOKUP(ventas_b_mes1255[[#This Row],[CUIT]],Lista_CUIT[#All],2,0)),"CUIT NO CARGADO")</f>
        <v>-</v>
      </c>
      <c r="H2389" s="100">
        <f>ventas_b_mes1255[[#This Row],[TOTAL]]/1.21</f>
        <v>0</v>
      </c>
      <c r="I2389" s="64">
        <f>ventas_b_mes1255[[#This Row],[IMPORTE NETO]]*0.21</f>
        <v>0</v>
      </c>
      <c r="J2389" s="141"/>
      <c r="K2389" s="141"/>
      <c r="L2389" s="141"/>
      <c r="M2389" s="59"/>
    </row>
    <row r="2390" spans="2:13">
      <c r="B2390" s="135"/>
      <c r="C2390" s="41"/>
      <c r="D2390" s="137"/>
      <c r="E2390" s="138"/>
      <c r="F2390" s="139"/>
      <c r="G2390" s="1" t="str">
        <f>IFERROR(IF(ventas_b_mes1255[[#This Row],[CUIT]]="","-",VLOOKUP(ventas_b_mes1255[[#This Row],[CUIT]],Lista_CUIT[#All],2,0)),"CUIT NO CARGADO")</f>
        <v>-</v>
      </c>
      <c r="H2390" s="100">
        <f>ventas_b_mes1255[[#This Row],[TOTAL]]/1.21</f>
        <v>0</v>
      </c>
      <c r="I2390" s="64">
        <f>ventas_b_mes1255[[#This Row],[IMPORTE NETO]]*0.21</f>
        <v>0</v>
      </c>
      <c r="J2390" s="141"/>
      <c r="K2390" s="141"/>
      <c r="L2390" s="141"/>
      <c r="M2390" s="59"/>
    </row>
    <row r="2391" spans="2:13">
      <c r="B2391" s="135"/>
      <c r="C2391" s="41"/>
      <c r="D2391" s="137"/>
      <c r="E2391" s="138"/>
      <c r="F2391" s="139"/>
      <c r="G2391" s="1" t="str">
        <f>IFERROR(IF(ventas_b_mes1255[[#This Row],[CUIT]]="","-",VLOOKUP(ventas_b_mes1255[[#This Row],[CUIT]],Lista_CUIT[#All],2,0)),"CUIT NO CARGADO")</f>
        <v>-</v>
      </c>
      <c r="H2391" s="100">
        <f>ventas_b_mes1255[[#This Row],[TOTAL]]/1.21</f>
        <v>0</v>
      </c>
      <c r="I2391" s="64">
        <f>ventas_b_mes1255[[#This Row],[IMPORTE NETO]]*0.21</f>
        <v>0</v>
      </c>
      <c r="J2391" s="141"/>
      <c r="K2391" s="141"/>
      <c r="L2391" s="141"/>
      <c r="M2391" s="59"/>
    </row>
    <row r="2392" spans="2:13">
      <c r="B2392" s="135"/>
      <c r="C2392" s="41"/>
      <c r="D2392" s="137"/>
      <c r="E2392" s="138"/>
      <c r="F2392" s="139"/>
      <c r="G2392" s="1" t="str">
        <f>IFERROR(IF(ventas_b_mes1255[[#This Row],[CUIT]]="","-",VLOOKUP(ventas_b_mes1255[[#This Row],[CUIT]],Lista_CUIT[#All],2,0)),"CUIT NO CARGADO")</f>
        <v>-</v>
      </c>
      <c r="H2392" s="100">
        <f>ventas_b_mes1255[[#This Row],[TOTAL]]/1.21</f>
        <v>0</v>
      </c>
      <c r="I2392" s="64">
        <f>ventas_b_mes1255[[#This Row],[IMPORTE NETO]]*0.21</f>
        <v>0</v>
      </c>
      <c r="J2392" s="141"/>
      <c r="K2392" s="141"/>
      <c r="L2392" s="141"/>
      <c r="M2392" s="59"/>
    </row>
    <row r="2393" spans="2:13">
      <c r="B2393" s="135"/>
      <c r="C2393" s="41"/>
      <c r="D2393" s="137"/>
      <c r="E2393" s="138"/>
      <c r="F2393" s="139"/>
      <c r="G2393" s="1" t="str">
        <f>IFERROR(IF(ventas_b_mes1255[[#This Row],[CUIT]]="","-",VLOOKUP(ventas_b_mes1255[[#This Row],[CUIT]],Lista_CUIT[#All],2,0)),"CUIT NO CARGADO")</f>
        <v>-</v>
      </c>
      <c r="H2393" s="100">
        <f>ventas_b_mes1255[[#This Row],[TOTAL]]/1.21</f>
        <v>0</v>
      </c>
      <c r="I2393" s="64">
        <f>ventas_b_mes1255[[#This Row],[IMPORTE NETO]]*0.21</f>
        <v>0</v>
      </c>
      <c r="J2393" s="141"/>
      <c r="K2393" s="141"/>
      <c r="L2393" s="141"/>
      <c r="M2393" s="59"/>
    </row>
    <row r="2394" spans="2:13">
      <c r="B2394" s="135"/>
      <c r="C2394" s="41"/>
      <c r="D2394" s="137"/>
      <c r="E2394" s="138"/>
      <c r="F2394" s="139"/>
      <c r="G2394" s="1" t="str">
        <f>IFERROR(IF(ventas_b_mes1255[[#This Row],[CUIT]]="","-",VLOOKUP(ventas_b_mes1255[[#This Row],[CUIT]],Lista_CUIT[#All],2,0)),"CUIT NO CARGADO")</f>
        <v>-</v>
      </c>
      <c r="H2394" s="100">
        <f>ventas_b_mes1255[[#This Row],[TOTAL]]/1.21</f>
        <v>0</v>
      </c>
      <c r="I2394" s="64">
        <f>ventas_b_mes1255[[#This Row],[IMPORTE NETO]]*0.21</f>
        <v>0</v>
      </c>
      <c r="J2394" s="141"/>
      <c r="K2394" s="141"/>
      <c r="L2394" s="141"/>
      <c r="M2394" s="59"/>
    </row>
    <row r="2395" spans="2:13">
      <c r="B2395" s="135"/>
      <c r="C2395" s="41"/>
      <c r="D2395" s="137"/>
      <c r="E2395" s="138"/>
      <c r="F2395" s="139"/>
      <c r="G2395" s="1" t="str">
        <f>IFERROR(IF(ventas_b_mes1255[[#This Row],[CUIT]]="","-",VLOOKUP(ventas_b_mes1255[[#This Row],[CUIT]],Lista_CUIT[#All],2,0)),"CUIT NO CARGADO")</f>
        <v>-</v>
      </c>
      <c r="H2395" s="100">
        <f>ventas_b_mes1255[[#This Row],[TOTAL]]/1.21</f>
        <v>0</v>
      </c>
      <c r="I2395" s="64">
        <f>ventas_b_mes1255[[#This Row],[IMPORTE NETO]]*0.21</f>
        <v>0</v>
      </c>
      <c r="J2395" s="141"/>
      <c r="K2395" s="141"/>
      <c r="L2395" s="141"/>
      <c r="M2395" s="59"/>
    </row>
    <row r="2396" spans="2:13">
      <c r="B2396" s="135"/>
      <c r="C2396" s="41"/>
      <c r="D2396" s="137"/>
      <c r="E2396" s="138"/>
      <c r="F2396" s="139"/>
      <c r="G2396" s="1" t="str">
        <f>IFERROR(IF(ventas_b_mes1255[[#This Row],[CUIT]]="","-",VLOOKUP(ventas_b_mes1255[[#This Row],[CUIT]],Lista_CUIT[#All],2,0)),"CUIT NO CARGADO")</f>
        <v>-</v>
      </c>
      <c r="H2396" s="100">
        <f>ventas_b_mes1255[[#This Row],[TOTAL]]/1.21</f>
        <v>0</v>
      </c>
      <c r="I2396" s="64">
        <f>ventas_b_mes1255[[#This Row],[IMPORTE NETO]]*0.21</f>
        <v>0</v>
      </c>
      <c r="J2396" s="141"/>
      <c r="K2396" s="141"/>
      <c r="L2396" s="141"/>
      <c r="M2396" s="59"/>
    </row>
    <row r="2397" spans="2:13">
      <c r="B2397" s="135"/>
      <c r="C2397" s="41"/>
      <c r="D2397" s="137"/>
      <c r="E2397" s="138"/>
      <c r="F2397" s="139"/>
      <c r="G2397" s="1" t="str">
        <f>IFERROR(IF(ventas_b_mes1255[[#This Row],[CUIT]]="","-",VLOOKUP(ventas_b_mes1255[[#This Row],[CUIT]],Lista_CUIT[#All],2,0)),"CUIT NO CARGADO")</f>
        <v>-</v>
      </c>
      <c r="H2397" s="100">
        <f>ventas_b_mes1255[[#This Row],[TOTAL]]/1.21</f>
        <v>0</v>
      </c>
      <c r="I2397" s="64">
        <f>ventas_b_mes1255[[#This Row],[IMPORTE NETO]]*0.21</f>
        <v>0</v>
      </c>
      <c r="J2397" s="141"/>
      <c r="K2397" s="141"/>
      <c r="L2397" s="141"/>
      <c r="M2397" s="59"/>
    </row>
    <row r="2398" spans="2:13">
      <c r="B2398" s="135"/>
      <c r="C2398" s="41"/>
      <c r="D2398" s="137"/>
      <c r="E2398" s="138"/>
      <c r="F2398" s="139"/>
      <c r="G2398" s="1" t="str">
        <f>IFERROR(IF(ventas_b_mes1255[[#This Row],[CUIT]]="","-",VLOOKUP(ventas_b_mes1255[[#This Row],[CUIT]],Lista_CUIT[#All],2,0)),"CUIT NO CARGADO")</f>
        <v>-</v>
      </c>
      <c r="H2398" s="100">
        <f>ventas_b_mes1255[[#This Row],[TOTAL]]/1.21</f>
        <v>0</v>
      </c>
      <c r="I2398" s="64">
        <f>ventas_b_mes1255[[#This Row],[IMPORTE NETO]]*0.21</f>
        <v>0</v>
      </c>
      <c r="J2398" s="141"/>
      <c r="K2398" s="141"/>
      <c r="L2398" s="141"/>
      <c r="M2398" s="59"/>
    </row>
    <row r="2399" spans="2:13">
      <c r="B2399" s="135"/>
      <c r="C2399" s="41"/>
      <c r="D2399" s="137"/>
      <c r="E2399" s="138"/>
      <c r="F2399" s="139"/>
      <c r="G2399" s="1" t="str">
        <f>IFERROR(IF(ventas_b_mes1255[[#This Row],[CUIT]]="","-",VLOOKUP(ventas_b_mes1255[[#This Row],[CUIT]],Lista_CUIT[#All],2,0)),"CUIT NO CARGADO")</f>
        <v>-</v>
      </c>
      <c r="H2399" s="100">
        <f>ventas_b_mes1255[[#This Row],[TOTAL]]/1.21</f>
        <v>0</v>
      </c>
      <c r="I2399" s="64">
        <f>ventas_b_mes1255[[#This Row],[IMPORTE NETO]]*0.21</f>
        <v>0</v>
      </c>
      <c r="J2399" s="141"/>
      <c r="K2399" s="141"/>
      <c r="L2399" s="141"/>
      <c r="M2399" s="59"/>
    </row>
    <row r="2400" spans="2:13">
      <c r="B2400" s="135"/>
      <c r="C2400" s="41"/>
      <c r="D2400" s="137"/>
      <c r="E2400" s="138"/>
      <c r="F2400" s="139"/>
      <c r="G2400" s="1" t="str">
        <f>IFERROR(IF(ventas_b_mes1255[[#This Row],[CUIT]]="","-",VLOOKUP(ventas_b_mes1255[[#This Row],[CUIT]],Lista_CUIT[#All],2,0)),"CUIT NO CARGADO")</f>
        <v>-</v>
      </c>
      <c r="H2400" s="100">
        <f>ventas_b_mes1255[[#This Row],[TOTAL]]/1.21</f>
        <v>0</v>
      </c>
      <c r="I2400" s="64">
        <f>ventas_b_mes1255[[#This Row],[IMPORTE NETO]]*0.21</f>
        <v>0</v>
      </c>
      <c r="J2400" s="141"/>
      <c r="K2400" s="141"/>
      <c r="L2400" s="141"/>
      <c r="M2400" s="59"/>
    </row>
    <row r="2401" spans="2:13">
      <c r="B2401" s="135"/>
      <c r="C2401" s="41"/>
      <c r="D2401" s="137"/>
      <c r="E2401" s="138"/>
      <c r="F2401" s="139"/>
      <c r="G2401" s="1" t="str">
        <f>IFERROR(IF(ventas_b_mes1255[[#This Row],[CUIT]]="","-",VLOOKUP(ventas_b_mes1255[[#This Row],[CUIT]],Lista_CUIT[#All],2,0)),"CUIT NO CARGADO")</f>
        <v>-</v>
      </c>
      <c r="H2401" s="100">
        <f>ventas_b_mes1255[[#This Row],[TOTAL]]/1.21</f>
        <v>0</v>
      </c>
      <c r="I2401" s="64">
        <f>ventas_b_mes1255[[#This Row],[IMPORTE NETO]]*0.21</f>
        <v>0</v>
      </c>
      <c r="J2401" s="141"/>
      <c r="K2401" s="141"/>
      <c r="L2401" s="141"/>
      <c r="M2401" s="59"/>
    </row>
    <row r="2402" spans="2:13">
      <c r="B2402" s="135"/>
      <c r="C2402" s="41"/>
      <c r="D2402" s="137"/>
      <c r="E2402" s="138"/>
      <c r="F2402" s="139"/>
      <c r="G2402" s="1" t="str">
        <f>IFERROR(IF(ventas_b_mes1255[[#This Row],[CUIT]]="","-",VLOOKUP(ventas_b_mes1255[[#This Row],[CUIT]],Lista_CUIT[#All],2,0)),"CUIT NO CARGADO")</f>
        <v>-</v>
      </c>
      <c r="H2402" s="100">
        <f>ventas_b_mes1255[[#This Row],[TOTAL]]/1.21</f>
        <v>0</v>
      </c>
      <c r="I2402" s="64">
        <f>ventas_b_mes1255[[#This Row],[IMPORTE NETO]]*0.21</f>
        <v>0</v>
      </c>
      <c r="J2402" s="141"/>
      <c r="K2402" s="141"/>
      <c r="L2402" s="141"/>
      <c r="M2402" s="59"/>
    </row>
    <row r="2403" spans="2:13">
      <c r="B2403" s="135"/>
      <c r="C2403" s="41"/>
      <c r="D2403" s="137"/>
      <c r="E2403" s="138"/>
      <c r="F2403" s="139"/>
      <c r="G2403" s="1" t="str">
        <f>IFERROR(IF(ventas_b_mes1255[[#This Row],[CUIT]]="","-",VLOOKUP(ventas_b_mes1255[[#This Row],[CUIT]],Lista_CUIT[#All],2,0)),"CUIT NO CARGADO")</f>
        <v>-</v>
      </c>
      <c r="H2403" s="100">
        <f>ventas_b_mes1255[[#This Row],[TOTAL]]/1.21</f>
        <v>0</v>
      </c>
      <c r="I2403" s="64">
        <f>ventas_b_mes1255[[#This Row],[IMPORTE NETO]]*0.21</f>
        <v>0</v>
      </c>
      <c r="J2403" s="141"/>
      <c r="K2403" s="141"/>
      <c r="L2403" s="141"/>
      <c r="M2403" s="59"/>
    </row>
    <row r="2404" spans="2:13">
      <c r="B2404" s="135"/>
      <c r="C2404" s="41"/>
      <c r="D2404" s="137"/>
      <c r="E2404" s="138"/>
      <c r="F2404" s="139"/>
      <c r="G2404" s="1" t="str">
        <f>IFERROR(IF(ventas_b_mes1255[[#This Row],[CUIT]]="","-",VLOOKUP(ventas_b_mes1255[[#This Row],[CUIT]],Lista_CUIT[#All],2,0)),"CUIT NO CARGADO")</f>
        <v>-</v>
      </c>
      <c r="H2404" s="100">
        <f>ventas_b_mes1255[[#This Row],[TOTAL]]/1.21</f>
        <v>0</v>
      </c>
      <c r="I2404" s="64">
        <f>ventas_b_mes1255[[#This Row],[IMPORTE NETO]]*0.21</f>
        <v>0</v>
      </c>
      <c r="J2404" s="141"/>
      <c r="K2404" s="141"/>
      <c r="L2404" s="141"/>
      <c r="M2404" s="59"/>
    </row>
    <row r="2405" spans="2:13">
      <c r="B2405" s="135"/>
      <c r="C2405" s="41"/>
      <c r="D2405" s="137"/>
      <c r="E2405" s="138"/>
      <c r="F2405" s="139"/>
      <c r="G2405" s="1" t="str">
        <f>IFERROR(IF(ventas_b_mes1255[[#This Row],[CUIT]]="","-",VLOOKUP(ventas_b_mes1255[[#This Row],[CUIT]],Lista_CUIT[#All],2,0)),"CUIT NO CARGADO")</f>
        <v>-</v>
      </c>
      <c r="H2405" s="100">
        <f>ventas_b_mes1255[[#This Row],[TOTAL]]/1.21</f>
        <v>0</v>
      </c>
      <c r="I2405" s="64">
        <f>ventas_b_mes1255[[#This Row],[IMPORTE NETO]]*0.21</f>
        <v>0</v>
      </c>
      <c r="J2405" s="141"/>
      <c r="K2405" s="141"/>
      <c r="L2405" s="141"/>
      <c r="M2405" s="59"/>
    </row>
    <row r="2406" spans="2:13">
      <c r="B2406" s="135"/>
      <c r="C2406" s="41"/>
      <c r="D2406" s="137"/>
      <c r="E2406" s="138"/>
      <c r="F2406" s="139"/>
      <c r="G2406" s="1" t="str">
        <f>IFERROR(IF(ventas_b_mes1255[[#This Row],[CUIT]]="","-",VLOOKUP(ventas_b_mes1255[[#This Row],[CUIT]],Lista_CUIT[#All],2,0)),"CUIT NO CARGADO")</f>
        <v>-</v>
      </c>
      <c r="H2406" s="100">
        <f>ventas_b_mes1255[[#This Row],[TOTAL]]/1.21</f>
        <v>0</v>
      </c>
      <c r="I2406" s="64">
        <f>ventas_b_mes1255[[#This Row],[IMPORTE NETO]]*0.21</f>
        <v>0</v>
      </c>
      <c r="J2406" s="141"/>
      <c r="K2406" s="141"/>
      <c r="L2406" s="141"/>
      <c r="M2406" s="59"/>
    </row>
    <row r="2407" spans="2:13">
      <c r="B2407" s="135"/>
      <c r="C2407" s="41"/>
      <c r="D2407" s="137"/>
      <c r="E2407" s="138"/>
      <c r="F2407" s="139"/>
      <c r="G2407" s="1" t="str">
        <f>IFERROR(IF(ventas_b_mes1255[[#This Row],[CUIT]]="","-",VLOOKUP(ventas_b_mes1255[[#This Row],[CUIT]],Lista_CUIT[#All],2,0)),"CUIT NO CARGADO")</f>
        <v>-</v>
      </c>
      <c r="H2407" s="100">
        <f>ventas_b_mes1255[[#This Row],[TOTAL]]/1.21</f>
        <v>0</v>
      </c>
      <c r="I2407" s="64">
        <f>ventas_b_mes1255[[#This Row],[IMPORTE NETO]]*0.21</f>
        <v>0</v>
      </c>
      <c r="J2407" s="141"/>
      <c r="K2407" s="141"/>
      <c r="L2407" s="141"/>
      <c r="M2407" s="59"/>
    </row>
    <row r="2408" spans="2:13">
      <c r="B2408" s="135"/>
      <c r="C2408" s="41"/>
      <c r="D2408" s="137"/>
      <c r="E2408" s="138"/>
      <c r="F2408" s="139"/>
      <c r="G2408" s="1" t="str">
        <f>IFERROR(IF(ventas_b_mes1255[[#This Row],[CUIT]]="","-",VLOOKUP(ventas_b_mes1255[[#This Row],[CUIT]],Lista_CUIT[#All],2,0)),"CUIT NO CARGADO")</f>
        <v>-</v>
      </c>
      <c r="H2408" s="100">
        <f>ventas_b_mes1255[[#This Row],[TOTAL]]/1.21</f>
        <v>0</v>
      </c>
      <c r="I2408" s="64">
        <f>ventas_b_mes1255[[#This Row],[IMPORTE NETO]]*0.21</f>
        <v>0</v>
      </c>
      <c r="J2408" s="141"/>
      <c r="K2408" s="141"/>
      <c r="L2408" s="141"/>
      <c r="M2408" s="59"/>
    </row>
    <row r="2409" spans="2:13">
      <c r="B2409" s="135"/>
      <c r="C2409" s="41"/>
      <c r="D2409" s="137"/>
      <c r="E2409" s="138"/>
      <c r="F2409" s="139"/>
      <c r="G2409" s="1" t="str">
        <f>IFERROR(IF(ventas_b_mes1255[[#This Row],[CUIT]]="","-",VLOOKUP(ventas_b_mes1255[[#This Row],[CUIT]],Lista_CUIT[#All],2,0)),"CUIT NO CARGADO")</f>
        <v>-</v>
      </c>
      <c r="H2409" s="100">
        <f>ventas_b_mes1255[[#This Row],[TOTAL]]/1.21</f>
        <v>0</v>
      </c>
      <c r="I2409" s="64">
        <f>ventas_b_mes1255[[#This Row],[IMPORTE NETO]]*0.21</f>
        <v>0</v>
      </c>
      <c r="J2409" s="141"/>
      <c r="K2409" s="141"/>
      <c r="L2409" s="141"/>
      <c r="M2409" s="59"/>
    </row>
    <row r="2410" spans="2:13">
      <c r="B2410" s="135"/>
      <c r="C2410" s="41"/>
      <c r="D2410" s="137"/>
      <c r="E2410" s="138"/>
      <c r="F2410" s="139"/>
      <c r="G2410" s="1" t="str">
        <f>IFERROR(IF(ventas_b_mes1255[[#This Row],[CUIT]]="","-",VLOOKUP(ventas_b_mes1255[[#This Row],[CUIT]],Lista_CUIT[#All],2,0)),"CUIT NO CARGADO")</f>
        <v>-</v>
      </c>
      <c r="H2410" s="100">
        <f>ventas_b_mes1255[[#This Row],[TOTAL]]/1.21</f>
        <v>0</v>
      </c>
      <c r="I2410" s="64">
        <f>ventas_b_mes1255[[#This Row],[IMPORTE NETO]]*0.21</f>
        <v>0</v>
      </c>
      <c r="J2410" s="141"/>
      <c r="K2410" s="141"/>
      <c r="L2410" s="141"/>
      <c r="M2410" s="59"/>
    </row>
    <row r="2411" spans="2:13">
      <c r="B2411" s="135"/>
      <c r="C2411" s="41"/>
      <c r="D2411" s="137"/>
      <c r="E2411" s="138"/>
      <c r="F2411" s="139"/>
      <c r="G2411" s="1" t="str">
        <f>IFERROR(IF(ventas_b_mes1255[[#This Row],[CUIT]]="","-",VLOOKUP(ventas_b_mes1255[[#This Row],[CUIT]],Lista_CUIT[#All],2,0)),"CUIT NO CARGADO")</f>
        <v>-</v>
      </c>
      <c r="H2411" s="100">
        <f>ventas_b_mes1255[[#This Row],[TOTAL]]/1.21</f>
        <v>0</v>
      </c>
      <c r="I2411" s="64">
        <f>ventas_b_mes1255[[#This Row],[IMPORTE NETO]]*0.21</f>
        <v>0</v>
      </c>
      <c r="J2411" s="141"/>
      <c r="K2411" s="141"/>
      <c r="L2411" s="141"/>
      <c r="M2411" s="59"/>
    </row>
    <row r="2412" spans="2:13">
      <c r="B2412" s="135"/>
      <c r="C2412" s="41"/>
      <c r="D2412" s="137"/>
      <c r="E2412" s="138"/>
      <c r="F2412" s="139"/>
      <c r="G2412" s="1" t="str">
        <f>IFERROR(IF(ventas_b_mes1255[[#This Row],[CUIT]]="","-",VLOOKUP(ventas_b_mes1255[[#This Row],[CUIT]],Lista_CUIT[#All],2,0)),"CUIT NO CARGADO")</f>
        <v>-</v>
      </c>
      <c r="H2412" s="100">
        <f>ventas_b_mes1255[[#This Row],[TOTAL]]/1.21</f>
        <v>0</v>
      </c>
      <c r="I2412" s="64">
        <f>ventas_b_mes1255[[#This Row],[IMPORTE NETO]]*0.21</f>
        <v>0</v>
      </c>
      <c r="J2412" s="141"/>
      <c r="K2412" s="141"/>
      <c r="L2412" s="141"/>
      <c r="M2412" s="59"/>
    </row>
    <row r="2413" spans="2:13">
      <c r="B2413" s="135"/>
      <c r="C2413" s="41"/>
      <c r="D2413" s="137"/>
      <c r="E2413" s="138"/>
      <c r="F2413" s="139"/>
      <c r="G2413" s="1" t="str">
        <f>IFERROR(IF(ventas_b_mes1255[[#This Row],[CUIT]]="","-",VLOOKUP(ventas_b_mes1255[[#This Row],[CUIT]],Lista_CUIT[#All],2,0)),"CUIT NO CARGADO")</f>
        <v>-</v>
      </c>
      <c r="H2413" s="100">
        <f>ventas_b_mes1255[[#This Row],[TOTAL]]/1.21</f>
        <v>0</v>
      </c>
      <c r="I2413" s="64">
        <f>ventas_b_mes1255[[#This Row],[IMPORTE NETO]]*0.21</f>
        <v>0</v>
      </c>
      <c r="J2413" s="141"/>
      <c r="K2413" s="141"/>
      <c r="L2413" s="141"/>
      <c r="M2413" s="59"/>
    </row>
    <row r="2414" spans="2:13">
      <c r="B2414" s="135"/>
      <c r="C2414" s="41"/>
      <c r="D2414" s="137"/>
      <c r="E2414" s="138"/>
      <c r="F2414" s="139"/>
      <c r="G2414" s="1" t="str">
        <f>IFERROR(IF(ventas_b_mes1255[[#This Row],[CUIT]]="","-",VLOOKUP(ventas_b_mes1255[[#This Row],[CUIT]],Lista_CUIT[#All],2,0)),"CUIT NO CARGADO")</f>
        <v>-</v>
      </c>
      <c r="H2414" s="100">
        <f>ventas_b_mes1255[[#This Row],[TOTAL]]/1.21</f>
        <v>0</v>
      </c>
      <c r="I2414" s="64">
        <f>ventas_b_mes1255[[#This Row],[IMPORTE NETO]]*0.21</f>
        <v>0</v>
      </c>
      <c r="J2414" s="141"/>
      <c r="K2414" s="141"/>
      <c r="L2414" s="141"/>
      <c r="M2414" s="59"/>
    </row>
    <row r="2415" spans="2:13">
      <c r="B2415" s="135"/>
      <c r="C2415" s="41"/>
      <c r="D2415" s="137"/>
      <c r="E2415" s="138"/>
      <c r="F2415" s="139"/>
      <c r="G2415" s="1" t="str">
        <f>IFERROR(IF(ventas_b_mes1255[[#This Row],[CUIT]]="","-",VLOOKUP(ventas_b_mes1255[[#This Row],[CUIT]],Lista_CUIT[#All],2,0)),"CUIT NO CARGADO")</f>
        <v>-</v>
      </c>
      <c r="H2415" s="100">
        <f>ventas_b_mes1255[[#This Row],[TOTAL]]/1.21</f>
        <v>0</v>
      </c>
      <c r="I2415" s="64">
        <f>ventas_b_mes1255[[#This Row],[IMPORTE NETO]]*0.21</f>
        <v>0</v>
      </c>
      <c r="J2415" s="141"/>
      <c r="K2415" s="141"/>
      <c r="L2415" s="141"/>
      <c r="M2415" s="59"/>
    </row>
    <row r="2416" spans="2:13">
      <c r="B2416" s="135"/>
      <c r="C2416" s="41"/>
      <c r="D2416" s="137"/>
      <c r="E2416" s="138"/>
      <c r="F2416" s="139"/>
      <c r="G2416" s="1" t="str">
        <f>IFERROR(IF(ventas_b_mes1255[[#This Row],[CUIT]]="","-",VLOOKUP(ventas_b_mes1255[[#This Row],[CUIT]],Lista_CUIT[#All],2,0)),"CUIT NO CARGADO")</f>
        <v>-</v>
      </c>
      <c r="H2416" s="100">
        <f>ventas_b_mes1255[[#This Row],[TOTAL]]/1.21</f>
        <v>0</v>
      </c>
      <c r="I2416" s="64">
        <f>ventas_b_mes1255[[#This Row],[IMPORTE NETO]]*0.21</f>
        <v>0</v>
      </c>
      <c r="J2416" s="141"/>
      <c r="K2416" s="141"/>
      <c r="L2416" s="141"/>
      <c r="M2416" s="59"/>
    </row>
    <row r="2417" spans="2:13">
      <c r="B2417" s="135"/>
      <c r="C2417" s="41"/>
      <c r="D2417" s="137"/>
      <c r="E2417" s="138"/>
      <c r="F2417" s="139"/>
      <c r="G2417" s="1" t="str">
        <f>IFERROR(IF(ventas_b_mes1255[[#This Row],[CUIT]]="","-",VLOOKUP(ventas_b_mes1255[[#This Row],[CUIT]],Lista_CUIT[#All],2,0)),"CUIT NO CARGADO")</f>
        <v>-</v>
      </c>
      <c r="H2417" s="100">
        <f>ventas_b_mes1255[[#This Row],[TOTAL]]/1.21</f>
        <v>0</v>
      </c>
      <c r="I2417" s="64">
        <f>ventas_b_mes1255[[#This Row],[IMPORTE NETO]]*0.21</f>
        <v>0</v>
      </c>
      <c r="J2417" s="141"/>
      <c r="K2417" s="141"/>
      <c r="L2417" s="141"/>
      <c r="M2417" s="59"/>
    </row>
    <row r="2418" spans="2:13">
      <c r="B2418" s="135"/>
      <c r="C2418" s="41"/>
      <c r="D2418" s="137"/>
      <c r="E2418" s="138"/>
      <c r="F2418" s="139"/>
      <c r="G2418" s="1" t="str">
        <f>IFERROR(IF(ventas_b_mes1255[[#This Row],[CUIT]]="","-",VLOOKUP(ventas_b_mes1255[[#This Row],[CUIT]],Lista_CUIT[#All],2,0)),"CUIT NO CARGADO")</f>
        <v>-</v>
      </c>
      <c r="H2418" s="100">
        <f>ventas_b_mes1255[[#This Row],[TOTAL]]/1.21</f>
        <v>0</v>
      </c>
      <c r="I2418" s="64">
        <f>ventas_b_mes1255[[#This Row],[IMPORTE NETO]]*0.21</f>
        <v>0</v>
      </c>
      <c r="J2418" s="141"/>
      <c r="K2418" s="141"/>
      <c r="L2418" s="141"/>
      <c r="M2418" s="59"/>
    </row>
    <row r="2419" spans="2:13">
      <c r="B2419" s="135"/>
      <c r="C2419" s="41"/>
      <c r="D2419" s="137"/>
      <c r="E2419" s="138"/>
      <c r="F2419" s="139"/>
      <c r="G2419" s="1" t="str">
        <f>IFERROR(IF(ventas_b_mes1255[[#This Row],[CUIT]]="","-",VLOOKUP(ventas_b_mes1255[[#This Row],[CUIT]],Lista_CUIT[#All],2,0)),"CUIT NO CARGADO")</f>
        <v>-</v>
      </c>
      <c r="H2419" s="100">
        <f>ventas_b_mes1255[[#This Row],[TOTAL]]/1.21</f>
        <v>0</v>
      </c>
      <c r="I2419" s="64">
        <f>ventas_b_mes1255[[#This Row],[IMPORTE NETO]]*0.21</f>
        <v>0</v>
      </c>
      <c r="J2419" s="141"/>
      <c r="K2419" s="141"/>
      <c r="L2419" s="141"/>
      <c r="M2419" s="59"/>
    </row>
    <row r="2420" spans="2:13">
      <c r="B2420" s="135"/>
      <c r="C2420" s="41"/>
      <c r="D2420" s="137"/>
      <c r="E2420" s="138"/>
      <c r="F2420" s="139"/>
      <c r="G2420" s="1" t="str">
        <f>IFERROR(IF(ventas_b_mes1255[[#This Row],[CUIT]]="","-",VLOOKUP(ventas_b_mes1255[[#This Row],[CUIT]],Lista_CUIT[#All],2,0)),"CUIT NO CARGADO")</f>
        <v>-</v>
      </c>
      <c r="H2420" s="100">
        <f>ventas_b_mes1255[[#This Row],[TOTAL]]/1.21</f>
        <v>0</v>
      </c>
      <c r="I2420" s="64">
        <f>ventas_b_mes1255[[#This Row],[IMPORTE NETO]]*0.21</f>
        <v>0</v>
      </c>
      <c r="J2420" s="141"/>
      <c r="K2420" s="141"/>
      <c r="L2420" s="141"/>
      <c r="M2420" s="59"/>
    </row>
    <row r="2421" spans="2:13">
      <c r="B2421" s="135"/>
      <c r="C2421" s="41"/>
      <c r="D2421" s="137"/>
      <c r="E2421" s="138"/>
      <c r="F2421" s="139"/>
      <c r="G2421" s="1" t="str">
        <f>IFERROR(IF(ventas_b_mes1255[[#This Row],[CUIT]]="","-",VLOOKUP(ventas_b_mes1255[[#This Row],[CUIT]],Lista_CUIT[#All],2,0)),"CUIT NO CARGADO")</f>
        <v>-</v>
      </c>
      <c r="H2421" s="100">
        <f>ventas_b_mes1255[[#This Row],[TOTAL]]/1.21</f>
        <v>0</v>
      </c>
      <c r="I2421" s="64">
        <f>ventas_b_mes1255[[#This Row],[IMPORTE NETO]]*0.21</f>
        <v>0</v>
      </c>
      <c r="J2421" s="141"/>
      <c r="K2421" s="141"/>
      <c r="L2421" s="141"/>
      <c r="M2421" s="59"/>
    </row>
    <row r="2422" spans="2:13">
      <c r="B2422" s="135"/>
      <c r="C2422" s="41"/>
      <c r="D2422" s="137"/>
      <c r="E2422" s="138"/>
      <c r="F2422" s="139"/>
      <c r="G2422" s="1" t="str">
        <f>IFERROR(IF(ventas_b_mes1255[[#This Row],[CUIT]]="","-",VLOOKUP(ventas_b_mes1255[[#This Row],[CUIT]],Lista_CUIT[#All],2,0)),"CUIT NO CARGADO")</f>
        <v>-</v>
      </c>
      <c r="H2422" s="100">
        <f>ventas_b_mes1255[[#This Row],[TOTAL]]/1.21</f>
        <v>0</v>
      </c>
      <c r="I2422" s="64">
        <f>ventas_b_mes1255[[#This Row],[IMPORTE NETO]]*0.21</f>
        <v>0</v>
      </c>
      <c r="J2422" s="141"/>
      <c r="K2422" s="141"/>
      <c r="L2422" s="141"/>
      <c r="M2422" s="59"/>
    </row>
    <row r="2423" spans="2:13">
      <c r="B2423" s="135"/>
      <c r="C2423" s="41"/>
      <c r="D2423" s="137"/>
      <c r="E2423" s="138"/>
      <c r="F2423" s="139"/>
      <c r="G2423" s="1" t="str">
        <f>IFERROR(IF(ventas_b_mes1255[[#This Row],[CUIT]]="","-",VLOOKUP(ventas_b_mes1255[[#This Row],[CUIT]],Lista_CUIT[#All],2,0)),"CUIT NO CARGADO")</f>
        <v>-</v>
      </c>
      <c r="H2423" s="100">
        <f>ventas_b_mes1255[[#This Row],[TOTAL]]/1.21</f>
        <v>0</v>
      </c>
      <c r="I2423" s="64">
        <f>ventas_b_mes1255[[#This Row],[IMPORTE NETO]]*0.21</f>
        <v>0</v>
      </c>
      <c r="J2423" s="141"/>
      <c r="K2423" s="141"/>
      <c r="L2423" s="141"/>
      <c r="M2423" s="59"/>
    </row>
    <row r="2424" spans="2:13">
      <c r="B2424" s="135"/>
      <c r="C2424" s="41"/>
      <c r="D2424" s="137"/>
      <c r="E2424" s="138"/>
      <c r="F2424" s="139"/>
      <c r="G2424" s="1" t="str">
        <f>IFERROR(IF(ventas_b_mes1255[[#This Row],[CUIT]]="","-",VLOOKUP(ventas_b_mes1255[[#This Row],[CUIT]],Lista_CUIT[#All],2,0)),"CUIT NO CARGADO")</f>
        <v>-</v>
      </c>
      <c r="H2424" s="100">
        <f>ventas_b_mes1255[[#This Row],[TOTAL]]/1.21</f>
        <v>0</v>
      </c>
      <c r="I2424" s="64">
        <f>ventas_b_mes1255[[#This Row],[IMPORTE NETO]]*0.21</f>
        <v>0</v>
      </c>
      <c r="J2424" s="141"/>
      <c r="K2424" s="141"/>
      <c r="L2424" s="141"/>
      <c r="M2424" s="59"/>
    </row>
    <row r="2425" spans="2:13">
      <c r="B2425" s="135"/>
      <c r="C2425" s="41"/>
      <c r="D2425" s="137"/>
      <c r="E2425" s="138"/>
      <c r="F2425" s="139"/>
      <c r="G2425" s="1" t="str">
        <f>IFERROR(IF(ventas_b_mes1255[[#This Row],[CUIT]]="","-",VLOOKUP(ventas_b_mes1255[[#This Row],[CUIT]],Lista_CUIT[#All],2,0)),"CUIT NO CARGADO")</f>
        <v>-</v>
      </c>
      <c r="H2425" s="100">
        <f>ventas_b_mes1255[[#This Row],[TOTAL]]/1.21</f>
        <v>0</v>
      </c>
      <c r="I2425" s="64">
        <f>ventas_b_mes1255[[#This Row],[IMPORTE NETO]]*0.21</f>
        <v>0</v>
      </c>
      <c r="J2425" s="141"/>
      <c r="K2425" s="141"/>
      <c r="L2425" s="141"/>
      <c r="M2425" s="59"/>
    </row>
    <row r="2426" spans="2:13">
      <c r="B2426" s="135"/>
      <c r="C2426" s="41"/>
      <c r="D2426" s="137"/>
      <c r="E2426" s="138"/>
      <c r="F2426" s="139"/>
      <c r="G2426" s="1" t="str">
        <f>IFERROR(IF(ventas_b_mes1255[[#This Row],[CUIT]]="","-",VLOOKUP(ventas_b_mes1255[[#This Row],[CUIT]],Lista_CUIT[#All],2,0)),"CUIT NO CARGADO")</f>
        <v>-</v>
      </c>
      <c r="H2426" s="100">
        <f>ventas_b_mes1255[[#This Row],[TOTAL]]/1.21</f>
        <v>0</v>
      </c>
      <c r="I2426" s="64">
        <f>ventas_b_mes1255[[#This Row],[IMPORTE NETO]]*0.21</f>
        <v>0</v>
      </c>
      <c r="J2426" s="141"/>
      <c r="K2426" s="141"/>
      <c r="L2426" s="141"/>
      <c r="M2426" s="59"/>
    </row>
    <row r="2427" spans="2:13">
      <c r="B2427" s="135"/>
      <c r="C2427" s="41"/>
      <c r="D2427" s="137"/>
      <c r="E2427" s="138"/>
      <c r="F2427" s="139"/>
      <c r="G2427" s="1" t="str">
        <f>IFERROR(IF(ventas_b_mes1255[[#This Row],[CUIT]]="","-",VLOOKUP(ventas_b_mes1255[[#This Row],[CUIT]],Lista_CUIT[#All],2,0)),"CUIT NO CARGADO")</f>
        <v>-</v>
      </c>
      <c r="H2427" s="100">
        <f>ventas_b_mes1255[[#This Row],[TOTAL]]/1.21</f>
        <v>0</v>
      </c>
      <c r="I2427" s="64">
        <f>ventas_b_mes1255[[#This Row],[IMPORTE NETO]]*0.21</f>
        <v>0</v>
      </c>
      <c r="J2427" s="141"/>
      <c r="K2427" s="141"/>
      <c r="L2427" s="141"/>
      <c r="M2427" s="59"/>
    </row>
    <row r="2428" spans="2:13">
      <c r="B2428" s="135"/>
      <c r="C2428" s="41"/>
      <c r="D2428" s="137"/>
      <c r="E2428" s="138"/>
      <c r="F2428" s="139"/>
      <c r="G2428" s="1" t="str">
        <f>IFERROR(IF(ventas_b_mes1255[[#This Row],[CUIT]]="","-",VLOOKUP(ventas_b_mes1255[[#This Row],[CUIT]],Lista_CUIT[#All],2,0)),"CUIT NO CARGADO")</f>
        <v>-</v>
      </c>
      <c r="H2428" s="100">
        <f>ventas_b_mes1255[[#This Row],[TOTAL]]/1.21</f>
        <v>0</v>
      </c>
      <c r="I2428" s="64">
        <f>ventas_b_mes1255[[#This Row],[IMPORTE NETO]]*0.21</f>
        <v>0</v>
      </c>
      <c r="J2428" s="141"/>
      <c r="K2428" s="141"/>
      <c r="L2428" s="141"/>
      <c r="M2428" s="59"/>
    </row>
    <row r="2429" spans="2:13">
      <c r="B2429" s="135"/>
      <c r="C2429" s="41"/>
      <c r="D2429" s="137"/>
      <c r="E2429" s="138"/>
      <c r="F2429" s="139"/>
      <c r="G2429" s="1" t="str">
        <f>IFERROR(IF(ventas_b_mes1255[[#This Row],[CUIT]]="","-",VLOOKUP(ventas_b_mes1255[[#This Row],[CUIT]],Lista_CUIT[#All],2,0)),"CUIT NO CARGADO")</f>
        <v>-</v>
      </c>
      <c r="H2429" s="100">
        <f>ventas_b_mes1255[[#This Row],[TOTAL]]/1.21</f>
        <v>0</v>
      </c>
      <c r="I2429" s="64">
        <f>ventas_b_mes1255[[#This Row],[IMPORTE NETO]]*0.21</f>
        <v>0</v>
      </c>
      <c r="J2429" s="141"/>
      <c r="K2429" s="141"/>
      <c r="L2429" s="141"/>
      <c r="M2429" s="59"/>
    </row>
    <row r="2430" spans="2:13">
      <c r="B2430" s="135"/>
      <c r="C2430" s="41"/>
      <c r="D2430" s="137"/>
      <c r="E2430" s="138"/>
      <c r="F2430" s="139"/>
      <c r="G2430" s="1" t="str">
        <f>IFERROR(IF(ventas_b_mes1255[[#This Row],[CUIT]]="","-",VLOOKUP(ventas_b_mes1255[[#This Row],[CUIT]],Lista_CUIT[#All],2,0)),"CUIT NO CARGADO")</f>
        <v>-</v>
      </c>
      <c r="H2430" s="100">
        <f>ventas_b_mes1255[[#This Row],[TOTAL]]/1.21</f>
        <v>0</v>
      </c>
      <c r="I2430" s="64">
        <f>ventas_b_mes1255[[#This Row],[IMPORTE NETO]]*0.21</f>
        <v>0</v>
      </c>
      <c r="J2430" s="141"/>
      <c r="K2430" s="141"/>
      <c r="L2430" s="141"/>
      <c r="M2430" s="59"/>
    </row>
    <row r="2431" spans="2:13">
      <c r="B2431" s="135"/>
      <c r="C2431" s="41"/>
      <c r="D2431" s="137"/>
      <c r="E2431" s="138"/>
      <c r="F2431" s="139"/>
      <c r="G2431" s="1" t="str">
        <f>IFERROR(IF(ventas_b_mes1255[[#This Row],[CUIT]]="","-",VLOOKUP(ventas_b_mes1255[[#This Row],[CUIT]],Lista_CUIT[#All],2,0)),"CUIT NO CARGADO")</f>
        <v>-</v>
      </c>
      <c r="H2431" s="100">
        <f>ventas_b_mes1255[[#This Row],[TOTAL]]/1.21</f>
        <v>0</v>
      </c>
      <c r="I2431" s="64">
        <f>ventas_b_mes1255[[#This Row],[IMPORTE NETO]]*0.21</f>
        <v>0</v>
      </c>
      <c r="J2431" s="141"/>
      <c r="K2431" s="141"/>
      <c r="L2431" s="141"/>
      <c r="M2431" s="59"/>
    </row>
    <row r="2432" spans="2:13">
      <c r="B2432" s="135"/>
      <c r="C2432" s="41"/>
      <c r="D2432" s="137"/>
      <c r="E2432" s="138"/>
      <c r="F2432" s="139"/>
      <c r="G2432" s="1" t="str">
        <f>IFERROR(IF(ventas_b_mes1255[[#This Row],[CUIT]]="","-",VLOOKUP(ventas_b_mes1255[[#This Row],[CUIT]],Lista_CUIT[#All],2,0)),"CUIT NO CARGADO")</f>
        <v>-</v>
      </c>
      <c r="H2432" s="100">
        <f>ventas_b_mes1255[[#This Row],[TOTAL]]/1.21</f>
        <v>0</v>
      </c>
      <c r="I2432" s="64">
        <f>ventas_b_mes1255[[#This Row],[IMPORTE NETO]]*0.21</f>
        <v>0</v>
      </c>
      <c r="J2432" s="141"/>
      <c r="K2432" s="141"/>
      <c r="L2432" s="141"/>
      <c r="M2432" s="59"/>
    </row>
    <row r="2433" spans="2:13">
      <c r="B2433" s="135"/>
      <c r="C2433" s="41"/>
      <c r="D2433" s="137"/>
      <c r="E2433" s="138"/>
      <c r="F2433" s="139"/>
      <c r="G2433" s="1" t="str">
        <f>IFERROR(IF(ventas_b_mes1255[[#This Row],[CUIT]]="","-",VLOOKUP(ventas_b_mes1255[[#This Row],[CUIT]],Lista_CUIT[#All],2,0)),"CUIT NO CARGADO")</f>
        <v>-</v>
      </c>
      <c r="H2433" s="100">
        <f>ventas_b_mes1255[[#This Row],[TOTAL]]/1.21</f>
        <v>0</v>
      </c>
      <c r="I2433" s="64">
        <f>ventas_b_mes1255[[#This Row],[IMPORTE NETO]]*0.21</f>
        <v>0</v>
      </c>
      <c r="J2433" s="141"/>
      <c r="K2433" s="141"/>
      <c r="L2433" s="141"/>
      <c r="M2433" s="59"/>
    </row>
    <row r="2434" spans="2:13">
      <c r="B2434" s="135"/>
      <c r="C2434" s="41"/>
      <c r="D2434" s="137"/>
      <c r="E2434" s="138"/>
      <c r="F2434" s="139"/>
      <c r="G2434" s="1" t="str">
        <f>IFERROR(IF(ventas_b_mes1255[[#This Row],[CUIT]]="","-",VLOOKUP(ventas_b_mes1255[[#This Row],[CUIT]],Lista_CUIT[#All],2,0)),"CUIT NO CARGADO")</f>
        <v>-</v>
      </c>
      <c r="H2434" s="100">
        <f>ventas_b_mes1255[[#This Row],[TOTAL]]/1.21</f>
        <v>0</v>
      </c>
      <c r="I2434" s="64">
        <f>ventas_b_mes1255[[#This Row],[IMPORTE NETO]]*0.21</f>
        <v>0</v>
      </c>
      <c r="J2434" s="141"/>
      <c r="K2434" s="141"/>
      <c r="L2434" s="141"/>
      <c r="M2434" s="59"/>
    </row>
    <row r="2435" spans="2:13">
      <c r="B2435" s="135"/>
      <c r="C2435" s="41"/>
      <c r="D2435" s="137"/>
      <c r="E2435" s="138"/>
      <c r="F2435" s="139"/>
      <c r="G2435" s="1" t="str">
        <f>IFERROR(IF(ventas_b_mes1255[[#This Row],[CUIT]]="","-",VLOOKUP(ventas_b_mes1255[[#This Row],[CUIT]],Lista_CUIT[#All],2,0)),"CUIT NO CARGADO")</f>
        <v>-</v>
      </c>
      <c r="H2435" s="100">
        <f>ventas_b_mes1255[[#This Row],[TOTAL]]/1.21</f>
        <v>0</v>
      </c>
      <c r="I2435" s="64">
        <f>ventas_b_mes1255[[#This Row],[IMPORTE NETO]]*0.21</f>
        <v>0</v>
      </c>
      <c r="J2435" s="141"/>
      <c r="K2435" s="141"/>
      <c r="L2435" s="141"/>
      <c r="M2435" s="59"/>
    </row>
    <row r="2436" spans="2:13">
      <c r="B2436" s="135"/>
      <c r="C2436" s="41"/>
      <c r="D2436" s="137"/>
      <c r="E2436" s="138"/>
      <c r="F2436" s="139"/>
      <c r="G2436" s="1" t="str">
        <f>IFERROR(IF(ventas_b_mes1255[[#This Row],[CUIT]]="","-",VLOOKUP(ventas_b_mes1255[[#This Row],[CUIT]],Lista_CUIT[#All],2,0)),"CUIT NO CARGADO")</f>
        <v>-</v>
      </c>
      <c r="H2436" s="100">
        <f>ventas_b_mes1255[[#This Row],[TOTAL]]/1.21</f>
        <v>0</v>
      </c>
      <c r="I2436" s="64">
        <f>ventas_b_mes1255[[#This Row],[IMPORTE NETO]]*0.21</f>
        <v>0</v>
      </c>
      <c r="J2436" s="141"/>
      <c r="K2436" s="141"/>
      <c r="L2436" s="141"/>
      <c r="M2436" s="59"/>
    </row>
    <row r="2437" spans="2:13">
      <c r="B2437" s="135"/>
      <c r="C2437" s="41"/>
      <c r="D2437" s="137"/>
      <c r="E2437" s="138"/>
      <c r="F2437" s="139"/>
      <c r="G2437" s="1" t="str">
        <f>IFERROR(IF(ventas_b_mes1255[[#This Row],[CUIT]]="","-",VLOOKUP(ventas_b_mes1255[[#This Row],[CUIT]],Lista_CUIT[#All],2,0)),"CUIT NO CARGADO")</f>
        <v>-</v>
      </c>
      <c r="H2437" s="100">
        <f>ventas_b_mes1255[[#This Row],[TOTAL]]/1.21</f>
        <v>0</v>
      </c>
      <c r="I2437" s="64">
        <f>ventas_b_mes1255[[#This Row],[IMPORTE NETO]]*0.21</f>
        <v>0</v>
      </c>
      <c r="J2437" s="141"/>
      <c r="K2437" s="141"/>
      <c r="L2437" s="141"/>
      <c r="M2437" s="59"/>
    </row>
    <row r="2438" spans="2:13">
      <c r="B2438" s="135"/>
      <c r="C2438" s="41"/>
      <c r="D2438" s="137"/>
      <c r="E2438" s="138"/>
      <c r="F2438" s="139"/>
      <c r="G2438" s="1" t="str">
        <f>IFERROR(IF(ventas_b_mes1255[[#This Row],[CUIT]]="","-",VLOOKUP(ventas_b_mes1255[[#This Row],[CUIT]],Lista_CUIT[#All],2,0)),"CUIT NO CARGADO")</f>
        <v>-</v>
      </c>
      <c r="H2438" s="100">
        <f>ventas_b_mes1255[[#This Row],[TOTAL]]/1.21</f>
        <v>0</v>
      </c>
      <c r="I2438" s="64">
        <f>ventas_b_mes1255[[#This Row],[IMPORTE NETO]]*0.21</f>
        <v>0</v>
      </c>
      <c r="J2438" s="141"/>
      <c r="K2438" s="141"/>
      <c r="L2438" s="141"/>
      <c r="M2438" s="59"/>
    </row>
    <row r="2439" spans="2:13">
      <c r="B2439" s="135"/>
      <c r="C2439" s="41"/>
      <c r="D2439" s="137"/>
      <c r="E2439" s="138"/>
      <c r="F2439" s="139"/>
      <c r="G2439" s="1" t="str">
        <f>IFERROR(IF(ventas_b_mes1255[[#This Row],[CUIT]]="","-",VLOOKUP(ventas_b_mes1255[[#This Row],[CUIT]],Lista_CUIT[#All],2,0)),"CUIT NO CARGADO")</f>
        <v>-</v>
      </c>
      <c r="H2439" s="100">
        <f>ventas_b_mes1255[[#This Row],[TOTAL]]/1.21</f>
        <v>0</v>
      </c>
      <c r="I2439" s="64">
        <f>ventas_b_mes1255[[#This Row],[IMPORTE NETO]]*0.21</f>
        <v>0</v>
      </c>
      <c r="J2439" s="141"/>
      <c r="K2439" s="141"/>
      <c r="L2439" s="141"/>
      <c r="M2439" s="59"/>
    </row>
    <row r="2440" spans="2:13">
      <c r="B2440" s="135"/>
      <c r="C2440" s="41"/>
      <c r="D2440" s="137"/>
      <c r="E2440" s="138"/>
      <c r="F2440" s="139"/>
      <c r="G2440" s="1" t="str">
        <f>IFERROR(IF(ventas_b_mes1255[[#This Row],[CUIT]]="","-",VLOOKUP(ventas_b_mes1255[[#This Row],[CUIT]],Lista_CUIT[#All],2,0)),"CUIT NO CARGADO")</f>
        <v>-</v>
      </c>
      <c r="H2440" s="100">
        <f>ventas_b_mes1255[[#This Row],[TOTAL]]/1.21</f>
        <v>0</v>
      </c>
      <c r="I2440" s="64">
        <f>ventas_b_mes1255[[#This Row],[IMPORTE NETO]]*0.21</f>
        <v>0</v>
      </c>
      <c r="J2440" s="141"/>
      <c r="K2440" s="141"/>
      <c r="L2440" s="141"/>
      <c r="M2440" s="59"/>
    </row>
    <row r="2441" spans="2:13">
      <c r="B2441" s="135"/>
      <c r="C2441" s="41"/>
      <c r="D2441" s="137"/>
      <c r="E2441" s="138"/>
      <c r="F2441" s="139"/>
      <c r="G2441" s="1" t="str">
        <f>IFERROR(IF(ventas_b_mes1255[[#This Row],[CUIT]]="","-",VLOOKUP(ventas_b_mes1255[[#This Row],[CUIT]],Lista_CUIT[#All],2,0)),"CUIT NO CARGADO")</f>
        <v>-</v>
      </c>
      <c r="H2441" s="100">
        <f>ventas_b_mes1255[[#This Row],[TOTAL]]/1.21</f>
        <v>0</v>
      </c>
      <c r="I2441" s="64">
        <f>ventas_b_mes1255[[#This Row],[IMPORTE NETO]]*0.21</f>
        <v>0</v>
      </c>
      <c r="J2441" s="141"/>
      <c r="K2441" s="141"/>
      <c r="L2441" s="141"/>
      <c r="M2441" s="59"/>
    </row>
    <row r="2442" spans="2:13">
      <c r="B2442" s="135"/>
      <c r="C2442" s="41"/>
      <c r="D2442" s="137"/>
      <c r="E2442" s="138"/>
      <c r="F2442" s="139"/>
      <c r="G2442" s="1" t="str">
        <f>IFERROR(IF(ventas_b_mes1255[[#This Row],[CUIT]]="","-",VLOOKUP(ventas_b_mes1255[[#This Row],[CUIT]],Lista_CUIT[#All],2,0)),"CUIT NO CARGADO")</f>
        <v>-</v>
      </c>
      <c r="H2442" s="100">
        <f>ventas_b_mes1255[[#This Row],[TOTAL]]/1.21</f>
        <v>0</v>
      </c>
      <c r="I2442" s="64">
        <f>ventas_b_mes1255[[#This Row],[IMPORTE NETO]]*0.21</f>
        <v>0</v>
      </c>
      <c r="J2442" s="141"/>
      <c r="K2442" s="141"/>
      <c r="L2442" s="141"/>
      <c r="M2442" s="59"/>
    </row>
    <row r="2443" spans="2:13">
      <c r="B2443" s="135"/>
      <c r="C2443" s="41"/>
      <c r="D2443" s="137"/>
      <c r="E2443" s="138"/>
      <c r="F2443" s="139"/>
      <c r="G2443" s="1" t="str">
        <f>IFERROR(IF(ventas_b_mes1255[[#This Row],[CUIT]]="","-",VLOOKUP(ventas_b_mes1255[[#This Row],[CUIT]],Lista_CUIT[#All],2,0)),"CUIT NO CARGADO")</f>
        <v>-</v>
      </c>
      <c r="H2443" s="100">
        <f>ventas_b_mes1255[[#This Row],[TOTAL]]/1.21</f>
        <v>0</v>
      </c>
      <c r="I2443" s="64">
        <f>ventas_b_mes1255[[#This Row],[IMPORTE NETO]]*0.21</f>
        <v>0</v>
      </c>
      <c r="J2443" s="141"/>
      <c r="K2443" s="141"/>
      <c r="L2443" s="141"/>
      <c r="M2443" s="59"/>
    </row>
    <row r="2444" spans="2:13">
      <c r="B2444" s="135"/>
      <c r="C2444" s="41"/>
      <c r="D2444" s="137"/>
      <c r="E2444" s="138"/>
      <c r="F2444" s="139"/>
      <c r="G2444" s="1" t="str">
        <f>IFERROR(IF(ventas_b_mes1255[[#This Row],[CUIT]]="","-",VLOOKUP(ventas_b_mes1255[[#This Row],[CUIT]],Lista_CUIT[#All],2,0)),"CUIT NO CARGADO")</f>
        <v>-</v>
      </c>
      <c r="H2444" s="100">
        <f>ventas_b_mes1255[[#This Row],[TOTAL]]/1.21</f>
        <v>0</v>
      </c>
      <c r="I2444" s="64">
        <f>ventas_b_mes1255[[#This Row],[IMPORTE NETO]]*0.21</f>
        <v>0</v>
      </c>
      <c r="J2444" s="141"/>
      <c r="K2444" s="141"/>
      <c r="L2444" s="141"/>
      <c r="M2444" s="59"/>
    </row>
    <row r="2445" spans="2:13">
      <c r="B2445" s="135"/>
      <c r="C2445" s="41"/>
      <c r="D2445" s="137"/>
      <c r="E2445" s="138"/>
      <c r="F2445" s="139"/>
      <c r="G2445" s="1" t="str">
        <f>IFERROR(IF(ventas_b_mes1255[[#This Row],[CUIT]]="","-",VLOOKUP(ventas_b_mes1255[[#This Row],[CUIT]],Lista_CUIT[#All],2,0)),"CUIT NO CARGADO")</f>
        <v>-</v>
      </c>
      <c r="H2445" s="100">
        <f>ventas_b_mes1255[[#This Row],[TOTAL]]/1.21</f>
        <v>0</v>
      </c>
      <c r="I2445" s="64">
        <f>ventas_b_mes1255[[#This Row],[IMPORTE NETO]]*0.21</f>
        <v>0</v>
      </c>
      <c r="J2445" s="141"/>
      <c r="K2445" s="141"/>
      <c r="L2445" s="141"/>
      <c r="M2445" s="59"/>
    </row>
    <row r="2446" spans="2:13">
      <c r="B2446" s="135"/>
      <c r="C2446" s="41"/>
      <c r="D2446" s="137"/>
      <c r="E2446" s="138"/>
      <c r="F2446" s="139"/>
      <c r="G2446" s="1" t="str">
        <f>IFERROR(IF(ventas_b_mes1255[[#This Row],[CUIT]]="","-",VLOOKUP(ventas_b_mes1255[[#This Row],[CUIT]],Lista_CUIT[#All],2,0)),"CUIT NO CARGADO")</f>
        <v>-</v>
      </c>
      <c r="H2446" s="100">
        <f>ventas_b_mes1255[[#This Row],[TOTAL]]/1.21</f>
        <v>0</v>
      </c>
      <c r="I2446" s="64">
        <f>ventas_b_mes1255[[#This Row],[IMPORTE NETO]]*0.21</f>
        <v>0</v>
      </c>
      <c r="J2446" s="141"/>
      <c r="K2446" s="141"/>
      <c r="L2446" s="141"/>
      <c r="M2446" s="59"/>
    </row>
    <row r="2447" spans="2:13">
      <c r="B2447" s="135"/>
      <c r="C2447" s="41"/>
      <c r="D2447" s="137"/>
      <c r="E2447" s="138"/>
      <c r="F2447" s="139"/>
      <c r="G2447" s="1" t="str">
        <f>IFERROR(IF(ventas_b_mes1255[[#This Row],[CUIT]]="","-",VLOOKUP(ventas_b_mes1255[[#This Row],[CUIT]],Lista_CUIT[#All],2,0)),"CUIT NO CARGADO")</f>
        <v>-</v>
      </c>
      <c r="H2447" s="100">
        <f>ventas_b_mes1255[[#This Row],[TOTAL]]/1.21</f>
        <v>0</v>
      </c>
      <c r="I2447" s="64">
        <f>ventas_b_mes1255[[#This Row],[IMPORTE NETO]]*0.21</f>
        <v>0</v>
      </c>
      <c r="J2447" s="141"/>
      <c r="K2447" s="141"/>
      <c r="L2447" s="141"/>
      <c r="M2447" s="59"/>
    </row>
    <row r="2448" spans="2:13">
      <c r="B2448" s="135"/>
      <c r="C2448" s="41"/>
      <c r="D2448" s="137"/>
      <c r="E2448" s="138"/>
      <c r="F2448" s="139"/>
      <c r="G2448" s="1" t="str">
        <f>IFERROR(IF(ventas_b_mes1255[[#This Row],[CUIT]]="","-",VLOOKUP(ventas_b_mes1255[[#This Row],[CUIT]],Lista_CUIT[#All],2,0)),"CUIT NO CARGADO")</f>
        <v>-</v>
      </c>
      <c r="H2448" s="100">
        <f>ventas_b_mes1255[[#This Row],[TOTAL]]/1.21</f>
        <v>0</v>
      </c>
      <c r="I2448" s="64">
        <f>ventas_b_mes1255[[#This Row],[IMPORTE NETO]]*0.21</f>
        <v>0</v>
      </c>
      <c r="J2448" s="141"/>
      <c r="K2448" s="141"/>
      <c r="L2448" s="141"/>
      <c r="M2448" s="59"/>
    </row>
    <row r="2449" spans="2:13">
      <c r="B2449" s="135"/>
      <c r="C2449" s="41"/>
      <c r="D2449" s="137"/>
      <c r="E2449" s="138"/>
      <c r="F2449" s="139"/>
      <c r="G2449" s="1" t="str">
        <f>IFERROR(IF(ventas_b_mes1255[[#This Row],[CUIT]]="","-",VLOOKUP(ventas_b_mes1255[[#This Row],[CUIT]],Lista_CUIT[#All],2,0)),"CUIT NO CARGADO")</f>
        <v>-</v>
      </c>
      <c r="H2449" s="100">
        <f>ventas_b_mes1255[[#This Row],[TOTAL]]/1.21</f>
        <v>0</v>
      </c>
      <c r="I2449" s="64">
        <f>ventas_b_mes1255[[#This Row],[IMPORTE NETO]]*0.21</f>
        <v>0</v>
      </c>
      <c r="J2449" s="141"/>
      <c r="K2449" s="141"/>
      <c r="L2449" s="141"/>
      <c r="M2449" s="59"/>
    </row>
    <row r="2450" spans="2:13">
      <c r="B2450" s="135"/>
      <c r="C2450" s="41"/>
      <c r="D2450" s="137"/>
      <c r="E2450" s="138"/>
      <c r="F2450" s="139"/>
      <c r="G2450" s="1" t="str">
        <f>IFERROR(IF(ventas_b_mes1255[[#This Row],[CUIT]]="","-",VLOOKUP(ventas_b_mes1255[[#This Row],[CUIT]],Lista_CUIT[#All],2,0)),"CUIT NO CARGADO")</f>
        <v>-</v>
      </c>
      <c r="H2450" s="100">
        <f>ventas_b_mes1255[[#This Row],[TOTAL]]/1.21</f>
        <v>0</v>
      </c>
      <c r="I2450" s="64">
        <f>ventas_b_mes1255[[#This Row],[IMPORTE NETO]]*0.21</f>
        <v>0</v>
      </c>
      <c r="J2450" s="141"/>
      <c r="K2450" s="141"/>
      <c r="L2450" s="141"/>
      <c r="M2450" s="59"/>
    </row>
    <row r="2451" spans="2:13">
      <c r="B2451" s="135"/>
      <c r="C2451" s="41"/>
      <c r="D2451" s="137"/>
      <c r="E2451" s="138"/>
      <c r="F2451" s="139"/>
      <c r="G2451" s="1" t="str">
        <f>IFERROR(IF(ventas_b_mes1255[[#This Row],[CUIT]]="","-",VLOOKUP(ventas_b_mes1255[[#This Row],[CUIT]],Lista_CUIT[#All],2,0)),"CUIT NO CARGADO")</f>
        <v>-</v>
      </c>
      <c r="H2451" s="100">
        <f>ventas_b_mes1255[[#This Row],[TOTAL]]/1.21</f>
        <v>0</v>
      </c>
      <c r="I2451" s="64">
        <f>ventas_b_mes1255[[#This Row],[IMPORTE NETO]]*0.21</f>
        <v>0</v>
      </c>
      <c r="J2451" s="141"/>
      <c r="K2451" s="141"/>
      <c r="L2451" s="141"/>
      <c r="M2451" s="59"/>
    </row>
    <row r="2452" spans="2:13">
      <c r="B2452" s="135"/>
      <c r="C2452" s="41"/>
      <c r="D2452" s="137"/>
      <c r="E2452" s="138"/>
      <c r="F2452" s="139"/>
      <c r="G2452" s="1" t="str">
        <f>IFERROR(IF(ventas_b_mes1255[[#This Row],[CUIT]]="","-",VLOOKUP(ventas_b_mes1255[[#This Row],[CUIT]],Lista_CUIT[#All],2,0)),"CUIT NO CARGADO")</f>
        <v>-</v>
      </c>
      <c r="H2452" s="100">
        <f>ventas_b_mes1255[[#This Row],[TOTAL]]/1.21</f>
        <v>0</v>
      </c>
      <c r="I2452" s="64">
        <f>ventas_b_mes1255[[#This Row],[IMPORTE NETO]]*0.21</f>
        <v>0</v>
      </c>
      <c r="J2452" s="141"/>
      <c r="K2452" s="141"/>
      <c r="L2452" s="141"/>
      <c r="M2452" s="59"/>
    </row>
    <row r="2453" spans="2:13">
      <c r="B2453" s="135"/>
      <c r="C2453" s="41"/>
      <c r="D2453" s="137"/>
      <c r="E2453" s="138"/>
      <c r="F2453" s="139"/>
      <c r="G2453" s="1" t="str">
        <f>IFERROR(IF(ventas_b_mes1255[[#This Row],[CUIT]]="","-",VLOOKUP(ventas_b_mes1255[[#This Row],[CUIT]],Lista_CUIT[#All],2,0)),"CUIT NO CARGADO")</f>
        <v>-</v>
      </c>
      <c r="H2453" s="100">
        <f>ventas_b_mes1255[[#This Row],[TOTAL]]/1.21</f>
        <v>0</v>
      </c>
      <c r="I2453" s="64">
        <f>ventas_b_mes1255[[#This Row],[IMPORTE NETO]]*0.21</f>
        <v>0</v>
      </c>
      <c r="J2453" s="141"/>
      <c r="K2453" s="141"/>
      <c r="L2453" s="141"/>
      <c r="M2453" s="59"/>
    </row>
    <row r="2454" spans="2:13">
      <c r="B2454" s="135"/>
      <c r="C2454" s="41"/>
      <c r="D2454" s="137"/>
      <c r="E2454" s="138"/>
      <c r="F2454" s="139"/>
      <c r="G2454" s="1" t="str">
        <f>IFERROR(IF(ventas_b_mes1255[[#This Row],[CUIT]]="","-",VLOOKUP(ventas_b_mes1255[[#This Row],[CUIT]],Lista_CUIT[#All],2,0)),"CUIT NO CARGADO")</f>
        <v>-</v>
      </c>
      <c r="H2454" s="100">
        <f>ventas_b_mes1255[[#This Row],[TOTAL]]/1.21</f>
        <v>0</v>
      </c>
      <c r="I2454" s="64">
        <f>ventas_b_mes1255[[#This Row],[IMPORTE NETO]]*0.21</f>
        <v>0</v>
      </c>
      <c r="J2454" s="141"/>
      <c r="K2454" s="141"/>
      <c r="L2454" s="141"/>
      <c r="M2454" s="59"/>
    </row>
    <row r="2455" spans="2:13">
      <c r="B2455" s="135"/>
      <c r="C2455" s="41"/>
      <c r="D2455" s="137"/>
      <c r="E2455" s="138"/>
      <c r="F2455" s="139"/>
      <c r="G2455" s="1" t="str">
        <f>IFERROR(IF(ventas_b_mes1255[[#This Row],[CUIT]]="","-",VLOOKUP(ventas_b_mes1255[[#This Row],[CUIT]],Lista_CUIT[#All],2,0)),"CUIT NO CARGADO")</f>
        <v>-</v>
      </c>
      <c r="H2455" s="100">
        <f>ventas_b_mes1255[[#This Row],[TOTAL]]/1.21</f>
        <v>0</v>
      </c>
      <c r="I2455" s="64">
        <f>ventas_b_mes1255[[#This Row],[IMPORTE NETO]]*0.21</f>
        <v>0</v>
      </c>
      <c r="J2455" s="141"/>
      <c r="K2455" s="141"/>
      <c r="L2455" s="141"/>
      <c r="M2455" s="59"/>
    </row>
    <row r="2456" spans="2:13">
      <c r="B2456" s="135"/>
      <c r="C2456" s="41"/>
      <c r="D2456" s="137"/>
      <c r="E2456" s="138"/>
      <c r="F2456" s="139"/>
      <c r="G2456" s="1" t="str">
        <f>IFERROR(IF(ventas_b_mes1255[[#This Row],[CUIT]]="","-",VLOOKUP(ventas_b_mes1255[[#This Row],[CUIT]],Lista_CUIT[#All],2,0)),"CUIT NO CARGADO")</f>
        <v>-</v>
      </c>
      <c r="H2456" s="100">
        <f>ventas_b_mes1255[[#This Row],[TOTAL]]/1.21</f>
        <v>0</v>
      </c>
      <c r="I2456" s="64">
        <f>ventas_b_mes1255[[#This Row],[IMPORTE NETO]]*0.21</f>
        <v>0</v>
      </c>
      <c r="J2456" s="141"/>
      <c r="K2456" s="141"/>
      <c r="L2456" s="141"/>
      <c r="M2456" s="59"/>
    </row>
    <row r="2457" spans="2:13">
      <c r="B2457" s="135"/>
      <c r="C2457" s="41"/>
      <c r="D2457" s="137"/>
      <c r="E2457" s="138"/>
      <c r="F2457" s="139"/>
      <c r="G2457" s="1" t="str">
        <f>IFERROR(IF(ventas_b_mes1255[[#This Row],[CUIT]]="","-",VLOOKUP(ventas_b_mes1255[[#This Row],[CUIT]],Lista_CUIT[#All],2,0)),"CUIT NO CARGADO")</f>
        <v>-</v>
      </c>
      <c r="H2457" s="100">
        <f>ventas_b_mes1255[[#This Row],[TOTAL]]/1.21</f>
        <v>0</v>
      </c>
      <c r="I2457" s="64">
        <f>ventas_b_mes1255[[#This Row],[IMPORTE NETO]]*0.21</f>
        <v>0</v>
      </c>
      <c r="J2457" s="141"/>
      <c r="K2457" s="141"/>
      <c r="L2457" s="141"/>
      <c r="M2457" s="59"/>
    </row>
    <row r="2458" spans="2:13">
      <c r="B2458" s="135"/>
      <c r="C2458" s="41"/>
      <c r="D2458" s="137"/>
      <c r="E2458" s="138"/>
      <c r="F2458" s="139"/>
      <c r="G2458" s="1" t="str">
        <f>IFERROR(IF(ventas_b_mes1255[[#This Row],[CUIT]]="","-",VLOOKUP(ventas_b_mes1255[[#This Row],[CUIT]],Lista_CUIT[#All],2,0)),"CUIT NO CARGADO")</f>
        <v>-</v>
      </c>
      <c r="H2458" s="100">
        <f>ventas_b_mes1255[[#This Row],[TOTAL]]/1.21</f>
        <v>0</v>
      </c>
      <c r="I2458" s="64">
        <f>ventas_b_mes1255[[#This Row],[IMPORTE NETO]]*0.21</f>
        <v>0</v>
      </c>
      <c r="J2458" s="141"/>
      <c r="K2458" s="141"/>
      <c r="L2458" s="141"/>
      <c r="M2458" s="59"/>
    </row>
    <row r="2459" spans="2:13">
      <c r="B2459" s="135"/>
      <c r="C2459" s="41"/>
      <c r="D2459" s="137"/>
      <c r="E2459" s="138"/>
      <c r="F2459" s="139"/>
      <c r="G2459" s="1" t="str">
        <f>IFERROR(IF(ventas_b_mes1255[[#This Row],[CUIT]]="","-",VLOOKUP(ventas_b_mes1255[[#This Row],[CUIT]],Lista_CUIT[#All],2,0)),"CUIT NO CARGADO")</f>
        <v>-</v>
      </c>
      <c r="H2459" s="100">
        <f>ventas_b_mes1255[[#This Row],[TOTAL]]/1.21</f>
        <v>0</v>
      </c>
      <c r="I2459" s="64">
        <f>ventas_b_mes1255[[#This Row],[IMPORTE NETO]]*0.21</f>
        <v>0</v>
      </c>
      <c r="J2459" s="141"/>
      <c r="K2459" s="141"/>
      <c r="L2459" s="141"/>
      <c r="M2459" s="59"/>
    </row>
    <row r="2460" spans="2:13">
      <c r="B2460" s="135"/>
      <c r="C2460" s="41"/>
      <c r="D2460" s="137"/>
      <c r="E2460" s="138"/>
      <c r="F2460" s="139"/>
      <c r="G2460" s="1" t="str">
        <f>IFERROR(IF(ventas_b_mes1255[[#This Row],[CUIT]]="","-",VLOOKUP(ventas_b_mes1255[[#This Row],[CUIT]],Lista_CUIT[#All],2,0)),"CUIT NO CARGADO")</f>
        <v>-</v>
      </c>
      <c r="H2460" s="100">
        <f>ventas_b_mes1255[[#This Row],[TOTAL]]/1.21</f>
        <v>0</v>
      </c>
      <c r="I2460" s="64">
        <f>ventas_b_mes1255[[#This Row],[IMPORTE NETO]]*0.21</f>
        <v>0</v>
      </c>
      <c r="J2460" s="141"/>
      <c r="K2460" s="141"/>
      <c r="L2460" s="141"/>
      <c r="M2460" s="59"/>
    </row>
    <row r="2461" spans="2:13">
      <c r="B2461" s="135"/>
      <c r="C2461" s="41"/>
      <c r="D2461" s="137"/>
      <c r="E2461" s="138"/>
      <c r="F2461" s="139"/>
      <c r="G2461" s="1" t="str">
        <f>IFERROR(IF(ventas_b_mes1255[[#This Row],[CUIT]]="","-",VLOOKUP(ventas_b_mes1255[[#This Row],[CUIT]],Lista_CUIT[#All],2,0)),"CUIT NO CARGADO")</f>
        <v>-</v>
      </c>
      <c r="H2461" s="100">
        <f>ventas_b_mes1255[[#This Row],[TOTAL]]/1.21</f>
        <v>0</v>
      </c>
      <c r="I2461" s="64">
        <f>ventas_b_mes1255[[#This Row],[IMPORTE NETO]]*0.21</f>
        <v>0</v>
      </c>
      <c r="J2461" s="141"/>
      <c r="K2461" s="141"/>
      <c r="L2461" s="141"/>
      <c r="M2461" s="59"/>
    </row>
    <row r="2462" spans="2:13">
      <c r="B2462" s="135"/>
      <c r="C2462" s="41"/>
      <c r="D2462" s="137"/>
      <c r="E2462" s="138"/>
      <c r="F2462" s="139"/>
      <c r="G2462" s="1" t="str">
        <f>IFERROR(IF(ventas_b_mes1255[[#This Row],[CUIT]]="","-",VLOOKUP(ventas_b_mes1255[[#This Row],[CUIT]],Lista_CUIT[#All],2,0)),"CUIT NO CARGADO")</f>
        <v>-</v>
      </c>
      <c r="H2462" s="100">
        <f>ventas_b_mes1255[[#This Row],[TOTAL]]/1.21</f>
        <v>0</v>
      </c>
      <c r="I2462" s="64">
        <f>ventas_b_mes1255[[#This Row],[IMPORTE NETO]]*0.21</f>
        <v>0</v>
      </c>
      <c r="J2462" s="141"/>
      <c r="K2462" s="141"/>
      <c r="L2462" s="141"/>
      <c r="M2462" s="59"/>
    </row>
    <row r="2463" spans="2:13">
      <c r="B2463" s="135"/>
      <c r="C2463" s="41"/>
      <c r="D2463" s="137"/>
      <c r="E2463" s="138"/>
      <c r="F2463" s="139"/>
      <c r="G2463" s="1" t="str">
        <f>IFERROR(IF(ventas_b_mes1255[[#This Row],[CUIT]]="","-",VLOOKUP(ventas_b_mes1255[[#This Row],[CUIT]],Lista_CUIT[#All],2,0)),"CUIT NO CARGADO")</f>
        <v>-</v>
      </c>
      <c r="H2463" s="100">
        <f>ventas_b_mes1255[[#This Row],[TOTAL]]/1.21</f>
        <v>0</v>
      </c>
      <c r="I2463" s="64">
        <f>ventas_b_mes1255[[#This Row],[IMPORTE NETO]]*0.21</f>
        <v>0</v>
      </c>
      <c r="J2463" s="141"/>
      <c r="K2463" s="141"/>
      <c r="L2463" s="141"/>
      <c r="M2463" s="59"/>
    </row>
    <row r="2464" spans="2:13">
      <c r="B2464" s="135"/>
      <c r="C2464" s="41"/>
      <c r="D2464" s="137"/>
      <c r="E2464" s="138"/>
      <c r="F2464" s="139"/>
      <c r="G2464" s="1" t="str">
        <f>IFERROR(IF(ventas_b_mes1255[[#This Row],[CUIT]]="","-",VLOOKUP(ventas_b_mes1255[[#This Row],[CUIT]],Lista_CUIT[#All],2,0)),"CUIT NO CARGADO")</f>
        <v>-</v>
      </c>
      <c r="H2464" s="100">
        <f>ventas_b_mes1255[[#This Row],[TOTAL]]/1.21</f>
        <v>0</v>
      </c>
      <c r="I2464" s="64">
        <f>ventas_b_mes1255[[#This Row],[IMPORTE NETO]]*0.21</f>
        <v>0</v>
      </c>
      <c r="J2464" s="141"/>
      <c r="K2464" s="141"/>
      <c r="L2464" s="141"/>
      <c r="M2464" s="59"/>
    </row>
    <row r="2465" spans="2:13">
      <c r="B2465" s="135"/>
      <c r="C2465" s="41"/>
      <c r="D2465" s="137"/>
      <c r="E2465" s="138"/>
      <c r="F2465" s="139"/>
      <c r="G2465" s="1" t="str">
        <f>IFERROR(IF(ventas_b_mes1255[[#This Row],[CUIT]]="","-",VLOOKUP(ventas_b_mes1255[[#This Row],[CUIT]],Lista_CUIT[#All],2,0)),"CUIT NO CARGADO")</f>
        <v>-</v>
      </c>
      <c r="H2465" s="100">
        <f>ventas_b_mes1255[[#This Row],[TOTAL]]/1.21</f>
        <v>0</v>
      </c>
      <c r="I2465" s="64">
        <f>ventas_b_mes1255[[#This Row],[IMPORTE NETO]]*0.21</f>
        <v>0</v>
      </c>
      <c r="J2465" s="141"/>
      <c r="K2465" s="141"/>
      <c r="L2465" s="141"/>
      <c r="M2465" s="59"/>
    </row>
    <row r="2466" spans="2:13">
      <c r="B2466" s="135"/>
      <c r="C2466" s="41"/>
      <c r="D2466" s="137"/>
      <c r="E2466" s="138"/>
      <c r="F2466" s="139"/>
      <c r="G2466" s="1" t="str">
        <f>IFERROR(IF(ventas_b_mes1255[[#This Row],[CUIT]]="","-",VLOOKUP(ventas_b_mes1255[[#This Row],[CUIT]],Lista_CUIT[#All],2,0)),"CUIT NO CARGADO")</f>
        <v>-</v>
      </c>
      <c r="H2466" s="100">
        <f>ventas_b_mes1255[[#This Row],[TOTAL]]/1.21</f>
        <v>0</v>
      </c>
      <c r="I2466" s="64">
        <f>ventas_b_mes1255[[#This Row],[IMPORTE NETO]]*0.21</f>
        <v>0</v>
      </c>
      <c r="J2466" s="141"/>
      <c r="K2466" s="141"/>
      <c r="L2466" s="141"/>
      <c r="M2466" s="59"/>
    </row>
    <row r="2467" spans="2:13">
      <c r="B2467" s="135"/>
      <c r="C2467" s="41"/>
      <c r="D2467" s="137"/>
      <c r="E2467" s="138"/>
      <c r="F2467" s="139"/>
      <c r="G2467" s="1" t="str">
        <f>IFERROR(IF(ventas_b_mes1255[[#This Row],[CUIT]]="","-",VLOOKUP(ventas_b_mes1255[[#This Row],[CUIT]],Lista_CUIT[#All],2,0)),"CUIT NO CARGADO")</f>
        <v>-</v>
      </c>
      <c r="H2467" s="100">
        <f>ventas_b_mes1255[[#This Row],[TOTAL]]/1.21</f>
        <v>0</v>
      </c>
      <c r="I2467" s="64">
        <f>ventas_b_mes1255[[#This Row],[IMPORTE NETO]]*0.21</f>
        <v>0</v>
      </c>
      <c r="J2467" s="141"/>
      <c r="K2467" s="141"/>
      <c r="L2467" s="141"/>
      <c r="M2467" s="59"/>
    </row>
    <row r="2468" spans="2:13">
      <c r="B2468" s="135"/>
      <c r="C2468" s="41"/>
      <c r="D2468" s="137"/>
      <c r="E2468" s="138"/>
      <c r="F2468" s="139"/>
      <c r="G2468" s="1" t="str">
        <f>IFERROR(IF(ventas_b_mes1255[[#This Row],[CUIT]]="","-",VLOOKUP(ventas_b_mes1255[[#This Row],[CUIT]],Lista_CUIT[#All],2,0)),"CUIT NO CARGADO")</f>
        <v>-</v>
      </c>
      <c r="H2468" s="100">
        <f>ventas_b_mes1255[[#This Row],[TOTAL]]/1.21</f>
        <v>0</v>
      </c>
      <c r="I2468" s="64">
        <f>ventas_b_mes1255[[#This Row],[IMPORTE NETO]]*0.21</f>
        <v>0</v>
      </c>
      <c r="J2468" s="141"/>
      <c r="K2468" s="141"/>
      <c r="L2468" s="141"/>
      <c r="M2468" s="59"/>
    </row>
    <row r="2469" spans="2:13">
      <c r="B2469" s="135"/>
      <c r="C2469" s="41"/>
      <c r="D2469" s="137"/>
      <c r="E2469" s="138"/>
      <c r="F2469" s="139"/>
      <c r="G2469" s="1" t="str">
        <f>IFERROR(IF(ventas_b_mes1255[[#This Row],[CUIT]]="","-",VLOOKUP(ventas_b_mes1255[[#This Row],[CUIT]],Lista_CUIT[#All],2,0)),"CUIT NO CARGADO")</f>
        <v>-</v>
      </c>
      <c r="H2469" s="100">
        <f>ventas_b_mes1255[[#This Row],[TOTAL]]/1.21</f>
        <v>0</v>
      </c>
      <c r="I2469" s="64">
        <f>ventas_b_mes1255[[#This Row],[IMPORTE NETO]]*0.21</f>
        <v>0</v>
      </c>
      <c r="J2469" s="141"/>
      <c r="K2469" s="141"/>
      <c r="L2469" s="141"/>
      <c r="M2469" s="59"/>
    </row>
    <row r="2470" spans="2:13">
      <c r="B2470" s="135"/>
      <c r="C2470" s="41"/>
      <c r="D2470" s="137"/>
      <c r="E2470" s="138"/>
      <c r="F2470" s="139"/>
      <c r="G2470" s="1" t="str">
        <f>IFERROR(IF(ventas_b_mes1255[[#This Row],[CUIT]]="","-",VLOOKUP(ventas_b_mes1255[[#This Row],[CUIT]],Lista_CUIT[#All],2,0)),"CUIT NO CARGADO")</f>
        <v>-</v>
      </c>
      <c r="H2470" s="100">
        <f>ventas_b_mes1255[[#This Row],[TOTAL]]/1.21</f>
        <v>0</v>
      </c>
      <c r="I2470" s="64">
        <f>ventas_b_mes1255[[#This Row],[IMPORTE NETO]]*0.21</f>
        <v>0</v>
      </c>
      <c r="J2470" s="141"/>
      <c r="K2470" s="141"/>
      <c r="L2470" s="141"/>
      <c r="M2470" s="59"/>
    </row>
    <row r="2471" spans="2:13">
      <c r="B2471" s="135"/>
      <c r="C2471" s="41"/>
      <c r="D2471" s="137"/>
      <c r="E2471" s="138"/>
      <c r="F2471" s="139"/>
      <c r="G2471" s="1" t="str">
        <f>IFERROR(IF(ventas_b_mes1255[[#This Row],[CUIT]]="","-",VLOOKUP(ventas_b_mes1255[[#This Row],[CUIT]],Lista_CUIT[#All],2,0)),"CUIT NO CARGADO")</f>
        <v>-</v>
      </c>
      <c r="H2471" s="100">
        <f>ventas_b_mes1255[[#This Row],[TOTAL]]/1.21</f>
        <v>0</v>
      </c>
      <c r="I2471" s="64">
        <f>ventas_b_mes1255[[#This Row],[IMPORTE NETO]]*0.21</f>
        <v>0</v>
      </c>
      <c r="J2471" s="141"/>
      <c r="K2471" s="141"/>
      <c r="L2471" s="141"/>
      <c r="M2471" s="59"/>
    </row>
    <row r="2472" spans="2:13">
      <c r="B2472" s="135"/>
      <c r="C2472" s="41"/>
      <c r="D2472" s="137"/>
      <c r="E2472" s="138"/>
      <c r="F2472" s="139"/>
      <c r="G2472" s="1" t="str">
        <f>IFERROR(IF(ventas_b_mes1255[[#This Row],[CUIT]]="","-",VLOOKUP(ventas_b_mes1255[[#This Row],[CUIT]],Lista_CUIT[#All],2,0)),"CUIT NO CARGADO")</f>
        <v>-</v>
      </c>
      <c r="H2472" s="100">
        <f>ventas_b_mes1255[[#This Row],[TOTAL]]/1.21</f>
        <v>0</v>
      </c>
      <c r="I2472" s="64">
        <f>ventas_b_mes1255[[#This Row],[IMPORTE NETO]]*0.21</f>
        <v>0</v>
      </c>
      <c r="J2472" s="141"/>
      <c r="K2472" s="141"/>
      <c r="L2472" s="141"/>
      <c r="M2472" s="59"/>
    </row>
    <row r="2473" spans="2:13">
      <c r="B2473" s="135"/>
      <c r="C2473" s="41"/>
      <c r="D2473" s="137"/>
      <c r="E2473" s="138"/>
      <c r="F2473" s="139"/>
      <c r="G2473" s="1" t="str">
        <f>IFERROR(IF(ventas_b_mes1255[[#This Row],[CUIT]]="","-",VLOOKUP(ventas_b_mes1255[[#This Row],[CUIT]],Lista_CUIT[#All],2,0)),"CUIT NO CARGADO")</f>
        <v>-</v>
      </c>
      <c r="H2473" s="100">
        <f>ventas_b_mes1255[[#This Row],[TOTAL]]/1.21</f>
        <v>0</v>
      </c>
      <c r="I2473" s="64">
        <f>ventas_b_mes1255[[#This Row],[IMPORTE NETO]]*0.21</f>
        <v>0</v>
      </c>
      <c r="J2473" s="141"/>
      <c r="K2473" s="141"/>
      <c r="L2473" s="141"/>
      <c r="M2473" s="59"/>
    </row>
    <row r="2474" spans="2:13">
      <c r="B2474" s="135"/>
      <c r="C2474" s="41"/>
      <c r="D2474" s="137"/>
      <c r="E2474" s="138"/>
      <c r="F2474" s="139"/>
      <c r="G2474" s="1" t="str">
        <f>IFERROR(IF(ventas_b_mes1255[[#This Row],[CUIT]]="","-",VLOOKUP(ventas_b_mes1255[[#This Row],[CUIT]],Lista_CUIT[#All],2,0)),"CUIT NO CARGADO")</f>
        <v>-</v>
      </c>
      <c r="H2474" s="100">
        <f>ventas_b_mes1255[[#This Row],[TOTAL]]/1.21</f>
        <v>0</v>
      </c>
      <c r="I2474" s="64">
        <f>ventas_b_mes1255[[#This Row],[IMPORTE NETO]]*0.21</f>
        <v>0</v>
      </c>
      <c r="J2474" s="141"/>
      <c r="K2474" s="141"/>
      <c r="L2474" s="141"/>
      <c r="M2474" s="59"/>
    </row>
    <row r="2475" spans="2:13">
      <c r="B2475" s="135"/>
      <c r="C2475" s="41"/>
      <c r="D2475" s="137"/>
      <c r="E2475" s="138"/>
      <c r="F2475" s="139"/>
      <c r="G2475" s="1" t="str">
        <f>IFERROR(IF(ventas_b_mes1255[[#This Row],[CUIT]]="","-",VLOOKUP(ventas_b_mes1255[[#This Row],[CUIT]],Lista_CUIT[#All],2,0)),"CUIT NO CARGADO")</f>
        <v>-</v>
      </c>
      <c r="H2475" s="100">
        <f>ventas_b_mes1255[[#This Row],[TOTAL]]/1.21</f>
        <v>0</v>
      </c>
      <c r="I2475" s="64">
        <f>ventas_b_mes1255[[#This Row],[IMPORTE NETO]]*0.21</f>
        <v>0</v>
      </c>
      <c r="J2475" s="141"/>
      <c r="K2475" s="141"/>
      <c r="L2475" s="141"/>
      <c r="M2475" s="59"/>
    </row>
    <row r="2476" spans="2:13">
      <c r="B2476" s="135"/>
      <c r="C2476" s="41"/>
      <c r="D2476" s="137"/>
      <c r="E2476" s="138"/>
      <c r="F2476" s="139"/>
      <c r="G2476" s="1" t="str">
        <f>IFERROR(IF(ventas_b_mes1255[[#This Row],[CUIT]]="","-",VLOOKUP(ventas_b_mes1255[[#This Row],[CUIT]],Lista_CUIT[#All],2,0)),"CUIT NO CARGADO")</f>
        <v>-</v>
      </c>
      <c r="H2476" s="100">
        <f>ventas_b_mes1255[[#This Row],[TOTAL]]/1.21</f>
        <v>0</v>
      </c>
      <c r="I2476" s="64">
        <f>ventas_b_mes1255[[#This Row],[IMPORTE NETO]]*0.21</f>
        <v>0</v>
      </c>
      <c r="J2476" s="141"/>
      <c r="K2476" s="141"/>
      <c r="L2476" s="141"/>
      <c r="M2476" s="59"/>
    </row>
    <row r="2477" spans="2:13">
      <c r="B2477" s="135"/>
      <c r="C2477" s="41"/>
      <c r="D2477" s="137"/>
      <c r="E2477" s="138"/>
      <c r="F2477" s="139"/>
      <c r="G2477" s="1" t="str">
        <f>IFERROR(IF(ventas_b_mes1255[[#This Row],[CUIT]]="","-",VLOOKUP(ventas_b_mes1255[[#This Row],[CUIT]],Lista_CUIT[#All],2,0)),"CUIT NO CARGADO")</f>
        <v>-</v>
      </c>
      <c r="H2477" s="100">
        <f>ventas_b_mes1255[[#This Row],[TOTAL]]/1.21</f>
        <v>0</v>
      </c>
      <c r="I2477" s="64">
        <f>ventas_b_mes1255[[#This Row],[IMPORTE NETO]]*0.21</f>
        <v>0</v>
      </c>
      <c r="J2477" s="141"/>
      <c r="K2477" s="141"/>
      <c r="L2477" s="141"/>
      <c r="M2477" s="59"/>
    </row>
    <row r="2478" spans="2:13">
      <c r="B2478" s="135"/>
      <c r="C2478" s="41"/>
      <c r="D2478" s="137"/>
      <c r="E2478" s="138"/>
      <c r="F2478" s="139"/>
      <c r="G2478" s="1" t="str">
        <f>IFERROR(IF(ventas_b_mes1255[[#This Row],[CUIT]]="","-",VLOOKUP(ventas_b_mes1255[[#This Row],[CUIT]],Lista_CUIT[#All],2,0)),"CUIT NO CARGADO")</f>
        <v>-</v>
      </c>
      <c r="H2478" s="100">
        <f>ventas_b_mes1255[[#This Row],[TOTAL]]/1.21</f>
        <v>0</v>
      </c>
      <c r="I2478" s="64">
        <f>ventas_b_mes1255[[#This Row],[IMPORTE NETO]]*0.21</f>
        <v>0</v>
      </c>
      <c r="J2478" s="141"/>
      <c r="K2478" s="141"/>
      <c r="L2478" s="141"/>
      <c r="M2478" s="59"/>
    </row>
    <row r="2479" spans="2:13">
      <c r="B2479" s="135"/>
      <c r="C2479" s="41"/>
      <c r="D2479" s="137"/>
      <c r="E2479" s="138"/>
      <c r="F2479" s="139"/>
      <c r="G2479" s="1" t="str">
        <f>IFERROR(IF(ventas_b_mes1255[[#This Row],[CUIT]]="","-",VLOOKUP(ventas_b_mes1255[[#This Row],[CUIT]],Lista_CUIT[#All],2,0)),"CUIT NO CARGADO")</f>
        <v>-</v>
      </c>
      <c r="H2479" s="100">
        <f>ventas_b_mes1255[[#This Row],[TOTAL]]/1.21</f>
        <v>0</v>
      </c>
      <c r="I2479" s="64">
        <f>ventas_b_mes1255[[#This Row],[IMPORTE NETO]]*0.21</f>
        <v>0</v>
      </c>
      <c r="J2479" s="141"/>
      <c r="K2479" s="141"/>
      <c r="L2479" s="141"/>
      <c r="M2479" s="59"/>
    </row>
    <row r="2480" spans="2:13">
      <c r="B2480" s="135"/>
      <c r="C2480" s="41"/>
      <c r="D2480" s="137"/>
      <c r="E2480" s="138"/>
      <c r="F2480" s="139"/>
      <c r="G2480" s="1" t="str">
        <f>IFERROR(IF(ventas_b_mes1255[[#This Row],[CUIT]]="","-",VLOOKUP(ventas_b_mes1255[[#This Row],[CUIT]],Lista_CUIT[#All],2,0)),"CUIT NO CARGADO")</f>
        <v>-</v>
      </c>
      <c r="H2480" s="100">
        <f>ventas_b_mes1255[[#This Row],[TOTAL]]/1.21</f>
        <v>0</v>
      </c>
      <c r="I2480" s="64">
        <f>ventas_b_mes1255[[#This Row],[IMPORTE NETO]]*0.21</f>
        <v>0</v>
      </c>
      <c r="J2480" s="141"/>
      <c r="K2480" s="141"/>
      <c r="L2480" s="141"/>
      <c r="M2480" s="59"/>
    </row>
    <row r="2481" spans="2:13">
      <c r="B2481" s="135"/>
      <c r="C2481" s="41"/>
      <c r="D2481" s="137"/>
      <c r="E2481" s="138"/>
      <c r="F2481" s="139"/>
      <c r="G2481" s="1" t="str">
        <f>IFERROR(IF(ventas_b_mes1255[[#This Row],[CUIT]]="","-",VLOOKUP(ventas_b_mes1255[[#This Row],[CUIT]],Lista_CUIT[#All],2,0)),"CUIT NO CARGADO")</f>
        <v>-</v>
      </c>
      <c r="H2481" s="100">
        <f>ventas_b_mes1255[[#This Row],[TOTAL]]/1.21</f>
        <v>0</v>
      </c>
      <c r="I2481" s="64">
        <f>ventas_b_mes1255[[#This Row],[IMPORTE NETO]]*0.21</f>
        <v>0</v>
      </c>
      <c r="J2481" s="141"/>
      <c r="K2481" s="141"/>
      <c r="L2481" s="141"/>
      <c r="M2481" s="59"/>
    </row>
    <row r="2482" spans="2:13">
      <c r="B2482" s="135"/>
      <c r="C2482" s="41"/>
      <c r="D2482" s="137"/>
      <c r="E2482" s="138"/>
      <c r="F2482" s="139"/>
      <c r="G2482" s="1" t="str">
        <f>IFERROR(IF(ventas_b_mes1255[[#This Row],[CUIT]]="","-",VLOOKUP(ventas_b_mes1255[[#This Row],[CUIT]],Lista_CUIT[#All],2,0)),"CUIT NO CARGADO")</f>
        <v>-</v>
      </c>
      <c r="H2482" s="100">
        <f>ventas_b_mes1255[[#This Row],[TOTAL]]/1.21</f>
        <v>0</v>
      </c>
      <c r="I2482" s="64">
        <f>ventas_b_mes1255[[#This Row],[IMPORTE NETO]]*0.21</f>
        <v>0</v>
      </c>
      <c r="J2482" s="141"/>
      <c r="K2482" s="141"/>
      <c r="L2482" s="141"/>
      <c r="M2482" s="59"/>
    </row>
    <row r="2483" spans="2:13">
      <c r="B2483" s="135"/>
      <c r="C2483" s="41"/>
      <c r="D2483" s="137"/>
      <c r="E2483" s="138"/>
      <c r="F2483" s="139"/>
      <c r="G2483" s="1" t="str">
        <f>IFERROR(IF(ventas_b_mes1255[[#This Row],[CUIT]]="","-",VLOOKUP(ventas_b_mes1255[[#This Row],[CUIT]],Lista_CUIT[#All],2,0)),"CUIT NO CARGADO")</f>
        <v>-</v>
      </c>
      <c r="H2483" s="100">
        <f>ventas_b_mes1255[[#This Row],[TOTAL]]/1.21</f>
        <v>0</v>
      </c>
      <c r="I2483" s="64">
        <f>ventas_b_mes1255[[#This Row],[IMPORTE NETO]]*0.21</f>
        <v>0</v>
      </c>
      <c r="J2483" s="141"/>
      <c r="K2483" s="141"/>
      <c r="L2483" s="141"/>
      <c r="M2483" s="59"/>
    </row>
    <row r="2484" spans="2:13">
      <c r="B2484" s="135"/>
      <c r="C2484" s="41"/>
      <c r="D2484" s="137"/>
      <c r="E2484" s="138"/>
      <c r="F2484" s="139"/>
      <c r="G2484" s="1" t="str">
        <f>IFERROR(IF(ventas_b_mes1255[[#This Row],[CUIT]]="","-",VLOOKUP(ventas_b_mes1255[[#This Row],[CUIT]],Lista_CUIT[#All],2,0)),"CUIT NO CARGADO")</f>
        <v>-</v>
      </c>
      <c r="H2484" s="100">
        <f>ventas_b_mes1255[[#This Row],[TOTAL]]/1.21</f>
        <v>0</v>
      </c>
      <c r="I2484" s="64">
        <f>ventas_b_mes1255[[#This Row],[IMPORTE NETO]]*0.21</f>
        <v>0</v>
      </c>
      <c r="J2484" s="141"/>
      <c r="K2484" s="141"/>
      <c r="L2484" s="141"/>
      <c r="M2484" s="59"/>
    </row>
    <row r="2485" spans="2:13">
      <c r="B2485" s="135"/>
      <c r="C2485" s="41"/>
      <c r="D2485" s="137"/>
      <c r="E2485" s="138"/>
      <c r="F2485" s="139"/>
      <c r="G2485" s="1" t="str">
        <f>IFERROR(IF(ventas_b_mes1255[[#This Row],[CUIT]]="","-",VLOOKUP(ventas_b_mes1255[[#This Row],[CUIT]],Lista_CUIT[#All],2,0)),"CUIT NO CARGADO")</f>
        <v>-</v>
      </c>
      <c r="H2485" s="100">
        <f>ventas_b_mes1255[[#This Row],[TOTAL]]/1.21</f>
        <v>0</v>
      </c>
      <c r="I2485" s="64">
        <f>ventas_b_mes1255[[#This Row],[IMPORTE NETO]]*0.21</f>
        <v>0</v>
      </c>
      <c r="J2485" s="141"/>
      <c r="K2485" s="141"/>
      <c r="L2485" s="141"/>
      <c r="M2485" s="59"/>
    </row>
    <row r="2486" spans="2:13">
      <c r="B2486" s="135"/>
      <c r="C2486" s="41"/>
      <c r="D2486" s="137"/>
      <c r="E2486" s="138"/>
      <c r="F2486" s="139"/>
      <c r="G2486" s="1" t="str">
        <f>IFERROR(IF(ventas_b_mes1255[[#This Row],[CUIT]]="","-",VLOOKUP(ventas_b_mes1255[[#This Row],[CUIT]],Lista_CUIT[#All],2,0)),"CUIT NO CARGADO")</f>
        <v>-</v>
      </c>
      <c r="H2486" s="100">
        <f>ventas_b_mes1255[[#This Row],[TOTAL]]/1.21</f>
        <v>0</v>
      </c>
      <c r="I2486" s="64">
        <f>ventas_b_mes1255[[#This Row],[IMPORTE NETO]]*0.21</f>
        <v>0</v>
      </c>
      <c r="J2486" s="141"/>
      <c r="K2486" s="141"/>
      <c r="L2486" s="141"/>
      <c r="M2486" s="59"/>
    </row>
    <row r="2487" spans="2:13">
      <c r="B2487" s="135"/>
      <c r="C2487" s="41"/>
      <c r="D2487" s="137"/>
      <c r="E2487" s="138"/>
      <c r="F2487" s="139"/>
      <c r="G2487" s="1" t="str">
        <f>IFERROR(IF(ventas_b_mes1255[[#This Row],[CUIT]]="","-",VLOOKUP(ventas_b_mes1255[[#This Row],[CUIT]],Lista_CUIT[#All],2,0)),"CUIT NO CARGADO")</f>
        <v>-</v>
      </c>
      <c r="H2487" s="100">
        <f>ventas_b_mes1255[[#This Row],[TOTAL]]/1.21</f>
        <v>0</v>
      </c>
      <c r="I2487" s="64">
        <f>ventas_b_mes1255[[#This Row],[IMPORTE NETO]]*0.21</f>
        <v>0</v>
      </c>
      <c r="J2487" s="141"/>
      <c r="K2487" s="141"/>
      <c r="L2487" s="141"/>
      <c r="M2487" s="59"/>
    </row>
    <row r="2488" spans="2:13">
      <c r="B2488" s="135"/>
      <c r="C2488" s="41"/>
      <c r="D2488" s="137"/>
      <c r="E2488" s="138"/>
      <c r="F2488" s="139"/>
      <c r="G2488" s="1" t="str">
        <f>IFERROR(IF(ventas_b_mes1255[[#This Row],[CUIT]]="","-",VLOOKUP(ventas_b_mes1255[[#This Row],[CUIT]],Lista_CUIT[#All],2,0)),"CUIT NO CARGADO")</f>
        <v>-</v>
      </c>
      <c r="H2488" s="100">
        <f>ventas_b_mes1255[[#This Row],[TOTAL]]/1.21</f>
        <v>0</v>
      </c>
      <c r="I2488" s="64">
        <f>ventas_b_mes1255[[#This Row],[IMPORTE NETO]]*0.21</f>
        <v>0</v>
      </c>
      <c r="J2488" s="141"/>
      <c r="K2488" s="141"/>
      <c r="L2488" s="141"/>
      <c r="M2488" s="59"/>
    </row>
    <row r="2489" spans="2:13">
      <c r="B2489" s="135"/>
      <c r="C2489" s="41"/>
      <c r="D2489" s="137"/>
      <c r="E2489" s="138"/>
      <c r="F2489" s="139"/>
      <c r="G2489" s="1" t="str">
        <f>IFERROR(IF(ventas_b_mes1255[[#This Row],[CUIT]]="","-",VLOOKUP(ventas_b_mes1255[[#This Row],[CUIT]],Lista_CUIT[#All],2,0)),"CUIT NO CARGADO")</f>
        <v>-</v>
      </c>
      <c r="H2489" s="100">
        <f>ventas_b_mes1255[[#This Row],[TOTAL]]/1.21</f>
        <v>0</v>
      </c>
      <c r="I2489" s="64">
        <f>ventas_b_mes1255[[#This Row],[IMPORTE NETO]]*0.21</f>
        <v>0</v>
      </c>
      <c r="J2489" s="141"/>
      <c r="K2489" s="141"/>
      <c r="L2489" s="141"/>
      <c r="M2489" s="59"/>
    </row>
    <row r="2490" spans="2:13">
      <c r="B2490" s="135"/>
      <c r="C2490" s="41"/>
      <c r="D2490" s="137"/>
      <c r="E2490" s="138"/>
      <c r="F2490" s="139"/>
      <c r="G2490" s="1" t="str">
        <f>IFERROR(IF(ventas_b_mes1255[[#This Row],[CUIT]]="","-",VLOOKUP(ventas_b_mes1255[[#This Row],[CUIT]],Lista_CUIT[#All],2,0)),"CUIT NO CARGADO")</f>
        <v>-</v>
      </c>
      <c r="H2490" s="100">
        <f>ventas_b_mes1255[[#This Row],[TOTAL]]/1.21</f>
        <v>0</v>
      </c>
      <c r="I2490" s="64">
        <f>ventas_b_mes1255[[#This Row],[IMPORTE NETO]]*0.21</f>
        <v>0</v>
      </c>
      <c r="J2490" s="141"/>
      <c r="K2490" s="141"/>
      <c r="L2490" s="141"/>
      <c r="M2490" s="59"/>
    </row>
    <row r="2491" spans="2:13">
      <c r="B2491" s="135"/>
      <c r="C2491" s="41"/>
      <c r="D2491" s="137"/>
      <c r="E2491" s="138"/>
      <c r="F2491" s="139"/>
      <c r="G2491" s="1" t="str">
        <f>IFERROR(IF(ventas_b_mes1255[[#This Row],[CUIT]]="","-",VLOOKUP(ventas_b_mes1255[[#This Row],[CUIT]],Lista_CUIT[#All],2,0)),"CUIT NO CARGADO")</f>
        <v>-</v>
      </c>
      <c r="H2491" s="100">
        <f>ventas_b_mes1255[[#This Row],[TOTAL]]/1.21</f>
        <v>0</v>
      </c>
      <c r="I2491" s="64">
        <f>ventas_b_mes1255[[#This Row],[IMPORTE NETO]]*0.21</f>
        <v>0</v>
      </c>
      <c r="J2491" s="141"/>
      <c r="K2491" s="141"/>
      <c r="L2491" s="141"/>
      <c r="M2491" s="59"/>
    </row>
    <row r="2492" spans="2:13">
      <c r="B2492" s="135"/>
      <c r="C2492" s="41"/>
      <c r="D2492" s="137"/>
      <c r="E2492" s="138"/>
      <c r="F2492" s="139"/>
      <c r="G2492" s="1" t="str">
        <f>IFERROR(IF(ventas_b_mes1255[[#This Row],[CUIT]]="","-",VLOOKUP(ventas_b_mes1255[[#This Row],[CUIT]],Lista_CUIT[#All],2,0)),"CUIT NO CARGADO")</f>
        <v>-</v>
      </c>
      <c r="H2492" s="100">
        <f>ventas_b_mes1255[[#This Row],[TOTAL]]/1.21</f>
        <v>0</v>
      </c>
      <c r="I2492" s="64">
        <f>ventas_b_mes1255[[#This Row],[IMPORTE NETO]]*0.21</f>
        <v>0</v>
      </c>
      <c r="J2492" s="141"/>
      <c r="K2492" s="141"/>
      <c r="L2492" s="141"/>
      <c r="M2492" s="59"/>
    </row>
    <row r="2493" spans="2:13">
      <c r="B2493" s="135"/>
      <c r="C2493" s="41"/>
      <c r="D2493" s="137"/>
      <c r="E2493" s="138"/>
      <c r="F2493" s="139"/>
      <c r="G2493" s="1" t="str">
        <f>IFERROR(IF(ventas_b_mes1255[[#This Row],[CUIT]]="","-",VLOOKUP(ventas_b_mes1255[[#This Row],[CUIT]],Lista_CUIT[#All],2,0)),"CUIT NO CARGADO")</f>
        <v>-</v>
      </c>
      <c r="H2493" s="100">
        <f>ventas_b_mes1255[[#This Row],[TOTAL]]/1.21</f>
        <v>0</v>
      </c>
      <c r="I2493" s="64">
        <f>ventas_b_mes1255[[#This Row],[IMPORTE NETO]]*0.21</f>
        <v>0</v>
      </c>
      <c r="J2493" s="141"/>
      <c r="K2493" s="141"/>
      <c r="L2493" s="141"/>
      <c r="M2493" s="59"/>
    </row>
    <row r="2494" spans="2:13">
      <c r="B2494" s="135"/>
      <c r="C2494" s="41"/>
      <c r="D2494" s="137"/>
      <c r="E2494" s="138"/>
      <c r="F2494" s="139"/>
      <c r="G2494" s="1" t="str">
        <f>IFERROR(IF(ventas_b_mes1255[[#This Row],[CUIT]]="","-",VLOOKUP(ventas_b_mes1255[[#This Row],[CUIT]],Lista_CUIT[#All],2,0)),"CUIT NO CARGADO")</f>
        <v>-</v>
      </c>
      <c r="H2494" s="100">
        <f>ventas_b_mes1255[[#This Row],[TOTAL]]/1.21</f>
        <v>0</v>
      </c>
      <c r="I2494" s="64">
        <f>ventas_b_mes1255[[#This Row],[IMPORTE NETO]]*0.21</f>
        <v>0</v>
      </c>
      <c r="J2494" s="141"/>
      <c r="K2494" s="141"/>
      <c r="L2494" s="141"/>
      <c r="M2494" s="59"/>
    </row>
    <row r="2495" spans="2:13">
      <c r="B2495" s="135"/>
      <c r="C2495" s="41"/>
      <c r="D2495" s="137"/>
      <c r="E2495" s="138"/>
      <c r="F2495" s="139"/>
      <c r="G2495" s="1" t="str">
        <f>IFERROR(IF(ventas_b_mes1255[[#This Row],[CUIT]]="","-",VLOOKUP(ventas_b_mes1255[[#This Row],[CUIT]],Lista_CUIT[#All],2,0)),"CUIT NO CARGADO")</f>
        <v>-</v>
      </c>
      <c r="H2495" s="100">
        <f>ventas_b_mes1255[[#This Row],[TOTAL]]/1.21</f>
        <v>0</v>
      </c>
      <c r="I2495" s="64">
        <f>ventas_b_mes1255[[#This Row],[IMPORTE NETO]]*0.21</f>
        <v>0</v>
      </c>
      <c r="J2495" s="141"/>
      <c r="K2495" s="141"/>
      <c r="L2495" s="141"/>
      <c r="M2495" s="59"/>
    </row>
    <row r="2496" spans="2:13">
      <c r="B2496" s="135"/>
      <c r="C2496" s="41"/>
      <c r="D2496" s="137"/>
      <c r="E2496" s="138"/>
      <c r="F2496" s="139"/>
      <c r="G2496" s="1" t="str">
        <f>IFERROR(IF(ventas_b_mes1255[[#This Row],[CUIT]]="","-",VLOOKUP(ventas_b_mes1255[[#This Row],[CUIT]],Lista_CUIT[#All],2,0)),"CUIT NO CARGADO")</f>
        <v>-</v>
      </c>
      <c r="H2496" s="100">
        <f>ventas_b_mes1255[[#This Row],[TOTAL]]/1.21</f>
        <v>0</v>
      </c>
      <c r="I2496" s="64">
        <f>ventas_b_mes1255[[#This Row],[IMPORTE NETO]]*0.21</f>
        <v>0</v>
      </c>
      <c r="J2496" s="141"/>
      <c r="K2496" s="141"/>
      <c r="L2496" s="141"/>
      <c r="M2496" s="59"/>
    </row>
    <row r="2497" spans="2:13">
      <c r="B2497" s="135"/>
      <c r="C2497" s="41"/>
      <c r="D2497" s="137"/>
      <c r="E2497" s="138"/>
      <c r="F2497" s="139"/>
      <c r="G2497" s="1" t="str">
        <f>IFERROR(IF(ventas_b_mes1255[[#This Row],[CUIT]]="","-",VLOOKUP(ventas_b_mes1255[[#This Row],[CUIT]],Lista_CUIT[#All],2,0)),"CUIT NO CARGADO")</f>
        <v>-</v>
      </c>
      <c r="H2497" s="100">
        <f>ventas_b_mes1255[[#This Row],[TOTAL]]/1.21</f>
        <v>0</v>
      </c>
      <c r="I2497" s="64">
        <f>ventas_b_mes1255[[#This Row],[IMPORTE NETO]]*0.21</f>
        <v>0</v>
      </c>
      <c r="J2497" s="141"/>
      <c r="K2497" s="141"/>
      <c r="L2497" s="141"/>
      <c r="M2497" s="59"/>
    </row>
    <row r="2498" spans="2:13">
      <c r="B2498" s="135"/>
      <c r="C2498" s="41"/>
      <c r="D2498" s="137"/>
      <c r="E2498" s="138"/>
      <c r="F2498" s="139"/>
      <c r="G2498" s="1" t="str">
        <f>IFERROR(IF(ventas_b_mes1255[[#This Row],[CUIT]]="","-",VLOOKUP(ventas_b_mes1255[[#This Row],[CUIT]],Lista_CUIT[#All],2,0)),"CUIT NO CARGADO")</f>
        <v>-</v>
      </c>
      <c r="H2498" s="100">
        <f>ventas_b_mes1255[[#This Row],[TOTAL]]/1.21</f>
        <v>0</v>
      </c>
      <c r="I2498" s="64">
        <f>ventas_b_mes1255[[#This Row],[IMPORTE NETO]]*0.21</f>
        <v>0</v>
      </c>
      <c r="J2498" s="141"/>
      <c r="K2498" s="141"/>
      <c r="L2498" s="141"/>
      <c r="M2498" s="59"/>
    </row>
    <row r="2499" spans="2:13">
      <c r="B2499" s="135"/>
      <c r="C2499" s="41"/>
      <c r="D2499" s="137"/>
      <c r="E2499" s="138"/>
      <c r="F2499" s="139"/>
      <c r="G2499" s="1" t="str">
        <f>IFERROR(IF(ventas_b_mes1255[[#This Row],[CUIT]]="","-",VLOOKUP(ventas_b_mes1255[[#This Row],[CUIT]],Lista_CUIT[#All],2,0)),"CUIT NO CARGADO")</f>
        <v>-</v>
      </c>
      <c r="H2499" s="100">
        <f>ventas_b_mes1255[[#This Row],[TOTAL]]/1.21</f>
        <v>0</v>
      </c>
      <c r="I2499" s="64">
        <f>ventas_b_mes1255[[#This Row],[IMPORTE NETO]]*0.21</f>
        <v>0</v>
      </c>
      <c r="J2499" s="141"/>
      <c r="K2499" s="141"/>
      <c r="L2499" s="141"/>
      <c r="M2499" s="59"/>
    </row>
    <row r="2500" spans="2:13">
      <c r="B2500" s="135"/>
      <c r="C2500" s="41"/>
      <c r="D2500" s="137"/>
      <c r="E2500" s="138"/>
      <c r="F2500" s="139"/>
      <c r="G2500" s="1" t="str">
        <f>IFERROR(IF(ventas_b_mes1255[[#This Row],[CUIT]]="","-",VLOOKUP(ventas_b_mes1255[[#This Row],[CUIT]],Lista_CUIT[#All],2,0)),"CUIT NO CARGADO")</f>
        <v>-</v>
      </c>
      <c r="H2500" s="100">
        <f>ventas_b_mes1255[[#This Row],[TOTAL]]/1.21</f>
        <v>0</v>
      </c>
      <c r="I2500" s="64">
        <f>ventas_b_mes1255[[#This Row],[IMPORTE NETO]]*0.21</f>
        <v>0</v>
      </c>
      <c r="J2500" s="141"/>
      <c r="K2500" s="141"/>
      <c r="L2500" s="141"/>
      <c r="M2500" s="59"/>
    </row>
    <row r="2501" spans="2:13">
      <c r="B2501" s="135"/>
      <c r="C2501" s="41"/>
      <c r="D2501" s="137"/>
      <c r="E2501" s="138"/>
      <c r="F2501" s="139"/>
      <c r="G2501" s="1" t="str">
        <f>IFERROR(IF(ventas_b_mes1255[[#This Row],[CUIT]]="","-",VLOOKUP(ventas_b_mes1255[[#This Row],[CUIT]],Lista_CUIT[#All],2,0)),"CUIT NO CARGADO")</f>
        <v>-</v>
      </c>
      <c r="H2501" s="100">
        <f>ventas_b_mes1255[[#This Row],[TOTAL]]/1.21</f>
        <v>0</v>
      </c>
      <c r="I2501" s="64">
        <f>ventas_b_mes1255[[#This Row],[IMPORTE NETO]]*0.21</f>
        <v>0</v>
      </c>
      <c r="J2501" s="141"/>
      <c r="K2501" s="141"/>
      <c r="L2501" s="141"/>
      <c r="M2501" s="59"/>
    </row>
    <row r="2502" spans="2:13">
      <c r="B2502" s="135"/>
      <c r="C2502" s="41"/>
      <c r="D2502" s="137"/>
      <c r="E2502" s="138"/>
      <c r="F2502" s="139"/>
      <c r="G2502" s="1" t="str">
        <f>IFERROR(IF(ventas_b_mes1255[[#This Row],[CUIT]]="","-",VLOOKUP(ventas_b_mes1255[[#This Row],[CUIT]],Lista_CUIT[#All],2,0)),"CUIT NO CARGADO")</f>
        <v>-</v>
      </c>
      <c r="H2502" s="100">
        <f>ventas_b_mes1255[[#This Row],[TOTAL]]/1.21</f>
        <v>0</v>
      </c>
      <c r="I2502" s="64">
        <f>ventas_b_mes1255[[#This Row],[IMPORTE NETO]]*0.21</f>
        <v>0</v>
      </c>
      <c r="J2502" s="141"/>
      <c r="K2502" s="141"/>
      <c r="L2502" s="141"/>
      <c r="M2502" s="59"/>
    </row>
    <row r="2503" spans="2:13">
      <c r="B2503" s="135"/>
      <c r="C2503" s="41"/>
      <c r="D2503" s="137"/>
      <c r="E2503" s="138"/>
      <c r="F2503" s="139"/>
      <c r="G2503" s="1" t="str">
        <f>IFERROR(IF(ventas_b_mes1255[[#This Row],[CUIT]]="","-",VLOOKUP(ventas_b_mes1255[[#This Row],[CUIT]],Lista_CUIT[#All],2,0)),"CUIT NO CARGADO")</f>
        <v>-</v>
      </c>
      <c r="H2503" s="100">
        <f>ventas_b_mes1255[[#This Row],[TOTAL]]/1.21</f>
        <v>0</v>
      </c>
      <c r="I2503" s="64">
        <f>ventas_b_mes1255[[#This Row],[IMPORTE NETO]]*0.21</f>
        <v>0</v>
      </c>
      <c r="J2503" s="141"/>
      <c r="K2503" s="141"/>
      <c r="L2503" s="141"/>
      <c r="M2503" s="59"/>
    </row>
    <row r="2504" spans="2:13">
      <c r="B2504" s="135"/>
      <c r="C2504" s="41"/>
      <c r="D2504" s="137"/>
      <c r="E2504" s="138"/>
      <c r="F2504" s="139"/>
      <c r="G2504" s="1" t="str">
        <f>IFERROR(IF(ventas_b_mes1255[[#This Row],[CUIT]]="","-",VLOOKUP(ventas_b_mes1255[[#This Row],[CUIT]],Lista_CUIT[#All],2,0)),"CUIT NO CARGADO")</f>
        <v>-</v>
      </c>
      <c r="H2504" s="100">
        <f>ventas_b_mes1255[[#This Row],[TOTAL]]/1.21</f>
        <v>0</v>
      </c>
      <c r="I2504" s="64">
        <f>ventas_b_mes1255[[#This Row],[IMPORTE NETO]]*0.21</f>
        <v>0</v>
      </c>
      <c r="J2504" s="141"/>
      <c r="K2504" s="141"/>
      <c r="L2504" s="141"/>
      <c r="M2504" s="59"/>
    </row>
    <row r="2505" spans="2:13">
      <c r="B2505" s="135"/>
      <c r="C2505" s="41"/>
      <c r="D2505" s="137"/>
      <c r="E2505" s="138"/>
      <c r="F2505" s="139"/>
      <c r="G2505" s="1" t="str">
        <f>IFERROR(IF(ventas_b_mes1255[[#This Row],[CUIT]]="","-",VLOOKUP(ventas_b_mes1255[[#This Row],[CUIT]],Lista_CUIT[#All],2,0)),"CUIT NO CARGADO")</f>
        <v>-</v>
      </c>
      <c r="H2505" s="100">
        <f>ventas_b_mes1255[[#This Row],[TOTAL]]/1.21</f>
        <v>0</v>
      </c>
      <c r="I2505" s="64">
        <f>ventas_b_mes1255[[#This Row],[IMPORTE NETO]]*0.21</f>
        <v>0</v>
      </c>
      <c r="J2505" s="141"/>
      <c r="K2505" s="141"/>
      <c r="L2505" s="141"/>
      <c r="M2505" s="59"/>
    </row>
    <row r="2506" spans="2:13">
      <c r="B2506" s="135"/>
      <c r="C2506" s="41"/>
      <c r="D2506" s="137"/>
      <c r="E2506" s="138"/>
      <c r="F2506" s="139"/>
      <c r="G2506" s="1" t="str">
        <f>IFERROR(IF(ventas_b_mes1255[[#This Row],[CUIT]]="","-",VLOOKUP(ventas_b_mes1255[[#This Row],[CUIT]],Lista_CUIT[#All],2,0)),"CUIT NO CARGADO")</f>
        <v>-</v>
      </c>
      <c r="H2506" s="100">
        <f>ventas_b_mes1255[[#This Row],[TOTAL]]/1.21</f>
        <v>0</v>
      </c>
      <c r="I2506" s="64">
        <f>ventas_b_mes1255[[#This Row],[IMPORTE NETO]]*0.21</f>
        <v>0</v>
      </c>
      <c r="J2506" s="141"/>
      <c r="K2506" s="141"/>
      <c r="L2506" s="141"/>
      <c r="M2506" s="59"/>
    </row>
    <row r="2507" spans="2:13">
      <c r="B2507" s="135"/>
      <c r="C2507" s="41"/>
      <c r="D2507" s="137"/>
      <c r="E2507" s="138"/>
      <c r="F2507" s="139"/>
      <c r="G2507" s="1" t="str">
        <f>IFERROR(IF(ventas_b_mes1255[[#This Row],[CUIT]]="","-",VLOOKUP(ventas_b_mes1255[[#This Row],[CUIT]],Lista_CUIT[#All],2,0)),"CUIT NO CARGADO")</f>
        <v>-</v>
      </c>
      <c r="H2507" s="100">
        <f>ventas_b_mes1255[[#This Row],[TOTAL]]/1.21</f>
        <v>0</v>
      </c>
      <c r="I2507" s="64">
        <f>ventas_b_mes1255[[#This Row],[IMPORTE NETO]]*0.21</f>
        <v>0</v>
      </c>
      <c r="J2507" s="141"/>
      <c r="K2507" s="141"/>
      <c r="L2507" s="141"/>
      <c r="M2507" s="59"/>
    </row>
    <row r="2508" spans="2:13">
      <c r="B2508" s="135"/>
      <c r="C2508" s="41"/>
      <c r="D2508" s="137"/>
      <c r="E2508" s="138"/>
      <c r="F2508" s="139"/>
      <c r="G2508" s="1" t="str">
        <f>IFERROR(IF(ventas_b_mes1255[[#This Row],[CUIT]]="","-",VLOOKUP(ventas_b_mes1255[[#This Row],[CUIT]],Lista_CUIT[#All],2,0)),"CUIT NO CARGADO")</f>
        <v>-</v>
      </c>
      <c r="H2508" s="100">
        <f>ventas_b_mes1255[[#This Row],[TOTAL]]/1.21</f>
        <v>0</v>
      </c>
      <c r="I2508" s="64">
        <f>ventas_b_mes1255[[#This Row],[IMPORTE NETO]]*0.21</f>
        <v>0</v>
      </c>
      <c r="J2508" s="141"/>
      <c r="K2508" s="141"/>
      <c r="L2508" s="141"/>
      <c r="M2508" s="59"/>
    </row>
    <row r="2509" spans="2:13">
      <c r="B2509" s="135"/>
      <c r="C2509" s="41"/>
      <c r="D2509" s="137"/>
      <c r="E2509" s="138"/>
      <c r="F2509" s="139"/>
      <c r="G2509" s="1" t="str">
        <f>IFERROR(IF(ventas_b_mes1255[[#This Row],[CUIT]]="","-",VLOOKUP(ventas_b_mes1255[[#This Row],[CUIT]],Lista_CUIT[#All],2,0)),"CUIT NO CARGADO")</f>
        <v>-</v>
      </c>
      <c r="H2509" s="100">
        <f>ventas_b_mes1255[[#This Row],[TOTAL]]/1.21</f>
        <v>0</v>
      </c>
      <c r="I2509" s="64">
        <f>ventas_b_mes1255[[#This Row],[IMPORTE NETO]]*0.21</f>
        <v>0</v>
      </c>
      <c r="J2509" s="141"/>
      <c r="K2509" s="141"/>
      <c r="L2509" s="141"/>
      <c r="M2509" s="59"/>
    </row>
    <row r="2510" spans="2:13">
      <c r="B2510" s="135"/>
      <c r="C2510" s="41"/>
      <c r="D2510" s="137"/>
      <c r="E2510" s="138"/>
      <c r="F2510" s="139"/>
      <c r="G2510" s="1" t="str">
        <f>IFERROR(IF(ventas_b_mes1255[[#This Row],[CUIT]]="","-",VLOOKUP(ventas_b_mes1255[[#This Row],[CUIT]],Lista_CUIT[#All],2,0)),"CUIT NO CARGADO")</f>
        <v>-</v>
      </c>
      <c r="H2510" s="100">
        <f>ventas_b_mes1255[[#This Row],[TOTAL]]/1.21</f>
        <v>0</v>
      </c>
      <c r="I2510" s="64">
        <f>ventas_b_mes1255[[#This Row],[IMPORTE NETO]]*0.21</f>
        <v>0</v>
      </c>
      <c r="J2510" s="141"/>
      <c r="K2510" s="141"/>
      <c r="L2510" s="141"/>
      <c r="M2510" s="59"/>
    </row>
    <row r="2511" spans="2:13">
      <c r="B2511" s="135"/>
      <c r="C2511" s="41"/>
      <c r="D2511" s="137"/>
      <c r="E2511" s="138"/>
      <c r="F2511" s="139"/>
      <c r="G2511" s="1" t="str">
        <f>IFERROR(IF(ventas_b_mes1255[[#This Row],[CUIT]]="","-",VLOOKUP(ventas_b_mes1255[[#This Row],[CUIT]],Lista_CUIT[#All],2,0)),"CUIT NO CARGADO")</f>
        <v>-</v>
      </c>
      <c r="H2511" s="100">
        <f>ventas_b_mes1255[[#This Row],[TOTAL]]/1.21</f>
        <v>0</v>
      </c>
      <c r="I2511" s="64">
        <f>ventas_b_mes1255[[#This Row],[IMPORTE NETO]]*0.21</f>
        <v>0</v>
      </c>
      <c r="J2511" s="141"/>
      <c r="K2511" s="141"/>
      <c r="L2511" s="141"/>
      <c r="M2511" s="59"/>
    </row>
    <row r="2512" spans="2:13">
      <c r="B2512" s="135"/>
      <c r="C2512" s="41"/>
      <c r="D2512" s="137"/>
      <c r="E2512" s="138"/>
      <c r="F2512" s="139"/>
      <c r="G2512" s="1" t="str">
        <f>IFERROR(IF(ventas_b_mes1255[[#This Row],[CUIT]]="","-",VLOOKUP(ventas_b_mes1255[[#This Row],[CUIT]],Lista_CUIT[#All],2,0)),"CUIT NO CARGADO")</f>
        <v>-</v>
      </c>
      <c r="H2512" s="100">
        <f>ventas_b_mes1255[[#This Row],[TOTAL]]/1.21</f>
        <v>0</v>
      </c>
      <c r="I2512" s="64">
        <f>ventas_b_mes1255[[#This Row],[IMPORTE NETO]]*0.21</f>
        <v>0</v>
      </c>
      <c r="J2512" s="141"/>
      <c r="K2512" s="141"/>
      <c r="L2512" s="141"/>
      <c r="M2512" s="59"/>
    </row>
    <row r="2513" spans="2:13">
      <c r="B2513" s="135"/>
      <c r="C2513" s="41"/>
      <c r="D2513" s="137"/>
      <c r="E2513" s="138"/>
      <c r="F2513" s="139"/>
      <c r="G2513" s="1" t="str">
        <f>IFERROR(IF(ventas_b_mes1255[[#This Row],[CUIT]]="","-",VLOOKUP(ventas_b_mes1255[[#This Row],[CUIT]],Lista_CUIT[#All],2,0)),"CUIT NO CARGADO")</f>
        <v>-</v>
      </c>
      <c r="H2513" s="100">
        <f>ventas_b_mes1255[[#This Row],[TOTAL]]/1.21</f>
        <v>0</v>
      </c>
      <c r="I2513" s="64">
        <f>ventas_b_mes1255[[#This Row],[IMPORTE NETO]]*0.21</f>
        <v>0</v>
      </c>
      <c r="J2513" s="141"/>
      <c r="K2513" s="141"/>
      <c r="L2513" s="141"/>
      <c r="M2513" s="59"/>
    </row>
    <row r="2514" spans="2:13">
      <c r="B2514" s="135"/>
      <c r="C2514" s="41"/>
      <c r="D2514" s="137"/>
      <c r="E2514" s="138"/>
      <c r="F2514" s="139"/>
      <c r="G2514" s="1" t="str">
        <f>IFERROR(IF(ventas_b_mes1255[[#This Row],[CUIT]]="","-",VLOOKUP(ventas_b_mes1255[[#This Row],[CUIT]],Lista_CUIT[#All],2,0)),"CUIT NO CARGADO")</f>
        <v>-</v>
      </c>
      <c r="H2514" s="100">
        <f>ventas_b_mes1255[[#This Row],[TOTAL]]/1.21</f>
        <v>0</v>
      </c>
      <c r="I2514" s="64">
        <f>ventas_b_mes1255[[#This Row],[IMPORTE NETO]]*0.21</f>
        <v>0</v>
      </c>
      <c r="J2514" s="141"/>
      <c r="K2514" s="141"/>
      <c r="L2514" s="141"/>
      <c r="M2514" s="59"/>
    </row>
    <row r="2515" spans="2:13">
      <c r="B2515" s="135"/>
      <c r="C2515" s="41"/>
      <c r="D2515" s="137"/>
      <c r="E2515" s="138"/>
      <c r="F2515" s="139"/>
      <c r="G2515" s="1" t="str">
        <f>IFERROR(IF(ventas_b_mes1255[[#This Row],[CUIT]]="","-",VLOOKUP(ventas_b_mes1255[[#This Row],[CUIT]],Lista_CUIT[#All],2,0)),"CUIT NO CARGADO")</f>
        <v>-</v>
      </c>
      <c r="H2515" s="100">
        <f>ventas_b_mes1255[[#This Row],[TOTAL]]/1.21</f>
        <v>0</v>
      </c>
      <c r="I2515" s="64">
        <f>ventas_b_mes1255[[#This Row],[IMPORTE NETO]]*0.21</f>
        <v>0</v>
      </c>
      <c r="J2515" s="141"/>
      <c r="K2515" s="141"/>
      <c r="L2515" s="141"/>
      <c r="M2515" s="59"/>
    </row>
    <row r="2516" spans="2:13">
      <c r="B2516" s="135"/>
      <c r="C2516" s="41"/>
      <c r="D2516" s="137"/>
      <c r="E2516" s="138"/>
      <c r="F2516" s="139"/>
      <c r="G2516" s="1" t="str">
        <f>IFERROR(IF(ventas_b_mes1255[[#This Row],[CUIT]]="","-",VLOOKUP(ventas_b_mes1255[[#This Row],[CUIT]],Lista_CUIT[#All],2,0)),"CUIT NO CARGADO")</f>
        <v>-</v>
      </c>
      <c r="H2516" s="100">
        <f>ventas_b_mes1255[[#This Row],[TOTAL]]/1.21</f>
        <v>0</v>
      </c>
      <c r="I2516" s="64">
        <f>ventas_b_mes1255[[#This Row],[IMPORTE NETO]]*0.21</f>
        <v>0</v>
      </c>
      <c r="J2516" s="141"/>
      <c r="K2516" s="141"/>
      <c r="L2516" s="141"/>
      <c r="M2516" s="59"/>
    </row>
    <row r="2517" spans="2:13">
      <c r="B2517" s="135"/>
      <c r="C2517" s="41"/>
      <c r="D2517" s="137"/>
      <c r="E2517" s="138"/>
      <c r="F2517" s="139"/>
      <c r="G2517" s="1" t="str">
        <f>IFERROR(IF(ventas_b_mes1255[[#This Row],[CUIT]]="","-",VLOOKUP(ventas_b_mes1255[[#This Row],[CUIT]],Lista_CUIT[#All],2,0)),"CUIT NO CARGADO")</f>
        <v>-</v>
      </c>
      <c r="H2517" s="100">
        <f>ventas_b_mes1255[[#This Row],[TOTAL]]/1.21</f>
        <v>0</v>
      </c>
      <c r="I2517" s="64">
        <f>ventas_b_mes1255[[#This Row],[IMPORTE NETO]]*0.21</f>
        <v>0</v>
      </c>
      <c r="J2517" s="141"/>
      <c r="K2517" s="141"/>
      <c r="L2517" s="141"/>
      <c r="M2517" s="59"/>
    </row>
    <row r="2518" spans="2:13">
      <c r="B2518" s="135"/>
      <c r="C2518" s="41"/>
      <c r="D2518" s="137"/>
      <c r="E2518" s="138"/>
      <c r="F2518" s="139"/>
      <c r="G2518" s="1" t="str">
        <f>IFERROR(IF(ventas_b_mes1255[[#This Row],[CUIT]]="","-",VLOOKUP(ventas_b_mes1255[[#This Row],[CUIT]],Lista_CUIT[#All],2,0)),"CUIT NO CARGADO")</f>
        <v>-</v>
      </c>
      <c r="H2518" s="100">
        <f>ventas_b_mes1255[[#This Row],[TOTAL]]/1.21</f>
        <v>0</v>
      </c>
      <c r="I2518" s="64">
        <f>ventas_b_mes1255[[#This Row],[IMPORTE NETO]]*0.21</f>
        <v>0</v>
      </c>
      <c r="J2518" s="141"/>
      <c r="K2518" s="141"/>
      <c r="L2518" s="141"/>
      <c r="M2518" s="59"/>
    </row>
    <row r="2519" spans="2:13">
      <c r="B2519" s="135"/>
      <c r="C2519" s="41"/>
      <c r="D2519" s="137"/>
      <c r="E2519" s="138"/>
      <c r="F2519" s="139"/>
      <c r="G2519" s="1" t="str">
        <f>IFERROR(IF(ventas_b_mes1255[[#This Row],[CUIT]]="","-",VLOOKUP(ventas_b_mes1255[[#This Row],[CUIT]],Lista_CUIT[#All],2,0)),"CUIT NO CARGADO")</f>
        <v>-</v>
      </c>
      <c r="H2519" s="100">
        <f>ventas_b_mes1255[[#This Row],[TOTAL]]/1.21</f>
        <v>0</v>
      </c>
      <c r="I2519" s="64">
        <f>ventas_b_mes1255[[#This Row],[IMPORTE NETO]]*0.21</f>
        <v>0</v>
      </c>
      <c r="J2519" s="141"/>
      <c r="K2519" s="141"/>
      <c r="L2519" s="141"/>
      <c r="M2519" s="59"/>
    </row>
    <row r="2520" spans="2:13">
      <c r="B2520" s="135"/>
      <c r="C2520" s="41"/>
      <c r="D2520" s="137"/>
      <c r="E2520" s="138"/>
      <c r="F2520" s="139"/>
      <c r="G2520" s="1" t="str">
        <f>IFERROR(IF(ventas_b_mes1255[[#This Row],[CUIT]]="","-",VLOOKUP(ventas_b_mes1255[[#This Row],[CUIT]],Lista_CUIT[#All],2,0)),"CUIT NO CARGADO")</f>
        <v>-</v>
      </c>
      <c r="H2520" s="100">
        <f>ventas_b_mes1255[[#This Row],[TOTAL]]/1.21</f>
        <v>0</v>
      </c>
      <c r="I2520" s="64">
        <f>ventas_b_mes1255[[#This Row],[IMPORTE NETO]]*0.21</f>
        <v>0</v>
      </c>
      <c r="J2520" s="141"/>
      <c r="K2520" s="141"/>
      <c r="L2520" s="141"/>
      <c r="M2520" s="59"/>
    </row>
    <row r="2521" spans="2:13">
      <c r="B2521" s="135"/>
      <c r="C2521" s="41"/>
      <c r="D2521" s="137"/>
      <c r="E2521" s="138"/>
      <c r="F2521" s="139"/>
      <c r="G2521" s="1" t="str">
        <f>IFERROR(IF(ventas_b_mes1255[[#This Row],[CUIT]]="","-",VLOOKUP(ventas_b_mes1255[[#This Row],[CUIT]],Lista_CUIT[#All],2,0)),"CUIT NO CARGADO")</f>
        <v>-</v>
      </c>
      <c r="H2521" s="100">
        <f>ventas_b_mes1255[[#This Row],[TOTAL]]/1.21</f>
        <v>0</v>
      </c>
      <c r="I2521" s="64">
        <f>ventas_b_mes1255[[#This Row],[IMPORTE NETO]]*0.21</f>
        <v>0</v>
      </c>
      <c r="J2521" s="141"/>
      <c r="K2521" s="141"/>
      <c r="L2521" s="141"/>
      <c r="M2521" s="59"/>
    </row>
    <row r="2522" spans="2:13">
      <c r="B2522" s="135"/>
      <c r="C2522" s="41"/>
      <c r="D2522" s="137"/>
      <c r="E2522" s="138"/>
      <c r="F2522" s="139"/>
      <c r="G2522" s="1" t="str">
        <f>IFERROR(IF(ventas_b_mes1255[[#This Row],[CUIT]]="","-",VLOOKUP(ventas_b_mes1255[[#This Row],[CUIT]],Lista_CUIT[#All],2,0)),"CUIT NO CARGADO")</f>
        <v>-</v>
      </c>
      <c r="H2522" s="100">
        <f>ventas_b_mes1255[[#This Row],[TOTAL]]/1.21</f>
        <v>0</v>
      </c>
      <c r="I2522" s="64">
        <f>ventas_b_mes1255[[#This Row],[IMPORTE NETO]]*0.21</f>
        <v>0</v>
      </c>
      <c r="J2522" s="141"/>
      <c r="K2522" s="141"/>
      <c r="L2522" s="141"/>
      <c r="M2522" s="59"/>
    </row>
    <row r="2523" spans="2:13">
      <c r="B2523" s="135"/>
      <c r="C2523" s="41"/>
      <c r="D2523" s="137"/>
      <c r="E2523" s="138"/>
      <c r="F2523" s="139"/>
      <c r="G2523" s="1" t="str">
        <f>IFERROR(IF(ventas_b_mes1255[[#This Row],[CUIT]]="","-",VLOOKUP(ventas_b_mes1255[[#This Row],[CUIT]],Lista_CUIT[#All],2,0)),"CUIT NO CARGADO")</f>
        <v>-</v>
      </c>
      <c r="H2523" s="100">
        <f>ventas_b_mes1255[[#This Row],[TOTAL]]/1.21</f>
        <v>0</v>
      </c>
      <c r="I2523" s="64">
        <f>ventas_b_mes1255[[#This Row],[IMPORTE NETO]]*0.21</f>
        <v>0</v>
      </c>
      <c r="J2523" s="141"/>
      <c r="K2523" s="141"/>
      <c r="L2523" s="141"/>
      <c r="M2523" s="59"/>
    </row>
    <row r="2524" spans="2:13">
      <c r="B2524" s="135"/>
      <c r="C2524" s="41"/>
      <c r="D2524" s="137"/>
      <c r="E2524" s="138"/>
      <c r="F2524" s="139"/>
      <c r="G2524" s="1" t="str">
        <f>IFERROR(IF(ventas_b_mes1255[[#This Row],[CUIT]]="","-",VLOOKUP(ventas_b_mes1255[[#This Row],[CUIT]],Lista_CUIT[#All],2,0)),"CUIT NO CARGADO")</f>
        <v>-</v>
      </c>
      <c r="H2524" s="100">
        <f>ventas_b_mes1255[[#This Row],[TOTAL]]/1.21</f>
        <v>0</v>
      </c>
      <c r="I2524" s="64">
        <f>ventas_b_mes1255[[#This Row],[IMPORTE NETO]]*0.21</f>
        <v>0</v>
      </c>
      <c r="J2524" s="141"/>
      <c r="K2524" s="141"/>
      <c r="L2524" s="141"/>
      <c r="M2524" s="59"/>
    </row>
    <row r="2525" spans="2:13">
      <c r="B2525" s="135"/>
      <c r="C2525" s="41"/>
      <c r="D2525" s="137"/>
      <c r="E2525" s="138"/>
      <c r="F2525" s="139"/>
      <c r="G2525" s="1" t="str">
        <f>IFERROR(IF(ventas_b_mes1255[[#This Row],[CUIT]]="","-",VLOOKUP(ventas_b_mes1255[[#This Row],[CUIT]],Lista_CUIT[#All],2,0)),"CUIT NO CARGADO")</f>
        <v>-</v>
      </c>
      <c r="H2525" s="100">
        <f>ventas_b_mes1255[[#This Row],[TOTAL]]/1.21</f>
        <v>0</v>
      </c>
      <c r="I2525" s="64">
        <f>ventas_b_mes1255[[#This Row],[IMPORTE NETO]]*0.21</f>
        <v>0</v>
      </c>
      <c r="J2525" s="141"/>
      <c r="K2525" s="141"/>
      <c r="L2525" s="141"/>
      <c r="M2525" s="59"/>
    </row>
    <row r="2526" spans="2:13">
      <c r="B2526" s="135"/>
      <c r="C2526" s="41"/>
      <c r="D2526" s="137"/>
      <c r="E2526" s="138"/>
      <c r="F2526" s="139"/>
      <c r="G2526" s="1" t="str">
        <f>IFERROR(IF(ventas_b_mes1255[[#This Row],[CUIT]]="","-",VLOOKUP(ventas_b_mes1255[[#This Row],[CUIT]],Lista_CUIT[#All],2,0)),"CUIT NO CARGADO")</f>
        <v>-</v>
      </c>
      <c r="H2526" s="100">
        <f>ventas_b_mes1255[[#This Row],[TOTAL]]/1.21</f>
        <v>0</v>
      </c>
      <c r="I2526" s="64">
        <f>ventas_b_mes1255[[#This Row],[IMPORTE NETO]]*0.21</f>
        <v>0</v>
      </c>
      <c r="J2526" s="141"/>
      <c r="K2526" s="141"/>
      <c r="L2526" s="141"/>
      <c r="M2526" s="59"/>
    </row>
    <row r="2527" spans="2:13">
      <c r="B2527" s="135"/>
      <c r="C2527" s="41"/>
      <c r="D2527" s="137"/>
      <c r="E2527" s="138"/>
      <c r="F2527" s="139"/>
      <c r="G2527" s="1" t="str">
        <f>IFERROR(IF(ventas_b_mes1255[[#This Row],[CUIT]]="","-",VLOOKUP(ventas_b_mes1255[[#This Row],[CUIT]],Lista_CUIT[#All],2,0)),"CUIT NO CARGADO")</f>
        <v>-</v>
      </c>
      <c r="H2527" s="100">
        <f>ventas_b_mes1255[[#This Row],[TOTAL]]/1.21</f>
        <v>0</v>
      </c>
      <c r="I2527" s="64">
        <f>ventas_b_mes1255[[#This Row],[IMPORTE NETO]]*0.21</f>
        <v>0</v>
      </c>
      <c r="J2527" s="141"/>
      <c r="K2527" s="141"/>
      <c r="L2527" s="141"/>
      <c r="M2527" s="59"/>
    </row>
    <row r="2528" spans="2:13">
      <c r="B2528" s="135"/>
      <c r="C2528" s="41"/>
      <c r="D2528" s="137"/>
      <c r="E2528" s="138"/>
      <c r="F2528" s="139"/>
      <c r="G2528" s="1" t="str">
        <f>IFERROR(IF(ventas_b_mes1255[[#This Row],[CUIT]]="","-",VLOOKUP(ventas_b_mes1255[[#This Row],[CUIT]],Lista_CUIT[#All],2,0)),"CUIT NO CARGADO")</f>
        <v>-</v>
      </c>
      <c r="H2528" s="100">
        <f>ventas_b_mes1255[[#This Row],[TOTAL]]/1.21</f>
        <v>0</v>
      </c>
      <c r="I2528" s="64">
        <f>ventas_b_mes1255[[#This Row],[IMPORTE NETO]]*0.21</f>
        <v>0</v>
      </c>
      <c r="J2528" s="141"/>
      <c r="K2528" s="141"/>
      <c r="L2528" s="141"/>
      <c r="M2528" s="59"/>
    </row>
    <row r="2529" spans="2:13">
      <c r="B2529" s="135"/>
      <c r="C2529" s="41"/>
      <c r="D2529" s="137"/>
      <c r="E2529" s="138"/>
      <c r="F2529" s="139"/>
      <c r="G2529" s="1" t="str">
        <f>IFERROR(IF(ventas_b_mes1255[[#This Row],[CUIT]]="","-",VLOOKUP(ventas_b_mes1255[[#This Row],[CUIT]],Lista_CUIT[#All],2,0)),"CUIT NO CARGADO")</f>
        <v>-</v>
      </c>
      <c r="H2529" s="100">
        <f>ventas_b_mes1255[[#This Row],[TOTAL]]/1.21</f>
        <v>0</v>
      </c>
      <c r="I2529" s="64">
        <f>ventas_b_mes1255[[#This Row],[IMPORTE NETO]]*0.21</f>
        <v>0</v>
      </c>
      <c r="J2529" s="141"/>
      <c r="K2529" s="141"/>
      <c r="L2529" s="141"/>
      <c r="M2529" s="59"/>
    </row>
    <row r="2530" spans="2:13">
      <c r="B2530" s="135"/>
      <c r="C2530" s="41"/>
      <c r="D2530" s="137"/>
      <c r="E2530" s="138"/>
      <c r="F2530" s="139"/>
      <c r="G2530" s="1" t="str">
        <f>IFERROR(IF(ventas_b_mes1255[[#This Row],[CUIT]]="","-",VLOOKUP(ventas_b_mes1255[[#This Row],[CUIT]],Lista_CUIT[#All],2,0)),"CUIT NO CARGADO")</f>
        <v>-</v>
      </c>
      <c r="H2530" s="100">
        <f>ventas_b_mes1255[[#This Row],[TOTAL]]/1.21</f>
        <v>0</v>
      </c>
      <c r="I2530" s="64">
        <f>ventas_b_mes1255[[#This Row],[IMPORTE NETO]]*0.21</f>
        <v>0</v>
      </c>
      <c r="J2530" s="141"/>
      <c r="K2530" s="141"/>
      <c r="L2530" s="141"/>
      <c r="M2530" s="59"/>
    </row>
    <row r="2531" spans="2:13">
      <c r="B2531" s="135"/>
      <c r="C2531" s="41"/>
      <c r="D2531" s="137"/>
      <c r="E2531" s="138"/>
      <c r="F2531" s="139"/>
      <c r="G2531" s="1" t="str">
        <f>IFERROR(IF(ventas_b_mes1255[[#This Row],[CUIT]]="","-",VLOOKUP(ventas_b_mes1255[[#This Row],[CUIT]],Lista_CUIT[#All],2,0)),"CUIT NO CARGADO")</f>
        <v>-</v>
      </c>
      <c r="H2531" s="100">
        <f>ventas_b_mes1255[[#This Row],[TOTAL]]/1.21</f>
        <v>0</v>
      </c>
      <c r="I2531" s="64">
        <f>ventas_b_mes1255[[#This Row],[IMPORTE NETO]]*0.21</f>
        <v>0</v>
      </c>
      <c r="J2531" s="141"/>
      <c r="K2531" s="141"/>
      <c r="L2531" s="141"/>
      <c r="M2531" s="59"/>
    </row>
    <row r="2532" spans="2:13">
      <c r="B2532" s="135"/>
      <c r="C2532" s="41"/>
      <c r="D2532" s="137"/>
      <c r="E2532" s="138"/>
      <c r="F2532" s="139"/>
      <c r="G2532" s="1" t="str">
        <f>IFERROR(IF(ventas_b_mes1255[[#This Row],[CUIT]]="","-",VLOOKUP(ventas_b_mes1255[[#This Row],[CUIT]],Lista_CUIT[#All],2,0)),"CUIT NO CARGADO")</f>
        <v>-</v>
      </c>
      <c r="H2532" s="100">
        <f>ventas_b_mes1255[[#This Row],[TOTAL]]/1.21</f>
        <v>0</v>
      </c>
      <c r="I2532" s="64">
        <f>ventas_b_mes1255[[#This Row],[IMPORTE NETO]]*0.21</f>
        <v>0</v>
      </c>
      <c r="J2532" s="141"/>
      <c r="K2532" s="141"/>
      <c r="L2532" s="141"/>
      <c r="M2532" s="59"/>
    </row>
    <row r="2533" spans="2:13">
      <c r="B2533" s="135"/>
      <c r="C2533" s="41"/>
      <c r="D2533" s="137"/>
      <c r="E2533" s="138"/>
      <c r="F2533" s="139"/>
      <c r="G2533" s="1" t="str">
        <f>IFERROR(IF(ventas_b_mes1255[[#This Row],[CUIT]]="","-",VLOOKUP(ventas_b_mes1255[[#This Row],[CUIT]],Lista_CUIT[#All],2,0)),"CUIT NO CARGADO")</f>
        <v>-</v>
      </c>
      <c r="H2533" s="100">
        <f>ventas_b_mes1255[[#This Row],[TOTAL]]/1.21</f>
        <v>0</v>
      </c>
      <c r="I2533" s="64">
        <f>ventas_b_mes1255[[#This Row],[IMPORTE NETO]]*0.21</f>
        <v>0</v>
      </c>
      <c r="J2533" s="141"/>
      <c r="K2533" s="141"/>
      <c r="L2533" s="141"/>
      <c r="M2533" s="59"/>
    </row>
    <row r="2534" spans="2:13">
      <c r="B2534" s="135"/>
      <c r="C2534" s="41"/>
      <c r="D2534" s="137"/>
      <c r="E2534" s="138"/>
      <c r="F2534" s="139"/>
      <c r="G2534" s="1" t="str">
        <f>IFERROR(IF(ventas_b_mes1255[[#This Row],[CUIT]]="","-",VLOOKUP(ventas_b_mes1255[[#This Row],[CUIT]],Lista_CUIT[#All],2,0)),"CUIT NO CARGADO")</f>
        <v>-</v>
      </c>
      <c r="H2534" s="100">
        <f>ventas_b_mes1255[[#This Row],[TOTAL]]/1.21</f>
        <v>0</v>
      </c>
      <c r="I2534" s="64">
        <f>ventas_b_mes1255[[#This Row],[IMPORTE NETO]]*0.21</f>
        <v>0</v>
      </c>
      <c r="J2534" s="141"/>
      <c r="K2534" s="141"/>
      <c r="L2534" s="141"/>
      <c r="M2534" s="59"/>
    </row>
    <row r="2535" spans="2:13">
      <c r="B2535" s="135"/>
      <c r="C2535" s="41"/>
      <c r="D2535" s="137"/>
      <c r="E2535" s="138"/>
      <c r="F2535" s="139"/>
      <c r="G2535" s="1" t="str">
        <f>IFERROR(IF(ventas_b_mes1255[[#This Row],[CUIT]]="","-",VLOOKUP(ventas_b_mes1255[[#This Row],[CUIT]],Lista_CUIT[#All],2,0)),"CUIT NO CARGADO")</f>
        <v>-</v>
      </c>
      <c r="H2535" s="100">
        <f>ventas_b_mes1255[[#This Row],[TOTAL]]/1.21</f>
        <v>0</v>
      </c>
      <c r="I2535" s="64">
        <f>ventas_b_mes1255[[#This Row],[IMPORTE NETO]]*0.21</f>
        <v>0</v>
      </c>
      <c r="J2535" s="141"/>
      <c r="K2535" s="141"/>
      <c r="L2535" s="141"/>
      <c r="M2535" s="59"/>
    </row>
    <row r="2536" spans="2:13">
      <c r="B2536" s="135"/>
      <c r="C2536" s="41"/>
      <c r="D2536" s="137"/>
      <c r="E2536" s="138"/>
      <c r="F2536" s="139"/>
      <c r="G2536" s="1" t="str">
        <f>IFERROR(IF(ventas_b_mes1255[[#This Row],[CUIT]]="","-",VLOOKUP(ventas_b_mes1255[[#This Row],[CUIT]],Lista_CUIT[#All],2,0)),"CUIT NO CARGADO")</f>
        <v>-</v>
      </c>
      <c r="H2536" s="100">
        <f>ventas_b_mes1255[[#This Row],[TOTAL]]/1.21</f>
        <v>0</v>
      </c>
      <c r="I2536" s="64">
        <f>ventas_b_mes1255[[#This Row],[IMPORTE NETO]]*0.21</f>
        <v>0</v>
      </c>
      <c r="J2536" s="141"/>
      <c r="K2536" s="141"/>
      <c r="L2536" s="141"/>
      <c r="M2536" s="59"/>
    </row>
    <row r="2537" spans="2:13">
      <c r="B2537" s="135"/>
      <c r="C2537" s="41"/>
      <c r="D2537" s="137"/>
      <c r="E2537" s="138"/>
      <c r="F2537" s="139"/>
      <c r="G2537" s="1" t="str">
        <f>IFERROR(IF(ventas_b_mes1255[[#This Row],[CUIT]]="","-",VLOOKUP(ventas_b_mes1255[[#This Row],[CUIT]],Lista_CUIT[#All],2,0)),"CUIT NO CARGADO")</f>
        <v>-</v>
      </c>
      <c r="H2537" s="100">
        <f>ventas_b_mes1255[[#This Row],[TOTAL]]/1.21</f>
        <v>0</v>
      </c>
      <c r="I2537" s="64">
        <f>ventas_b_mes1255[[#This Row],[IMPORTE NETO]]*0.21</f>
        <v>0</v>
      </c>
      <c r="J2537" s="141"/>
      <c r="K2537" s="141"/>
      <c r="L2537" s="141"/>
      <c r="M2537" s="59"/>
    </row>
    <row r="2538" spans="2:13">
      <c r="B2538" s="135"/>
      <c r="C2538" s="41"/>
      <c r="D2538" s="137"/>
      <c r="E2538" s="138"/>
      <c r="F2538" s="139"/>
      <c r="G2538" s="1" t="str">
        <f>IFERROR(IF(ventas_b_mes1255[[#This Row],[CUIT]]="","-",VLOOKUP(ventas_b_mes1255[[#This Row],[CUIT]],Lista_CUIT[#All],2,0)),"CUIT NO CARGADO")</f>
        <v>-</v>
      </c>
      <c r="H2538" s="100">
        <f>ventas_b_mes1255[[#This Row],[TOTAL]]/1.21</f>
        <v>0</v>
      </c>
      <c r="I2538" s="64">
        <f>ventas_b_mes1255[[#This Row],[IMPORTE NETO]]*0.21</f>
        <v>0</v>
      </c>
      <c r="J2538" s="141"/>
      <c r="K2538" s="141"/>
      <c r="L2538" s="141"/>
      <c r="M2538" s="59"/>
    </row>
    <row r="2539" spans="2:13">
      <c r="B2539" s="135"/>
      <c r="C2539" s="41"/>
      <c r="D2539" s="137"/>
      <c r="E2539" s="138"/>
      <c r="F2539" s="139"/>
      <c r="G2539" s="1" t="str">
        <f>IFERROR(IF(ventas_b_mes1255[[#This Row],[CUIT]]="","-",VLOOKUP(ventas_b_mes1255[[#This Row],[CUIT]],Lista_CUIT[#All],2,0)),"CUIT NO CARGADO")</f>
        <v>-</v>
      </c>
      <c r="H2539" s="100">
        <f>ventas_b_mes1255[[#This Row],[TOTAL]]/1.21</f>
        <v>0</v>
      </c>
      <c r="I2539" s="64">
        <f>ventas_b_mes1255[[#This Row],[IMPORTE NETO]]*0.21</f>
        <v>0</v>
      </c>
      <c r="J2539" s="141"/>
      <c r="K2539" s="141"/>
      <c r="L2539" s="141"/>
      <c r="M2539" s="59"/>
    </row>
    <row r="2540" spans="2:13">
      <c r="B2540" s="135"/>
      <c r="C2540" s="41"/>
      <c r="D2540" s="137"/>
      <c r="E2540" s="138"/>
      <c r="F2540" s="139"/>
      <c r="G2540" s="1" t="str">
        <f>IFERROR(IF(ventas_b_mes1255[[#This Row],[CUIT]]="","-",VLOOKUP(ventas_b_mes1255[[#This Row],[CUIT]],Lista_CUIT[#All],2,0)),"CUIT NO CARGADO")</f>
        <v>-</v>
      </c>
      <c r="H2540" s="100">
        <f>ventas_b_mes1255[[#This Row],[TOTAL]]/1.21</f>
        <v>0</v>
      </c>
      <c r="I2540" s="64">
        <f>ventas_b_mes1255[[#This Row],[IMPORTE NETO]]*0.21</f>
        <v>0</v>
      </c>
      <c r="J2540" s="141"/>
      <c r="K2540" s="141"/>
      <c r="L2540" s="141"/>
      <c r="M2540" s="59"/>
    </row>
    <row r="2541" spans="2:13">
      <c r="B2541" s="135"/>
      <c r="C2541" s="41"/>
      <c r="D2541" s="137"/>
      <c r="E2541" s="138"/>
      <c r="F2541" s="139"/>
      <c r="G2541" s="1" t="str">
        <f>IFERROR(IF(ventas_b_mes1255[[#This Row],[CUIT]]="","-",VLOOKUP(ventas_b_mes1255[[#This Row],[CUIT]],Lista_CUIT[#All],2,0)),"CUIT NO CARGADO")</f>
        <v>-</v>
      </c>
      <c r="H2541" s="100">
        <f>ventas_b_mes1255[[#This Row],[TOTAL]]/1.21</f>
        <v>0</v>
      </c>
      <c r="I2541" s="64">
        <f>ventas_b_mes1255[[#This Row],[IMPORTE NETO]]*0.21</f>
        <v>0</v>
      </c>
      <c r="J2541" s="141"/>
      <c r="K2541" s="141"/>
      <c r="L2541" s="141"/>
      <c r="M2541" s="59"/>
    </row>
    <row r="2542" spans="2:13">
      <c r="B2542" s="135"/>
      <c r="C2542" s="41"/>
      <c r="D2542" s="137"/>
      <c r="E2542" s="138"/>
      <c r="F2542" s="139"/>
      <c r="G2542" s="1" t="str">
        <f>IFERROR(IF(ventas_b_mes1255[[#This Row],[CUIT]]="","-",VLOOKUP(ventas_b_mes1255[[#This Row],[CUIT]],Lista_CUIT[#All],2,0)),"CUIT NO CARGADO")</f>
        <v>-</v>
      </c>
      <c r="H2542" s="100">
        <f>ventas_b_mes1255[[#This Row],[TOTAL]]/1.21</f>
        <v>0</v>
      </c>
      <c r="I2542" s="64">
        <f>ventas_b_mes1255[[#This Row],[IMPORTE NETO]]*0.21</f>
        <v>0</v>
      </c>
      <c r="J2542" s="141"/>
      <c r="K2542" s="141"/>
      <c r="L2542" s="141"/>
      <c r="M2542" s="59"/>
    </row>
    <row r="2543" spans="2:13">
      <c r="B2543" s="135"/>
      <c r="C2543" s="41"/>
      <c r="D2543" s="137"/>
      <c r="E2543" s="138"/>
      <c r="F2543" s="139"/>
      <c r="G2543" s="1" t="str">
        <f>IFERROR(IF(ventas_b_mes1255[[#This Row],[CUIT]]="","-",VLOOKUP(ventas_b_mes1255[[#This Row],[CUIT]],Lista_CUIT[#All],2,0)),"CUIT NO CARGADO")</f>
        <v>-</v>
      </c>
      <c r="H2543" s="100">
        <f>ventas_b_mes1255[[#This Row],[TOTAL]]/1.21</f>
        <v>0</v>
      </c>
      <c r="I2543" s="64">
        <f>ventas_b_mes1255[[#This Row],[IMPORTE NETO]]*0.21</f>
        <v>0</v>
      </c>
      <c r="J2543" s="141"/>
      <c r="K2543" s="141"/>
      <c r="L2543" s="141"/>
      <c r="M2543" s="59"/>
    </row>
    <row r="2544" spans="2:13">
      <c r="B2544" s="135"/>
      <c r="C2544" s="41"/>
      <c r="D2544" s="137"/>
      <c r="E2544" s="138"/>
      <c r="F2544" s="139"/>
      <c r="G2544" s="1" t="str">
        <f>IFERROR(IF(ventas_b_mes1255[[#This Row],[CUIT]]="","-",VLOOKUP(ventas_b_mes1255[[#This Row],[CUIT]],Lista_CUIT[#All],2,0)),"CUIT NO CARGADO")</f>
        <v>-</v>
      </c>
      <c r="H2544" s="100">
        <f>ventas_b_mes1255[[#This Row],[TOTAL]]/1.21</f>
        <v>0</v>
      </c>
      <c r="I2544" s="64">
        <f>ventas_b_mes1255[[#This Row],[IMPORTE NETO]]*0.21</f>
        <v>0</v>
      </c>
      <c r="J2544" s="141"/>
      <c r="K2544" s="141"/>
      <c r="L2544" s="141"/>
      <c r="M2544" s="59"/>
    </row>
    <row r="2545" spans="2:13">
      <c r="B2545" s="135"/>
      <c r="C2545" s="41"/>
      <c r="D2545" s="137"/>
      <c r="E2545" s="138"/>
      <c r="F2545" s="139"/>
      <c r="G2545" s="1" t="str">
        <f>IFERROR(IF(ventas_b_mes1255[[#This Row],[CUIT]]="","-",VLOOKUP(ventas_b_mes1255[[#This Row],[CUIT]],Lista_CUIT[#All],2,0)),"CUIT NO CARGADO")</f>
        <v>-</v>
      </c>
      <c r="H2545" s="100">
        <f>ventas_b_mes1255[[#This Row],[TOTAL]]/1.21</f>
        <v>0</v>
      </c>
      <c r="I2545" s="64">
        <f>ventas_b_mes1255[[#This Row],[IMPORTE NETO]]*0.21</f>
        <v>0</v>
      </c>
      <c r="J2545" s="141"/>
      <c r="K2545" s="141"/>
      <c r="L2545" s="141"/>
      <c r="M2545" s="59"/>
    </row>
    <row r="2546" spans="2:13">
      <c r="B2546" s="135"/>
      <c r="C2546" s="41"/>
      <c r="D2546" s="137"/>
      <c r="E2546" s="138"/>
      <c r="F2546" s="139"/>
      <c r="G2546" s="1" t="str">
        <f>IFERROR(IF(ventas_b_mes1255[[#This Row],[CUIT]]="","-",VLOOKUP(ventas_b_mes1255[[#This Row],[CUIT]],Lista_CUIT[#All],2,0)),"CUIT NO CARGADO")</f>
        <v>-</v>
      </c>
      <c r="H2546" s="100">
        <f>ventas_b_mes1255[[#This Row],[TOTAL]]/1.21</f>
        <v>0</v>
      </c>
      <c r="I2546" s="64">
        <f>ventas_b_mes1255[[#This Row],[IMPORTE NETO]]*0.21</f>
        <v>0</v>
      </c>
      <c r="J2546" s="141"/>
      <c r="K2546" s="141"/>
      <c r="L2546" s="141"/>
      <c r="M2546" s="59"/>
    </row>
    <row r="2547" spans="2:13">
      <c r="B2547" s="135"/>
      <c r="C2547" s="41"/>
      <c r="D2547" s="137"/>
      <c r="E2547" s="138"/>
      <c r="F2547" s="139"/>
      <c r="G2547" s="1" t="str">
        <f>IFERROR(IF(ventas_b_mes1255[[#This Row],[CUIT]]="","-",VLOOKUP(ventas_b_mes1255[[#This Row],[CUIT]],Lista_CUIT[#All],2,0)),"CUIT NO CARGADO")</f>
        <v>-</v>
      </c>
      <c r="H2547" s="100">
        <f>ventas_b_mes1255[[#This Row],[TOTAL]]/1.21</f>
        <v>0</v>
      </c>
      <c r="I2547" s="64">
        <f>ventas_b_mes1255[[#This Row],[IMPORTE NETO]]*0.21</f>
        <v>0</v>
      </c>
      <c r="J2547" s="141"/>
      <c r="K2547" s="141"/>
      <c r="L2547" s="141"/>
      <c r="M2547" s="59"/>
    </row>
    <row r="2548" spans="2:13">
      <c r="B2548" s="135"/>
      <c r="C2548" s="41"/>
      <c r="D2548" s="137"/>
      <c r="E2548" s="138"/>
      <c r="F2548" s="139"/>
      <c r="G2548" s="1" t="str">
        <f>IFERROR(IF(ventas_b_mes1255[[#This Row],[CUIT]]="","-",VLOOKUP(ventas_b_mes1255[[#This Row],[CUIT]],Lista_CUIT[#All],2,0)),"CUIT NO CARGADO")</f>
        <v>-</v>
      </c>
      <c r="H2548" s="100">
        <f>ventas_b_mes1255[[#This Row],[TOTAL]]/1.21</f>
        <v>0</v>
      </c>
      <c r="I2548" s="64">
        <f>ventas_b_mes1255[[#This Row],[IMPORTE NETO]]*0.21</f>
        <v>0</v>
      </c>
      <c r="J2548" s="141"/>
      <c r="K2548" s="141"/>
      <c r="L2548" s="141"/>
      <c r="M2548" s="59"/>
    </row>
    <row r="2549" spans="2:13">
      <c r="B2549" s="135"/>
      <c r="C2549" s="41"/>
      <c r="D2549" s="137"/>
      <c r="E2549" s="138"/>
      <c r="F2549" s="139"/>
      <c r="G2549" s="1" t="str">
        <f>IFERROR(IF(ventas_b_mes1255[[#This Row],[CUIT]]="","-",VLOOKUP(ventas_b_mes1255[[#This Row],[CUIT]],Lista_CUIT[#All],2,0)),"CUIT NO CARGADO")</f>
        <v>-</v>
      </c>
      <c r="H2549" s="100">
        <f>ventas_b_mes1255[[#This Row],[TOTAL]]/1.21</f>
        <v>0</v>
      </c>
      <c r="I2549" s="64">
        <f>ventas_b_mes1255[[#This Row],[IMPORTE NETO]]*0.21</f>
        <v>0</v>
      </c>
      <c r="J2549" s="141"/>
      <c r="K2549" s="141"/>
      <c r="L2549" s="141"/>
      <c r="M2549" s="59"/>
    </row>
    <row r="2550" spans="2:13">
      <c r="B2550" s="135"/>
      <c r="C2550" s="41"/>
      <c r="D2550" s="137"/>
      <c r="E2550" s="138"/>
      <c r="F2550" s="139"/>
      <c r="G2550" s="1" t="str">
        <f>IFERROR(IF(ventas_b_mes1255[[#This Row],[CUIT]]="","-",VLOOKUP(ventas_b_mes1255[[#This Row],[CUIT]],Lista_CUIT[#All],2,0)),"CUIT NO CARGADO")</f>
        <v>-</v>
      </c>
      <c r="H2550" s="100">
        <f>ventas_b_mes1255[[#This Row],[TOTAL]]/1.21</f>
        <v>0</v>
      </c>
      <c r="I2550" s="64">
        <f>ventas_b_mes1255[[#This Row],[IMPORTE NETO]]*0.21</f>
        <v>0</v>
      </c>
      <c r="J2550" s="141"/>
      <c r="K2550" s="141"/>
      <c r="L2550" s="141"/>
      <c r="M2550" s="59"/>
    </row>
    <row r="2551" spans="2:13">
      <c r="B2551" s="135"/>
      <c r="C2551" s="41"/>
      <c r="D2551" s="137"/>
      <c r="E2551" s="138"/>
      <c r="F2551" s="139"/>
      <c r="G2551" s="1" t="str">
        <f>IFERROR(IF(ventas_b_mes1255[[#This Row],[CUIT]]="","-",VLOOKUP(ventas_b_mes1255[[#This Row],[CUIT]],Lista_CUIT[#All],2,0)),"CUIT NO CARGADO")</f>
        <v>-</v>
      </c>
      <c r="H2551" s="100">
        <f>ventas_b_mes1255[[#This Row],[TOTAL]]/1.21</f>
        <v>0</v>
      </c>
      <c r="I2551" s="64">
        <f>ventas_b_mes1255[[#This Row],[IMPORTE NETO]]*0.21</f>
        <v>0</v>
      </c>
      <c r="J2551" s="141"/>
      <c r="K2551" s="141"/>
      <c r="L2551" s="141"/>
      <c r="M2551" s="59"/>
    </row>
    <row r="2552" spans="2:13">
      <c r="B2552" s="135"/>
      <c r="C2552" s="41"/>
      <c r="D2552" s="137"/>
      <c r="E2552" s="138"/>
      <c r="F2552" s="139"/>
      <c r="G2552" s="1" t="str">
        <f>IFERROR(IF(ventas_b_mes1255[[#This Row],[CUIT]]="","-",VLOOKUP(ventas_b_mes1255[[#This Row],[CUIT]],Lista_CUIT[#All],2,0)),"CUIT NO CARGADO")</f>
        <v>-</v>
      </c>
      <c r="H2552" s="100">
        <f>ventas_b_mes1255[[#This Row],[TOTAL]]/1.21</f>
        <v>0</v>
      </c>
      <c r="I2552" s="64">
        <f>ventas_b_mes1255[[#This Row],[IMPORTE NETO]]*0.21</f>
        <v>0</v>
      </c>
      <c r="J2552" s="141"/>
      <c r="K2552" s="141"/>
      <c r="L2552" s="141"/>
      <c r="M2552" s="59"/>
    </row>
    <row r="2553" spans="2:13">
      <c r="B2553" s="135"/>
      <c r="C2553" s="41"/>
      <c r="D2553" s="137"/>
      <c r="E2553" s="138"/>
      <c r="F2553" s="139"/>
      <c r="G2553" s="1" t="str">
        <f>IFERROR(IF(ventas_b_mes1255[[#This Row],[CUIT]]="","-",VLOOKUP(ventas_b_mes1255[[#This Row],[CUIT]],Lista_CUIT[#All],2,0)),"CUIT NO CARGADO")</f>
        <v>-</v>
      </c>
      <c r="H2553" s="100">
        <f>ventas_b_mes1255[[#This Row],[TOTAL]]/1.21</f>
        <v>0</v>
      </c>
      <c r="I2553" s="64">
        <f>ventas_b_mes1255[[#This Row],[IMPORTE NETO]]*0.21</f>
        <v>0</v>
      </c>
      <c r="J2553" s="141"/>
      <c r="K2553" s="141"/>
      <c r="L2553" s="141"/>
      <c r="M2553" s="59"/>
    </row>
    <row r="2554" spans="2:13">
      <c r="B2554" s="135"/>
      <c r="C2554" s="41"/>
      <c r="D2554" s="137"/>
      <c r="E2554" s="138"/>
      <c r="F2554" s="139"/>
      <c r="G2554" s="1" t="str">
        <f>IFERROR(IF(ventas_b_mes1255[[#This Row],[CUIT]]="","-",VLOOKUP(ventas_b_mes1255[[#This Row],[CUIT]],Lista_CUIT[#All],2,0)),"CUIT NO CARGADO")</f>
        <v>-</v>
      </c>
      <c r="H2554" s="100">
        <f>ventas_b_mes1255[[#This Row],[TOTAL]]/1.21</f>
        <v>0</v>
      </c>
      <c r="I2554" s="64">
        <f>ventas_b_mes1255[[#This Row],[IMPORTE NETO]]*0.21</f>
        <v>0</v>
      </c>
      <c r="J2554" s="141"/>
      <c r="K2554" s="141"/>
      <c r="L2554" s="141"/>
      <c r="M2554" s="59"/>
    </row>
    <row r="2555" spans="2:13">
      <c r="B2555" s="135"/>
      <c r="C2555" s="41"/>
      <c r="D2555" s="137"/>
      <c r="E2555" s="138"/>
      <c r="F2555" s="139"/>
      <c r="G2555" s="1" t="str">
        <f>IFERROR(IF(ventas_b_mes1255[[#This Row],[CUIT]]="","-",VLOOKUP(ventas_b_mes1255[[#This Row],[CUIT]],Lista_CUIT[#All],2,0)),"CUIT NO CARGADO")</f>
        <v>-</v>
      </c>
      <c r="H2555" s="100">
        <f>ventas_b_mes1255[[#This Row],[TOTAL]]/1.21</f>
        <v>0</v>
      </c>
      <c r="I2555" s="64">
        <f>ventas_b_mes1255[[#This Row],[IMPORTE NETO]]*0.21</f>
        <v>0</v>
      </c>
      <c r="J2555" s="141"/>
      <c r="K2555" s="141"/>
      <c r="L2555" s="141"/>
      <c r="M2555" s="59"/>
    </row>
    <row r="2556" spans="2:13">
      <c r="B2556" s="135"/>
      <c r="C2556" s="41"/>
      <c r="D2556" s="137"/>
      <c r="E2556" s="138"/>
      <c r="F2556" s="139"/>
      <c r="G2556" s="1" t="str">
        <f>IFERROR(IF(ventas_b_mes1255[[#This Row],[CUIT]]="","-",VLOOKUP(ventas_b_mes1255[[#This Row],[CUIT]],Lista_CUIT[#All],2,0)),"CUIT NO CARGADO")</f>
        <v>-</v>
      </c>
      <c r="H2556" s="100">
        <f>ventas_b_mes1255[[#This Row],[TOTAL]]/1.21</f>
        <v>0</v>
      </c>
      <c r="I2556" s="64">
        <f>ventas_b_mes1255[[#This Row],[IMPORTE NETO]]*0.21</f>
        <v>0</v>
      </c>
      <c r="J2556" s="141"/>
      <c r="K2556" s="141"/>
      <c r="L2556" s="141"/>
      <c r="M2556" s="59"/>
    </row>
    <row r="2557" spans="2:13">
      <c r="B2557" s="135"/>
      <c r="C2557" s="41"/>
      <c r="D2557" s="137"/>
      <c r="E2557" s="138"/>
      <c r="F2557" s="139"/>
      <c r="G2557" s="1" t="str">
        <f>IFERROR(IF(ventas_b_mes1255[[#This Row],[CUIT]]="","-",VLOOKUP(ventas_b_mes1255[[#This Row],[CUIT]],Lista_CUIT[#All],2,0)),"CUIT NO CARGADO")</f>
        <v>-</v>
      </c>
      <c r="H2557" s="100">
        <f>ventas_b_mes1255[[#This Row],[TOTAL]]/1.21</f>
        <v>0</v>
      </c>
      <c r="I2557" s="64">
        <f>ventas_b_mes1255[[#This Row],[IMPORTE NETO]]*0.21</f>
        <v>0</v>
      </c>
      <c r="J2557" s="141"/>
      <c r="K2557" s="141"/>
      <c r="L2557" s="141"/>
      <c r="M2557" s="59"/>
    </row>
    <row r="2558" spans="2:13">
      <c r="B2558" s="135"/>
      <c r="C2558" s="41"/>
      <c r="D2558" s="137"/>
      <c r="E2558" s="138"/>
      <c r="F2558" s="139"/>
      <c r="G2558" s="1" t="str">
        <f>IFERROR(IF(ventas_b_mes1255[[#This Row],[CUIT]]="","-",VLOOKUP(ventas_b_mes1255[[#This Row],[CUIT]],Lista_CUIT[#All],2,0)),"CUIT NO CARGADO")</f>
        <v>-</v>
      </c>
      <c r="H2558" s="100">
        <f>ventas_b_mes1255[[#This Row],[TOTAL]]/1.21</f>
        <v>0</v>
      </c>
      <c r="I2558" s="64">
        <f>ventas_b_mes1255[[#This Row],[IMPORTE NETO]]*0.21</f>
        <v>0</v>
      </c>
      <c r="J2558" s="141"/>
      <c r="K2558" s="141"/>
      <c r="L2558" s="141"/>
      <c r="M2558" s="59"/>
    </row>
    <row r="2559" spans="2:13">
      <c r="B2559" s="135"/>
      <c r="C2559" s="41"/>
      <c r="D2559" s="137"/>
      <c r="E2559" s="138"/>
      <c r="F2559" s="139"/>
      <c r="G2559" s="1" t="str">
        <f>IFERROR(IF(ventas_b_mes1255[[#This Row],[CUIT]]="","-",VLOOKUP(ventas_b_mes1255[[#This Row],[CUIT]],Lista_CUIT[#All],2,0)),"CUIT NO CARGADO")</f>
        <v>-</v>
      </c>
      <c r="H2559" s="100">
        <f>ventas_b_mes1255[[#This Row],[TOTAL]]/1.21</f>
        <v>0</v>
      </c>
      <c r="I2559" s="64">
        <f>ventas_b_mes1255[[#This Row],[IMPORTE NETO]]*0.21</f>
        <v>0</v>
      </c>
      <c r="J2559" s="141"/>
      <c r="K2559" s="141"/>
      <c r="L2559" s="141"/>
      <c r="M2559" s="59"/>
    </row>
    <row r="2560" spans="2:13">
      <c r="B2560" s="135"/>
      <c r="C2560" s="41"/>
      <c r="D2560" s="137"/>
      <c r="E2560" s="138"/>
      <c r="F2560" s="139"/>
      <c r="G2560" s="1" t="str">
        <f>IFERROR(IF(ventas_b_mes1255[[#This Row],[CUIT]]="","-",VLOOKUP(ventas_b_mes1255[[#This Row],[CUIT]],Lista_CUIT[#All],2,0)),"CUIT NO CARGADO")</f>
        <v>-</v>
      </c>
      <c r="H2560" s="100">
        <f>ventas_b_mes1255[[#This Row],[TOTAL]]/1.21</f>
        <v>0</v>
      </c>
      <c r="I2560" s="64">
        <f>ventas_b_mes1255[[#This Row],[IMPORTE NETO]]*0.21</f>
        <v>0</v>
      </c>
      <c r="J2560" s="141"/>
      <c r="K2560" s="141"/>
      <c r="L2560" s="141"/>
      <c r="M2560" s="59"/>
    </row>
    <row r="2561" spans="2:13">
      <c r="B2561" s="135"/>
      <c r="C2561" s="41"/>
      <c r="D2561" s="137"/>
      <c r="E2561" s="138"/>
      <c r="F2561" s="139"/>
      <c r="G2561" s="1" t="str">
        <f>IFERROR(IF(ventas_b_mes1255[[#This Row],[CUIT]]="","-",VLOOKUP(ventas_b_mes1255[[#This Row],[CUIT]],Lista_CUIT[#All],2,0)),"CUIT NO CARGADO")</f>
        <v>-</v>
      </c>
      <c r="H2561" s="100">
        <f>ventas_b_mes1255[[#This Row],[TOTAL]]/1.21</f>
        <v>0</v>
      </c>
      <c r="I2561" s="64">
        <f>ventas_b_mes1255[[#This Row],[IMPORTE NETO]]*0.21</f>
        <v>0</v>
      </c>
      <c r="J2561" s="141"/>
      <c r="K2561" s="141"/>
      <c r="L2561" s="141"/>
      <c r="M2561" s="59"/>
    </row>
    <row r="2562" spans="2:13">
      <c r="B2562" s="135"/>
      <c r="C2562" s="41"/>
      <c r="D2562" s="137"/>
      <c r="E2562" s="138"/>
      <c r="F2562" s="139"/>
      <c r="G2562" s="1" t="str">
        <f>IFERROR(IF(ventas_b_mes1255[[#This Row],[CUIT]]="","-",VLOOKUP(ventas_b_mes1255[[#This Row],[CUIT]],Lista_CUIT[#All],2,0)),"CUIT NO CARGADO")</f>
        <v>-</v>
      </c>
      <c r="H2562" s="100">
        <f>ventas_b_mes1255[[#This Row],[TOTAL]]/1.21</f>
        <v>0</v>
      </c>
      <c r="I2562" s="64">
        <f>ventas_b_mes1255[[#This Row],[IMPORTE NETO]]*0.21</f>
        <v>0</v>
      </c>
      <c r="J2562" s="141"/>
      <c r="K2562" s="141"/>
      <c r="L2562" s="141"/>
      <c r="M2562" s="59"/>
    </row>
    <row r="2563" spans="2:13">
      <c r="B2563" s="135"/>
      <c r="C2563" s="41"/>
      <c r="D2563" s="137"/>
      <c r="E2563" s="138"/>
      <c r="F2563" s="139"/>
      <c r="G2563" s="1" t="str">
        <f>IFERROR(IF(ventas_b_mes1255[[#This Row],[CUIT]]="","-",VLOOKUP(ventas_b_mes1255[[#This Row],[CUIT]],Lista_CUIT[#All],2,0)),"CUIT NO CARGADO")</f>
        <v>-</v>
      </c>
      <c r="H2563" s="100">
        <f>ventas_b_mes1255[[#This Row],[TOTAL]]/1.21</f>
        <v>0</v>
      </c>
      <c r="I2563" s="64">
        <f>ventas_b_mes1255[[#This Row],[IMPORTE NETO]]*0.21</f>
        <v>0</v>
      </c>
      <c r="J2563" s="141"/>
      <c r="K2563" s="141"/>
      <c r="L2563" s="141"/>
      <c r="M2563" s="59"/>
    </row>
    <row r="2564" spans="2:13">
      <c r="B2564" s="135"/>
      <c r="C2564" s="41"/>
      <c r="D2564" s="137"/>
      <c r="E2564" s="138"/>
      <c r="F2564" s="139"/>
      <c r="G2564" s="1" t="str">
        <f>IFERROR(IF(ventas_b_mes1255[[#This Row],[CUIT]]="","-",VLOOKUP(ventas_b_mes1255[[#This Row],[CUIT]],Lista_CUIT[#All],2,0)),"CUIT NO CARGADO")</f>
        <v>-</v>
      </c>
      <c r="H2564" s="100">
        <f>ventas_b_mes1255[[#This Row],[TOTAL]]/1.21</f>
        <v>0</v>
      </c>
      <c r="I2564" s="64">
        <f>ventas_b_mes1255[[#This Row],[IMPORTE NETO]]*0.21</f>
        <v>0</v>
      </c>
      <c r="J2564" s="141"/>
      <c r="K2564" s="141"/>
      <c r="L2564" s="141"/>
      <c r="M2564" s="59"/>
    </row>
    <row r="2565" spans="2:13">
      <c r="B2565" s="135"/>
      <c r="C2565" s="41"/>
      <c r="D2565" s="137"/>
      <c r="E2565" s="138"/>
      <c r="F2565" s="139"/>
      <c r="G2565" s="1" t="str">
        <f>IFERROR(IF(ventas_b_mes1255[[#This Row],[CUIT]]="","-",VLOOKUP(ventas_b_mes1255[[#This Row],[CUIT]],Lista_CUIT[#All],2,0)),"CUIT NO CARGADO")</f>
        <v>-</v>
      </c>
      <c r="H2565" s="100">
        <f>ventas_b_mes1255[[#This Row],[TOTAL]]/1.21</f>
        <v>0</v>
      </c>
      <c r="I2565" s="64">
        <f>ventas_b_mes1255[[#This Row],[IMPORTE NETO]]*0.21</f>
        <v>0</v>
      </c>
      <c r="J2565" s="141"/>
      <c r="K2565" s="141"/>
      <c r="L2565" s="141"/>
      <c r="M2565" s="59"/>
    </row>
    <row r="2566" spans="2:13">
      <c r="B2566" s="135"/>
      <c r="C2566" s="41"/>
      <c r="D2566" s="137"/>
      <c r="E2566" s="138"/>
      <c r="F2566" s="139"/>
      <c r="G2566" s="1" t="str">
        <f>IFERROR(IF(ventas_b_mes1255[[#This Row],[CUIT]]="","-",VLOOKUP(ventas_b_mes1255[[#This Row],[CUIT]],Lista_CUIT[#All],2,0)),"CUIT NO CARGADO")</f>
        <v>-</v>
      </c>
      <c r="H2566" s="100">
        <f>ventas_b_mes1255[[#This Row],[TOTAL]]/1.21</f>
        <v>0</v>
      </c>
      <c r="I2566" s="64">
        <f>ventas_b_mes1255[[#This Row],[IMPORTE NETO]]*0.21</f>
        <v>0</v>
      </c>
      <c r="J2566" s="141"/>
      <c r="K2566" s="141"/>
      <c r="L2566" s="141"/>
      <c r="M2566" s="59"/>
    </row>
    <row r="2567" spans="2:13">
      <c r="B2567" s="135"/>
      <c r="C2567" s="41"/>
      <c r="D2567" s="137"/>
      <c r="E2567" s="138"/>
      <c r="F2567" s="113"/>
      <c r="G2567" s="1" t="str">
        <f>IFERROR(IF(ventas_b_mes1255[[#This Row],[CUIT]]="","-",VLOOKUP(ventas_b_mes1255[[#This Row],[CUIT]],Lista_CUIT[#All],2,0)),"CUIT NO CARGADO")</f>
        <v>-</v>
      </c>
      <c r="H2567" s="100">
        <f>ventas_b_mes1255[[#This Row],[TOTAL]]/1.21</f>
        <v>0</v>
      </c>
      <c r="I2567" s="64">
        <f>ventas_b_mes1255[[#This Row],[IMPORTE NETO]]*0.21</f>
        <v>0</v>
      </c>
      <c r="J2567" s="141"/>
      <c r="K2567" s="141"/>
      <c r="L2567" s="141"/>
      <c r="M2567" s="59"/>
    </row>
    <row r="2568" spans="2:13">
      <c r="B2568" s="135"/>
      <c r="C2568" s="41"/>
      <c r="D2568" s="137"/>
      <c r="E2568" s="138"/>
      <c r="F2568" s="113"/>
      <c r="G2568" s="1" t="str">
        <f>IFERROR(IF(ventas_b_mes1255[[#This Row],[CUIT]]="","-",VLOOKUP(ventas_b_mes1255[[#This Row],[CUIT]],Lista_CUIT[#All],2,0)),"CUIT NO CARGADO")</f>
        <v>-</v>
      </c>
      <c r="H2568" s="100">
        <f>ventas_b_mes1255[[#This Row],[TOTAL]]/1.21</f>
        <v>0</v>
      </c>
      <c r="I2568" s="64">
        <f>ventas_b_mes1255[[#This Row],[IMPORTE NETO]]*0.21</f>
        <v>0</v>
      </c>
      <c r="J2568" s="141"/>
      <c r="K2568" s="141"/>
      <c r="L2568" s="141"/>
      <c r="M2568" s="59"/>
    </row>
    <row r="2569" spans="2:13">
      <c r="B2569" s="135"/>
      <c r="C2569" s="41"/>
      <c r="D2569" s="137"/>
      <c r="E2569" s="138"/>
      <c r="F2569" s="113"/>
      <c r="G2569" s="1" t="str">
        <f>IFERROR(IF(ventas_b_mes1255[[#This Row],[CUIT]]="","-",VLOOKUP(ventas_b_mes1255[[#This Row],[CUIT]],Lista_CUIT[#All],2,0)),"CUIT NO CARGADO")</f>
        <v>-</v>
      </c>
      <c r="H2569" s="100">
        <f>ventas_b_mes1255[[#This Row],[TOTAL]]/1.21</f>
        <v>0</v>
      </c>
      <c r="I2569" s="64">
        <f>ventas_b_mes1255[[#This Row],[IMPORTE NETO]]*0.21</f>
        <v>0</v>
      </c>
      <c r="J2569" s="141"/>
      <c r="K2569" s="141"/>
      <c r="L2569" s="141"/>
      <c r="M2569" s="59"/>
    </row>
    <row r="2570" spans="2:13">
      <c r="B2570" s="135"/>
      <c r="C2570" s="41"/>
      <c r="D2570" s="137"/>
      <c r="E2570" s="138"/>
      <c r="F2570" s="113"/>
      <c r="G2570" s="1" t="str">
        <f>IFERROR(IF(ventas_b_mes1255[[#This Row],[CUIT]]="","-",VLOOKUP(ventas_b_mes1255[[#This Row],[CUIT]],Lista_CUIT[#All],2,0)),"CUIT NO CARGADO")</f>
        <v>-</v>
      </c>
      <c r="H2570" s="100">
        <f>ventas_b_mes1255[[#This Row],[TOTAL]]/1.21</f>
        <v>0</v>
      </c>
      <c r="I2570" s="64">
        <f>ventas_b_mes1255[[#This Row],[IMPORTE NETO]]*0.21</f>
        <v>0</v>
      </c>
      <c r="J2570" s="141"/>
      <c r="K2570" s="141"/>
      <c r="L2570" s="141"/>
      <c r="M2570" s="59"/>
    </row>
    <row r="2571" spans="2:13">
      <c r="B2571" s="135"/>
      <c r="C2571" s="41"/>
      <c r="D2571" s="137"/>
      <c r="E2571" s="138"/>
      <c r="F2571" s="113"/>
      <c r="G2571" s="1" t="str">
        <f>IFERROR(IF(ventas_b_mes1255[[#This Row],[CUIT]]="","-",VLOOKUP(ventas_b_mes1255[[#This Row],[CUIT]],Lista_CUIT[#All],2,0)),"CUIT NO CARGADO")</f>
        <v>-</v>
      </c>
      <c r="H2571" s="100">
        <f>ventas_b_mes1255[[#This Row],[TOTAL]]/1.21</f>
        <v>0</v>
      </c>
      <c r="I2571" s="64">
        <f>ventas_b_mes1255[[#This Row],[IMPORTE NETO]]*0.21</f>
        <v>0</v>
      </c>
      <c r="J2571" s="141"/>
      <c r="K2571" s="141"/>
      <c r="L2571" s="141"/>
      <c r="M2571" s="59"/>
    </row>
    <row r="2572" spans="2:13">
      <c r="B2572" s="135"/>
      <c r="C2572" s="41"/>
      <c r="D2572" s="137"/>
      <c r="E2572" s="138"/>
      <c r="F2572" s="113"/>
      <c r="G2572" s="1" t="str">
        <f>IFERROR(IF(ventas_b_mes1255[[#This Row],[CUIT]]="","-",VLOOKUP(ventas_b_mes1255[[#This Row],[CUIT]],Lista_CUIT[#All],2,0)),"CUIT NO CARGADO")</f>
        <v>-</v>
      </c>
      <c r="H2572" s="100">
        <f>ventas_b_mes1255[[#This Row],[TOTAL]]/1.21</f>
        <v>0</v>
      </c>
      <c r="I2572" s="64">
        <f>ventas_b_mes1255[[#This Row],[IMPORTE NETO]]*0.21</f>
        <v>0</v>
      </c>
      <c r="J2572" s="141"/>
      <c r="K2572" s="141"/>
      <c r="L2572" s="141"/>
      <c r="M2572" s="59"/>
    </row>
    <row r="2573" spans="2:13">
      <c r="B2573" s="135"/>
      <c r="C2573" s="41"/>
      <c r="D2573" s="137"/>
      <c r="E2573" s="138"/>
      <c r="F2573" s="113"/>
      <c r="G2573" s="1" t="str">
        <f>IFERROR(IF(ventas_b_mes1255[[#This Row],[CUIT]]="","-",VLOOKUP(ventas_b_mes1255[[#This Row],[CUIT]],Lista_CUIT[#All],2,0)),"CUIT NO CARGADO")</f>
        <v>-</v>
      </c>
      <c r="H2573" s="100">
        <f>ventas_b_mes1255[[#This Row],[TOTAL]]/1.21</f>
        <v>0</v>
      </c>
      <c r="I2573" s="64">
        <f>ventas_b_mes1255[[#This Row],[IMPORTE NETO]]*0.21</f>
        <v>0</v>
      </c>
      <c r="J2573" s="141"/>
      <c r="K2573" s="141"/>
      <c r="L2573" s="141"/>
      <c r="M2573" s="59"/>
    </row>
    <row r="2574" spans="2:13">
      <c r="B2574" s="135"/>
      <c r="C2574" s="41"/>
      <c r="D2574" s="137"/>
      <c r="E2574" s="138"/>
      <c r="F2574" s="113"/>
      <c r="G2574" s="1" t="str">
        <f>IFERROR(IF(ventas_b_mes1255[[#This Row],[CUIT]]="","-",VLOOKUP(ventas_b_mes1255[[#This Row],[CUIT]],Lista_CUIT[#All],2,0)),"CUIT NO CARGADO")</f>
        <v>-</v>
      </c>
      <c r="H2574" s="100">
        <f>ventas_b_mes1255[[#This Row],[TOTAL]]/1.21</f>
        <v>0</v>
      </c>
      <c r="I2574" s="64">
        <f>ventas_b_mes1255[[#This Row],[IMPORTE NETO]]*0.21</f>
        <v>0</v>
      </c>
      <c r="J2574" s="141"/>
      <c r="K2574" s="141"/>
      <c r="L2574" s="141"/>
      <c r="M2574" s="59"/>
    </row>
    <row r="2575" spans="2:13">
      <c r="B2575" s="135"/>
      <c r="C2575" s="41"/>
      <c r="D2575" s="137"/>
      <c r="E2575" s="138"/>
      <c r="F2575" s="113"/>
      <c r="G2575" s="1" t="str">
        <f>IFERROR(IF(ventas_b_mes1255[[#This Row],[CUIT]]="","-",VLOOKUP(ventas_b_mes1255[[#This Row],[CUIT]],Lista_CUIT[#All],2,0)),"CUIT NO CARGADO")</f>
        <v>-</v>
      </c>
      <c r="H2575" s="100">
        <f>ventas_b_mes1255[[#This Row],[TOTAL]]/1.21</f>
        <v>0</v>
      </c>
      <c r="I2575" s="64">
        <f>ventas_b_mes1255[[#This Row],[IMPORTE NETO]]*0.21</f>
        <v>0</v>
      </c>
      <c r="J2575" s="141"/>
      <c r="K2575" s="141"/>
      <c r="L2575" s="141"/>
      <c r="M2575" s="59"/>
    </row>
    <row r="2576" spans="2:13">
      <c r="B2576" s="135"/>
      <c r="C2576" s="41"/>
      <c r="D2576" s="137"/>
      <c r="E2576" s="138"/>
      <c r="F2576" s="113"/>
      <c r="G2576" s="1" t="str">
        <f>IFERROR(IF(ventas_b_mes1255[[#This Row],[CUIT]]="","-",VLOOKUP(ventas_b_mes1255[[#This Row],[CUIT]],Lista_CUIT[#All],2,0)),"CUIT NO CARGADO")</f>
        <v>-</v>
      </c>
      <c r="H2576" s="100">
        <f>ventas_b_mes1255[[#This Row],[TOTAL]]/1.21</f>
        <v>0</v>
      </c>
      <c r="I2576" s="64">
        <f>ventas_b_mes1255[[#This Row],[IMPORTE NETO]]*0.21</f>
        <v>0</v>
      </c>
      <c r="J2576" s="141"/>
      <c r="K2576" s="141"/>
      <c r="L2576" s="141"/>
      <c r="M2576" s="59"/>
    </row>
    <row r="2577" spans="2:13">
      <c r="B2577" s="135"/>
      <c r="C2577" s="41"/>
      <c r="D2577" s="137"/>
      <c r="E2577" s="138"/>
      <c r="F2577" s="113"/>
      <c r="G2577" s="1" t="str">
        <f>IFERROR(IF(ventas_b_mes1255[[#This Row],[CUIT]]="","-",VLOOKUP(ventas_b_mes1255[[#This Row],[CUIT]],Lista_CUIT[#All],2,0)),"CUIT NO CARGADO")</f>
        <v>-</v>
      </c>
      <c r="H2577" s="100">
        <f>ventas_b_mes1255[[#This Row],[TOTAL]]/1.21</f>
        <v>0</v>
      </c>
      <c r="I2577" s="64">
        <f>ventas_b_mes1255[[#This Row],[IMPORTE NETO]]*0.21</f>
        <v>0</v>
      </c>
      <c r="J2577" s="141"/>
      <c r="K2577" s="141"/>
      <c r="L2577" s="141"/>
      <c r="M2577" s="59"/>
    </row>
    <row r="2578" spans="2:13">
      <c r="B2578" s="135"/>
      <c r="C2578" s="41"/>
      <c r="D2578" s="137"/>
      <c r="E2578" s="138"/>
      <c r="F2578" s="113"/>
      <c r="G2578" s="1" t="str">
        <f>IFERROR(IF(ventas_b_mes1255[[#This Row],[CUIT]]="","-",VLOOKUP(ventas_b_mes1255[[#This Row],[CUIT]],Lista_CUIT[#All],2,0)),"CUIT NO CARGADO")</f>
        <v>-</v>
      </c>
      <c r="H2578" s="100">
        <f>ventas_b_mes1255[[#This Row],[TOTAL]]/1.21</f>
        <v>0</v>
      </c>
      <c r="I2578" s="64">
        <f>ventas_b_mes1255[[#This Row],[IMPORTE NETO]]*0.21</f>
        <v>0</v>
      </c>
      <c r="J2578" s="141"/>
      <c r="K2578" s="141"/>
      <c r="L2578" s="141"/>
      <c r="M2578" s="59"/>
    </row>
    <row r="2579" spans="2:13">
      <c r="B2579" s="135"/>
      <c r="C2579" s="41"/>
      <c r="D2579" s="137"/>
      <c r="E2579" s="138"/>
      <c r="F2579" s="113"/>
      <c r="G2579" s="1" t="str">
        <f>IFERROR(IF(ventas_b_mes1255[[#This Row],[CUIT]]="","-",VLOOKUP(ventas_b_mes1255[[#This Row],[CUIT]],Lista_CUIT[#All],2,0)),"CUIT NO CARGADO")</f>
        <v>-</v>
      </c>
      <c r="H2579" s="100">
        <f>ventas_b_mes1255[[#This Row],[TOTAL]]/1.21</f>
        <v>0</v>
      </c>
      <c r="I2579" s="64">
        <f>ventas_b_mes1255[[#This Row],[IMPORTE NETO]]*0.21</f>
        <v>0</v>
      </c>
      <c r="J2579" s="141"/>
      <c r="K2579" s="141"/>
      <c r="L2579" s="141"/>
      <c r="M2579" s="59"/>
    </row>
    <row r="2580" spans="2:13">
      <c r="B2580" s="135"/>
      <c r="C2580" s="41"/>
      <c r="D2580" s="137"/>
      <c r="E2580" s="138"/>
      <c r="F2580" s="139"/>
      <c r="G2580" s="1" t="str">
        <f>IFERROR(IF(ventas_b_mes1255[[#This Row],[CUIT]]="","-",VLOOKUP(ventas_b_mes1255[[#This Row],[CUIT]],Lista_CUIT[#All],2,0)),"CUIT NO CARGADO")</f>
        <v>-</v>
      </c>
      <c r="H2580" s="100">
        <f>ventas_b_mes1255[[#This Row],[TOTAL]]/1.21</f>
        <v>0</v>
      </c>
      <c r="I2580" s="64">
        <f>ventas_b_mes1255[[#This Row],[IMPORTE NETO]]*0.21</f>
        <v>0</v>
      </c>
      <c r="J2580" s="141"/>
      <c r="K2580" s="141"/>
      <c r="L2580" s="141"/>
      <c r="M2580" s="59"/>
    </row>
    <row r="2581" spans="2:13">
      <c r="B2581" s="66" t="s">
        <v>103</v>
      </c>
      <c r="C2581" s="67"/>
      <c r="D2581" s="67"/>
      <c r="E2581" s="67"/>
      <c r="F2581" s="67"/>
      <c r="G2581" s="67"/>
      <c r="H2581" s="77">
        <f>SUBTOTAL(109,ventas_b_mes1255[IMPORTE NETO])</f>
        <v>0</v>
      </c>
      <c r="I2581" s="77">
        <f>SUBTOTAL(109,ventas_b_mes1255[IVA 21%])</f>
        <v>0</v>
      </c>
      <c r="J2581" s="78">
        <f>SUBTOTAL(109,ventas_b_mes1255[IVA 10,5%])</f>
        <v>0</v>
      </c>
      <c r="K2581" s="78">
        <f>SUBTOTAL(109,ventas_b_mes1255[EXENTO])</f>
        <v>0</v>
      </c>
      <c r="L2581" s="78">
        <f>SUBTOTAL(109,ventas_b_mes1255[TOTAL])</f>
        <v>0</v>
      </c>
      <c r="M2581" s="68">
        <f>SUBTOTAL(103,ventas_b_mes1255[Provincia])</f>
        <v>0</v>
      </c>
    </row>
    <row r="2582" spans="2:13" ht="15.75" thickBot="1">
      <c r="B2582" s="147"/>
      <c r="C2582" s="147"/>
      <c r="D2582" s="147"/>
      <c r="E2582" s="147"/>
      <c r="F2582" s="147"/>
      <c r="G2582" s="147"/>
      <c r="H2582" s="153"/>
      <c r="I2582" s="153"/>
      <c r="J2582" s="154"/>
      <c r="K2582" s="154"/>
      <c r="L2582" s="154"/>
      <c r="M2582" s="148"/>
    </row>
    <row r="2583" spans="2:13" ht="15.75" thickTop="1">
      <c r="C2583" s="726" t="s">
        <v>66</v>
      </c>
      <c r="D2583" s="726"/>
      <c r="E2583" s="726"/>
      <c r="F2583" s="726"/>
      <c r="G2583" s="726"/>
      <c r="H2583" s="32"/>
      <c r="I2583" s="32"/>
      <c r="J2583" s="32"/>
    </row>
    <row r="2584" spans="2:13" ht="15.75">
      <c r="C2584" s="114" t="s">
        <v>67</v>
      </c>
      <c r="D2584" s="115" t="s">
        <v>68</v>
      </c>
      <c r="E2584" s="115" t="s">
        <v>105</v>
      </c>
      <c r="F2584" s="115" t="s">
        <v>3</v>
      </c>
      <c r="G2584" s="115" t="s">
        <v>4</v>
      </c>
      <c r="H2584" s="116" t="s">
        <v>69</v>
      </c>
      <c r="I2584" s="116" t="s">
        <v>70</v>
      </c>
      <c r="J2584" s="116" t="s">
        <v>71</v>
      </c>
      <c r="K2584" s="116" t="s">
        <v>72</v>
      </c>
      <c r="L2584" s="116" t="s">
        <v>73</v>
      </c>
    </row>
    <row r="2585" spans="2:13">
      <c r="C2585" s="117"/>
      <c r="D2585" s="118"/>
      <c r="E2585" s="118"/>
      <c r="F2585" s="119"/>
      <c r="G2585" s="53" t="str">
        <f>IFERROR(IF(Retenciones_mes1257[[#This Row],[CUIT]]="","-",VLOOKUP(Retenciones_mes1257[[#This Row],[CUIT]],Lista_CUIT[#All],2,0)),"CUIT NO CARGADO")</f>
        <v>-</v>
      </c>
      <c r="H2585" s="120"/>
      <c r="I2585" s="120"/>
      <c r="J2585" s="120"/>
      <c r="K2585" s="120"/>
      <c r="L2585" s="120"/>
    </row>
    <row r="2586" spans="2:13">
      <c r="C2586" s="117"/>
      <c r="D2586" s="118"/>
      <c r="E2586" s="118"/>
      <c r="F2586" s="119"/>
      <c r="G2586" s="53" t="str">
        <f>IFERROR(IF(Retenciones_mes1257[[#This Row],[CUIT]]="","-",VLOOKUP(Retenciones_mes1257[[#This Row],[CUIT]],Lista_CUIT[#All],2,0)),"CUIT NO CARGADO")</f>
        <v>-</v>
      </c>
      <c r="H2586" s="120"/>
      <c r="I2586" s="120"/>
      <c r="J2586" s="120"/>
      <c r="K2586" s="120"/>
      <c r="L2586" s="120"/>
    </row>
    <row r="2587" spans="2:13">
      <c r="C2587" s="117"/>
      <c r="D2587" s="118"/>
      <c r="E2587" s="118"/>
      <c r="F2587" s="119"/>
      <c r="G2587" s="53" t="str">
        <f>IFERROR(IF(Retenciones_mes1257[[#This Row],[CUIT]]="","-",VLOOKUP(Retenciones_mes1257[[#This Row],[CUIT]],Lista_CUIT[#All],2,0)),"CUIT NO CARGADO")</f>
        <v>-</v>
      </c>
      <c r="H2587" s="120"/>
      <c r="I2587" s="120"/>
      <c r="J2587" s="120"/>
      <c r="K2587" s="120"/>
      <c r="L2587" s="120"/>
    </row>
    <row r="2588" spans="2:13">
      <c r="C2588" s="117"/>
      <c r="D2588" s="118"/>
      <c r="E2588" s="118"/>
      <c r="F2588" s="119"/>
      <c r="G2588" s="53" t="str">
        <f>IFERROR(IF(Retenciones_mes1257[[#This Row],[CUIT]]="","-",VLOOKUP(Retenciones_mes1257[[#This Row],[CUIT]],Lista_CUIT[#All],2,0)),"CUIT NO CARGADO")</f>
        <v>-</v>
      </c>
      <c r="H2588" s="120"/>
      <c r="I2588" s="120"/>
      <c r="J2588" s="120"/>
      <c r="K2588" s="120"/>
      <c r="L2588" s="120"/>
    </row>
    <row r="2589" spans="2:13">
      <c r="D2589" s="118"/>
      <c r="E2589" s="118"/>
      <c r="G2589" s="53" t="str">
        <f>IFERROR(IF(Retenciones_mes1257[[#This Row],[CUIT]]="","-",VLOOKUP(Retenciones_mes1257[[#This Row],[CUIT]],Lista_CUIT[#All],2,0)),"CUIT NO CARGADO")</f>
        <v>-</v>
      </c>
    </row>
    <row r="2590" spans="2:13">
      <c r="C2590" s="33"/>
    </row>
  </sheetData>
  <mergeCells count="20">
    <mergeCell ref="P4:R4"/>
    <mergeCell ref="D216:L216"/>
    <mergeCell ref="B1:F1"/>
    <mergeCell ref="G1:M1"/>
    <mergeCell ref="N1:R1"/>
    <mergeCell ref="B3:E3"/>
    <mergeCell ref="G3:H3"/>
    <mergeCell ref="J3:K3"/>
    <mergeCell ref="M3:N3"/>
    <mergeCell ref="P3:R3"/>
    <mergeCell ref="C2583:G2583"/>
    <mergeCell ref="B4:E4"/>
    <mergeCell ref="G4:H4"/>
    <mergeCell ref="J4:K4"/>
    <mergeCell ref="M4:N4"/>
    <mergeCell ref="D232:K232"/>
    <mergeCell ref="B265:J265"/>
    <mergeCell ref="K265:M265"/>
    <mergeCell ref="B267:C267"/>
    <mergeCell ref="B458:C458"/>
  </mergeCells>
  <conditionalFormatting sqref="I234:I259">
    <cfRule type="cellIs" dxfId="295" priority="1" operator="lessThan">
      <formula>0</formula>
    </cfRule>
  </conditionalFormatting>
  <dataValidations count="12">
    <dataValidation type="whole" allowBlank="1" showInputMessage="1" showErrorMessage="1" sqref="C460:C2580">
      <formula1>6</formula1>
      <formula2>8</formula2>
    </dataValidation>
    <dataValidation type="custom" allowBlank="1" showInputMessage="1" showErrorMessage="1" sqref="H460:L2580">
      <formula1>IF($C460=8,H460&lt;0,H460&gt;=0)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:I14 I9:I13 J9:O133 I15:I210">
      <formula1>IF($C9=3,H9&lt;0,H9&gt;=0)</formula1>
    </dataValidation>
    <dataValidation type="custom" allowBlank="1" showInputMessage="1" showErrorMessage="1" sqref="L274:L275">
      <formula1>IF($C211=3,L211&lt;0,L211&gt;=0)</formula1>
    </dataValidation>
    <dataValidation type="whole" allowBlank="1" showInputMessage="1" showErrorMessage="1" sqref="D269:D455 D460:D2580 D9:D133 E234:E259">
      <formula1>1</formula1>
      <formula2>9999</formula2>
    </dataValidation>
    <dataValidation type="whole" allowBlank="1" showInputMessage="1" showErrorMessage="1" sqref="E269:E455 E460:E2580 E9:E133 F234:F259">
      <formula1>1</formula1>
      <formula2>99999999</formula2>
    </dataValidation>
    <dataValidation type="whole" allowBlank="1" showInputMessage="1" showErrorMessage="1" sqref="F269:F455 F14 F460:F2580 G234:G259">
      <formula1>20000000000</formula1>
      <formula2>33999999999</formula2>
    </dataValidation>
    <dataValidation type="date" allowBlank="1" showInputMessage="1" showErrorMessage="1" sqref="B14 B460:B2580 B269:B455 B212:B215 D218:D227 D234:D259">
      <formula1>40179</formula1>
      <formula2>TODAY()</formula2>
    </dataValidation>
    <dataValidation type="whole" allowBlank="1" showInputMessage="1" showErrorMessage="1" sqref="C212:C215 C269:C455 C9:C209">
      <formula1>1</formula1>
      <formula2>3</formula2>
    </dataValidation>
    <dataValidation type="custom" allowBlank="1" showInputMessage="1" showErrorMessage="1" sqref="H269:K269 H271:K271 H273:K273 H275:K275">
      <formula1>IF($C269=3,H269&lt;0,H269&gt;=0)</formula1>
    </dataValidation>
    <dataValidation type="custom" allowBlank="1" showInputMessage="1" showErrorMessage="1" sqref="L269:L270">
      <formula1>IF($C9=3,L9&lt;0,L9&gt;=0)</formula1>
    </dataValidation>
    <dataValidation type="custom" allowBlank="1" showInputMessage="1" showErrorMessage="1" sqref="L271:L273">
      <formula1>IF($C12=3,L12&lt;0,L12&gt;=0)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theme="9" tint="0.79998168889431442"/>
    <pageSetUpPr fitToPage="1"/>
  </sheetPr>
  <dimension ref="A1:Z249"/>
  <sheetViews>
    <sheetView showGridLines="0" tabSelected="1" zoomScale="85" zoomScaleNormal="85" workbookViewId="0">
      <selection activeCell="I4" sqref="I4"/>
    </sheetView>
  </sheetViews>
  <sheetFormatPr baseColWidth="10" defaultColWidth="0" defaultRowHeight="15"/>
  <cols>
    <col min="1" max="1" width="2.28515625" bestFit="1" customWidth="1"/>
    <col min="2" max="2" width="13.7109375" bestFit="1" customWidth="1"/>
    <col min="3" max="3" width="7.5703125" customWidth="1"/>
    <col min="4" max="4" width="9.85546875" customWidth="1"/>
    <col min="5" max="5" width="13.42578125" customWidth="1"/>
    <col min="6" max="6" width="20.28515625" customWidth="1"/>
    <col min="7" max="7" width="27.42578125" customWidth="1"/>
    <col min="8" max="8" width="22.5703125" customWidth="1"/>
    <col min="9" max="9" width="18.28515625" customWidth="1"/>
    <col min="10" max="10" width="23.28515625" customWidth="1"/>
    <col min="11" max="11" width="18.42578125" customWidth="1"/>
    <col min="12" max="12" width="18.28515625" bestFit="1" customWidth="1"/>
    <col min="13" max="13" width="15.140625" customWidth="1"/>
    <col min="14" max="14" width="18.85546875" bestFit="1" customWidth="1"/>
    <col min="15" max="15" width="18.5703125" customWidth="1"/>
    <col min="16" max="16" width="17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>
      <c r="A1" s="37"/>
      <c r="B1" s="714" t="s">
        <v>28</v>
      </c>
      <c r="C1" s="714"/>
      <c r="D1" s="714"/>
      <c r="E1" s="714"/>
      <c r="F1" s="714"/>
      <c r="G1" s="715" t="e">
        <v>#REF!</v>
      </c>
      <c r="H1" s="715"/>
      <c r="I1" s="715"/>
      <c r="J1" s="715"/>
      <c r="K1" s="715"/>
      <c r="L1" s="715"/>
      <c r="M1" s="715"/>
      <c r="N1" s="711">
        <f>EDATE('Ene-24'!N1,11)</f>
        <v>45261</v>
      </c>
      <c r="O1" s="711"/>
      <c r="P1" s="711"/>
      <c r="Q1" s="711"/>
      <c r="R1" s="711"/>
    </row>
    <row r="2" spans="1:26" ht="15" customHeight="1"/>
    <row r="3" spans="1:26" ht="26.45" customHeight="1">
      <c r="B3" s="717" t="s">
        <v>65</v>
      </c>
      <c r="C3" s="717"/>
      <c r="D3" s="717"/>
      <c r="E3" s="717"/>
      <c r="F3" s="38"/>
      <c r="G3" s="717" t="s">
        <v>37</v>
      </c>
      <c r="H3" s="717"/>
      <c r="I3" s="38"/>
      <c r="J3" s="724" t="s">
        <v>14</v>
      </c>
      <c r="K3" s="724"/>
      <c r="L3" s="38"/>
      <c r="M3" s="724" t="s">
        <v>12</v>
      </c>
      <c r="N3" s="724"/>
      <c r="O3" s="38"/>
      <c r="P3" s="723" t="s">
        <v>102</v>
      </c>
      <c r="Q3" s="723"/>
      <c r="R3" s="723"/>
    </row>
    <row r="4" spans="1:26" ht="25.15" customHeight="1">
      <c r="B4" s="718">
        <f>SUM(compras_mes12[[#Totals],[NETO GRAVADO]])+extracto_banco_mes12[[#Totals],[NETO]]</f>
        <v>54291581.752895497</v>
      </c>
      <c r="C4" s="718"/>
      <c r="D4" s="718"/>
      <c r="E4" s="718"/>
      <c r="F4" s="39"/>
      <c r="G4" s="719">
        <f>compras_mes12[[#Totals],[IVA 21 %]]+compras_mes12[[#Totals],[IVA 27%]]+compras_mes12[[#Totals],[IVA 10,5%]]+extracto_banco_mes12[[#Totals],[IVA 21%]]+extracto_banco_mes12[[#Totals],[IVA 10,5%]]</f>
        <v>11071104.702755412</v>
      </c>
      <c r="H4" s="719"/>
      <c r="I4" s="39"/>
      <c r="J4" s="725">
        <f>venta_a_mes12[[#Totals],[IMPORTE NETO]]+ventas_b_mes12[[#Totals],[IMPORTE NETO]]</f>
        <v>0</v>
      </c>
      <c r="K4" s="725"/>
      <c r="L4" s="39"/>
      <c r="M4" s="725">
        <f>venta_a_mes12[[#Totals],[IVA 21%]]+venta_a_mes12[[#Totals],[IVA 10,5%]]+ventas_b_mes12[[#Totals],[IVA 21%]]+ventas_b_mes12[[#Totals],[IVA 10,5%]]</f>
        <v>0</v>
      </c>
      <c r="N4" s="725"/>
      <c r="O4" s="39"/>
      <c r="P4" s="721">
        <f>G4-M4</f>
        <v>11071104.702755412</v>
      </c>
      <c r="Q4" s="722"/>
      <c r="R4" s="722"/>
    </row>
    <row r="5" spans="1:26" ht="13.15" customHeight="1"/>
    <row r="6" spans="1:26">
      <c r="G6" s="674" t="s">
        <v>2654</v>
      </c>
    </row>
    <row r="7" spans="1:26" s="2" customFormat="1" ht="10.9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 t="s">
        <v>2606</v>
      </c>
      <c r="C9" s="41">
        <v>1</v>
      </c>
      <c r="D9" s="42">
        <v>1</v>
      </c>
      <c r="E9" s="43">
        <v>146</v>
      </c>
      <c r="F9" s="44">
        <v>30716010313</v>
      </c>
      <c r="G9" s="45" t="str">
        <f>IFERROR(IF(compras_mes12[[#This Row],[CUIT]]="","-",VLOOKUP(compras_mes12[[#This Row],[CUIT]],Lista_CUIT[#All],2,0)),"CUIT NO CARGADO")</f>
        <v>H UNO 1469 S.A.</v>
      </c>
      <c r="H9" s="46">
        <v>500000</v>
      </c>
      <c r="I9" s="85">
        <f>IF(compras_mes12[[#This Row],[NETO GRAVADO]]="","",compras_mes12[[#This Row],[NETO GRAVADO]]*0.21)</f>
        <v>105000</v>
      </c>
      <c r="J9" s="85"/>
      <c r="K9" s="85"/>
      <c r="L9" s="85"/>
      <c r="M9" s="85"/>
      <c r="N9" s="85"/>
      <c r="O9" s="85"/>
      <c r="P9" s="48">
        <f>SUM(compras_mes12[[#This Row],[NETO GRAVADO]:[Otros / No Grav.]])</f>
        <v>605000</v>
      </c>
      <c r="Q9" s="45" t="str">
        <f>IFERROR(IF(compras_mes12[[#This Row],[CUIT]]="","-",VLOOKUP(compras_mes12[[#This Row],[CUIT]],Lista_CUIT[#All],3,0)),"CUIT NO CARGADO")</f>
        <v>Alquiler</v>
      </c>
      <c r="R9" s="49">
        <f>IFERROR(IF(compras_mes12[[#This Row],[CUIT]]="","-",VLOOKUP(compras_mes12[[#This Row],[CUIT]],Lista_CUIT[#All],4,0)),"CUIT NO CARGADO")</f>
        <v>0</v>
      </c>
    </row>
    <row r="10" spans="1:26">
      <c r="B10" s="40" t="s">
        <v>2606</v>
      </c>
      <c r="C10" s="41">
        <v>1</v>
      </c>
      <c r="D10" s="42">
        <v>3</v>
      </c>
      <c r="E10" s="43">
        <v>166</v>
      </c>
      <c r="F10" s="44">
        <v>20939955322</v>
      </c>
      <c r="G10" s="45" t="str">
        <f>IFERROR(IF(compras_mes12[[#This Row],[CUIT]]="","-",VLOOKUP(compras_mes12[[#This Row],[CUIT]],Lista_CUIT[#All],2,0)),"CUIT NO CARGADO")</f>
        <v>PAREDES VIDES MARIO ISIDORO</v>
      </c>
      <c r="H10" s="46">
        <v>5206.62</v>
      </c>
      <c r="I10" s="85">
        <f>IF(compras_mes12[[#This Row],[NETO GRAVADO]]="","",compras_mes12[[#This Row],[NETO GRAVADO]]*0.21)</f>
        <v>1093.3902</v>
      </c>
      <c r="J10" s="85"/>
      <c r="K10" s="85"/>
      <c r="L10" s="85"/>
      <c r="M10" s="85"/>
      <c r="N10" s="85"/>
      <c r="O10" s="85"/>
      <c r="P10" s="48">
        <f>SUM(compras_mes12[[#This Row],[NETO GRAVADO]:[Otros / No Grav.]])</f>
        <v>6300.0101999999997</v>
      </c>
      <c r="Q10" s="45" t="str">
        <f>IFERROR(IF(compras_mes12[[#This Row],[CUIT]]="","-",VLOOKUP(compras_mes12[[#This Row],[CUIT]],Lista_CUIT[#All],3,0)),"CUIT NO CARGADO")</f>
        <v>Mantenimiento Rodado</v>
      </c>
      <c r="R10" s="49">
        <f>IFERROR(IF(compras_mes12[[#This Row],[CUIT]]="","-",VLOOKUP(compras_mes12[[#This Row],[CUIT]],Lista_CUIT[#All],4,0)),"CUIT NO CARGADO")</f>
        <v>0</v>
      </c>
    </row>
    <row r="11" spans="1:26">
      <c r="B11" s="40" t="s">
        <v>2606</v>
      </c>
      <c r="C11" s="41">
        <v>1</v>
      </c>
      <c r="D11" s="42">
        <v>2</v>
      </c>
      <c r="E11" s="43">
        <v>285</v>
      </c>
      <c r="F11" s="44">
        <v>27309896063</v>
      </c>
      <c r="G11" s="45" t="str">
        <f>IFERROR(IF(compras_mes12[[#This Row],[CUIT]]="","-",VLOOKUP(compras_mes12[[#This Row],[CUIT]],Lista_CUIT[#All],2,0)),"CUIT NO CARGADO")</f>
        <v>BATTELLINI MARIA SOLEDAD</v>
      </c>
      <c r="H11" s="46">
        <v>550000</v>
      </c>
      <c r="I11" s="85">
        <f>IF(compras_mes12[[#This Row],[NETO GRAVADO]]="","",compras_mes12[[#This Row],[NETO GRAVADO]]*0.21)</f>
        <v>115500</v>
      </c>
      <c r="J11" s="85"/>
      <c r="K11" s="85"/>
      <c r="L11" s="85"/>
      <c r="M11" s="85"/>
      <c r="N11" s="85"/>
      <c r="O11" s="85"/>
      <c r="P11" s="48">
        <f>SUM(compras_mes12[[#This Row],[NETO GRAVADO]:[Otros / No Grav.]])</f>
        <v>665500</v>
      </c>
      <c r="Q11" s="45" t="str">
        <f>IFERROR(IF(compras_mes12[[#This Row],[CUIT]]="","-",VLOOKUP(compras_mes12[[#This Row],[CUIT]],Lista_CUIT[#All],3,0)),"CUIT NO CARGADO")</f>
        <v>Alquiler</v>
      </c>
      <c r="R11" s="49">
        <f>IFERROR(IF(compras_mes12[[#This Row],[CUIT]]="","-",VLOOKUP(compras_mes12[[#This Row],[CUIT]],Lista_CUIT[#All],4,0)),"CUIT NO CARGADO")</f>
        <v>0</v>
      </c>
    </row>
    <row r="12" spans="1:26">
      <c r="B12" s="40" t="s">
        <v>2606</v>
      </c>
      <c r="C12" s="41">
        <v>1</v>
      </c>
      <c r="D12" s="42">
        <v>1</v>
      </c>
      <c r="E12" s="43">
        <v>561</v>
      </c>
      <c r="F12" s="44">
        <v>20131206144</v>
      </c>
      <c r="G12" s="45" t="str">
        <f>IFERROR(IF(compras_mes12[[#This Row],[CUIT]]="","-",VLOOKUP(compras_mes12[[#This Row],[CUIT]],Lista_CUIT[#All],2,0)),"CUIT NO CARGADO")</f>
        <v>CHAMORRO MANUEL</v>
      </c>
      <c r="H12" s="46">
        <v>1009489</v>
      </c>
      <c r="I12" s="85">
        <f>IF(compras_mes12[[#This Row],[NETO GRAVADO]]="","",compras_mes12[[#This Row],[NETO GRAVADO]]*0.21)</f>
        <v>211992.69</v>
      </c>
      <c r="J12" s="85"/>
      <c r="K12" s="85"/>
      <c r="L12" s="85"/>
      <c r="M12" s="85"/>
      <c r="N12" s="85"/>
      <c r="O12" s="85"/>
      <c r="P12" s="48">
        <f>SUM(compras_mes12[[#This Row],[NETO GRAVADO]:[Otros / No Grav.]])</f>
        <v>1221481.69</v>
      </c>
      <c r="Q12" s="45" t="str">
        <f>IFERROR(IF(compras_mes12[[#This Row],[CUIT]]="","-",VLOOKUP(compras_mes12[[#This Row],[CUIT]],Lista_CUIT[#All],3,0)),"CUIT NO CARGADO")</f>
        <v>Alquiler</v>
      </c>
      <c r="R12" s="49">
        <f>IFERROR(IF(compras_mes12[[#This Row],[CUIT]]="","-",VLOOKUP(compras_mes12[[#This Row],[CUIT]],Lista_CUIT[#All],4,0)),"CUIT NO CARGADO")</f>
        <v>0</v>
      </c>
    </row>
    <row r="13" spans="1:26">
      <c r="B13" s="40" t="s">
        <v>2606</v>
      </c>
      <c r="C13" s="41">
        <v>1</v>
      </c>
      <c r="D13" s="42">
        <v>2</v>
      </c>
      <c r="E13" s="43">
        <v>3895</v>
      </c>
      <c r="F13" s="44">
        <v>30629863571</v>
      </c>
      <c r="G13" s="45" t="str">
        <f>IFERROR(IF(compras_mes12[[#This Row],[CUIT]]="","-",VLOOKUP(compras_mes12[[#This Row],[CUIT]],Lista_CUIT[#All],2,0)),"CUIT NO CARGADO")</f>
        <v>TECNIMAR S R L</v>
      </c>
      <c r="H13" s="46">
        <v>1543867.76</v>
      </c>
      <c r="I13" s="85">
        <f>IF(compras_mes12[[#This Row],[NETO GRAVADO]]="","",compras_mes12[[#This Row],[NETO GRAVADO]]*0.21)</f>
        <v>324212.22959999996</v>
      </c>
      <c r="J13" s="85"/>
      <c r="K13" s="85"/>
      <c r="L13" s="85"/>
      <c r="M13" s="85"/>
      <c r="N13" s="85"/>
      <c r="O13" s="85"/>
      <c r="P13" s="48">
        <f>SUM(compras_mes12[[#This Row],[NETO GRAVADO]:[Otros / No Grav.]])</f>
        <v>1868079.9896</v>
      </c>
      <c r="Q13" s="45" t="str">
        <f>IFERROR(IF(compras_mes12[[#This Row],[CUIT]]="","-",VLOOKUP(compras_mes12[[#This Row],[CUIT]],Lista_CUIT[#All],3,0)),"CUIT NO CARGADO")</f>
        <v>Productos Venta</v>
      </c>
      <c r="R13" s="49">
        <f>IFERROR(IF(compras_mes12[[#This Row],[CUIT]]="","-",VLOOKUP(compras_mes12[[#This Row],[CUIT]],Lista_CUIT[#All],4,0)),"CUIT NO CARGADO")</f>
        <v>0</v>
      </c>
    </row>
    <row r="14" spans="1:26" s="56" customFormat="1" ht="18.600000000000001" customHeight="1">
      <c r="B14" s="40" t="s">
        <v>2606</v>
      </c>
      <c r="C14" s="41">
        <v>1</v>
      </c>
      <c r="D14" s="42">
        <v>5</v>
      </c>
      <c r="E14" s="43">
        <v>5720</v>
      </c>
      <c r="F14" s="44">
        <v>30708558792</v>
      </c>
      <c r="G14" s="45" t="str">
        <f>IFERROR(IF(compras_mes12[[#This Row],[CUIT]]="","-",VLOOKUP(compras_mes12[[#This Row],[CUIT]],Lista_CUIT[#All],2,0)),"CUIT NO CARGADO")</f>
        <v>MYL TRANSFORMADORES S.A</v>
      </c>
      <c r="H14" s="46">
        <v>19421.490000000002</v>
      </c>
      <c r="I14" s="85">
        <f>IF(compras_mes12[[#This Row],[NETO GRAVADO]]="","",compras_mes12[[#This Row],[NETO GRAVADO]]*0.21)</f>
        <v>4078.5129000000002</v>
      </c>
      <c r="J14" s="85"/>
      <c r="K14" s="85"/>
      <c r="L14" s="85"/>
      <c r="M14" s="85"/>
      <c r="N14" s="85"/>
      <c r="O14" s="85"/>
      <c r="P14" s="48">
        <f>SUM(compras_mes12[[#This Row],[NETO GRAVADO]:[Otros / No Grav.]])</f>
        <v>23500.002900000003</v>
      </c>
      <c r="Q14" s="45" t="str">
        <f>IFERROR(IF(compras_mes12[[#This Row],[CUIT]]="","-",VLOOKUP(compras_mes12[[#This Row],[CUIT]],Lista_CUIT[#All],3,0)),"CUIT NO CARGADO")</f>
        <v>Gastos Varios</v>
      </c>
      <c r="R14" s="49">
        <f>IFERROR(IF(compras_mes12[[#This Row],[CUIT]]="","-",VLOOKUP(compras_mes12[[#This Row],[CUIT]],Lista_CUIT[#All],4,0)),"CUIT NO CARGADO")</f>
        <v>0</v>
      </c>
    </row>
    <row r="15" spans="1:26">
      <c r="B15" s="40" t="s">
        <v>2606</v>
      </c>
      <c r="C15" s="41">
        <v>1</v>
      </c>
      <c r="D15" s="42">
        <v>11</v>
      </c>
      <c r="E15" s="43">
        <v>9867</v>
      </c>
      <c r="F15" s="44">
        <v>20166808201</v>
      </c>
      <c r="G15" s="45" t="str">
        <f>IFERROR(IF(compras_mes12[[#This Row],[CUIT]]="","-",VLOOKUP(compras_mes12[[#This Row],[CUIT]],Lista_CUIT[#All],2,0)),"CUIT NO CARGADO")</f>
        <v>QUIRINO CARLOS ALBERTO</v>
      </c>
      <c r="H15" s="46">
        <v>164632.24</v>
      </c>
      <c r="I15" s="85">
        <f>IF(compras_mes12[[#This Row],[NETO GRAVADO]]="","",compras_mes12[[#This Row],[NETO GRAVADO]]*0.21)</f>
        <v>34572.770399999994</v>
      </c>
      <c r="J15" s="85"/>
      <c r="K15" s="85"/>
      <c r="L15" s="85">
        <v>4938.97</v>
      </c>
      <c r="M15" s="85"/>
      <c r="N15" s="85">
        <v>9877.93</v>
      </c>
      <c r="O15" s="85"/>
      <c r="P15" s="48">
        <f>SUM(compras_mes12[[#This Row],[NETO GRAVADO]:[Otros / No Grav.]])</f>
        <v>214021.91039999996</v>
      </c>
      <c r="Q15" s="45" t="str">
        <f>IFERROR(IF(compras_mes12[[#This Row],[CUIT]]="","-",VLOOKUP(compras_mes12[[#This Row],[CUIT]],Lista_CUIT[#All],3,0)),"CUIT NO CARGADO")</f>
        <v>Gastos Varios</v>
      </c>
      <c r="R15" s="49">
        <f>IFERROR(IF(compras_mes12[[#This Row],[CUIT]]="","-",VLOOKUP(compras_mes12[[#This Row],[CUIT]],Lista_CUIT[#All],4,0)),"CUIT NO CARGADO")</f>
        <v>0</v>
      </c>
    </row>
    <row r="16" spans="1:26">
      <c r="B16" s="40" t="s">
        <v>2606</v>
      </c>
      <c r="C16" s="41">
        <v>1</v>
      </c>
      <c r="D16" s="42">
        <v>4</v>
      </c>
      <c r="E16" s="43">
        <v>16062</v>
      </c>
      <c r="F16" s="44">
        <v>20183053478</v>
      </c>
      <c r="G16" s="45" t="str">
        <f>IFERROR(IF(compras_mes12[[#This Row],[CUIT]]="","-",VLOOKUP(compras_mes12[[#This Row],[CUIT]],Lista_CUIT[#All],2,0)),"CUIT NO CARGADO")</f>
        <v>TRIVIGNO ADRIAN</v>
      </c>
      <c r="H16" s="46">
        <v>28520.66</v>
      </c>
      <c r="I16" s="85">
        <f>IF(compras_mes12[[#This Row],[NETO GRAVADO]]="","",compras_mes12[[#This Row],[NETO GRAVADO]]*0.21)</f>
        <v>5989.3386</v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34509.998599999999</v>
      </c>
      <c r="Q16" s="45" t="str">
        <f>IFERROR(IF(compras_mes12[[#This Row],[CUIT]]="","-",VLOOKUP(compras_mes12[[#This Row],[CUIT]],Lista_CUIT[#All],3,0)),"CUIT NO CARGADO")</f>
        <v>LIBRERÍA</v>
      </c>
      <c r="R16" s="49">
        <f>IFERROR(IF(compras_mes12[[#This Row],[CUIT]]="","-",VLOOKUP(compras_mes12[[#This Row],[CUIT]],Lista_CUIT[#All],4,0)),"CUIT NO CARGADO")</f>
        <v>0</v>
      </c>
    </row>
    <row r="17" spans="2:18" ht="14.45" customHeight="1">
      <c r="B17" s="497">
        <v>45628</v>
      </c>
      <c r="C17" s="498">
        <v>1</v>
      </c>
      <c r="D17" s="499">
        <v>12</v>
      </c>
      <c r="E17" s="500">
        <v>54074</v>
      </c>
      <c r="F17" s="501">
        <v>30696131003</v>
      </c>
      <c r="G17" s="502" t="str">
        <f>IFERROR(IF(compras_mes12[[#This Row],[CUIT]]="","-",VLOOKUP(compras_mes12[[#This Row],[CUIT]],Lista_CUIT[#All],2,0)),"CUIT NO CARGADO")</f>
        <v>Petrolfe S.A.</v>
      </c>
      <c r="H17" s="503">
        <v>111839.201171875</v>
      </c>
      <c r="I17" s="504">
        <f>IF(compras_mes12[[#This Row],[NETO GRAVADO]]="","",compras_mes12[[#This Row],[NETO GRAVADO]]*0.21)</f>
        <v>23486.23224609375</v>
      </c>
      <c r="J17" s="504"/>
      <c r="K17" s="504"/>
      <c r="L17" s="504"/>
      <c r="M17" s="504"/>
      <c r="N17" s="504"/>
      <c r="O17" s="504">
        <v>19512.599609375</v>
      </c>
      <c r="P17" s="505">
        <f>SUM(compras_mes12[[#This Row],[NETO GRAVADO]:[Otros / No Grav.]])</f>
        <v>154838.03302734374</v>
      </c>
      <c r="Q17" s="502" t="str">
        <f>IFERROR(IF(compras_mes12[[#This Row],[CUIT]]="","-",VLOOKUP(compras_mes12[[#This Row],[CUIT]],Lista_CUIT[#All],3,0)),"CUIT NO CARGADO")</f>
        <v>Combustible</v>
      </c>
      <c r="R17" s="506">
        <f>IFERROR(IF(compras_mes12[[#This Row],[CUIT]]="","-",VLOOKUP(compras_mes12[[#This Row],[CUIT]],Lista_CUIT[#All],4,0)),"CUIT NO CARGADO")</f>
        <v>0</v>
      </c>
    </row>
    <row r="18" spans="2:18">
      <c r="B18" s="40" t="s">
        <v>2606</v>
      </c>
      <c r="C18" s="41">
        <v>1</v>
      </c>
      <c r="D18" s="42">
        <v>629</v>
      </c>
      <c r="E18" s="43">
        <v>5658388</v>
      </c>
      <c r="F18" s="44">
        <v>30663498513</v>
      </c>
      <c r="G18" s="45" t="str">
        <f>IFERROR(IF(compras_mes12[[#This Row],[CUIT]]="","-",VLOOKUP(compras_mes12[[#This Row],[CUIT]],Lista_CUIT[#All],2,0)),"CUIT NO CARGADO")</f>
        <v>GRUPO CONCES. DEL OESTE SA</v>
      </c>
      <c r="H18" s="46">
        <v>32763.360000000001</v>
      </c>
      <c r="I18" s="85">
        <f>IF(compras_mes12[[#This Row],[NETO GRAVADO]]="","",compras_mes12[[#This Row],[NETO GRAVADO]]*0.21)</f>
        <v>6880.3055999999997</v>
      </c>
      <c r="J18" s="85"/>
      <c r="K18" s="85"/>
      <c r="L18" s="85"/>
      <c r="M18" s="85"/>
      <c r="N18" s="85"/>
      <c r="O18" s="85"/>
      <c r="P18" s="48">
        <f>SUM(compras_mes12[[#This Row],[NETO GRAVADO]:[Otros / No Grav.]])</f>
        <v>39643.6656</v>
      </c>
      <c r="Q18" s="45" t="str">
        <f>IFERROR(IF(compras_mes12[[#This Row],[CUIT]]="","-",VLOOKUP(compras_mes12[[#This Row],[CUIT]],Lista_CUIT[#All],3,0)),"CUIT NO CARGADO")</f>
        <v>Peajes</v>
      </c>
      <c r="R18" s="49">
        <f>IFERROR(IF(compras_mes12[[#This Row],[CUIT]]="","-",VLOOKUP(compras_mes12[[#This Row],[CUIT]],Lista_CUIT[#All],4,0)),"CUIT NO CARGADO")</f>
        <v>0</v>
      </c>
    </row>
    <row r="19" spans="2:18">
      <c r="B19" s="40" t="s">
        <v>2606</v>
      </c>
      <c r="C19" s="41">
        <v>1</v>
      </c>
      <c r="D19" s="42">
        <v>711</v>
      </c>
      <c r="E19" s="43">
        <v>6460787</v>
      </c>
      <c r="F19" s="44">
        <v>30677237119</v>
      </c>
      <c r="G19" s="45" t="str">
        <f>IFERROR(IF(compras_mes12[[#This Row],[CUIT]]="","-",VLOOKUP(compras_mes12[[#This Row],[CUIT]],Lista_CUIT[#All],2,0)),"CUIT NO CARGADO")</f>
        <v>AUTOPISTAS DEL SOL S A</v>
      </c>
      <c r="H19" s="46">
        <v>19849.64</v>
      </c>
      <c r="I19" s="85">
        <f>IF(compras_mes12[[#This Row],[NETO GRAVADO]]="","",compras_mes12[[#This Row],[NETO GRAVADO]]*0.21)</f>
        <v>4168.4243999999999</v>
      </c>
      <c r="J19" s="85"/>
      <c r="K19" s="85"/>
      <c r="L19" s="85">
        <v>595.49</v>
      </c>
      <c r="M19" s="85"/>
      <c r="N19" s="85"/>
      <c r="O19" s="85">
        <v>595.49</v>
      </c>
      <c r="P19" s="48">
        <f>SUM(compras_mes12[[#This Row],[NETO GRAVADO]:[Otros / No Grav.]])</f>
        <v>25209.044400000002</v>
      </c>
      <c r="Q19" s="45" t="str">
        <f>IFERROR(IF(compras_mes12[[#This Row],[CUIT]]="","-",VLOOKUP(compras_mes12[[#This Row],[CUIT]],Lista_CUIT[#All],3,0)),"CUIT NO CARGADO")</f>
        <v>Peajes</v>
      </c>
      <c r="R19" s="49">
        <f>IFERROR(IF(compras_mes12[[#This Row],[CUIT]]="","-",VLOOKUP(compras_mes12[[#This Row],[CUIT]],Lista_CUIT[#All],4,0)),"CUIT NO CARGADO")</f>
        <v>0</v>
      </c>
    </row>
    <row r="20" spans="2:18" ht="14.45" customHeight="1">
      <c r="B20" s="497">
        <v>45628</v>
      </c>
      <c r="C20" s="498">
        <v>1</v>
      </c>
      <c r="D20" s="499">
        <v>501</v>
      </c>
      <c r="E20" s="500">
        <v>37759112</v>
      </c>
      <c r="F20" s="501">
        <v>30655116512</v>
      </c>
      <c r="G20" s="502" t="str">
        <f>IFERROR(IF(compras_mes12[[#This Row],[CUIT]]="","-",VLOOKUP(compras_mes12[[#This Row],[CUIT]],Lista_CUIT[#All],2,0)),"CUIT NO CARGADO")</f>
        <v>Empresa Distribuidora Sur S.A.</v>
      </c>
      <c r="H20" s="503">
        <v>54733.6083984375</v>
      </c>
      <c r="I20" s="504">
        <f>IF(compras_mes12[[#This Row],[NETO GRAVADO]]="","",compras_mes12[[#This Row],[NETO GRAVADO]]*0.21)</f>
        <v>11494.057763671875</v>
      </c>
      <c r="J20" s="504"/>
      <c r="K20" s="504"/>
      <c r="L20" s="504"/>
      <c r="M20" s="504"/>
      <c r="N20" s="504"/>
      <c r="O20" s="504">
        <v>3381.3798828125</v>
      </c>
      <c r="P20" s="505">
        <f>SUM(compras_mes12[[#This Row],[NETO GRAVADO]:[Otros / No Grav.]])</f>
        <v>69609.046044921881</v>
      </c>
      <c r="Q20" s="502" t="str">
        <f>IFERROR(IF(compras_mes12[[#This Row],[CUIT]]="","-",VLOOKUP(compras_mes12[[#This Row],[CUIT]],Lista_CUIT[#All],3,0)),"CUIT NO CARGADO")</f>
        <v>Servicios Gas, Luz, etc.</v>
      </c>
      <c r="R20" s="506">
        <f>IFERROR(IF(compras_mes12[[#This Row],[CUIT]]="","-",VLOOKUP(compras_mes12[[#This Row],[CUIT]],Lista_CUIT[#All],4,0)),"CUIT NO CARGADO")</f>
        <v>0</v>
      </c>
    </row>
    <row r="21" spans="2:18" ht="14.45" customHeight="1">
      <c r="B21" s="497">
        <v>45628</v>
      </c>
      <c r="C21" s="498">
        <v>1</v>
      </c>
      <c r="D21" s="499">
        <v>26</v>
      </c>
      <c r="E21" s="500">
        <v>38297905</v>
      </c>
      <c r="F21" s="501">
        <v>30655116202</v>
      </c>
      <c r="G21" s="502" t="str">
        <f>IFERROR(IF(compras_mes12[[#This Row],[CUIT]]="","-",VLOOKUP(compras_mes12[[#This Row],[CUIT]],Lista_CUIT[#All],2,0)),"CUIT NO CARGADO")</f>
        <v xml:space="preserve">EDENOR </v>
      </c>
      <c r="H21" s="503">
        <v>87936.400878906294</v>
      </c>
      <c r="I21" s="504"/>
      <c r="J21" s="504">
        <f>compras_mes12[[#This Row],[NETO GRAVADO]]*0.27</f>
        <v>23742.8282373047</v>
      </c>
      <c r="K21" s="504"/>
      <c r="L21" s="504"/>
      <c r="M21" s="504"/>
      <c r="N21" s="504"/>
      <c r="O21" s="504">
        <v>5593.97021484375</v>
      </c>
      <c r="P21" s="505">
        <f>SUM(compras_mes12[[#This Row],[NETO GRAVADO]:[Otros / No Grav.]])</f>
        <v>117273.19933105474</v>
      </c>
      <c r="Q21" s="502" t="str">
        <f>IFERROR(IF(compras_mes12[[#This Row],[CUIT]]="","-",VLOOKUP(compras_mes12[[#This Row],[CUIT]],Lista_CUIT[#All],3,0)),"CUIT NO CARGADO")</f>
        <v>Servicios Gas, Luz, etc.</v>
      </c>
      <c r="R21" s="506">
        <f>IFERROR(IF(compras_mes12[[#This Row],[CUIT]]="","-",VLOOKUP(compras_mes12[[#This Row],[CUIT]],Lista_CUIT[#All],4,0)),"CUIT NO CARGADO")</f>
        <v>0</v>
      </c>
    </row>
    <row r="22" spans="2:18" ht="15" customHeight="1">
      <c r="B22" s="40" t="s">
        <v>2607</v>
      </c>
      <c r="C22" s="41">
        <v>1</v>
      </c>
      <c r="D22" s="42">
        <v>2</v>
      </c>
      <c r="E22" s="43">
        <v>3898</v>
      </c>
      <c r="F22" s="44">
        <v>30629863571</v>
      </c>
      <c r="G22" s="45" t="str">
        <f>IFERROR(IF(compras_mes12[[#This Row],[CUIT]]="","-",VLOOKUP(compras_mes12[[#This Row],[CUIT]],Lista_CUIT[#All],2,0)),"CUIT NO CARGADO")</f>
        <v>TECNIMAR S R L</v>
      </c>
      <c r="H22" s="46">
        <v>2601331.19</v>
      </c>
      <c r="I22" s="85">
        <f>IF(compras_mes12[[#This Row],[NETO GRAVADO]]="","",compras_mes12[[#This Row],[NETO GRAVADO]]*0.21)</f>
        <v>546279.54989999998</v>
      </c>
      <c r="J22" s="85"/>
      <c r="K22" s="85"/>
      <c r="L22" s="85"/>
      <c r="M22" s="85"/>
      <c r="N22" s="85"/>
      <c r="O22" s="85"/>
      <c r="P22" s="48">
        <f>SUM(compras_mes12[[#This Row],[NETO GRAVADO]:[Otros / No Grav.]])</f>
        <v>3147610.7398999999</v>
      </c>
      <c r="Q22" s="45" t="str">
        <f>IFERROR(IF(compras_mes12[[#This Row],[CUIT]]="","-",VLOOKUP(compras_mes12[[#This Row],[CUIT]],Lista_CUIT[#All],3,0)),"CUIT NO CARGADO")</f>
        <v>Productos Venta</v>
      </c>
      <c r="R22" s="49">
        <f>IFERROR(IF(compras_mes12[[#This Row],[CUIT]]="","-",VLOOKUP(compras_mes12[[#This Row],[CUIT]],Lista_CUIT[#All],4,0)),"CUIT NO CARGADO")</f>
        <v>0</v>
      </c>
    </row>
    <row r="23" spans="2:18" ht="15" customHeight="1">
      <c r="B23" s="40" t="s">
        <v>2607</v>
      </c>
      <c r="C23" s="41">
        <v>1</v>
      </c>
      <c r="D23" s="42">
        <v>6</v>
      </c>
      <c r="E23" s="43">
        <v>10133</v>
      </c>
      <c r="F23" s="44">
        <v>30707603123</v>
      </c>
      <c r="G23" s="45" t="str">
        <f>IFERROR(IF(compras_mes12[[#This Row],[CUIT]]="","-",VLOOKUP(compras_mes12[[#This Row],[CUIT]],Lista_CUIT[#All],2,0)),"CUIT NO CARGADO")</f>
        <v>BI-ORIENT S.A.</v>
      </c>
      <c r="H23" s="46">
        <v>696800</v>
      </c>
      <c r="I23" s="85">
        <f>IF(compras_mes12[[#This Row],[NETO GRAVADO]]="","",compras_mes12[[#This Row],[NETO GRAVADO]]*0.21)</f>
        <v>146328</v>
      </c>
      <c r="J23" s="85"/>
      <c r="K23" s="85"/>
      <c r="L23" s="85"/>
      <c r="M23" s="85"/>
      <c r="N23" s="85"/>
      <c r="O23" s="85"/>
      <c r="P23" s="48">
        <f>SUM(compras_mes12[[#This Row],[NETO GRAVADO]:[Otros / No Grav.]])</f>
        <v>843128</v>
      </c>
      <c r="Q23" s="45" t="str">
        <f>IFERROR(IF(compras_mes12[[#This Row],[CUIT]]="","-",VLOOKUP(compras_mes12[[#This Row],[CUIT]],Lista_CUIT[#All],3,0)),"CUIT NO CARGADO")</f>
        <v>Material de Empaque</v>
      </c>
      <c r="R23" s="49">
        <f>IFERROR(IF(compras_mes12[[#This Row],[CUIT]]="","-",VLOOKUP(compras_mes12[[#This Row],[CUIT]],Lista_CUIT[#All],4,0)),"CUIT NO CARGADO")</f>
        <v>0</v>
      </c>
    </row>
    <row r="24" spans="2:18" ht="15" customHeight="1">
      <c r="B24" s="40" t="s">
        <v>2607</v>
      </c>
      <c r="C24" s="41">
        <v>1</v>
      </c>
      <c r="D24" s="42">
        <v>3</v>
      </c>
      <c r="E24" s="43">
        <v>28000</v>
      </c>
      <c r="F24" s="44">
        <v>33707953549</v>
      </c>
      <c r="G24" s="45" t="str">
        <f>IFERROR(IF(compras_mes12[[#This Row],[CUIT]]="","-",VLOOKUP(compras_mes12[[#This Row],[CUIT]],Lista_CUIT[#All],2,0)),"CUIT NO CARGADO")</f>
        <v>TELESMART</v>
      </c>
      <c r="H24" s="46">
        <v>19500</v>
      </c>
      <c r="I24" s="85">
        <f>IF(compras_mes12[[#This Row],[NETO GRAVADO]]="","",compras_mes12[[#This Row],[NETO GRAVADO]]*0.21)</f>
        <v>4095</v>
      </c>
      <c r="J24" s="85"/>
      <c r="K24" s="85"/>
      <c r="L24" s="85"/>
      <c r="M24" s="85"/>
      <c r="N24" s="85"/>
      <c r="O24" s="85"/>
      <c r="P24" s="48">
        <f>SUM(compras_mes12[[#This Row],[NETO GRAVADO]:[Otros / No Grav.]])</f>
        <v>23595</v>
      </c>
      <c r="Q24" s="45" t="str">
        <f>IFERROR(IF(compras_mes12[[#This Row],[CUIT]]="","-",VLOOKUP(compras_mes12[[#This Row],[CUIT]],Lista_CUIT[#All],3,0)),"CUIT NO CARGADO")</f>
        <v>Servicios Gas, Luz, etc.</v>
      </c>
      <c r="R24" s="49">
        <f>IFERROR(IF(compras_mes12[[#This Row],[CUIT]]="","-",VLOOKUP(compras_mes12[[#This Row],[CUIT]],Lista_CUIT[#All],4,0)),"CUIT NO CARGADO")</f>
        <v>0</v>
      </c>
    </row>
    <row r="25" spans="2:18" ht="15" customHeight="1">
      <c r="B25" s="40" t="s">
        <v>2607</v>
      </c>
      <c r="C25" s="41">
        <v>1</v>
      </c>
      <c r="D25" s="42">
        <v>3099</v>
      </c>
      <c r="E25" s="43">
        <v>315563</v>
      </c>
      <c r="F25" s="44">
        <v>30678814357</v>
      </c>
      <c r="G25" s="45" t="str">
        <f>IFERROR(IF(compras_mes12[[#This Row],[CUIT]]="","-",VLOOKUP(compras_mes12[[#This Row],[CUIT]],Lista_CUIT[#All],2,0)),"CUIT NO CARGADO")</f>
        <v>TELEFONICA MOVILES ARG</v>
      </c>
      <c r="H25" s="46">
        <v>32184</v>
      </c>
      <c r="I25" s="85"/>
      <c r="J25" s="85">
        <f>compras_mes12[[#This Row],[NETO GRAVADO]]*0.27</f>
        <v>8689.68</v>
      </c>
      <c r="K25" s="85"/>
      <c r="L25" s="85">
        <v>965.52</v>
      </c>
      <c r="M25" s="85"/>
      <c r="N25" s="85">
        <v>1931.04</v>
      </c>
      <c r="O25" s="85"/>
      <c r="P25" s="48">
        <f>SUM(compras_mes12[[#This Row],[NETO GRAVADO]:[Otros / No Grav.]])</f>
        <v>43770.239999999998</v>
      </c>
      <c r="Q25" s="45" t="str">
        <f>IFERROR(IF(compras_mes12[[#This Row],[CUIT]]="","-",VLOOKUP(compras_mes12[[#This Row],[CUIT]],Lista_CUIT[#All],3,0)),"CUIT NO CARGADO")</f>
        <v>Servicios Gas, Luz, etc.</v>
      </c>
      <c r="R25" s="49">
        <f>IFERROR(IF(compras_mes12[[#This Row],[CUIT]]="","-",VLOOKUP(compras_mes12[[#This Row],[CUIT]],Lista_CUIT[#All],4,0)),"CUIT NO CARGADO")</f>
        <v>0</v>
      </c>
    </row>
    <row r="26" spans="2:18" ht="15" customHeight="1">
      <c r="B26" s="497">
        <v>45629</v>
      </c>
      <c r="C26" s="498">
        <v>1</v>
      </c>
      <c r="D26" s="499">
        <v>64</v>
      </c>
      <c r="E26" s="500">
        <v>22222295</v>
      </c>
      <c r="F26" s="501">
        <v>30657863676</v>
      </c>
      <c r="G26" s="502" t="str">
        <f>IFERROR(IF(compras_mes12[[#This Row],[CUIT]]="","-",VLOOKUP(compras_mes12[[#This Row],[CUIT]],Lista_CUIT[#All],2,0)),"CUIT NO CARGADO")</f>
        <v>METROGAS S A</v>
      </c>
      <c r="H26" s="503">
        <v>25628.2321777344</v>
      </c>
      <c r="I26" s="504">
        <f>IF(compras_mes12[[#This Row],[NETO GRAVADO]]="","",compras_mes12[[#This Row],[NETO GRAVADO]]*0.21)</f>
        <v>5381.9287573242236</v>
      </c>
      <c r="J26" s="504"/>
      <c r="K26" s="504"/>
      <c r="L26" s="504"/>
      <c r="M26" s="504"/>
      <c r="N26" s="504">
        <v>1204.80004882813</v>
      </c>
      <c r="O26" s="504">
        <v>1838.77001953125</v>
      </c>
      <c r="P26" s="505">
        <f>SUM(compras_mes12[[#This Row],[NETO GRAVADO]:[Otros / No Grav.]])</f>
        <v>34053.731003417997</v>
      </c>
      <c r="Q26" s="502" t="str">
        <f>IFERROR(IF(compras_mes12[[#This Row],[CUIT]]="","-",VLOOKUP(compras_mes12[[#This Row],[CUIT]],Lista_CUIT[#All],3,0)),"CUIT NO CARGADO")</f>
        <v>Servicios Gas, Luz, etc.</v>
      </c>
      <c r="R26" s="506">
        <f>IFERROR(IF(compras_mes12[[#This Row],[CUIT]]="","-",VLOOKUP(compras_mes12[[#This Row],[CUIT]],Lista_CUIT[#All],4,0)),"CUIT NO CARGADO")</f>
        <v>0</v>
      </c>
    </row>
    <row r="27" spans="2:18">
      <c r="B27" s="40" t="s">
        <v>2623</v>
      </c>
      <c r="C27" s="41">
        <v>1</v>
      </c>
      <c r="D27" s="42">
        <v>3</v>
      </c>
      <c r="E27" s="43">
        <v>1236</v>
      </c>
      <c r="F27" s="44">
        <v>27292471993</v>
      </c>
      <c r="G27" s="45" t="str">
        <f>IFERROR(IF(compras_mes12[[#This Row],[CUIT]]="","-",VLOOKUP(compras_mes12[[#This Row],[CUIT]],Lista_CUIT[#All],2,0)),"CUIT NO CARGADO")</f>
        <v>CAEIRO ANA JULIA</v>
      </c>
      <c r="H27" s="46">
        <v>78925.62</v>
      </c>
      <c r="I27" s="85">
        <f>IF(compras_mes12[[#This Row],[NETO GRAVADO]]="","",compras_mes12[[#This Row],[NETO GRAVADO]]*0.21)</f>
        <v>16574.3802</v>
      </c>
      <c r="J27" s="85"/>
      <c r="K27" s="85"/>
      <c r="L27" s="85"/>
      <c r="M27" s="85"/>
      <c r="N27" s="85"/>
      <c r="O27" s="85"/>
      <c r="P27" s="48">
        <f>SUM(compras_mes12[[#This Row],[NETO GRAVADO]:[Otros / No Grav.]])</f>
        <v>95500.000199999995</v>
      </c>
      <c r="Q27" s="45" t="str">
        <f>IFERROR(IF(compras_mes12[[#This Row],[CUIT]]="","-",VLOOKUP(compras_mes12[[#This Row],[CUIT]],Lista_CUIT[#All],3,0)),"CUIT NO CARGADO")</f>
        <v>Gastos Comercializacion</v>
      </c>
      <c r="R27" s="49">
        <f>IFERROR(IF(compras_mes12[[#This Row],[CUIT]]="","-",VLOOKUP(compras_mes12[[#This Row],[CUIT]],Lista_CUIT[#All],4,0)),"CUIT NO CARGADO")</f>
        <v>0</v>
      </c>
    </row>
    <row r="28" spans="2:18">
      <c r="B28" s="40" t="s">
        <v>2623</v>
      </c>
      <c r="C28" s="41">
        <v>1</v>
      </c>
      <c r="D28" s="42">
        <v>2</v>
      </c>
      <c r="E28" s="43">
        <v>1543</v>
      </c>
      <c r="F28" s="44">
        <v>23147726619</v>
      </c>
      <c r="G28" s="45" t="str">
        <f>IFERROR(IF(compras_mes12[[#This Row],[CUIT]]="","-",VLOOKUP(compras_mes12[[#This Row],[CUIT]],Lista_CUIT[#All],2,0)),"CUIT NO CARGADO")</f>
        <v>PORTALEZ ENRIQUE HUGO</v>
      </c>
      <c r="H28" s="46">
        <v>6692.48</v>
      </c>
      <c r="I28" s="85">
        <f>IF(compras_mes12[[#This Row],[NETO GRAVADO]]="","",compras_mes12[[#This Row],[NETO GRAVADO]]*0.21)</f>
        <v>1405.4207999999999</v>
      </c>
      <c r="J28" s="85"/>
      <c r="K28" s="85"/>
      <c r="L28" s="85"/>
      <c r="M28" s="85"/>
      <c r="N28" s="85"/>
      <c r="O28" s="85"/>
      <c r="P28" s="48">
        <f>SUM(compras_mes12[[#This Row],[NETO GRAVADO]:[Otros / No Grav.]])</f>
        <v>8097.9007999999994</v>
      </c>
      <c r="Q28" s="45" t="str">
        <f>IFERROR(IF(compras_mes12[[#This Row],[CUIT]]="","-",VLOOKUP(compras_mes12[[#This Row],[CUIT]],Lista_CUIT[#All],3,0)),"CUIT NO CARGADO")</f>
        <v>Gastos Limpieza</v>
      </c>
      <c r="R28" s="49">
        <f>IFERROR(IF(compras_mes12[[#This Row],[CUIT]]="","-",VLOOKUP(compras_mes12[[#This Row],[CUIT]],Lista_CUIT[#All],4,0)),"CUIT NO CARGADO")</f>
        <v>0</v>
      </c>
    </row>
    <row r="29" spans="2:18">
      <c r="B29" s="40" t="s">
        <v>2608</v>
      </c>
      <c r="C29" s="41">
        <v>1</v>
      </c>
      <c r="D29" s="42">
        <v>2</v>
      </c>
      <c r="E29" s="43">
        <v>183</v>
      </c>
      <c r="F29" s="44">
        <v>27317740196</v>
      </c>
      <c r="G29" s="45" t="str">
        <f>IFERROR(IF(compras_mes12[[#This Row],[CUIT]]="","-",VLOOKUP(compras_mes12[[#This Row],[CUIT]],Lista_CUIT[#All],2,0)),"CUIT NO CARGADO")</f>
        <v>HOKAMA ROMINA PAOLA</v>
      </c>
      <c r="H29" s="46">
        <v>67026.44</v>
      </c>
      <c r="I29" s="85">
        <f>IF(compras_mes12[[#This Row],[NETO GRAVADO]]="","",compras_mes12[[#This Row],[NETO GRAVADO]]*0.21)</f>
        <v>14075.5524</v>
      </c>
      <c r="J29" s="85"/>
      <c r="K29" s="85"/>
      <c r="L29" s="85"/>
      <c r="M29" s="85"/>
      <c r="N29" s="85"/>
      <c r="O29" s="85"/>
      <c r="P29" s="48">
        <f>SUM(compras_mes12[[#This Row],[NETO GRAVADO]:[Otros / No Grav.]])</f>
        <v>81101.992400000003</v>
      </c>
      <c r="Q29" s="45" t="str">
        <f>IFERROR(IF(compras_mes12[[#This Row],[CUIT]]="","-",VLOOKUP(compras_mes12[[#This Row],[CUIT]],Lista_CUIT[#All],3,0)),"CUIT NO CARGADO")</f>
        <v>Gastos Varios</v>
      </c>
      <c r="R29" s="49">
        <f>IFERROR(IF(compras_mes12[[#This Row],[CUIT]]="","-",VLOOKUP(compras_mes12[[#This Row],[CUIT]],Lista_CUIT[#All],4,0)),"CUIT NO CARGADO")</f>
        <v>0</v>
      </c>
    </row>
    <row r="30" spans="2:18">
      <c r="B30" s="40" t="s">
        <v>2608</v>
      </c>
      <c r="C30" s="41">
        <v>1</v>
      </c>
      <c r="D30" s="42">
        <v>2</v>
      </c>
      <c r="E30" s="43">
        <v>3900</v>
      </c>
      <c r="F30" s="44">
        <v>30629863571</v>
      </c>
      <c r="G30" s="45" t="str">
        <f>IFERROR(IF(compras_mes12[[#This Row],[CUIT]]="","-",VLOOKUP(compras_mes12[[#This Row],[CUIT]],Lista_CUIT[#All],2,0)),"CUIT NO CARGADO")</f>
        <v>TECNIMAR S R L</v>
      </c>
      <c r="H30" s="46">
        <v>1289628</v>
      </c>
      <c r="I30" s="85">
        <f>IF(compras_mes12[[#This Row],[NETO GRAVADO]]="","",compras_mes12[[#This Row],[NETO GRAVADO]]*0.21)</f>
        <v>270821.88</v>
      </c>
      <c r="J30" s="85"/>
      <c r="K30" s="85"/>
      <c r="L30" s="85"/>
      <c r="M30" s="85"/>
      <c r="N30" s="85"/>
      <c r="O30" s="85"/>
      <c r="P30" s="48">
        <f>SUM(compras_mes12[[#This Row],[NETO GRAVADO]:[Otros / No Grav.]])</f>
        <v>1560449.88</v>
      </c>
      <c r="Q30" s="45" t="str">
        <f>IFERROR(IF(compras_mes12[[#This Row],[CUIT]]="","-",VLOOKUP(compras_mes12[[#This Row],[CUIT]],Lista_CUIT[#All],3,0)),"CUIT NO CARGADO")</f>
        <v>Productos Venta</v>
      </c>
      <c r="R30" s="49">
        <f>IFERROR(IF(compras_mes12[[#This Row],[CUIT]]="","-",VLOOKUP(compras_mes12[[#This Row],[CUIT]],Lista_CUIT[#All],4,0)),"CUIT NO CARGADO")</f>
        <v>0</v>
      </c>
    </row>
    <row r="31" spans="2:18">
      <c r="B31" s="40" t="s">
        <v>2608</v>
      </c>
      <c r="C31" s="41">
        <v>1</v>
      </c>
      <c r="D31" s="42">
        <v>11</v>
      </c>
      <c r="E31" s="43">
        <v>66422</v>
      </c>
      <c r="F31" s="44">
        <v>30711091552</v>
      </c>
      <c r="G31" s="45" t="str">
        <f>IFERROR(IF(compras_mes12[[#This Row],[CUIT]]="","-",VLOOKUP(compras_mes12[[#This Row],[CUIT]],Lista_CUIT[#All],2,0)),"CUIT NO CARGADO")</f>
        <v>BIGBOX S.A.</v>
      </c>
      <c r="H31" s="46">
        <v>38842.980000000003</v>
      </c>
      <c r="I31" s="85">
        <f>IF(compras_mes12[[#This Row],[NETO GRAVADO]]="","",compras_mes12[[#This Row],[NETO GRAVADO]]*0.21)</f>
        <v>8157.0258000000003</v>
      </c>
      <c r="J31" s="85"/>
      <c r="K31" s="85"/>
      <c r="L31" s="85"/>
      <c r="M31" s="85"/>
      <c r="N31" s="85"/>
      <c r="O31" s="85"/>
      <c r="P31" s="48">
        <f>SUM(compras_mes12[[#This Row],[NETO GRAVADO]:[Otros / No Grav.]])</f>
        <v>47000.005800000006</v>
      </c>
      <c r="Q31" s="45" t="s">
        <v>2699</v>
      </c>
      <c r="R31" s="49">
        <f>IFERROR(IF(compras_mes12[[#This Row],[CUIT]]="","-",VLOOKUP(compras_mes12[[#This Row],[CUIT]],Lista_CUIT[#All],4,0)),"CUIT NO CARGADO")</f>
        <v>0</v>
      </c>
    </row>
    <row r="32" spans="2:18">
      <c r="B32" s="40" t="s">
        <v>2609</v>
      </c>
      <c r="C32" s="41">
        <v>1</v>
      </c>
      <c r="D32" s="42">
        <v>1</v>
      </c>
      <c r="E32" s="43">
        <v>18</v>
      </c>
      <c r="F32" s="44">
        <v>30717504824</v>
      </c>
      <c r="G32" s="45" t="str">
        <f>IFERROR(IF(compras_mes12[[#This Row],[CUIT]]="","-",VLOOKUP(compras_mes12[[#This Row],[CUIT]],Lista_CUIT[#All],2,0)),"CUIT NO CARGADO")</f>
        <v>FIDEICOMISO MAMBA</v>
      </c>
      <c r="H32" s="46">
        <v>2617556.5699999998</v>
      </c>
      <c r="I32" s="85"/>
      <c r="J32" s="85"/>
      <c r="K32" s="85">
        <f>compras_mes12[[#This Row],[NETO GRAVADO]]*0.105</f>
        <v>274843.43984999997</v>
      </c>
      <c r="L32" s="85"/>
      <c r="M32" s="85"/>
      <c r="N32" s="85"/>
      <c r="O32" s="85"/>
      <c r="P32" s="48">
        <f>SUM(compras_mes12[[#This Row],[NETO GRAVADO]:[Otros / No Grav.]])</f>
        <v>2892400.00985</v>
      </c>
      <c r="Q32" s="45" t="str">
        <f>IFERROR(IF(compras_mes12[[#This Row],[CUIT]]="","-",VLOOKUP(compras_mes12[[#This Row],[CUIT]],Lista_CUIT[#All],3,0)),"CUIT NO CARGADO")</f>
        <v>MANTENIMIENTO</v>
      </c>
      <c r="R32" s="49">
        <f>IFERROR(IF(compras_mes12[[#This Row],[CUIT]]="","-",VLOOKUP(compras_mes12[[#This Row],[CUIT]],Lista_CUIT[#All],4,0)),"CUIT NO CARGADO")</f>
        <v>0</v>
      </c>
    </row>
    <row r="33" spans="2:18" ht="16.899999999999999" customHeight="1">
      <c r="B33" s="40" t="s">
        <v>2609</v>
      </c>
      <c r="C33" s="41">
        <v>1</v>
      </c>
      <c r="D33" s="42">
        <v>2</v>
      </c>
      <c r="E33" s="43">
        <v>3903</v>
      </c>
      <c r="F33" s="44">
        <v>30629863571</v>
      </c>
      <c r="G33" s="45" t="str">
        <f>IFERROR(IF(compras_mes12[[#This Row],[CUIT]]="","-",VLOOKUP(compras_mes12[[#This Row],[CUIT]],Lista_CUIT[#All],2,0)),"CUIT NO CARGADO")</f>
        <v>TECNIMAR S R L</v>
      </c>
      <c r="H33" s="46">
        <v>1843374.76</v>
      </c>
      <c r="I33" s="85">
        <f>IF(compras_mes12[[#This Row],[NETO GRAVADO]]="","",compras_mes12[[#This Row],[NETO GRAVADO]]*0.21)</f>
        <v>387108.69959999999</v>
      </c>
      <c r="J33" s="85"/>
      <c r="K33" s="85"/>
      <c r="L33" s="85"/>
      <c r="M33" s="85"/>
      <c r="N33" s="85"/>
      <c r="O33" s="85"/>
      <c r="P33" s="48">
        <f>SUM(compras_mes12[[#This Row],[NETO GRAVADO]:[Otros / No Grav.]])</f>
        <v>2230483.4596000002</v>
      </c>
      <c r="Q33" s="45" t="str">
        <f>IFERROR(IF(compras_mes12[[#This Row],[CUIT]]="","-",VLOOKUP(compras_mes12[[#This Row],[CUIT]],Lista_CUIT[#All],3,0)),"CUIT NO CARGADO")</f>
        <v>Productos Venta</v>
      </c>
      <c r="R33" s="49">
        <f>IFERROR(IF(compras_mes12[[#This Row],[CUIT]]="","-",VLOOKUP(compras_mes12[[#This Row],[CUIT]],Lista_CUIT[#All],4,0)),"CUIT NO CARGADO")</f>
        <v>0</v>
      </c>
    </row>
    <row r="34" spans="2:18">
      <c r="B34" s="40" t="s">
        <v>2609</v>
      </c>
      <c r="C34" s="41">
        <v>1</v>
      </c>
      <c r="D34" s="42">
        <v>2074</v>
      </c>
      <c r="E34" s="43">
        <v>11652</v>
      </c>
      <c r="F34" s="44">
        <v>30548083156</v>
      </c>
      <c r="G34" s="45" t="str">
        <f>IFERROR(IF(compras_mes12[[#This Row],[CUIT]]="","-",VLOOKUP(compras_mes12[[#This Row],[CUIT]],Lista_CUIT[#All],2,0)),"CUIT NO CARGADO")</f>
        <v>COTO CENTRO INTEGRAL DE COMERCIALIZACION SOCIEDAD ANONIMA</v>
      </c>
      <c r="H34" s="46">
        <v>26812.39</v>
      </c>
      <c r="I34" s="85">
        <f>IF(compras_mes12[[#This Row],[NETO GRAVADO]]="","",compras_mes12[[#This Row],[NETO GRAVADO]]*0.21)</f>
        <v>5630.6018999999997</v>
      </c>
      <c r="J34" s="85"/>
      <c r="K34" s="85"/>
      <c r="L34" s="85"/>
      <c r="M34" s="85"/>
      <c r="N34" s="85"/>
      <c r="O34" s="85">
        <v>2413.11</v>
      </c>
      <c r="P34" s="48">
        <f>SUM(compras_mes12[[#This Row],[NETO GRAVADO]:[Otros / No Grav.]])</f>
        <v>34856.101900000001</v>
      </c>
      <c r="Q34" s="45" t="str">
        <f>IFERROR(IF(compras_mes12[[#This Row],[CUIT]]="","-",VLOOKUP(compras_mes12[[#This Row],[CUIT]],Lista_CUIT[#All],3,0)),"CUIT NO CARGADO")</f>
        <v>Gastos Varios</v>
      </c>
      <c r="R34" s="49">
        <f>IFERROR(IF(compras_mes12[[#This Row],[CUIT]]="","-",VLOOKUP(compras_mes12[[#This Row],[CUIT]],Lista_CUIT[#All],4,0)),"CUIT NO CARGADO")</f>
        <v>0</v>
      </c>
    </row>
    <row r="35" spans="2:18">
      <c r="B35" s="40" t="s">
        <v>2609</v>
      </c>
      <c r="C35" s="41">
        <v>1</v>
      </c>
      <c r="D35" s="42">
        <v>14</v>
      </c>
      <c r="E35" s="43">
        <v>15273</v>
      </c>
      <c r="F35" s="44">
        <v>30715186256</v>
      </c>
      <c r="G35" s="45" t="str">
        <f>IFERROR(IF(compras_mes12[[#This Row],[CUIT]]="","-",VLOOKUP(compras_mes12[[#This Row],[CUIT]],Lista_CUIT[#All],2,0)),"CUIT NO CARGADO")</f>
        <v>FRIGORIFICO ALIMENTIC</v>
      </c>
      <c r="H35" s="46">
        <v>72759.259999999995</v>
      </c>
      <c r="I35" s="85">
        <v>3262.64</v>
      </c>
      <c r="J35" s="85"/>
      <c r="K35" s="85">
        <v>6008.4</v>
      </c>
      <c r="L35" s="85"/>
      <c r="M35" s="85"/>
      <c r="N35" s="85"/>
      <c r="O35" s="85"/>
      <c r="P35" s="48">
        <f>SUM(compras_mes12[[#This Row],[NETO GRAVADO]:[Otros / No Grav.]])</f>
        <v>82030.299999999988</v>
      </c>
      <c r="Q35" s="45" t="str">
        <f>IFERROR(IF(compras_mes12[[#This Row],[CUIT]]="","-",VLOOKUP(compras_mes12[[#This Row],[CUIT]],Lista_CUIT[#All],3,0)),"CUIT NO CARGADO")</f>
        <v>Gastos Comercializacion - Feria</v>
      </c>
      <c r="R35" s="49">
        <f>IFERROR(IF(compras_mes12[[#This Row],[CUIT]]="","-",VLOOKUP(compras_mes12[[#This Row],[CUIT]],Lista_CUIT[#All],4,0)),"CUIT NO CARGADO")</f>
        <v>0</v>
      </c>
    </row>
    <row r="36" spans="2:18">
      <c r="B36" s="40" t="s">
        <v>2609</v>
      </c>
      <c r="C36" s="41">
        <v>1</v>
      </c>
      <c r="D36" s="42">
        <v>2199</v>
      </c>
      <c r="E36" s="43">
        <v>33603</v>
      </c>
      <c r="F36" s="44">
        <v>30548083156</v>
      </c>
      <c r="G36" s="45" t="str">
        <f>IFERROR(IF(compras_mes12[[#This Row],[CUIT]]="","-",VLOOKUP(compras_mes12[[#This Row],[CUIT]],Lista_CUIT[#All],2,0)),"CUIT NO CARGADO")</f>
        <v>COTO CENTRO INTEGRAL DE COMERCIALIZACION SOCIEDAD ANONIMA</v>
      </c>
      <c r="H36" s="46">
        <v>40721.08</v>
      </c>
      <c r="I36" s="85">
        <v>7728.56</v>
      </c>
      <c r="J36" s="85"/>
      <c r="K36" s="85">
        <v>411.44</v>
      </c>
      <c r="L36" s="85"/>
      <c r="M36" s="85"/>
      <c r="N36" s="85"/>
      <c r="O36" s="85">
        <v>3312.24</v>
      </c>
      <c r="P36" s="48">
        <f>SUM(compras_mes12[[#This Row],[NETO GRAVADO]:[Otros / No Grav.]])</f>
        <v>52173.32</v>
      </c>
      <c r="Q36" s="45" t="str">
        <f>IFERROR(IF(compras_mes12[[#This Row],[CUIT]]="","-",VLOOKUP(compras_mes12[[#This Row],[CUIT]],Lista_CUIT[#All],3,0)),"CUIT NO CARGADO")</f>
        <v>Gastos Varios</v>
      </c>
      <c r="R36" s="49">
        <f>IFERROR(IF(compras_mes12[[#This Row],[CUIT]]="","-",VLOOKUP(compras_mes12[[#This Row],[CUIT]],Lista_CUIT[#All],4,0)),"CUIT NO CARGADO")</f>
        <v>0</v>
      </c>
    </row>
    <row r="37" spans="2:18">
      <c r="B37" s="40" t="s">
        <v>2609</v>
      </c>
      <c r="C37" s="41">
        <v>1</v>
      </c>
      <c r="D37" s="42">
        <v>2188</v>
      </c>
      <c r="E37" s="43">
        <v>136424</v>
      </c>
      <c r="F37" s="44">
        <v>30548083156</v>
      </c>
      <c r="G37" s="45" t="str">
        <f>IFERROR(IF(compras_mes12[[#This Row],[CUIT]]="","-",VLOOKUP(compras_mes12[[#This Row],[CUIT]],Lista_CUIT[#All],2,0)),"CUIT NO CARGADO")</f>
        <v>COTO CENTRO INTEGRAL DE COMERCIALIZACION SOCIEDAD ANONIMA</v>
      </c>
      <c r="H37" s="46">
        <v>61181.63</v>
      </c>
      <c r="I37" s="85">
        <v>11712.44</v>
      </c>
      <c r="J37" s="85"/>
      <c r="K37" s="85">
        <v>567.85</v>
      </c>
      <c r="L37" s="85"/>
      <c r="M37" s="85"/>
      <c r="N37" s="85"/>
      <c r="O37" s="85">
        <v>5238.45</v>
      </c>
      <c r="P37" s="48">
        <f>SUM(compras_mes12[[#This Row],[NETO GRAVADO]:[Otros / No Grav.]])</f>
        <v>78700.37</v>
      </c>
      <c r="Q37" s="45" t="str">
        <f>IFERROR(IF(compras_mes12[[#This Row],[CUIT]]="","-",VLOOKUP(compras_mes12[[#This Row],[CUIT]],Lista_CUIT[#All],3,0)),"CUIT NO CARGADO")</f>
        <v>Gastos Varios</v>
      </c>
      <c r="R37" s="49">
        <f>IFERROR(IF(compras_mes12[[#This Row],[CUIT]]="","-",VLOOKUP(compras_mes12[[#This Row],[CUIT]],Lista_CUIT[#All],4,0)),"CUIT NO CARGADO")</f>
        <v>0</v>
      </c>
    </row>
    <row r="38" spans="2:18">
      <c r="B38" s="40" t="s">
        <v>2610</v>
      </c>
      <c r="C38" s="41">
        <v>1</v>
      </c>
      <c r="D38" s="42">
        <v>4</v>
      </c>
      <c r="E38" s="43">
        <v>365</v>
      </c>
      <c r="F38" s="44">
        <v>20104345221</v>
      </c>
      <c r="G38" s="45" t="str">
        <f>IFERROR(IF(compras_mes12[[#This Row],[CUIT]]="","-",VLOOKUP(compras_mes12[[#This Row],[CUIT]],Lista_CUIT[#All],2,0)),"CUIT NO CARGADO")</f>
        <v>ARAYA SERGIO ALEJANDRO</v>
      </c>
      <c r="H38" s="46">
        <v>9752.1</v>
      </c>
      <c r="I38" s="85">
        <f>IF(compras_mes12[[#This Row],[NETO GRAVADO]]="","",compras_mes12[[#This Row],[NETO GRAVADO]]*0.21)</f>
        <v>2047.941</v>
      </c>
      <c r="J38" s="85"/>
      <c r="K38" s="85"/>
      <c r="L38" s="85"/>
      <c r="M38" s="85"/>
      <c r="N38" s="85"/>
      <c r="O38" s="85"/>
      <c r="P38" s="48">
        <f>SUM(compras_mes12[[#This Row],[NETO GRAVADO]:[Otros / No Grav.]])</f>
        <v>11800.041000000001</v>
      </c>
      <c r="Q38" s="45" t="str">
        <f>IFERROR(IF(compras_mes12[[#This Row],[CUIT]]="","-",VLOOKUP(compras_mes12[[#This Row],[CUIT]],Lista_CUIT[#All],3,0)),"CUIT NO CARGADO")</f>
        <v>LIBRERÍA</v>
      </c>
      <c r="R38" s="49">
        <f>IFERROR(IF(compras_mes12[[#This Row],[CUIT]]="","-",VLOOKUP(compras_mes12[[#This Row],[CUIT]],Lista_CUIT[#All],4,0)),"CUIT NO CARGADO")</f>
        <v>0</v>
      </c>
    </row>
    <row r="39" spans="2:18">
      <c r="B39" s="40" t="s">
        <v>2610</v>
      </c>
      <c r="C39" s="41">
        <v>1</v>
      </c>
      <c r="D39" s="42">
        <v>4</v>
      </c>
      <c r="E39" s="43">
        <v>1196</v>
      </c>
      <c r="F39" s="44">
        <v>23329455319</v>
      </c>
      <c r="G39" s="45" t="str">
        <f>IFERROR(IF(compras_mes12[[#This Row],[CUIT]]="","-",VLOOKUP(compras_mes12[[#This Row],[CUIT]],Lista_CUIT[#All],2,0)),"CUIT NO CARGADO")</f>
        <v>REPETTO RAMIRO ANDRES</v>
      </c>
      <c r="H39" s="46">
        <v>16198.35</v>
      </c>
      <c r="I39" s="85">
        <f>IF(compras_mes12[[#This Row],[NETO GRAVADO]]="","",compras_mes12[[#This Row],[NETO GRAVADO]]*0.21)</f>
        <v>3401.6534999999999</v>
      </c>
      <c r="J39" s="85"/>
      <c r="K39" s="85"/>
      <c r="L39" s="85"/>
      <c r="M39" s="85"/>
      <c r="N39" s="85"/>
      <c r="O39" s="85"/>
      <c r="P39" s="48">
        <f>SUM(compras_mes12[[#This Row],[NETO GRAVADO]:[Otros / No Grav.]])</f>
        <v>19600.003499999999</v>
      </c>
      <c r="Q39" s="45" t="str">
        <f>IFERROR(IF(compras_mes12[[#This Row],[CUIT]]="","-",VLOOKUP(compras_mes12[[#This Row],[CUIT]],Lista_CUIT[#All],3,0)),"CUIT NO CARGADO")</f>
        <v>Gastos Varios</v>
      </c>
      <c r="R39" s="49">
        <f>IFERROR(IF(compras_mes12[[#This Row],[CUIT]]="","-",VLOOKUP(compras_mes12[[#This Row],[CUIT]],Lista_CUIT[#All],4,0)),"CUIT NO CARGADO")</f>
        <v>0</v>
      </c>
    </row>
    <row r="40" spans="2:18">
      <c r="B40" s="40" t="s">
        <v>2610</v>
      </c>
      <c r="C40" s="41">
        <v>1</v>
      </c>
      <c r="D40" s="42">
        <v>2084</v>
      </c>
      <c r="E40" s="43">
        <v>26184</v>
      </c>
      <c r="F40" s="44">
        <v>30548083156</v>
      </c>
      <c r="G40" s="45" t="str">
        <f>IFERROR(IF(compras_mes12[[#This Row],[CUIT]]="","-",VLOOKUP(compras_mes12[[#This Row],[CUIT]],Lista_CUIT[#All],2,0)),"CUIT NO CARGADO")</f>
        <v>COTO CENTRO INTEGRAL DE COMERCIALIZACION SOCIEDAD ANONIMA</v>
      </c>
      <c r="H40" s="46">
        <v>59604.07</v>
      </c>
      <c r="I40" s="85">
        <f>IF(compras_mes12[[#This Row],[NETO GRAVADO]]="","",compras_mes12[[#This Row],[NETO GRAVADO]]*0.21)</f>
        <v>12516.8547</v>
      </c>
      <c r="J40" s="85"/>
      <c r="K40" s="85"/>
      <c r="L40" s="85"/>
      <c r="M40" s="85"/>
      <c r="N40" s="85"/>
      <c r="O40" s="85">
        <v>5364.36</v>
      </c>
      <c r="P40" s="48">
        <f>SUM(compras_mes12[[#This Row],[NETO GRAVADO]:[Otros / No Grav.]])</f>
        <v>77485.284700000004</v>
      </c>
      <c r="Q40" s="45" t="str">
        <f>IFERROR(IF(compras_mes12[[#This Row],[CUIT]]="","-",VLOOKUP(compras_mes12[[#This Row],[CUIT]],Lista_CUIT[#All],3,0)),"CUIT NO CARGADO")</f>
        <v>Gastos Varios</v>
      </c>
      <c r="R40" s="49">
        <f>IFERROR(IF(compras_mes12[[#This Row],[CUIT]]="","-",VLOOKUP(compras_mes12[[#This Row],[CUIT]],Lista_CUIT[#All],4,0)),"CUIT NO CARGADO")</f>
        <v>0</v>
      </c>
    </row>
    <row r="41" spans="2:18">
      <c r="B41" s="40" t="s">
        <v>2610</v>
      </c>
      <c r="C41" s="41">
        <v>1</v>
      </c>
      <c r="D41" s="42">
        <v>6852</v>
      </c>
      <c r="E41" s="43">
        <v>28150</v>
      </c>
      <c r="F41" s="44">
        <v>30678774495</v>
      </c>
      <c r="G41" s="45" t="str">
        <f>IFERROR(IF(compras_mes12[[#This Row],[CUIT]]="","-",VLOOKUP(compras_mes12[[#This Row],[CUIT]],Lista_CUIT[#All],2,0)),"CUIT NO CARGADO")</f>
        <v>OPER. DE EST. DE SERV. SA</v>
      </c>
      <c r="H41" s="46">
        <v>47808.95</v>
      </c>
      <c r="I41" s="85">
        <f>IF(compras_mes12[[#This Row],[NETO GRAVADO]]="","",compras_mes12[[#This Row],[NETO GRAVADO]]*0.21)</f>
        <v>10039.879499999999</v>
      </c>
      <c r="J41" s="85"/>
      <c r="K41" s="85"/>
      <c r="L41" s="85"/>
      <c r="M41" s="85"/>
      <c r="N41" s="85"/>
      <c r="O41" s="85">
        <v>11651.17</v>
      </c>
      <c r="P41" s="48">
        <f>SUM(compras_mes12[[#This Row],[NETO GRAVADO]:[Otros / No Grav.]])</f>
        <v>69499.999499999991</v>
      </c>
      <c r="Q41" s="45" t="str">
        <f>IFERROR(IF(compras_mes12[[#This Row],[CUIT]]="","-",VLOOKUP(compras_mes12[[#This Row],[CUIT]],Lista_CUIT[#All],3,0)),"CUIT NO CARGADO")</f>
        <v>Combustible</v>
      </c>
      <c r="R41" s="49">
        <f>IFERROR(IF(compras_mes12[[#This Row],[CUIT]]="","-",VLOOKUP(compras_mes12[[#This Row],[CUIT]],Lista_CUIT[#All],4,0)),"CUIT NO CARGADO")</f>
        <v>0</v>
      </c>
    </row>
    <row r="42" spans="2:18">
      <c r="B42" s="40" t="s">
        <v>2610</v>
      </c>
      <c r="C42" s="41">
        <v>1</v>
      </c>
      <c r="D42" s="42">
        <v>11</v>
      </c>
      <c r="E42" s="43">
        <v>40885</v>
      </c>
      <c r="F42" s="44">
        <v>30640804463</v>
      </c>
      <c r="G42" s="45" t="str">
        <f>IFERROR(IF(compras_mes12[[#This Row],[CUIT]]="","-",VLOOKUP(compras_mes12[[#This Row],[CUIT]],Lista_CUIT[#All],2,0)),"CUIT NO CARGADO")</f>
        <v>NALE SA</v>
      </c>
      <c r="H42" s="46">
        <v>73184.100000000006</v>
      </c>
      <c r="I42" s="85">
        <f>IF(compras_mes12[[#This Row],[NETO GRAVADO]]="","",compras_mes12[[#This Row],[NETO GRAVADO]]*0.21)</f>
        <v>15368.661</v>
      </c>
      <c r="J42" s="85"/>
      <c r="K42" s="85"/>
      <c r="L42" s="85"/>
      <c r="M42" s="85"/>
      <c r="N42" s="85">
        <v>4391.05</v>
      </c>
      <c r="O42" s="85"/>
      <c r="P42" s="48">
        <f>SUM(compras_mes12[[#This Row],[NETO GRAVADO]:[Otros / No Grav.]])</f>
        <v>92943.811000000002</v>
      </c>
      <c r="Q42" s="45" t="str">
        <f>IFERROR(IF(compras_mes12[[#This Row],[CUIT]]="","-",VLOOKUP(compras_mes12[[#This Row],[CUIT]],Lista_CUIT[#All],3,0)),"CUIT NO CARGADO")</f>
        <v>Materia Prima</v>
      </c>
      <c r="R42" s="49">
        <f>IFERROR(IF(compras_mes12[[#This Row],[CUIT]]="","-",VLOOKUP(compras_mes12[[#This Row],[CUIT]],Lista_CUIT[#All],4,0)),"CUIT NO CARGADO")</f>
        <v>0</v>
      </c>
    </row>
    <row r="43" spans="2:18">
      <c r="B43" s="40" t="s">
        <v>2610</v>
      </c>
      <c r="C43" s="41">
        <v>1</v>
      </c>
      <c r="D43" s="42">
        <v>1677</v>
      </c>
      <c r="E43" s="43">
        <v>57815</v>
      </c>
      <c r="F43" s="44">
        <v>30589621499</v>
      </c>
      <c r="G43" s="45" t="str">
        <f>IFERROR(IF(compras_mes12[[#This Row],[CUIT]]="","-",VLOOKUP(compras_mes12[[#This Row],[CUIT]],Lista_CUIT[#All],2,0)),"CUIT NO CARGADO")</f>
        <v>MAKRO SA</v>
      </c>
      <c r="H43" s="46">
        <v>35577.96</v>
      </c>
      <c r="I43" s="85">
        <f>IF(compras_mes12[[#This Row],[NETO GRAVADO]]="","",compras_mes12[[#This Row],[NETO GRAVADO]]*0.21)</f>
        <v>7471.3715999999995</v>
      </c>
      <c r="J43" s="85"/>
      <c r="K43" s="85"/>
      <c r="L43" s="85">
        <v>1067.3399999999999</v>
      </c>
      <c r="M43" s="85"/>
      <c r="N43" s="85">
        <v>2134.6799999999998</v>
      </c>
      <c r="O43" s="85"/>
      <c r="P43" s="48">
        <f>SUM(compras_mes12[[#This Row],[NETO GRAVADO]:[Otros / No Grav.]])</f>
        <v>46251.351599999995</v>
      </c>
      <c r="Q43" s="45" t="str">
        <f>IFERROR(IF(compras_mes12[[#This Row],[CUIT]]="","-",VLOOKUP(compras_mes12[[#This Row],[CUIT]],Lista_CUIT[#All],3,0)),"CUIT NO CARGADO")</f>
        <v>Gastos Varios</v>
      </c>
      <c r="R43" s="49">
        <f>IFERROR(IF(compras_mes12[[#This Row],[CUIT]]="","-",VLOOKUP(compras_mes12[[#This Row],[CUIT]],Lista_CUIT[#All],4,0)),"CUIT NO CARGADO")</f>
        <v>0</v>
      </c>
    </row>
    <row r="44" spans="2:18">
      <c r="B44" s="40" t="s">
        <v>2624</v>
      </c>
      <c r="C44" s="41">
        <v>1</v>
      </c>
      <c r="D44" s="42">
        <v>5015</v>
      </c>
      <c r="E44" s="43">
        <v>673082</v>
      </c>
      <c r="F44" s="44">
        <v>30574876474</v>
      </c>
      <c r="G44" s="45" t="str">
        <f>IFERROR(IF(compras_mes12[[#This Row],[CUIT]]="","-",VLOOKUP(compras_mes12[[#This Row],[CUIT]],Lista_CUIT[#All],2,0)),"CUIT NO CARGADO")</f>
        <v>AUTOPISTAS URBANAS S A</v>
      </c>
      <c r="H44" s="46">
        <v>100252</v>
      </c>
      <c r="I44" s="85">
        <f>IF(compras_mes12[[#This Row],[NETO GRAVADO]]="","",compras_mes12[[#This Row],[NETO GRAVADO]]*0.21)</f>
        <v>21052.92</v>
      </c>
      <c r="J44" s="85"/>
      <c r="K44" s="85"/>
      <c r="L44" s="85"/>
      <c r="M44" s="85"/>
      <c r="N44" s="85"/>
      <c r="O44" s="85">
        <v>13032.72</v>
      </c>
      <c r="P44" s="48">
        <f>SUM(compras_mes12[[#This Row],[NETO GRAVADO]:[Otros / No Grav.]])</f>
        <v>134337.63999999998</v>
      </c>
      <c r="Q44" s="45" t="str">
        <f>IFERROR(IF(compras_mes12[[#This Row],[CUIT]]="","-",VLOOKUP(compras_mes12[[#This Row],[CUIT]],Lista_CUIT[#All],3,0)),"CUIT NO CARGADO")</f>
        <v>Peajes</v>
      </c>
      <c r="R44" s="49">
        <f>IFERROR(IF(compras_mes12[[#This Row],[CUIT]]="","-",VLOOKUP(compras_mes12[[#This Row],[CUIT]],Lista_CUIT[#All],4,0)),"CUIT NO CARGADO")</f>
        <v>0</v>
      </c>
    </row>
    <row r="45" spans="2:18">
      <c r="B45" s="40" t="s">
        <v>2625</v>
      </c>
      <c r="C45" s="41">
        <v>1</v>
      </c>
      <c r="D45" s="42">
        <v>1</v>
      </c>
      <c r="E45" s="43">
        <v>5</v>
      </c>
      <c r="F45" s="44">
        <v>30718145534</v>
      </c>
      <c r="G45" s="45" t="str">
        <f>IFERROR(IF(compras_mes12[[#This Row],[CUIT]]="","-",VLOOKUP(compras_mes12[[#This Row],[CUIT]],Lista_CUIT[#All],2,0)),"CUIT NO CARGADO")</f>
        <v>Go Ideas SRL</v>
      </c>
      <c r="H45" s="46">
        <v>106363.62</v>
      </c>
      <c r="I45" s="85">
        <f>IF(compras_mes12[[#This Row],[NETO GRAVADO]]="","",compras_mes12[[#This Row],[NETO GRAVADO]]*0.21)</f>
        <v>22336.360199999999</v>
      </c>
      <c r="J45" s="85"/>
      <c r="K45" s="85"/>
      <c r="L45" s="85"/>
      <c r="M45" s="85"/>
      <c r="N45" s="85"/>
      <c r="O45" s="85"/>
      <c r="P45" s="48">
        <f>SUM(compras_mes12[[#This Row],[NETO GRAVADO]:[Otros / No Grav.]])</f>
        <v>128699.98019999999</v>
      </c>
      <c r="Q45" s="45" t="str">
        <f>IFERROR(IF(compras_mes12[[#This Row],[CUIT]]="","-",VLOOKUP(compras_mes12[[#This Row],[CUIT]],Lista_CUIT[#All],3,0)),"CUIT NO CARGADO")</f>
        <v>Gastos Varios</v>
      </c>
      <c r="R45" s="49">
        <f>IFERROR(IF(compras_mes12[[#This Row],[CUIT]]="","-",VLOOKUP(compras_mes12[[#This Row],[CUIT]],Lista_CUIT[#All],4,0)),"CUIT NO CARGADO")</f>
        <v>0</v>
      </c>
    </row>
    <row r="46" spans="2:18">
      <c r="B46" s="40" t="s">
        <v>2625</v>
      </c>
      <c r="C46" s="41">
        <v>1</v>
      </c>
      <c r="D46" s="42">
        <v>12458</v>
      </c>
      <c r="E46" s="43">
        <v>195</v>
      </c>
      <c r="F46" s="44">
        <v>30685849751</v>
      </c>
      <c r="G46" s="45" t="str">
        <f>IFERROR(IF(compras_mes12[[#This Row],[CUIT]]="","-",VLOOKUP(compras_mes12[[#This Row],[CUIT]],Lista_CUIT[#All],2,0)),"CUIT NO CARGADO")</f>
        <v>DIA ARGENTINA S A</v>
      </c>
      <c r="H46" s="46">
        <v>5927.72</v>
      </c>
      <c r="I46" s="85">
        <v>959.75</v>
      </c>
      <c r="J46" s="85"/>
      <c r="K46" s="85">
        <v>142.53</v>
      </c>
      <c r="L46" s="85"/>
      <c r="M46" s="85">
        <v>355.66</v>
      </c>
      <c r="N46" s="85"/>
      <c r="O46" s="85"/>
      <c r="P46" s="48">
        <f>SUM(compras_mes12[[#This Row],[NETO GRAVADO]:[Otros / No Grav.]])</f>
        <v>7385.66</v>
      </c>
      <c r="Q46" s="45" t="str">
        <f>IFERROR(IF(compras_mes12[[#This Row],[CUIT]]="","-",VLOOKUP(compras_mes12[[#This Row],[CUIT]],Lista_CUIT[#All],3,0)),"CUIT NO CARGADO")</f>
        <v>Gastos Varios</v>
      </c>
      <c r="R46" s="49">
        <f>IFERROR(IF(compras_mes12[[#This Row],[CUIT]]="","-",VLOOKUP(compras_mes12[[#This Row],[CUIT]],Lista_CUIT[#All],4,0)),"CUIT NO CARGADO")</f>
        <v>0</v>
      </c>
    </row>
    <row r="47" spans="2:18">
      <c r="B47" s="40" t="s">
        <v>2625</v>
      </c>
      <c r="C47" s="41">
        <v>1</v>
      </c>
      <c r="D47" s="42">
        <v>2</v>
      </c>
      <c r="E47" s="43">
        <v>206</v>
      </c>
      <c r="F47" s="44">
        <v>27317740196</v>
      </c>
      <c r="G47" s="45" t="str">
        <f>IFERROR(IF(compras_mes12[[#This Row],[CUIT]]="","-",VLOOKUP(compras_mes12[[#This Row],[CUIT]],Lista_CUIT[#All],2,0)),"CUIT NO CARGADO")</f>
        <v>HOKAMA ROMINA PAOLA</v>
      </c>
      <c r="H47" s="46">
        <v>24677.67</v>
      </c>
      <c r="I47" s="85">
        <f>IF(compras_mes12[[#This Row],[NETO GRAVADO]]="","",compras_mes12[[#This Row],[NETO GRAVADO]]*0.21)</f>
        <v>5182.3106999999991</v>
      </c>
      <c r="J47" s="85"/>
      <c r="K47" s="85"/>
      <c r="L47" s="85"/>
      <c r="M47" s="85"/>
      <c r="N47" s="85"/>
      <c r="O47" s="85"/>
      <c r="P47" s="48">
        <f>SUM(compras_mes12[[#This Row],[NETO GRAVADO]:[Otros / No Grav.]])</f>
        <v>29859.980699999996</v>
      </c>
      <c r="Q47" s="45" t="str">
        <f>IFERROR(IF(compras_mes12[[#This Row],[CUIT]]="","-",VLOOKUP(compras_mes12[[#This Row],[CUIT]],Lista_CUIT[#All],3,0)),"CUIT NO CARGADO")</f>
        <v>Gastos Varios</v>
      </c>
      <c r="R47" s="49">
        <f>IFERROR(IF(compras_mes12[[#This Row],[CUIT]]="","-",VLOOKUP(compras_mes12[[#This Row],[CUIT]],Lista_CUIT[#All],4,0)),"CUIT NO CARGADO")</f>
        <v>0</v>
      </c>
    </row>
    <row r="48" spans="2:18">
      <c r="B48" s="40" t="s">
        <v>2625</v>
      </c>
      <c r="C48" s="41">
        <v>1</v>
      </c>
      <c r="D48" s="42">
        <v>6</v>
      </c>
      <c r="E48" s="43">
        <v>233</v>
      </c>
      <c r="F48" s="44">
        <v>23234730959</v>
      </c>
      <c r="G48" s="45" t="str">
        <f>IFERROR(IF(compras_mes12[[#This Row],[CUIT]]="","-",VLOOKUP(compras_mes12[[#This Row],[CUIT]],Lista_CUIT[#All],2,0)),"CUIT NO CARGADO")</f>
        <v>RUSCONI GERMAN ADOLFO</v>
      </c>
      <c r="H48" s="46">
        <v>7438.02</v>
      </c>
      <c r="I48" s="85">
        <f>IF(compras_mes12[[#This Row],[NETO GRAVADO]]="","",compras_mes12[[#This Row],[NETO GRAVADO]]*0.21)</f>
        <v>1561.9842000000001</v>
      </c>
      <c r="J48" s="85"/>
      <c r="K48" s="85"/>
      <c r="L48" s="85"/>
      <c r="M48" s="85"/>
      <c r="N48" s="85"/>
      <c r="O48" s="85"/>
      <c r="P48" s="48">
        <f>SUM(compras_mes12[[#This Row],[NETO GRAVADO]:[Otros / No Grav.]])</f>
        <v>9000.0042000000012</v>
      </c>
      <c r="Q48" s="45" t="str">
        <f>IFERROR(IF(compras_mes12[[#This Row],[CUIT]]="","-",VLOOKUP(compras_mes12[[#This Row],[CUIT]],Lista_CUIT[#All],3,0)),"CUIT NO CARGADO")</f>
        <v>Gastos Varios</v>
      </c>
      <c r="R48" s="49">
        <f>IFERROR(IF(compras_mes12[[#This Row],[CUIT]]="","-",VLOOKUP(compras_mes12[[#This Row],[CUIT]],Lista_CUIT[#All],4,0)),"CUIT NO CARGADO")</f>
        <v>0</v>
      </c>
    </row>
    <row r="49" spans="2:18">
      <c r="B49" s="40" t="s">
        <v>2625</v>
      </c>
      <c r="C49" s="41">
        <v>1</v>
      </c>
      <c r="D49" s="42">
        <v>6</v>
      </c>
      <c r="E49" s="43">
        <v>26089</v>
      </c>
      <c r="F49" s="44">
        <v>33640878679</v>
      </c>
      <c r="G49" s="45" t="str">
        <f>IFERROR(IF(compras_mes12[[#This Row],[CUIT]]="","-",VLOOKUP(compras_mes12[[#This Row],[CUIT]],Lista_CUIT[#All],2,0)),"CUIT NO CARGADO")</f>
        <v>DHACAM S R L</v>
      </c>
      <c r="H49" s="46">
        <v>72255</v>
      </c>
      <c r="I49" s="85">
        <f>IF(compras_mes12[[#This Row],[NETO GRAVADO]]="","",compras_mes12[[#This Row],[NETO GRAVADO]]*0.21)</f>
        <v>15173.55</v>
      </c>
      <c r="J49" s="85"/>
      <c r="K49" s="85"/>
      <c r="L49" s="85"/>
      <c r="M49" s="85"/>
      <c r="N49" s="85"/>
      <c r="O49" s="85"/>
      <c r="P49" s="48">
        <f>SUM(compras_mes12[[#This Row],[NETO GRAVADO]:[Otros / No Grav.]])</f>
        <v>87428.55</v>
      </c>
      <c r="Q49" s="45" t="str">
        <f>IFERROR(IF(compras_mes12[[#This Row],[CUIT]]="","-",VLOOKUP(compras_mes12[[#This Row],[CUIT]],Lista_CUIT[#All],3,0)),"CUIT NO CARGADO")</f>
        <v>Materia Prima</v>
      </c>
      <c r="R49" s="49">
        <f>IFERROR(IF(compras_mes12[[#This Row],[CUIT]]="","-",VLOOKUP(compras_mes12[[#This Row],[CUIT]],Lista_CUIT[#All],4,0)),"CUIT NO CARGADO")</f>
        <v>0</v>
      </c>
    </row>
    <row r="50" spans="2:18">
      <c r="B50" s="497">
        <v>45635</v>
      </c>
      <c r="C50" s="498">
        <v>1</v>
      </c>
      <c r="D50" s="499">
        <v>12</v>
      </c>
      <c r="E50" s="500">
        <v>54417</v>
      </c>
      <c r="F50" s="501">
        <v>30696131003</v>
      </c>
      <c r="G50" s="502" t="str">
        <f>IFERROR(IF(compras_mes12[[#This Row],[CUIT]]="","-",VLOOKUP(compras_mes12[[#This Row],[CUIT]],Lista_CUIT[#All],2,0)),"CUIT NO CARGADO")</f>
        <v>Petrolfe S.A.</v>
      </c>
      <c r="H50" s="503">
        <v>166436.99609375</v>
      </c>
      <c r="I50" s="504">
        <f>IF(compras_mes12[[#This Row],[NETO GRAVADO]]="","",compras_mes12[[#This Row],[NETO GRAVADO]]*0.21)</f>
        <v>34951.769179687501</v>
      </c>
      <c r="J50" s="504"/>
      <c r="K50" s="504"/>
      <c r="L50" s="504"/>
      <c r="M50" s="504"/>
      <c r="N50" s="504"/>
      <c r="O50" s="504">
        <v>28766.01953125</v>
      </c>
      <c r="P50" s="505">
        <f>SUM(compras_mes12[[#This Row],[NETO GRAVADO]:[Otros / No Grav.]])</f>
        <v>230154.78480468749</v>
      </c>
      <c r="Q50" s="502" t="str">
        <f>IFERROR(IF(compras_mes12[[#This Row],[CUIT]]="","-",VLOOKUP(compras_mes12[[#This Row],[CUIT]],Lista_CUIT[#All],3,0)),"CUIT NO CARGADO")</f>
        <v>Combustible</v>
      </c>
      <c r="R50" s="506">
        <f>IFERROR(IF(compras_mes12[[#This Row],[CUIT]]="","-",VLOOKUP(compras_mes12[[#This Row],[CUIT]],Lista_CUIT[#All],4,0)),"CUIT NO CARGADO")</f>
        <v>0</v>
      </c>
    </row>
    <row r="51" spans="2:18">
      <c r="B51" s="40" t="s">
        <v>2625</v>
      </c>
      <c r="C51" s="41">
        <v>1</v>
      </c>
      <c r="D51" s="42">
        <v>11</v>
      </c>
      <c r="E51" s="43">
        <v>136735</v>
      </c>
      <c r="F51" s="44">
        <v>20359718765</v>
      </c>
      <c r="G51" s="45" t="str">
        <f>IFERROR(IF(compras_mes12[[#This Row],[CUIT]]="","-",VLOOKUP(compras_mes12[[#This Row],[CUIT]],Lista_CUIT[#All],2,0)),"CUIT NO CARGADO")</f>
        <v>FAIL ABRAHAM</v>
      </c>
      <c r="H51" s="46">
        <v>26190.91</v>
      </c>
      <c r="I51" s="85">
        <f>IF(compras_mes12[[#This Row],[NETO GRAVADO]]="","",compras_mes12[[#This Row],[NETO GRAVADO]]*0.21)</f>
        <v>5500.0910999999996</v>
      </c>
      <c r="J51" s="85"/>
      <c r="K51" s="85"/>
      <c r="L51" s="85"/>
      <c r="M51" s="85"/>
      <c r="N51" s="85"/>
      <c r="O51" s="85"/>
      <c r="P51" s="48">
        <f>SUM(compras_mes12[[#This Row],[NETO GRAVADO]:[Otros / No Grav.]])</f>
        <v>31691.001100000001</v>
      </c>
      <c r="Q51" s="45" t="str">
        <f>IFERROR(IF(compras_mes12[[#This Row],[CUIT]]="","-",VLOOKUP(compras_mes12[[#This Row],[CUIT]],Lista_CUIT[#All],3,0)),"CUIT NO CARGADO")</f>
        <v>Gastos Varios</v>
      </c>
      <c r="R51" s="49">
        <f>IFERROR(IF(compras_mes12[[#This Row],[CUIT]]="","-",VLOOKUP(compras_mes12[[#This Row],[CUIT]],Lista_CUIT[#All],4,0)),"CUIT NO CARGADO")</f>
        <v>0</v>
      </c>
    </row>
    <row r="52" spans="2:18">
      <c r="B52" s="40" t="s">
        <v>2625</v>
      </c>
      <c r="C52" s="41">
        <v>1</v>
      </c>
      <c r="D52" s="42">
        <v>3101</v>
      </c>
      <c r="E52" s="43">
        <v>229092</v>
      </c>
      <c r="F52" s="44">
        <v>30678814357</v>
      </c>
      <c r="G52" s="45" t="str">
        <f>IFERROR(IF(compras_mes12[[#This Row],[CUIT]]="","-",VLOOKUP(compras_mes12[[#This Row],[CUIT]],Lista_CUIT[#All],2,0)),"CUIT NO CARGADO")</f>
        <v>TELEFONICA MOVILES ARG</v>
      </c>
      <c r="H52" s="46">
        <v>14820.5</v>
      </c>
      <c r="I52" s="85"/>
      <c r="J52" s="85">
        <f>compras_mes12[[#This Row],[NETO GRAVADO]]*0.27</f>
        <v>4001.5350000000003</v>
      </c>
      <c r="K52" s="85"/>
      <c r="L52" s="85">
        <v>444.62</v>
      </c>
      <c r="M52" s="85"/>
      <c r="N52" s="85">
        <v>889.25</v>
      </c>
      <c r="O52" s="85"/>
      <c r="P52" s="48">
        <f>SUM(compras_mes12[[#This Row],[NETO GRAVADO]:[Otros / No Grav.]])</f>
        <v>20155.904999999999</v>
      </c>
      <c r="Q52" s="45" t="str">
        <f>IFERROR(IF(compras_mes12[[#This Row],[CUIT]]="","-",VLOOKUP(compras_mes12[[#This Row],[CUIT]],Lista_CUIT[#All],3,0)),"CUIT NO CARGADO")</f>
        <v>Servicios Gas, Luz, etc.</v>
      </c>
      <c r="R52" s="49">
        <f>IFERROR(IF(compras_mes12[[#This Row],[CUIT]]="","-",VLOOKUP(compras_mes12[[#This Row],[CUIT]],Lista_CUIT[#All],4,0)),"CUIT NO CARGADO")</f>
        <v>0</v>
      </c>
    </row>
    <row r="53" spans="2:18">
      <c r="B53" s="40" t="s">
        <v>2625</v>
      </c>
      <c r="C53" s="41">
        <v>1</v>
      </c>
      <c r="D53" s="42">
        <v>700</v>
      </c>
      <c r="E53" s="43">
        <v>2111437</v>
      </c>
      <c r="F53" s="44">
        <v>30715804812</v>
      </c>
      <c r="G53" s="45" t="str">
        <f>IFERROR(IF(compras_mes12[[#This Row],[CUIT]]="","-",VLOOKUP(compras_mes12[[#This Row],[CUIT]],Lista_CUIT[#All],2,0)),"CUIT NO CARGADO")</f>
        <v>CORREDORES VIALES SOCIEDAD ANONIMA</v>
      </c>
      <c r="H53" s="46">
        <v>2376.41</v>
      </c>
      <c r="I53" s="85">
        <f>IF(compras_mes12[[#This Row],[NETO GRAVADO]]="","",compras_mes12[[#This Row],[NETO GRAVADO]]*0.21)</f>
        <v>499.04609999999997</v>
      </c>
      <c r="J53" s="85"/>
      <c r="K53" s="85"/>
      <c r="L53" s="85"/>
      <c r="M53" s="85"/>
      <c r="N53" s="85"/>
      <c r="O53" s="85"/>
      <c r="P53" s="48">
        <f>SUM(compras_mes12[[#This Row],[NETO GRAVADO]:[Otros / No Grav.]])</f>
        <v>2875.4560999999999</v>
      </c>
      <c r="Q53" s="45" t="str">
        <f>IFERROR(IF(compras_mes12[[#This Row],[CUIT]]="","-",VLOOKUP(compras_mes12[[#This Row],[CUIT]],Lista_CUIT[#All],3,0)),"CUIT NO CARGADO")</f>
        <v>Peajes</v>
      </c>
      <c r="R53" s="49">
        <f>IFERROR(IF(compras_mes12[[#This Row],[CUIT]]="","-",VLOOKUP(compras_mes12[[#This Row],[CUIT]],Lista_CUIT[#All],4,0)),"CUIT NO CARGADO")</f>
        <v>0</v>
      </c>
    </row>
    <row r="54" spans="2:18">
      <c r="B54" s="40" t="s">
        <v>2625</v>
      </c>
      <c r="C54" s="41">
        <v>1</v>
      </c>
      <c r="D54" s="42">
        <v>63</v>
      </c>
      <c r="E54" s="43">
        <v>3091515</v>
      </c>
      <c r="F54" s="44">
        <v>30640897267</v>
      </c>
      <c r="G54" s="45" t="str">
        <f>IFERROR(IF(compras_mes12[[#This Row],[CUIT]]="","-",VLOOKUP(compras_mes12[[#This Row],[CUIT]],Lista_CUIT[#All],2,0)),"CUIT NO CARGADO")</f>
        <v>TELECENTRO S.A.</v>
      </c>
      <c r="H54" s="46">
        <v>54108.02</v>
      </c>
      <c r="I54" s="85">
        <f>IF(compras_mes12[[#This Row],[NETO GRAVADO]]="","",compras_mes12[[#This Row],[NETO GRAVADO]]*0.21)</f>
        <v>11362.6842</v>
      </c>
      <c r="J54" s="85"/>
      <c r="K54" s="85"/>
      <c r="L54" s="85">
        <v>1623.24</v>
      </c>
      <c r="M54" s="85"/>
      <c r="N54" s="85">
        <v>3246.48</v>
      </c>
      <c r="O54" s="85"/>
      <c r="P54" s="48">
        <f>SUM(compras_mes12[[#This Row],[NETO GRAVADO]:[Otros / No Grav.]])</f>
        <v>70340.424199999994</v>
      </c>
      <c r="Q54" s="45" t="str">
        <f>IFERROR(IF(compras_mes12[[#This Row],[CUIT]]="","-",VLOOKUP(compras_mes12[[#This Row],[CUIT]],Lista_CUIT[#All],3,0)),"CUIT NO CARGADO")</f>
        <v>Servicios Gas, Luz, etc.</v>
      </c>
      <c r="R54" s="49">
        <f>IFERROR(IF(compras_mes12[[#This Row],[CUIT]]="","-",VLOOKUP(compras_mes12[[#This Row],[CUIT]],Lista_CUIT[#All],4,0)),"CUIT NO CARGADO")</f>
        <v>0</v>
      </c>
    </row>
    <row r="55" spans="2:18">
      <c r="B55" s="40" t="s">
        <v>2625</v>
      </c>
      <c r="C55" s="41">
        <v>1</v>
      </c>
      <c r="D55" s="42">
        <v>63</v>
      </c>
      <c r="E55" s="43">
        <v>3092529</v>
      </c>
      <c r="F55" s="44">
        <v>30640897267</v>
      </c>
      <c r="G55" s="45" t="str">
        <f>IFERROR(IF(compras_mes12[[#This Row],[CUIT]]="","-",VLOOKUP(compras_mes12[[#This Row],[CUIT]],Lista_CUIT[#All],2,0)),"CUIT NO CARGADO")</f>
        <v>TELECENTRO S.A.</v>
      </c>
      <c r="H55" s="46">
        <v>54108.02</v>
      </c>
      <c r="I55" s="85">
        <f>IF(compras_mes12[[#This Row],[NETO GRAVADO]]="","",compras_mes12[[#This Row],[NETO GRAVADO]]*0.21)</f>
        <v>11362.6842</v>
      </c>
      <c r="J55" s="85"/>
      <c r="K55" s="85"/>
      <c r="L55" s="85">
        <v>1623.24</v>
      </c>
      <c r="M55" s="85"/>
      <c r="N55" s="85">
        <v>3246.48</v>
      </c>
      <c r="O55" s="85"/>
      <c r="P55" s="48">
        <f>SUM(compras_mes12[[#This Row],[NETO GRAVADO]:[Otros / No Grav.]])</f>
        <v>70340.424199999994</v>
      </c>
      <c r="Q55" s="45" t="str">
        <f>IFERROR(IF(compras_mes12[[#This Row],[CUIT]]="","-",VLOOKUP(compras_mes12[[#This Row],[CUIT]],Lista_CUIT[#All],3,0)),"CUIT NO CARGADO")</f>
        <v>Servicios Gas, Luz, etc.</v>
      </c>
      <c r="R55" s="49">
        <f>IFERROR(IF(compras_mes12[[#This Row],[CUIT]]="","-",VLOOKUP(compras_mes12[[#This Row],[CUIT]],Lista_CUIT[#All],4,0)),"CUIT NO CARGADO")</f>
        <v>0</v>
      </c>
    </row>
    <row r="56" spans="2:18">
      <c r="B56" s="40" t="s">
        <v>2625</v>
      </c>
      <c r="C56" s="41">
        <v>1</v>
      </c>
      <c r="D56" s="42">
        <v>3034</v>
      </c>
      <c r="E56" s="43">
        <v>7452856</v>
      </c>
      <c r="F56" s="44">
        <v>30708574836</v>
      </c>
      <c r="G56" s="45" t="str">
        <f>IFERROR(IF(compras_mes12[[#This Row],[CUIT]]="","-",VLOOKUP(compras_mes12[[#This Row],[CUIT]],Lista_CUIT[#All],2,0)),"CUIT NO CARGADO")</f>
        <v>CORREO OFICIAL DE LA REPUBLICA ARGENTINA SOCIEDAD ANONIMA</v>
      </c>
      <c r="H56" s="46">
        <v>8775.2099999999991</v>
      </c>
      <c r="I56" s="85">
        <f>IF(compras_mes12[[#This Row],[NETO GRAVADO]]="","",compras_mes12[[#This Row],[NETO GRAVADO]]*0.21)</f>
        <v>1842.7940999999998</v>
      </c>
      <c r="J56" s="85"/>
      <c r="K56" s="85"/>
      <c r="L56" s="85"/>
      <c r="M56" s="85"/>
      <c r="N56" s="85"/>
      <c r="O56" s="85"/>
      <c r="P56" s="48">
        <f>SUM(compras_mes12[[#This Row],[NETO GRAVADO]:[Otros / No Grav.]])</f>
        <v>10618.004099999998</v>
      </c>
      <c r="Q56" s="45" t="s">
        <v>2687</v>
      </c>
      <c r="R56" s="49">
        <f>IFERROR(IF(compras_mes12[[#This Row],[CUIT]]="","-",VLOOKUP(compras_mes12[[#This Row],[CUIT]],Lista_CUIT[#All],4,0)),"CUIT NO CARGADO")</f>
        <v>0</v>
      </c>
    </row>
    <row r="57" spans="2:18">
      <c r="B57" s="40" t="s">
        <v>2611</v>
      </c>
      <c r="C57" s="41">
        <v>1</v>
      </c>
      <c r="D57" s="42">
        <v>3</v>
      </c>
      <c r="E57" s="43">
        <v>169</v>
      </c>
      <c r="F57" s="44">
        <v>20939955322</v>
      </c>
      <c r="G57" s="45" t="str">
        <f>IFERROR(IF(compras_mes12[[#This Row],[CUIT]]="","-",VLOOKUP(compras_mes12[[#This Row],[CUIT]],Lista_CUIT[#All],2,0)),"CUIT NO CARGADO")</f>
        <v>PAREDES VIDES MARIO ISIDORO</v>
      </c>
      <c r="H57" s="46">
        <v>15702.52</v>
      </c>
      <c r="I57" s="85">
        <f>IF(compras_mes12[[#This Row],[NETO GRAVADO]]="","",compras_mes12[[#This Row],[NETO GRAVADO]]*0.21)</f>
        <v>3297.5291999999999</v>
      </c>
      <c r="J57" s="85"/>
      <c r="K57" s="85"/>
      <c r="L57" s="85"/>
      <c r="M57" s="85"/>
      <c r="N57" s="85"/>
      <c r="O57" s="85"/>
      <c r="P57" s="48">
        <f>SUM(compras_mes12[[#This Row],[NETO GRAVADO]:[Otros / No Grav.]])</f>
        <v>19000.049200000001</v>
      </c>
      <c r="Q57" s="45" t="str">
        <f>IFERROR(IF(compras_mes12[[#This Row],[CUIT]]="","-",VLOOKUP(compras_mes12[[#This Row],[CUIT]],Lista_CUIT[#All],3,0)),"CUIT NO CARGADO")</f>
        <v>Mantenimiento Rodado</v>
      </c>
      <c r="R57" s="49">
        <f>IFERROR(IF(compras_mes12[[#This Row],[CUIT]]="","-",VLOOKUP(compras_mes12[[#This Row],[CUIT]],Lista_CUIT[#All],4,0)),"CUIT NO CARGADO")</f>
        <v>0</v>
      </c>
    </row>
    <row r="58" spans="2:18">
      <c r="B58" s="40" t="s">
        <v>2611</v>
      </c>
      <c r="C58" s="41">
        <v>1</v>
      </c>
      <c r="D58" s="42">
        <v>6</v>
      </c>
      <c r="E58" s="43">
        <v>3389</v>
      </c>
      <c r="F58" s="44">
        <v>30574603788</v>
      </c>
      <c r="G58" s="45" t="str">
        <f>IFERROR(IF(compras_mes12[[#This Row],[CUIT]]="","-",VLOOKUP(compras_mes12[[#This Row],[CUIT]],Lista_CUIT[#All],2,0)),"CUIT NO CARGADO")</f>
        <v>CODAC SRL</v>
      </c>
      <c r="H58" s="46">
        <v>2366964</v>
      </c>
      <c r="I58" s="85">
        <f>IF(compras_mes12[[#This Row],[NETO GRAVADO]]="","",compras_mes12[[#This Row],[NETO GRAVADO]]*0.21)</f>
        <v>497062.44</v>
      </c>
      <c r="J58" s="85"/>
      <c r="K58" s="85"/>
      <c r="L58" s="85"/>
      <c r="M58" s="85"/>
      <c r="N58" s="85"/>
      <c r="O58" s="85"/>
      <c r="P58" s="48">
        <f>SUM(compras_mes12[[#This Row],[NETO GRAVADO]:[Otros / No Grav.]])</f>
        <v>2864026.44</v>
      </c>
      <c r="Q58" s="45" t="str">
        <f>IFERROR(IF(compras_mes12[[#This Row],[CUIT]]="","-",VLOOKUP(compras_mes12[[#This Row],[CUIT]],Lista_CUIT[#All],3,0)),"CUIT NO CARGADO")</f>
        <v>Productos Venta</v>
      </c>
      <c r="R58" s="49" t="str">
        <f>IFERROR(IF(compras_mes12[[#This Row],[CUIT]]="","-",VLOOKUP(compras_mes12[[#This Row],[CUIT]],Lista_CUIT[#All],4,0)),"CUIT NO CARGADO")</f>
        <v>BUENOS AIRES</v>
      </c>
    </row>
    <row r="59" spans="2:18">
      <c r="B59" s="40" t="s">
        <v>2611</v>
      </c>
      <c r="C59" s="41">
        <v>1</v>
      </c>
      <c r="D59" s="42">
        <v>2</v>
      </c>
      <c r="E59" s="43">
        <v>3906</v>
      </c>
      <c r="F59" s="44">
        <v>30629863571</v>
      </c>
      <c r="G59" s="45" t="str">
        <f>IFERROR(IF(compras_mes12[[#This Row],[CUIT]]="","-",VLOOKUP(compras_mes12[[#This Row],[CUIT]],Lista_CUIT[#All],2,0)),"CUIT NO CARGADO")</f>
        <v>TECNIMAR S R L</v>
      </c>
      <c r="H59" s="46">
        <v>2434874.9</v>
      </c>
      <c r="I59" s="85">
        <f>IF(compras_mes12[[#This Row],[NETO GRAVADO]]="","",compras_mes12[[#This Row],[NETO GRAVADO]]*0.21)</f>
        <v>511323.72899999993</v>
      </c>
      <c r="J59" s="85"/>
      <c r="K59" s="85"/>
      <c r="L59" s="85"/>
      <c r="M59" s="85"/>
      <c r="N59" s="85"/>
      <c r="O59" s="85"/>
      <c r="P59" s="48">
        <f>SUM(compras_mes12[[#This Row],[NETO GRAVADO]:[Otros / No Grav.]])</f>
        <v>2946198.6289999997</v>
      </c>
      <c r="Q59" s="45" t="str">
        <f>IFERROR(IF(compras_mes12[[#This Row],[CUIT]]="","-",VLOOKUP(compras_mes12[[#This Row],[CUIT]],Lista_CUIT[#All],3,0)),"CUIT NO CARGADO")</f>
        <v>Productos Venta</v>
      </c>
      <c r="R59" s="49">
        <f>IFERROR(IF(compras_mes12[[#This Row],[CUIT]]="","-",VLOOKUP(compras_mes12[[#This Row],[CUIT]],Lista_CUIT[#All],4,0)),"CUIT NO CARGADO")</f>
        <v>0</v>
      </c>
    </row>
    <row r="60" spans="2:18">
      <c r="B60" s="40" t="s">
        <v>2611</v>
      </c>
      <c r="C60" s="41">
        <v>1</v>
      </c>
      <c r="D60" s="42">
        <v>5</v>
      </c>
      <c r="E60" s="43">
        <v>45668</v>
      </c>
      <c r="F60" s="44">
        <v>20316749942</v>
      </c>
      <c r="G60" s="45" t="str">
        <f>IFERROR(IF(compras_mes12[[#This Row],[CUIT]]="","-",VLOOKUP(compras_mes12[[#This Row],[CUIT]],Lista_CUIT[#All],2,0)),"CUIT NO CARGADO")</f>
        <v>PASTORIZA ALEJANDRO JAVIER</v>
      </c>
      <c r="H60" s="46">
        <v>26644.03</v>
      </c>
      <c r="I60" s="85">
        <v>3696.69</v>
      </c>
      <c r="J60" s="85"/>
      <c r="K60" s="85">
        <v>949.28</v>
      </c>
      <c r="L60" s="85"/>
      <c r="M60" s="85"/>
      <c r="N60" s="85"/>
      <c r="O60" s="85"/>
      <c r="P60" s="48">
        <f>SUM(compras_mes12[[#This Row],[NETO GRAVADO]:[Otros / No Grav.]])</f>
        <v>31289.999999999996</v>
      </c>
      <c r="Q60" s="45" t="str">
        <f>IFERROR(IF(compras_mes12[[#This Row],[CUIT]]="","-",VLOOKUP(compras_mes12[[#This Row],[CUIT]],Lista_CUIT[#All],3,0)),"CUIT NO CARGADO")</f>
        <v>Gastos Oficina</v>
      </c>
      <c r="R60" s="49">
        <f>IFERROR(IF(compras_mes12[[#This Row],[CUIT]]="","-",VLOOKUP(compras_mes12[[#This Row],[CUIT]],Lista_CUIT[#All],4,0)),"CUIT NO CARGADO")</f>
        <v>0</v>
      </c>
    </row>
    <row r="61" spans="2:18">
      <c r="B61" s="40" t="s">
        <v>2611</v>
      </c>
      <c r="C61" s="41">
        <v>1</v>
      </c>
      <c r="D61" s="42">
        <v>301</v>
      </c>
      <c r="E61" s="43">
        <v>100025</v>
      </c>
      <c r="F61" s="44">
        <v>30686978350</v>
      </c>
      <c r="G61" s="45" t="str">
        <f>IFERROR(IF(compras_mes12[[#This Row],[CUIT]]="","-",VLOOKUP(compras_mes12[[#This Row],[CUIT]],Lista_CUIT[#All],2,0)),"CUIT NO CARGADO")</f>
        <v>SPEED BUSINESS S. A.</v>
      </c>
      <c r="H61" s="46">
        <v>14710.75</v>
      </c>
      <c r="I61" s="85">
        <f>IF(compras_mes12[[#This Row],[NETO GRAVADO]]="","",compras_mes12[[#This Row],[NETO GRAVADO]]*0.21)</f>
        <v>3089.2574999999997</v>
      </c>
      <c r="J61" s="85"/>
      <c r="K61" s="85"/>
      <c r="L61" s="85"/>
      <c r="M61" s="85"/>
      <c r="N61" s="85"/>
      <c r="O61" s="85"/>
      <c r="P61" s="48">
        <f>SUM(compras_mes12[[#This Row],[NETO GRAVADO]:[Otros / No Grav.]])</f>
        <v>17800.0075</v>
      </c>
      <c r="Q61" s="45" t="str">
        <f>IFERROR(IF(compras_mes12[[#This Row],[CUIT]]="","-",VLOOKUP(compras_mes12[[#This Row],[CUIT]],Lista_CUIT[#All],3,0)),"CUIT NO CARGADO")</f>
        <v>Gastos Comercializacion</v>
      </c>
      <c r="R61" s="49">
        <f>IFERROR(IF(compras_mes12[[#This Row],[CUIT]]="","-",VLOOKUP(compras_mes12[[#This Row],[CUIT]],Lista_CUIT[#All],4,0)),"CUIT NO CARGADO")</f>
        <v>0</v>
      </c>
    </row>
    <row r="62" spans="2:18">
      <c r="B62" s="40" t="s">
        <v>2611</v>
      </c>
      <c r="C62" s="41">
        <v>1</v>
      </c>
      <c r="D62" s="42">
        <v>3</v>
      </c>
      <c r="E62" s="43">
        <v>126698</v>
      </c>
      <c r="F62" s="44">
        <v>23173634749</v>
      </c>
      <c r="G62" s="45" t="str">
        <f>IFERROR(IF(compras_mes12[[#This Row],[CUIT]]="","-",VLOOKUP(compras_mes12[[#This Row],[CUIT]],Lista_CUIT[#All],2,0)),"CUIT NO CARGADO")</f>
        <v>MATURANO MARCELO RAUL</v>
      </c>
      <c r="H62" s="46">
        <v>93690</v>
      </c>
      <c r="I62" s="85">
        <f>IF(compras_mes12[[#This Row],[NETO GRAVADO]]="","",compras_mes12[[#This Row],[NETO GRAVADO]]*0.21)</f>
        <v>19674.899999999998</v>
      </c>
      <c r="J62" s="85"/>
      <c r="K62" s="85"/>
      <c r="L62" s="85"/>
      <c r="M62" s="85">
        <v>5621.4</v>
      </c>
      <c r="N62" s="85"/>
      <c r="O62" s="85"/>
      <c r="P62" s="48">
        <f>SUM(compras_mes12[[#This Row],[NETO GRAVADO]:[Otros / No Grav.]])</f>
        <v>118986.29999999999</v>
      </c>
      <c r="Q62" s="45" t="str">
        <f>IFERROR(IF(compras_mes12[[#This Row],[CUIT]]="","-",VLOOKUP(compras_mes12[[#This Row],[CUIT]],Lista_CUIT[#All],3,0)),"CUIT NO CARGADO")</f>
        <v>Gastos Varios</v>
      </c>
      <c r="R62" s="49">
        <f>IFERROR(IF(compras_mes12[[#This Row],[CUIT]]="","-",VLOOKUP(compras_mes12[[#This Row],[CUIT]],Lista_CUIT[#All],4,0)),"CUIT NO CARGADO")</f>
        <v>0</v>
      </c>
    </row>
    <row r="63" spans="2:18">
      <c r="B63" s="40" t="s">
        <v>2611</v>
      </c>
      <c r="C63" s="41">
        <v>1</v>
      </c>
      <c r="D63" s="42">
        <v>6364</v>
      </c>
      <c r="E63" s="43">
        <v>8769213</v>
      </c>
      <c r="F63" s="44">
        <v>30639453738</v>
      </c>
      <c r="G63" s="45" t="str">
        <f>IFERROR(IF(compras_mes12[[#This Row],[CUIT]]="","-",VLOOKUP(compras_mes12[[#This Row],[CUIT]],Lista_CUIT[#All],2,0)),"CUIT NO CARGADO")</f>
        <v>TELECOM ARG SA</v>
      </c>
      <c r="H63" s="46">
        <v>265835.98</v>
      </c>
      <c r="I63" s="85">
        <v>55549.841</v>
      </c>
      <c r="J63" s="85">
        <v>354.49</v>
      </c>
      <c r="K63" s="85"/>
      <c r="L63" s="85"/>
      <c r="M63" s="85"/>
      <c r="N63" s="85">
        <v>14847.9</v>
      </c>
      <c r="O63" s="85">
        <v>8071.2</v>
      </c>
      <c r="P63" s="48">
        <f>SUM(compras_mes12[[#This Row],[NETO GRAVADO]:[Otros / No Grav.]])</f>
        <v>344659.41100000002</v>
      </c>
      <c r="Q63" s="45" t="str">
        <f>IFERROR(IF(compras_mes12[[#This Row],[CUIT]]="","-",VLOOKUP(compras_mes12[[#This Row],[CUIT]],Lista_CUIT[#All],3,0)),"CUIT NO CARGADO")</f>
        <v>Servicios Gas, Luz, etc.</v>
      </c>
      <c r="R63" s="49">
        <f>IFERROR(IF(compras_mes12[[#This Row],[CUIT]]="","-",VLOOKUP(compras_mes12[[#This Row],[CUIT]],Lista_CUIT[#All],4,0)),"CUIT NO CARGADO")</f>
        <v>0</v>
      </c>
    </row>
    <row r="64" spans="2:18">
      <c r="B64" s="497">
        <v>45637</v>
      </c>
      <c r="C64" s="498">
        <v>1</v>
      </c>
      <c r="D64" s="499">
        <v>1111</v>
      </c>
      <c r="E64" s="500">
        <v>1</v>
      </c>
      <c r="F64" s="501">
        <v>30517345039</v>
      </c>
      <c r="G64" s="502" t="str">
        <f>IFERROR(IF(compras_mes12[[#This Row],[CUIT]]="","-",VLOOKUP(compras_mes12[[#This Row],[CUIT]],Lista_CUIT[#All],2,0)),"CUIT NO CARGADO")</f>
        <v>QUIMICA OESTE S.A.</v>
      </c>
      <c r="H64" s="503">
        <v>435329.96484375</v>
      </c>
      <c r="I64" s="504">
        <f>IF(compras_mes12[[#This Row],[NETO GRAVADO]]="","",compras_mes12[[#This Row],[NETO GRAVADO]]*0.21)</f>
        <v>91419.292617187501</v>
      </c>
      <c r="J64" s="504"/>
      <c r="K64" s="504"/>
      <c r="L64" s="504"/>
      <c r="M64" s="504"/>
      <c r="N64" s="504">
        <v>26119.80078125</v>
      </c>
      <c r="O64" s="504"/>
      <c r="P64" s="505">
        <f>SUM(compras_mes12[[#This Row],[NETO GRAVADO]:[Otros / No Grav.]])</f>
        <v>552869.05824218749</v>
      </c>
      <c r="Q64" s="502" t="str">
        <f>IFERROR(IF(compras_mes12[[#This Row],[CUIT]]="","-",VLOOKUP(compras_mes12[[#This Row],[CUIT]],Lista_CUIT[#All],3,0)),"CUIT NO CARGADO")</f>
        <v>Materia Prima</v>
      </c>
      <c r="R64" s="506">
        <f>IFERROR(IF(compras_mes12[[#This Row],[CUIT]]="","-",VLOOKUP(compras_mes12[[#This Row],[CUIT]],Lista_CUIT[#All],4,0)),"CUIT NO CARGADO")</f>
        <v>0</v>
      </c>
    </row>
    <row r="65" spans="2:18">
      <c r="B65" s="40" t="s">
        <v>2626</v>
      </c>
      <c r="C65" s="41">
        <v>1</v>
      </c>
      <c r="D65" s="42">
        <v>1</v>
      </c>
      <c r="E65" s="43">
        <v>294</v>
      </c>
      <c r="F65" s="44">
        <v>20077604627</v>
      </c>
      <c r="G65" s="45" t="str">
        <f>IFERROR(IF(compras_mes12[[#This Row],[CUIT]]="","-",VLOOKUP(compras_mes12[[#This Row],[CUIT]],Lista_CUIT[#All],2,0)),"CUIT NO CARGADO")</f>
        <v>OCAÑO ENRIQUE</v>
      </c>
      <c r="H65" s="46">
        <v>5984221.8600000003</v>
      </c>
      <c r="I65" s="85">
        <f>IF(compras_mes12[[#This Row],[NETO GRAVADO]]="","",compras_mes12[[#This Row],[NETO GRAVADO]]*0.21)</f>
        <v>1256686.5906</v>
      </c>
      <c r="J65" s="85"/>
      <c r="K65" s="85"/>
      <c r="L65" s="85"/>
      <c r="M65" s="85"/>
      <c r="N65" s="85"/>
      <c r="O65" s="85"/>
      <c r="P65" s="48">
        <f>SUM(compras_mes12[[#This Row],[NETO GRAVADO]:[Otros / No Grav.]])</f>
        <v>7240908.4506000001</v>
      </c>
      <c r="Q65" s="45" t="str">
        <f>IFERROR(IF(compras_mes12[[#This Row],[CUIT]]="","-",VLOOKUP(compras_mes12[[#This Row],[CUIT]],Lista_CUIT[#All],3,0)),"CUIT NO CARGADO")</f>
        <v>Material de Empaque</v>
      </c>
      <c r="R65" s="49">
        <f>IFERROR(IF(compras_mes12[[#This Row],[CUIT]]="","-",VLOOKUP(compras_mes12[[#This Row],[CUIT]],Lista_CUIT[#All],4,0)),"CUIT NO CARGADO")</f>
        <v>0</v>
      </c>
    </row>
    <row r="66" spans="2:18">
      <c r="B66" s="40" t="s">
        <v>2626</v>
      </c>
      <c r="C66" s="41">
        <v>1</v>
      </c>
      <c r="D66" s="42">
        <v>2</v>
      </c>
      <c r="E66" s="43">
        <v>3908</v>
      </c>
      <c r="F66" s="44">
        <v>30629863571</v>
      </c>
      <c r="G66" s="45" t="str">
        <f>IFERROR(IF(compras_mes12[[#This Row],[CUIT]]="","-",VLOOKUP(compras_mes12[[#This Row],[CUIT]],Lista_CUIT[#All],2,0)),"CUIT NO CARGADO")</f>
        <v>TECNIMAR S R L</v>
      </c>
      <c r="H66" s="46">
        <v>1257495.33</v>
      </c>
      <c r="I66" s="85">
        <f>IF(compras_mes12[[#This Row],[NETO GRAVADO]]="","",compras_mes12[[#This Row],[NETO GRAVADO]]*0.21)</f>
        <v>264074.01929999999</v>
      </c>
      <c r="J66" s="85"/>
      <c r="K66" s="85"/>
      <c r="L66" s="85"/>
      <c r="M66" s="85"/>
      <c r="N66" s="85"/>
      <c r="O66" s="85"/>
      <c r="P66" s="48">
        <f>SUM(compras_mes12[[#This Row],[NETO GRAVADO]:[Otros / No Grav.]])</f>
        <v>1521569.3493000001</v>
      </c>
      <c r="Q66" s="45" t="str">
        <f>IFERROR(IF(compras_mes12[[#This Row],[CUIT]]="","-",VLOOKUP(compras_mes12[[#This Row],[CUIT]],Lista_CUIT[#All],3,0)),"CUIT NO CARGADO")</f>
        <v>Productos Venta</v>
      </c>
      <c r="R66" s="49">
        <f>IFERROR(IF(compras_mes12[[#This Row],[CUIT]]="","-",VLOOKUP(compras_mes12[[#This Row],[CUIT]],Lista_CUIT[#All],4,0)),"CUIT NO CARGADO")</f>
        <v>0</v>
      </c>
    </row>
    <row r="67" spans="2:18">
      <c r="B67" s="40" t="s">
        <v>2626</v>
      </c>
      <c r="C67" s="41">
        <v>1</v>
      </c>
      <c r="D67" s="42">
        <v>10</v>
      </c>
      <c r="E67" s="43">
        <v>4289</v>
      </c>
      <c r="F67" s="44">
        <v>30709487147</v>
      </c>
      <c r="G67" s="45" t="str">
        <f>IFERROR(IF(compras_mes12[[#This Row],[CUIT]]="","-",VLOOKUP(compras_mes12[[#This Row],[CUIT]],Lista_CUIT[#All],2,0)),"CUIT NO CARGADO")</f>
        <v>GRUPO TAM  SRL</v>
      </c>
      <c r="H67" s="46">
        <v>255719.38</v>
      </c>
      <c r="I67" s="85">
        <f>IF(compras_mes12[[#This Row],[NETO GRAVADO]]="","",compras_mes12[[#This Row],[NETO GRAVADO]]*0.21)</f>
        <v>53701.069799999997</v>
      </c>
      <c r="J67" s="85"/>
      <c r="K67" s="85"/>
      <c r="L67" s="85"/>
      <c r="M67" s="85"/>
      <c r="N67" s="85"/>
      <c r="O67" s="85"/>
      <c r="P67" s="48">
        <f>SUM(compras_mes12[[#This Row],[NETO GRAVADO]:[Otros / No Grav.]])</f>
        <v>309420.4498</v>
      </c>
      <c r="Q67" s="45" t="str">
        <f>IFERROR(IF(compras_mes12[[#This Row],[CUIT]]="","-",VLOOKUP(compras_mes12[[#This Row],[CUIT]],Lista_CUIT[#All],3,0)),"CUIT NO CARGADO")</f>
        <v>LIBRERÍA</v>
      </c>
      <c r="R67" s="49">
        <f>IFERROR(IF(compras_mes12[[#This Row],[CUIT]]="","-",VLOOKUP(compras_mes12[[#This Row],[CUIT]],Lista_CUIT[#All],4,0)),"CUIT NO CARGADO")</f>
        <v>0</v>
      </c>
    </row>
    <row r="68" spans="2:18">
      <c r="B68" s="40" t="s">
        <v>2626</v>
      </c>
      <c r="C68" s="41">
        <v>3</v>
      </c>
      <c r="D68" s="42">
        <v>11</v>
      </c>
      <c r="E68" s="43">
        <v>5542</v>
      </c>
      <c r="F68" s="44">
        <v>20359718765</v>
      </c>
      <c r="G68" s="45" t="str">
        <f>IFERROR(IF(compras_mes12[[#This Row],[CUIT]]="","-",VLOOKUP(compras_mes12[[#This Row],[CUIT]],Lista_CUIT[#All],2,0)),"CUIT NO CARGADO")</f>
        <v>FAIL ABRAHAM</v>
      </c>
      <c r="H68" s="46">
        <v>-26190.91</v>
      </c>
      <c r="I68" s="85">
        <f>IF(compras_mes12[[#This Row],[NETO GRAVADO]]="","",compras_mes12[[#This Row],[NETO GRAVADO]]*0.21)</f>
        <v>-5500.0910999999996</v>
      </c>
      <c r="J68" s="85"/>
      <c r="K68" s="85"/>
      <c r="L68" s="85"/>
      <c r="M68" s="85"/>
      <c r="N68" s="85"/>
      <c r="O68" s="85"/>
      <c r="P68" s="48">
        <f>SUM(compras_mes12[[#This Row],[NETO GRAVADO]:[Otros / No Grav.]])</f>
        <v>-31691.001100000001</v>
      </c>
      <c r="Q68" s="45" t="str">
        <f>IFERROR(IF(compras_mes12[[#This Row],[CUIT]]="","-",VLOOKUP(compras_mes12[[#This Row],[CUIT]],Lista_CUIT[#All],3,0)),"CUIT NO CARGADO")</f>
        <v>Gastos Varios</v>
      </c>
      <c r="R68" s="49">
        <f>IFERROR(IF(compras_mes12[[#This Row],[CUIT]]="","-",VLOOKUP(compras_mes12[[#This Row],[CUIT]],Lista_CUIT[#All],4,0)),"CUIT NO CARGADO")</f>
        <v>0</v>
      </c>
    </row>
    <row r="69" spans="2:18">
      <c r="B69" s="40" t="s">
        <v>2627</v>
      </c>
      <c r="C69" s="41">
        <v>1</v>
      </c>
      <c r="D69" s="42">
        <v>1</v>
      </c>
      <c r="E69" s="43">
        <v>1165</v>
      </c>
      <c r="F69" s="44">
        <v>30716715716</v>
      </c>
      <c r="G69" s="45" t="str">
        <f>IFERROR(IF(compras_mes12[[#This Row],[CUIT]]="","-",VLOOKUP(compras_mes12[[#This Row],[CUIT]],Lista_CUIT[#All],2,0)),"CUIT NO CARGADO")</f>
        <v>LIVERPOOL EXPRESS SRL</v>
      </c>
      <c r="H69" s="46">
        <v>372960</v>
      </c>
      <c r="I69" s="85">
        <f>IF(compras_mes12[[#This Row],[NETO GRAVADO]]="","",compras_mes12[[#This Row],[NETO GRAVADO]]*0.21)</f>
        <v>78321.599999999991</v>
      </c>
      <c r="J69" s="85"/>
      <c r="K69" s="85"/>
      <c r="L69" s="85"/>
      <c r="M69" s="85"/>
      <c r="N69" s="85"/>
      <c r="O69" s="85"/>
      <c r="P69" s="48">
        <f>SUM(compras_mes12[[#This Row],[NETO GRAVADO]:[Otros / No Grav.]])</f>
        <v>451281.6</v>
      </c>
      <c r="Q69" s="45" t="str">
        <f>IFERROR(IF(compras_mes12[[#This Row],[CUIT]]="","-",VLOOKUP(compras_mes12[[#This Row],[CUIT]],Lista_CUIT[#All],3,0)),"CUIT NO CARGADO")</f>
        <v>Gastos Comercializacion</v>
      </c>
      <c r="R69" s="49">
        <f>IFERROR(IF(compras_mes12[[#This Row],[CUIT]]="","-",VLOOKUP(compras_mes12[[#This Row],[CUIT]],Lista_CUIT[#All],4,0)),"CUIT NO CARGADO")</f>
        <v>0</v>
      </c>
    </row>
    <row r="70" spans="2:18">
      <c r="B70" s="40" t="s">
        <v>2627</v>
      </c>
      <c r="C70" s="41">
        <v>1</v>
      </c>
      <c r="D70" s="42">
        <v>6</v>
      </c>
      <c r="E70" s="43">
        <v>3394</v>
      </c>
      <c r="F70" s="44">
        <v>30574603788</v>
      </c>
      <c r="G70" s="45" t="str">
        <f>IFERROR(IF(compras_mes12[[#This Row],[CUIT]]="","-",VLOOKUP(compras_mes12[[#This Row],[CUIT]],Lista_CUIT[#All],2,0)),"CUIT NO CARGADO")</f>
        <v>CODAC SRL</v>
      </c>
      <c r="H70" s="46">
        <v>4400520</v>
      </c>
      <c r="I70" s="85">
        <f>IF(compras_mes12[[#This Row],[NETO GRAVADO]]="","",compras_mes12[[#This Row],[NETO GRAVADO]]*0.21)</f>
        <v>924109.2</v>
      </c>
      <c r="J70" s="85"/>
      <c r="K70" s="85"/>
      <c r="L70" s="85"/>
      <c r="M70" s="85"/>
      <c r="N70" s="85"/>
      <c r="O70" s="85"/>
      <c r="P70" s="48">
        <f>SUM(compras_mes12[[#This Row],[NETO GRAVADO]:[Otros / No Grav.]])</f>
        <v>5324629.2</v>
      </c>
      <c r="Q70" s="45" t="str">
        <f>IFERROR(IF(compras_mes12[[#This Row],[CUIT]]="","-",VLOOKUP(compras_mes12[[#This Row],[CUIT]],Lista_CUIT[#All],3,0)),"CUIT NO CARGADO")</f>
        <v>Productos Venta</v>
      </c>
      <c r="R70" s="49" t="str">
        <f>IFERROR(IF(compras_mes12[[#This Row],[CUIT]]="","-",VLOOKUP(compras_mes12[[#This Row],[CUIT]],Lista_CUIT[#All],4,0)),"CUIT NO CARGADO")</f>
        <v>BUENOS AIRES</v>
      </c>
    </row>
    <row r="71" spans="2:18">
      <c r="B71" s="497">
        <v>45638</v>
      </c>
      <c r="C71" s="498">
        <v>1</v>
      </c>
      <c r="D71" s="499">
        <v>1</v>
      </c>
      <c r="E71" s="500">
        <v>5252</v>
      </c>
      <c r="F71" s="501">
        <v>30678814357</v>
      </c>
      <c r="G71" s="502" t="str">
        <f>IFERROR(IF(compras_mes12[[#This Row],[CUIT]]="","-",VLOOKUP(compras_mes12[[#This Row],[CUIT]],Lista_CUIT[#All],2,0)),"CUIT NO CARGADO")</f>
        <v>TELEFONICA MOVILES ARG</v>
      </c>
      <c r="H71" s="503"/>
      <c r="I71" s="504" t="str">
        <f>IF(compras_mes12[[#This Row],[NETO GRAVADO]]="","",compras_mes12[[#This Row],[NETO GRAVADO]]*0.21)</f>
        <v/>
      </c>
      <c r="J71" s="504"/>
      <c r="K71" s="504"/>
      <c r="L71" s="504"/>
      <c r="M71" s="504"/>
      <c r="N71" s="504"/>
      <c r="O71" s="504">
        <v>36525</v>
      </c>
      <c r="P71" s="505">
        <f>SUM(compras_mes12[[#This Row],[NETO GRAVADO]:[Otros / No Grav.]])</f>
        <v>36525</v>
      </c>
      <c r="Q71" s="502" t="str">
        <f>IFERROR(IF(compras_mes12[[#This Row],[CUIT]]="","-",VLOOKUP(compras_mes12[[#This Row],[CUIT]],Lista_CUIT[#All],3,0)),"CUIT NO CARGADO")</f>
        <v>Servicios Gas, Luz, etc.</v>
      </c>
      <c r="R71" s="506">
        <f>IFERROR(IF(compras_mes12[[#This Row],[CUIT]]="","-",VLOOKUP(compras_mes12[[#This Row],[CUIT]],Lista_CUIT[#All],4,0)),"CUIT NO CARGADO")</f>
        <v>0</v>
      </c>
    </row>
    <row r="72" spans="2:18">
      <c r="B72" s="40" t="s">
        <v>2627</v>
      </c>
      <c r="C72" s="41">
        <v>1</v>
      </c>
      <c r="D72" s="42">
        <v>4</v>
      </c>
      <c r="E72" s="43">
        <v>48360</v>
      </c>
      <c r="F72" s="44">
        <v>30709863076</v>
      </c>
      <c r="G72" s="45" t="str">
        <f>IFERROR(IF(compras_mes12[[#This Row],[CUIT]]="","-",VLOOKUP(compras_mes12[[#This Row],[CUIT]],Lista_CUIT[#All],2,0)),"CUIT NO CARGADO")</f>
        <v>INDUSTRIAS PLASTICOS SALTA S.R.L.</v>
      </c>
      <c r="H72" s="46">
        <v>432825</v>
      </c>
      <c r="I72" s="85">
        <f>IF(compras_mes12[[#This Row],[NETO GRAVADO]]="","",compras_mes12[[#This Row],[NETO GRAVADO]]*0.21)</f>
        <v>90893.25</v>
      </c>
      <c r="J72" s="85"/>
      <c r="K72" s="85"/>
      <c r="L72" s="85"/>
      <c r="M72" s="85"/>
      <c r="N72" s="85"/>
      <c r="O72" s="85"/>
      <c r="P72" s="48">
        <f>SUM(compras_mes12[[#This Row],[NETO GRAVADO]:[Otros / No Grav.]])</f>
        <v>523718.25</v>
      </c>
      <c r="Q72" s="45" t="str">
        <f>IFERROR(IF(compras_mes12[[#This Row],[CUIT]]="","-",VLOOKUP(compras_mes12[[#This Row],[CUIT]],Lista_CUIT[#All],3,0)),"CUIT NO CARGADO")</f>
        <v>Materia Prima</v>
      </c>
      <c r="R72" s="49">
        <f>IFERROR(IF(compras_mes12[[#This Row],[CUIT]]="","-",VLOOKUP(compras_mes12[[#This Row],[CUIT]],Lista_CUIT[#All],4,0)),"CUIT NO CARGADO")</f>
        <v>0</v>
      </c>
    </row>
    <row r="73" spans="2:18">
      <c r="B73" s="40" t="s">
        <v>2627</v>
      </c>
      <c r="C73" s="41">
        <v>1</v>
      </c>
      <c r="D73" s="42">
        <v>19</v>
      </c>
      <c r="E73" s="43">
        <v>97264</v>
      </c>
      <c r="F73" s="44">
        <v>30506726669</v>
      </c>
      <c r="G73" s="45" t="str">
        <f>IFERROR(IF(compras_mes12[[#This Row],[CUIT]]="","-",VLOOKUP(compras_mes12[[#This Row],[CUIT]],Lista_CUIT[#All],2,0)),"CUIT NO CARGADO")</f>
        <v>MURCHISON S A ESTIBAJES Y CARGAS INDUSTRIAL Y COMERCIAL</v>
      </c>
      <c r="H73" s="46">
        <v>133500</v>
      </c>
      <c r="I73" s="85">
        <f>IF(compras_mes12[[#This Row],[NETO GRAVADO]]="","",compras_mes12[[#This Row],[NETO GRAVADO]]*0.21)</f>
        <v>28035</v>
      </c>
      <c r="J73" s="85"/>
      <c r="K73" s="85"/>
      <c r="L73" s="85"/>
      <c r="M73" s="85"/>
      <c r="N73" s="85"/>
      <c r="O73" s="85">
        <v>12015</v>
      </c>
      <c r="P73" s="48">
        <f>SUM(compras_mes12[[#This Row],[NETO GRAVADO]:[Otros / No Grav.]])</f>
        <v>173550</v>
      </c>
      <c r="Q73" s="45" t="str">
        <f>IFERROR(IF(compras_mes12[[#This Row],[CUIT]]="","-",VLOOKUP(compras_mes12[[#This Row],[CUIT]],Lista_CUIT[#All],3,0)),"CUIT NO CARGADO")</f>
        <v>Gastos Comercializacion</v>
      </c>
      <c r="R73" s="49">
        <f>IFERROR(IF(compras_mes12[[#This Row],[CUIT]]="","-",VLOOKUP(compras_mes12[[#This Row],[CUIT]],Lista_CUIT[#All],4,0)),"CUIT NO CARGADO")</f>
        <v>0</v>
      </c>
    </row>
    <row r="74" spans="2:18">
      <c r="B74" s="40" t="s">
        <v>2627</v>
      </c>
      <c r="C74" s="41">
        <v>1</v>
      </c>
      <c r="D74" s="42">
        <v>3</v>
      </c>
      <c r="E74" s="43">
        <v>126886</v>
      </c>
      <c r="F74" s="44">
        <v>23173634749</v>
      </c>
      <c r="G74" s="45" t="str">
        <f>IFERROR(IF(compras_mes12[[#This Row],[CUIT]]="","-",VLOOKUP(compras_mes12[[#This Row],[CUIT]],Lista_CUIT[#All],2,0)),"CUIT NO CARGADO")</f>
        <v>MATURANO MARCELO RAUL</v>
      </c>
      <c r="H74" s="46">
        <v>684286</v>
      </c>
      <c r="I74" s="85">
        <f>IF(compras_mes12[[#This Row],[NETO GRAVADO]]="","",compras_mes12[[#This Row],[NETO GRAVADO]]*0.21)</f>
        <v>143700.06</v>
      </c>
      <c r="J74" s="85"/>
      <c r="K74" s="85"/>
      <c r="L74" s="85"/>
      <c r="M74" s="85"/>
      <c r="N74" s="85">
        <v>41057.160000000003</v>
      </c>
      <c r="O74" s="85">
        <v>20528.580000000002</v>
      </c>
      <c r="P74" s="48">
        <f>SUM(compras_mes12[[#This Row],[NETO GRAVADO]:[Otros / No Grav.]])</f>
        <v>889571.8</v>
      </c>
      <c r="Q74" s="45" t="str">
        <f>IFERROR(IF(compras_mes12[[#This Row],[CUIT]]="","-",VLOOKUP(compras_mes12[[#This Row],[CUIT]],Lista_CUIT[#All],3,0)),"CUIT NO CARGADO")</f>
        <v>Gastos Varios</v>
      </c>
      <c r="R74" s="49">
        <f>IFERROR(IF(compras_mes12[[#This Row],[CUIT]]="","-",VLOOKUP(compras_mes12[[#This Row],[CUIT]],Lista_CUIT[#All],4,0)),"CUIT NO CARGADO")</f>
        <v>0</v>
      </c>
    </row>
    <row r="75" spans="2:18">
      <c r="B75" s="40" t="s">
        <v>2612</v>
      </c>
      <c r="C75" s="41">
        <v>1</v>
      </c>
      <c r="D75" s="42">
        <v>2</v>
      </c>
      <c r="E75" s="43">
        <v>407</v>
      </c>
      <c r="F75" s="44">
        <v>27422248426</v>
      </c>
      <c r="G75" s="45" t="str">
        <f>IFERROR(IF(compras_mes12[[#This Row],[CUIT]]="","-",VLOOKUP(compras_mes12[[#This Row],[CUIT]],Lista_CUIT[#All],2,0)),"CUIT NO CARGADO")</f>
        <v>CARRERA VICTORIA</v>
      </c>
      <c r="H75" s="46">
        <v>106463.29</v>
      </c>
      <c r="I75" s="85">
        <f>IF(compras_mes12[[#This Row],[NETO GRAVADO]]="","",compras_mes12[[#This Row],[NETO GRAVADO]]*0.21)</f>
        <v>22357.290899999996</v>
      </c>
      <c r="J75" s="85"/>
      <c r="K75" s="85"/>
      <c r="L75" s="85"/>
      <c r="M75" s="85"/>
      <c r="N75" s="85"/>
      <c r="O75" s="85"/>
      <c r="P75" s="48">
        <f>SUM(compras_mes12[[#This Row],[NETO GRAVADO]:[Otros / No Grav.]])</f>
        <v>128820.58089999999</v>
      </c>
      <c r="Q75" s="45" t="str">
        <f>IFERROR(IF(compras_mes12[[#This Row],[CUIT]]="","-",VLOOKUP(compras_mes12[[#This Row],[CUIT]],Lista_CUIT[#All],3,0)),"CUIT NO CARGADO")</f>
        <v>Gastos Varios</v>
      </c>
      <c r="R75" s="49">
        <f>IFERROR(IF(compras_mes12[[#This Row],[CUIT]]="","-",VLOOKUP(compras_mes12[[#This Row],[CUIT]],Lista_CUIT[#All],4,0)),"CUIT NO CARGADO")</f>
        <v>0</v>
      </c>
    </row>
    <row r="76" spans="2:18">
      <c r="B76" s="40" t="s">
        <v>2612</v>
      </c>
      <c r="C76" s="41">
        <v>1</v>
      </c>
      <c r="D76" s="42">
        <v>8</v>
      </c>
      <c r="E76" s="43">
        <v>16751</v>
      </c>
      <c r="F76" s="44">
        <v>30620779748</v>
      </c>
      <c r="G76" s="45" t="str">
        <f>IFERROR(IF(compras_mes12[[#This Row],[CUIT]]="","-",VLOOKUP(compras_mes12[[#This Row],[CUIT]],Lista_CUIT[#All],2,0)),"CUIT NO CARGADO")</f>
        <v>CHINCHILLAS ELDORADO SRL</v>
      </c>
      <c r="H76" s="46">
        <v>43136.36</v>
      </c>
      <c r="I76" s="85">
        <f>IF(compras_mes12[[#This Row],[NETO GRAVADO]]="","",compras_mes12[[#This Row],[NETO GRAVADO]]*0.21)</f>
        <v>9058.6355999999996</v>
      </c>
      <c r="J76" s="85"/>
      <c r="K76" s="85"/>
      <c r="L76" s="85"/>
      <c r="M76" s="85"/>
      <c r="N76" s="85"/>
      <c r="O76" s="85"/>
      <c r="P76" s="48">
        <f>SUM(compras_mes12[[#This Row],[NETO GRAVADO]:[Otros / No Grav.]])</f>
        <v>52194.995600000002</v>
      </c>
      <c r="Q76" s="45" t="s">
        <v>2699</v>
      </c>
      <c r="R76" s="49">
        <f>IFERROR(IF(compras_mes12[[#This Row],[CUIT]]="","-",VLOOKUP(compras_mes12[[#This Row],[CUIT]],Lista_CUIT[#All],4,0)),"CUIT NO CARGADO")</f>
        <v>0</v>
      </c>
    </row>
    <row r="77" spans="2:18">
      <c r="B77" s="40" t="s">
        <v>2612</v>
      </c>
      <c r="C77" s="41">
        <v>1</v>
      </c>
      <c r="D77" s="42">
        <v>2188</v>
      </c>
      <c r="E77" s="43">
        <v>137109</v>
      </c>
      <c r="F77" s="44">
        <v>30548083156</v>
      </c>
      <c r="G77" s="45" t="str">
        <f>IFERROR(IF(compras_mes12[[#This Row],[CUIT]]="","-",VLOOKUP(compras_mes12[[#This Row],[CUIT]],Lista_CUIT[#All],2,0)),"CUIT NO CARGADO")</f>
        <v>COTO CENTRO INTEGRAL DE COMERCIALIZACION SOCIEDAD ANONIMA</v>
      </c>
      <c r="H77" s="46">
        <v>90993.59</v>
      </c>
      <c r="I77" s="85">
        <v>16021.54</v>
      </c>
      <c r="J77" s="85"/>
      <c r="K77" s="85">
        <v>1543.56</v>
      </c>
      <c r="L77" s="85"/>
      <c r="M77" s="85"/>
      <c r="N77" s="85"/>
      <c r="O77" s="85">
        <v>7155.82</v>
      </c>
      <c r="P77" s="48">
        <f>SUM(compras_mes12[[#This Row],[NETO GRAVADO]:[Otros / No Grav.]])</f>
        <v>115714.51000000001</v>
      </c>
      <c r="Q77" s="45" t="str">
        <f>IFERROR(IF(compras_mes12[[#This Row],[CUIT]]="","-",VLOOKUP(compras_mes12[[#This Row],[CUIT]],Lista_CUIT[#All],3,0)),"CUIT NO CARGADO")</f>
        <v>Gastos Varios</v>
      </c>
      <c r="R77" s="49">
        <f>IFERROR(IF(compras_mes12[[#This Row],[CUIT]]="","-",VLOOKUP(compras_mes12[[#This Row],[CUIT]],Lista_CUIT[#All],4,0)),"CUIT NO CARGADO")</f>
        <v>0</v>
      </c>
    </row>
    <row r="78" spans="2:18">
      <c r="B78" s="40" t="s">
        <v>2612</v>
      </c>
      <c r="C78" s="41">
        <v>1</v>
      </c>
      <c r="D78" s="42">
        <v>503</v>
      </c>
      <c r="E78" s="43">
        <v>1598980</v>
      </c>
      <c r="F78" s="44">
        <v>30639935872</v>
      </c>
      <c r="G78" s="45" t="str">
        <f>IFERROR(IF(compras_mes12[[#This Row],[CUIT]]="","-",VLOOKUP(compras_mes12[[#This Row],[CUIT]],Lista_CUIT[#All],2,0)),"CUIT NO CARGADO")</f>
        <v>CAMINOS DEL RIO URUGUAY S A DE CONSTRUCCIONES Y CONCESIONES VIALES</v>
      </c>
      <c r="H78" s="46">
        <v>3236.5</v>
      </c>
      <c r="I78" s="85">
        <f>IF(compras_mes12[[#This Row],[NETO GRAVADO]]="","",compras_mes12[[#This Row],[NETO GRAVADO]]*0.21)</f>
        <v>679.66499999999996</v>
      </c>
      <c r="J78" s="85"/>
      <c r="K78" s="85"/>
      <c r="L78" s="85"/>
      <c r="M78" s="85"/>
      <c r="N78" s="85"/>
      <c r="O78" s="85">
        <v>194.19</v>
      </c>
      <c r="P78" s="48">
        <f>SUM(compras_mes12[[#This Row],[NETO GRAVADO]:[Otros / No Grav.]])</f>
        <v>4110.3549999999996</v>
      </c>
      <c r="Q78" s="45" t="str">
        <f>IFERROR(IF(compras_mes12[[#This Row],[CUIT]]="","-",VLOOKUP(compras_mes12[[#This Row],[CUIT]],Lista_CUIT[#All],3,0)),"CUIT NO CARGADO")</f>
        <v>Peajes</v>
      </c>
      <c r="R78" s="49">
        <f>IFERROR(IF(compras_mes12[[#This Row],[CUIT]]="","-",VLOOKUP(compras_mes12[[#This Row],[CUIT]],Lista_CUIT[#All],4,0)),"CUIT NO CARGADO")</f>
        <v>0</v>
      </c>
    </row>
    <row r="79" spans="2:18">
      <c r="B79" s="40" t="s">
        <v>2628</v>
      </c>
      <c r="C79" s="41">
        <v>1</v>
      </c>
      <c r="D79" s="42">
        <v>1675</v>
      </c>
      <c r="E79" s="43">
        <v>10571</v>
      </c>
      <c r="F79" s="44">
        <v>30589621499</v>
      </c>
      <c r="G79" s="45" t="str">
        <f>IFERROR(IF(compras_mes12[[#This Row],[CUIT]]="","-",VLOOKUP(compras_mes12[[#This Row],[CUIT]],Lista_CUIT[#All],2,0)),"CUIT NO CARGADO")</f>
        <v>MAKRO SA</v>
      </c>
      <c r="H79" s="46">
        <v>32643.05</v>
      </c>
      <c r="I79" s="85">
        <f>IF(compras_mes12[[#This Row],[NETO GRAVADO]]="","",compras_mes12[[#This Row],[NETO GRAVADO]]*0.21)</f>
        <v>6855.0404999999992</v>
      </c>
      <c r="J79" s="85"/>
      <c r="K79" s="85"/>
      <c r="L79" s="85">
        <v>979.29</v>
      </c>
      <c r="M79" s="85"/>
      <c r="N79" s="85">
        <v>1958.58</v>
      </c>
      <c r="O79" s="85"/>
      <c r="P79" s="48">
        <f>SUM(compras_mes12[[#This Row],[NETO GRAVADO]:[Otros / No Grav.]])</f>
        <v>42435.960500000001</v>
      </c>
      <c r="Q79" s="45" t="str">
        <f>IFERROR(IF(compras_mes12[[#This Row],[CUIT]]="","-",VLOOKUP(compras_mes12[[#This Row],[CUIT]],Lista_CUIT[#All],3,0)),"CUIT NO CARGADO")</f>
        <v>Gastos Varios</v>
      </c>
      <c r="R79" s="49">
        <f>IFERROR(IF(compras_mes12[[#This Row],[CUIT]]="","-",VLOOKUP(compras_mes12[[#This Row],[CUIT]],Lista_CUIT[#All],4,0)),"CUIT NO CARGADO")</f>
        <v>0</v>
      </c>
    </row>
    <row r="80" spans="2:18">
      <c r="B80" s="40" t="s">
        <v>2628</v>
      </c>
      <c r="C80" s="41">
        <v>1</v>
      </c>
      <c r="D80" s="42">
        <v>104</v>
      </c>
      <c r="E80" s="43">
        <v>7429875</v>
      </c>
      <c r="F80" s="44">
        <v>30715804812</v>
      </c>
      <c r="G80" s="45" t="str">
        <f>IFERROR(IF(compras_mes12[[#This Row],[CUIT]]="","-",VLOOKUP(compras_mes12[[#This Row],[CUIT]],Lista_CUIT[#All],2,0)),"CUIT NO CARGADO")</f>
        <v>CORREDORES VIALES SOCIEDAD ANONIMA</v>
      </c>
      <c r="H80" s="46">
        <v>2008.86</v>
      </c>
      <c r="I80" s="85">
        <f>IF(compras_mes12[[#This Row],[NETO GRAVADO]]="","",compras_mes12[[#This Row],[NETO GRAVADO]]*0.21)</f>
        <v>421.86059999999998</v>
      </c>
      <c r="J80" s="85"/>
      <c r="K80" s="85"/>
      <c r="L80" s="85"/>
      <c r="M80" s="85"/>
      <c r="N80" s="85"/>
      <c r="O80" s="85">
        <v>120.53</v>
      </c>
      <c r="P80" s="48">
        <f>SUM(compras_mes12[[#This Row],[NETO GRAVADO]:[Otros / No Grav.]])</f>
        <v>2551.2505999999998</v>
      </c>
      <c r="Q80" s="45" t="str">
        <f>IFERROR(IF(compras_mes12[[#This Row],[CUIT]]="","-",VLOOKUP(compras_mes12[[#This Row],[CUIT]],Lista_CUIT[#All],3,0)),"CUIT NO CARGADO")</f>
        <v>Peajes</v>
      </c>
      <c r="R80" s="49">
        <f>IFERROR(IF(compras_mes12[[#This Row],[CUIT]]="","-",VLOOKUP(compras_mes12[[#This Row],[CUIT]],Lista_CUIT[#All],4,0)),"CUIT NO CARGADO")</f>
        <v>0</v>
      </c>
    </row>
    <row r="81" spans="2:18">
      <c r="B81" s="40" t="s">
        <v>2628</v>
      </c>
      <c r="C81" s="41">
        <v>1</v>
      </c>
      <c r="D81" s="42">
        <v>104</v>
      </c>
      <c r="E81" s="43">
        <v>7446237</v>
      </c>
      <c r="F81" s="44">
        <v>30715804812</v>
      </c>
      <c r="G81" s="45" t="str">
        <f>IFERROR(IF(compras_mes12[[#This Row],[CUIT]]="","-",VLOOKUP(compras_mes12[[#This Row],[CUIT]],Lista_CUIT[#All],2,0)),"CUIT NO CARGADO")</f>
        <v>CORREDORES VIALES SOCIEDAD ANONIMA</v>
      </c>
      <c r="H81" s="46">
        <v>1039.98</v>
      </c>
      <c r="I81" s="85">
        <f>IF(compras_mes12[[#This Row],[NETO GRAVADO]]="","",compras_mes12[[#This Row],[NETO GRAVADO]]*0.21)</f>
        <v>218.39580000000001</v>
      </c>
      <c r="J81" s="85"/>
      <c r="K81" s="85"/>
      <c r="L81" s="85"/>
      <c r="M81" s="85">
        <v>62.4</v>
      </c>
      <c r="N81" s="85"/>
      <c r="O81" s="85"/>
      <c r="P81" s="48">
        <f>SUM(compras_mes12[[#This Row],[NETO GRAVADO]:[Otros / No Grav.]])</f>
        <v>1320.7758000000001</v>
      </c>
      <c r="Q81" s="45" t="str">
        <f>IFERROR(IF(compras_mes12[[#This Row],[CUIT]]="","-",VLOOKUP(compras_mes12[[#This Row],[CUIT]],Lista_CUIT[#All],3,0)),"CUIT NO CARGADO")</f>
        <v>Peajes</v>
      </c>
      <c r="R81" s="49">
        <f>IFERROR(IF(compras_mes12[[#This Row],[CUIT]]="","-",VLOOKUP(compras_mes12[[#This Row],[CUIT]],Lista_CUIT[#All],4,0)),"CUIT NO CARGADO")</f>
        <v>0</v>
      </c>
    </row>
    <row r="82" spans="2:18">
      <c r="B82" s="40" t="s">
        <v>2629</v>
      </c>
      <c r="C82" s="41">
        <v>1</v>
      </c>
      <c r="D82" s="42">
        <v>113</v>
      </c>
      <c r="E82" s="43">
        <v>3968523</v>
      </c>
      <c r="F82" s="44">
        <v>30577207190</v>
      </c>
      <c r="G82" s="45" t="str">
        <f>IFERROR(IF(compras_mes12[[#This Row],[CUIT]]="","-",VLOOKUP(compras_mes12[[#This Row],[CUIT]],Lista_CUIT[#All],2,0)),"CUIT NO CARGADO")</f>
        <v>COORDINACION ECOLOGICA AREA METROPOLITANA SOCIEDAD DEL ESTADO</v>
      </c>
      <c r="H82" s="46">
        <v>3966.94</v>
      </c>
      <c r="I82" s="85">
        <f>IF(compras_mes12[[#This Row],[NETO GRAVADO]]="","",compras_mes12[[#This Row],[NETO GRAVADO]]*0.21)</f>
        <v>833.05740000000003</v>
      </c>
      <c r="J82" s="85"/>
      <c r="K82" s="85"/>
      <c r="L82" s="85">
        <v>119.01</v>
      </c>
      <c r="M82" s="85"/>
      <c r="N82" s="85"/>
      <c r="O82" s="85"/>
      <c r="P82" s="48">
        <f>SUM(compras_mes12[[#This Row],[NETO GRAVADO]:[Otros / No Grav.]])</f>
        <v>4919.0074000000004</v>
      </c>
      <c r="Q82" s="45" t="str">
        <f>IFERROR(IF(compras_mes12[[#This Row],[CUIT]]="","-",VLOOKUP(compras_mes12[[#This Row],[CUIT]],Lista_CUIT[#All],3,0)),"CUIT NO CARGADO")</f>
        <v>Gastos Limpieza</v>
      </c>
      <c r="R82" s="49">
        <f>IFERROR(IF(compras_mes12[[#This Row],[CUIT]]="","-",VLOOKUP(compras_mes12[[#This Row],[CUIT]],Lista_CUIT[#All],4,0)),"CUIT NO CARGADO")</f>
        <v>0</v>
      </c>
    </row>
    <row r="83" spans="2:18">
      <c r="B83" s="40" t="s">
        <v>2630</v>
      </c>
      <c r="C83" s="41">
        <v>3</v>
      </c>
      <c r="D83" s="42">
        <v>2</v>
      </c>
      <c r="E83" s="43">
        <v>80</v>
      </c>
      <c r="F83" s="44">
        <v>30629863571</v>
      </c>
      <c r="G83" s="45" t="str">
        <f>IFERROR(IF(compras_mes12[[#This Row],[CUIT]]="","-",VLOOKUP(compras_mes12[[#This Row],[CUIT]],Lista_CUIT[#All],2,0)),"CUIT NO CARGADO")</f>
        <v>TECNIMAR S R L</v>
      </c>
      <c r="H83" s="46">
        <v>-89848.81</v>
      </c>
      <c r="I83" s="85">
        <f>IF(compras_mes12[[#This Row],[NETO GRAVADO]]="","",compras_mes12[[#This Row],[NETO GRAVADO]]*0.21)</f>
        <v>-18868.250099999997</v>
      </c>
      <c r="J83" s="85"/>
      <c r="K83" s="85"/>
      <c r="L83" s="85"/>
      <c r="M83" s="85"/>
      <c r="N83" s="85"/>
      <c r="O83" s="85"/>
      <c r="P83" s="48">
        <f>SUM(compras_mes12[[#This Row],[NETO GRAVADO]:[Otros / No Grav.]])</f>
        <v>-108717.0601</v>
      </c>
      <c r="Q83" s="45" t="str">
        <f>IFERROR(IF(compras_mes12[[#This Row],[CUIT]]="","-",VLOOKUP(compras_mes12[[#This Row],[CUIT]],Lista_CUIT[#All],3,0)),"CUIT NO CARGADO")</f>
        <v>Productos Venta</v>
      </c>
      <c r="R83" s="49">
        <f>IFERROR(IF(compras_mes12[[#This Row],[CUIT]]="","-",VLOOKUP(compras_mes12[[#This Row],[CUIT]],Lista_CUIT[#All],4,0)),"CUIT NO CARGADO")</f>
        <v>0</v>
      </c>
    </row>
    <row r="84" spans="2:18">
      <c r="B84" s="40" t="s">
        <v>2630</v>
      </c>
      <c r="C84" s="41">
        <v>1</v>
      </c>
      <c r="D84" s="42">
        <v>2</v>
      </c>
      <c r="E84" s="43">
        <v>3912</v>
      </c>
      <c r="F84" s="44">
        <v>30629863571</v>
      </c>
      <c r="G84" s="45" t="str">
        <f>IFERROR(IF(compras_mes12[[#This Row],[CUIT]]="","-",VLOOKUP(compras_mes12[[#This Row],[CUIT]],Lista_CUIT[#All],2,0)),"CUIT NO CARGADO")</f>
        <v>TECNIMAR S R L</v>
      </c>
      <c r="H84" s="46">
        <v>2156477.81</v>
      </c>
      <c r="I84" s="85">
        <f>IF(compras_mes12[[#This Row],[NETO GRAVADO]]="","",compras_mes12[[#This Row],[NETO GRAVADO]]*0.21)</f>
        <v>452860.34009999997</v>
      </c>
      <c r="J84" s="85"/>
      <c r="K84" s="85"/>
      <c r="L84" s="85"/>
      <c r="M84" s="85"/>
      <c r="N84" s="85"/>
      <c r="O84" s="85"/>
      <c r="P84" s="48">
        <f>SUM(compras_mes12[[#This Row],[NETO GRAVADO]:[Otros / No Grav.]])</f>
        <v>2609338.1501000002</v>
      </c>
      <c r="Q84" s="45" t="str">
        <f>IFERROR(IF(compras_mes12[[#This Row],[CUIT]]="","-",VLOOKUP(compras_mes12[[#This Row],[CUIT]],Lista_CUIT[#All],3,0)),"CUIT NO CARGADO")</f>
        <v>Productos Venta</v>
      </c>
      <c r="R84" s="49">
        <f>IFERROR(IF(compras_mes12[[#This Row],[CUIT]]="","-",VLOOKUP(compras_mes12[[#This Row],[CUIT]],Lista_CUIT[#All],4,0)),"CUIT NO CARGADO")</f>
        <v>0</v>
      </c>
    </row>
    <row r="85" spans="2:18">
      <c r="B85" s="40" t="s">
        <v>2630</v>
      </c>
      <c r="C85" s="41">
        <v>1</v>
      </c>
      <c r="D85" s="42">
        <v>2</v>
      </c>
      <c r="E85" s="43">
        <v>3913</v>
      </c>
      <c r="F85" s="44">
        <v>30629863571</v>
      </c>
      <c r="G85" s="45" t="str">
        <f>IFERROR(IF(compras_mes12[[#This Row],[CUIT]]="","-",VLOOKUP(compras_mes12[[#This Row],[CUIT]],Lista_CUIT[#All],2,0)),"CUIT NO CARGADO")</f>
        <v>TECNIMAR S R L</v>
      </c>
      <c r="H85" s="46">
        <v>86100</v>
      </c>
      <c r="I85" s="85">
        <f>IF(compras_mes12[[#This Row],[NETO GRAVADO]]="","",compras_mes12[[#This Row],[NETO GRAVADO]]*0.21)</f>
        <v>18081</v>
      </c>
      <c r="J85" s="85"/>
      <c r="K85" s="85"/>
      <c r="L85" s="85"/>
      <c r="M85" s="85"/>
      <c r="N85" s="85"/>
      <c r="O85" s="85"/>
      <c r="P85" s="48">
        <f>SUM(compras_mes12[[#This Row],[NETO GRAVADO]:[Otros / No Grav.]])</f>
        <v>104181</v>
      </c>
      <c r="Q85" s="45" t="str">
        <f>IFERROR(IF(compras_mes12[[#This Row],[CUIT]]="","-",VLOOKUP(compras_mes12[[#This Row],[CUIT]],Lista_CUIT[#All],3,0)),"CUIT NO CARGADO")</f>
        <v>Productos Venta</v>
      </c>
      <c r="R85" s="49">
        <f>IFERROR(IF(compras_mes12[[#This Row],[CUIT]]="","-",VLOOKUP(compras_mes12[[#This Row],[CUIT]],Lista_CUIT[#All],4,0)),"CUIT NO CARGADO")</f>
        <v>0</v>
      </c>
    </row>
    <row r="86" spans="2:18">
      <c r="B86" s="40" t="s">
        <v>2630</v>
      </c>
      <c r="C86" s="41">
        <v>1</v>
      </c>
      <c r="D86" s="42">
        <v>2</v>
      </c>
      <c r="E86" s="43">
        <v>3914</v>
      </c>
      <c r="F86" s="44">
        <v>30629863571</v>
      </c>
      <c r="G86" s="45" t="str">
        <f>IFERROR(IF(compras_mes12[[#This Row],[CUIT]]="","-",VLOOKUP(compras_mes12[[#This Row],[CUIT]],Lista_CUIT[#All],2,0)),"CUIT NO CARGADO")</f>
        <v>TECNIMAR S R L</v>
      </c>
      <c r="H86" s="46">
        <v>34240</v>
      </c>
      <c r="I86" s="85">
        <f>IF(compras_mes12[[#This Row],[NETO GRAVADO]]="","",compras_mes12[[#This Row],[NETO GRAVADO]]*0.21)</f>
        <v>7190.4</v>
      </c>
      <c r="J86" s="85"/>
      <c r="K86" s="85"/>
      <c r="L86" s="85"/>
      <c r="M86" s="85"/>
      <c r="N86" s="85"/>
      <c r="O86" s="85"/>
      <c r="P86" s="48">
        <f>SUM(compras_mes12[[#This Row],[NETO GRAVADO]:[Otros / No Grav.]])</f>
        <v>41430.400000000001</v>
      </c>
      <c r="Q86" s="45" t="str">
        <f>IFERROR(IF(compras_mes12[[#This Row],[CUIT]]="","-",VLOOKUP(compras_mes12[[#This Row],[CUIT]],Lista_CUIT[#All],3,0)),"CUIT NO CARGADO")</f>
        <v>Productos Venta</v>
      </c>
      <c r="R86" s="49">
        <f>IFERROR(IF(compras_mes12[[#This Row],[CUIT]]="","-",VLOOKUP(compras_mes12[[#This Row],[CUIT]],Lista_CUIT[#All],4,0)),"CUIT NO CARGADO")</f>
        <v>0</v>
      </c>
    </row>
    <row r="87" spans="2:18">
      <c r="B87" s="40" t="s">
        <v>2630</v>
      </c>
      <c r="C87" s="41">
        <v>1</v>
      </c>
      <c r="D87" s="42">
        <v>14</v>
      </c>
      <c r="E87" s="43">
        <v>15413</v>
      </c>
      <c r="F87" s="44">
        <v>30715186256</v>
      </c>
      <c r="G87" s="45" t="str">
        <f>IFERROR(IF(compras_mes12[[#This Row],[CUIT]]="","-",VLOOKUP(compras_mes12[[#This Row],[CUIT]],Lista_CUIT[#All],2,0)),"CUIT NO CARGADO")</f>
        <v>FRIGORIFICO ALIMENTIC</v>
      </c>
      <c r="H87" s="46">
        <v>66094.820000000007</v>
      </c>
      <c r="I87" s="85">
        <v>3777.05</v>
      </c>
      <c r="J87" s="85"/>
      <c r="K87" s="85">
        <v>5051.43</v>
      </c>
      <c r="L87" s="85"/>
      <c r="M87" s="85"/>
      <c r="N87" s="85"/>
      <c r="O87" s="85"/>
      <c r="P87" s="48">
        <f>SUM(compras_mes12[[#This Row],[NETO GRAVADO]:[Otros / No Grav.]])</f>
        <v>74923.300000000017</v>
      </c>
      <c r="Q87" s="45" t="str">
        <f>IFERROR(IF(compras_mes12[[#This Row],[CUIT]]="","-",VLOOKUP(compras_mes12[[#This Row],[CUIT]],Lista_CUIT[#All],3,0)),"CUIT NO CARGADO")</f>
        <v>Gastos Comercializacion - Feria</v>
      </c>
      <c r="R87" s="49">
        <f>IFERROR(IF(compras_mes12[[#This Row],[CUIT]]="","-",VLOOKUP(compras_mes12[[#This Row],[CUIT]],Lista_CUIT[#All],4,0)),"CUIT NO CARGADO")</f>
        <v>0</v>
      </c>
    </row>
    <row r="88" spans="2:18">
      <c r="B88" s="40" t="s">
        <v>2630</v>
      </c>
      <c r="C88" s="41">
        <v>1</v>
      </c>
      <c r="D88" s="42">
        <v>1004</v>
      </c>
      <c r="E88" s="43">
        <v>17929</v>
      </c>
      <c r="F88" s="44">
        <v>30712289046</v>
      </c>
      <c r="G88" s="45" t="str">
        <f>IFERROR(IF(compras_mes12[[#This Row],[CUIT]]="","-",VLOOKUP(compras_mes12[[#This Row],[CUIT]],Lista_CUIT[#All],2,0)),"CUIT NO CARGADO")</f>
        <v>IMPIERI PIÑEIRO RIZZO Y ASOC SA</v>
      </c>
      <c r="H88" s="46">
        <v>8996.91</v>
      </c>
      <c r="I88" s="85">
        <f>IF(compras_mes12[[#This Row],[NETO GRAVADO]]="","",compras_mes12[[#This Row],[NETO GRAVADO]]*0.21)</f>
        <v>1889.3510999999999</v>
      </c>
      <c r="J88" s="85"/>
      <c r="K88" s="85"/>
      <c r="L88" s="85"/>
      <c r="M88" s="85"/>
      <c r="N88" s="85"/>
      <c r="O88" s="85">
        <v>2116.8000000000002</v>
      </c>
      <c r="P88" s="48">
        <f>SUM(compras_mes12[[#This Row],[NETO GRAVADO]:[Otros / No Grav.]])</f>
        <v>13003.061099999999</v>
      </c>
      <c r="Q88" s="45" t="str">
        <f>IFERROR(IF(compras_mes12[[#This Row],[CUIT]]="","-",VLOOKUP(compras_mes12[[#This Row],[CUIT]],Lista_CUIT[#All],3,0)),"CUIT NO CARGADO")</f>
        <v>Gastos Varios</v>
      </c>
      <c r="R88" s="49">
        <f>IFERROR(IF(compras_mes12[[#This Row],[CUIT]]="","-",VLOOKUP(compras_mes12[[#This Row],[CUIT]],Lista_CUIT[#All],4,0)),"CUIT NO CARGADO")</f>
        <v>0</v>
      </c>
    </row>
    <row r="89" spans="2:18">
      <c r="B89" s="40" t="s">
        <v>2630</v>
      </c>
      <c r="C89" s="41">
        <v>1</v>
      </c>
      <c r="D89" s="42">
        <v>4</v>
      </c>
      <c r="E89" s="43">
        <v>48405</v>
      </c>
      <c r="F89" s="44">
        <v>30709863076</v>
      </c>
      <c r="G89" s="45" t="str">
        <f>IFERROR(IF(compras_mes12[[#This Row],[CUIT]]="","-",VLOOKUP(compras_mes12[[#This Row],[CUIT]],Lista_CUIT[#All],2,0)),"CUIT NO CARGADO")</f>
        <v>INDUSTRIAS PLASTICOS SALTA S.R.L.</v>
      </c>
      <c r="H89" s="46">
        <v>670500</v>
      </c>
      <c r="I89" s="85">
        <f>IF(compras_mes12[[#This Row],[NETO GRAVADO]]="","",compras_mes12[[#This Row],[NETO GRAVADO]]*0.21)</f>
        <v>140805</v>
      </c>
      <c r="J89" s="85"/>
      <c r="K89" s="85"/>
      <c r="L89" s="85"/>
      <c r="M89" s="85"/>
      <c r="N89" s="85"/>
      <c r="O89" s="85"/>
      <c r="P89" s="48">
        <f>SUM(compras_mes12[[#This Row],[NETO GRAVADO]:[Otros / No Grav.]])</f>
        <v>811305</v>
      </c>
      <c r="Q89" s="45" t="str">
        <f>IFERROR(IF(compras_mes12[[#This Row],[CUIT]]="","-",VLOOKUP(compras_mes12[[#This Row],[CUIT]],Lista_CUIT[#All],3,0)),"CUIT NO CARGADO")</f>
        <v>Materia Prima</v>
      </c>
      <c r="R89" s="49">
        <f>IFERROR(IF(compras_mes12[[#This Row],[CUIT]]="","-",VLOOKUP(compras_mes12[[#This Row],[CUIT]],Lista_CUIT[#All],4,0)),"CUIT NO CARGADO")</f>
        <v>0</v>
      </c>
    </row>
    <row r="90" spans="2:18">
      <c r="B90" s="497">
        <v>45642</v>
      </c>
      <c r="C90" s="498">
        <v>1</v>
      </c>
      <c r="D90" s="499">
        <v>12</v>
      </c>
      <c r="E90" s="500">
        <v>54799</v>
      </c>
      <c r="F90" s="501">
        <v>30696131003</v>
      </c>
      <c r="G90" s="502" t="str">
        <f>IFERROR(IF(compras_mes12[[#This Row],[CUIT]]="","-",VLOOKUP(compras_mes12[[#This Row],[CUIT]],Lista_CUIT[#All],2,0)),"CUIT NO CARGADO")</f>
        <v>Petrolfe S.A.</v>
      </c>
      <c r="H90" s="503">
        <v>134509.0859375</v>
      </c>
      <c r="I90" s="504">
        <f>IF(compras_mes12[[#This Row],[NETO GRAVADO]]="","",compras_mes12[[#This Row],[NETO GRAVADO]]*0.21)</f>
        <v>28246.908046875</v>
      </c>
      <c r="J90" s="504"/>
      <c r="K90" s="504"/>
      <c r="L90" s="504"/>
      <c r="M90" s="504"/>
      <c r="N90" s="504"/>
      <c r="O90" s="504">
        <v>22514.869140625</v>
      </c>
      <c r="P90" s="505">
        <f>SUM(compras_mes12[[#This Row],[NETO GRAVADO]:[Otros / No Grav.]])</f>
        <v>185270.863125</v>
      </c>
      <c r="Q90" s="502" t="str">
        <f>IFERROR(IF(compras_mes12[[#This Row],[CUIT]]="","-",VLOOKUP(compras_mes12[[#This Row],[CUIT]],Lista_CUIT[#All],3,0)),"CUIT NO CARGADO")</f>
        <v>Combustible</v>
      </c>
      <c r="R90" s="506">
        <f>IFERROR(IF(compras_mes12[[#This Row],[CUIT]]="","-",VLOOKUP(compras_mes12[[#This Row],[CUIT]],Lista_CUIT[#All],4,0)),"CUIT NO CARGADO")</f>
        <v>0</v>
      </c>
    </row>
    <row r="91" spans="2:18">
      <c r="B91" s="40" t="s">
        <v>2630</v>
      </c>
      <c r="C91" s="41">
        <v>1</v>
      </c>
      <c r="D91" s="42">
        <v>5015</v>
      </c>
      <c r="E91" s="43">
        <v>676490</v>
      </c>
      <c r="F91" s="44">
        <v>30574876474</v>
      </c>
      <c r="G91" s="45" t="str">
        <f>IFERROR(IF(compras_mes12[[#This Row],[CUIT]]="","-",VLOOKUP(compras_mes12[[#This Row],[CUIT]],Lista_CUIT[#All],2,0)),"CUIT NO CARGADO")</f>
        <v>AUTOPISTAS URBANAS S A</v>
      </c>
      <c r="H91" s="46">
        <v>94284.91</v>
      </c>
      <c r="I91" s="85">
        <f>IF(compras_mes12[[#This Row],[NETO GRAVADO]]="","",compras_mes12[[#This Row],[NETO GRAVADO]]*0.21)</f>
        <v>19799.831099999999</v>
      </c>
      <c r="J91" s="85"/>
      <c r="K91" s="85"/>
      <c r="L91" s="85"/>
      <c r="M91" s="85"/>
      <c r="N91" s="85"/>
      <c r="O91" s="85">
        <v>12257.01</v>
      </c>
      <c r="P91" s="48">
        <f>SUM(compras_mes12[[#This Row],[NETO GRAVADO]:[Otros / No Grav.]])</f>
        <v>126341.75109999999</v>
      </c>
      <c r="Q91" s="45" t="str">
        <f>IFERROR(IF(compras_mes12[[#This Row],[CUIT]]="","-",VLOOKUP(compras_mes12[[#This Row],[CUIT]],Lista_CUIT[#All],3,0)),"CUIT NO CARGADO")</f>
        <v>Peajes</v>
      </c>
      <c r="R91" s="49">
        <f>IFERROR(IF(compras_mes12[[#This Row],[CUIT]]="","-",VLOOKUP(compras_mes12[[#This Row],[CUIT]],Lista_CUIT[#All],4,0)),"CUIT NO CARGADO")</f>
        <v>0</v>
      </c>
    </row>
    <row r="92" spans="2:18">
      <c r="B92" s="40" t="s">
        <v>2630</v>
      </c>
      <c r="C92" s="41">
        <v>1</v>
      </c>
      <c r="D92" s="42">
        <v>50</v>
      </c>
      <c r="E92" s="43">
        <v>3976386</v>
      </c>
      <c r="F92" s="44">
        <v>30714112836</v>
      </c>
      <c r="G92" s="45" t="str">
        <f>IFERROR(IF(compras_mes12[[#This Row],[CUIT]]="","-",VLOOKUP(compras_mes12[[#This Row],[CUIT]],Lista_CUIT[#All],2,0)),"CUIT NO CARGADO")</f>
        <v>AUTOPISTAS DE BS AS</v>
      </c>
      <c r="H92" s="46">
        <v>21830.58</v>
      </c>
      <c r="I92" s="85">
        <f>IF(compras_mes12[[#This Row],[NETO GRAVADO]]="","",compras_mes12[[#This Row],[NETO GRAVADO]]*0.21)</f>
        <v>4584.4218000000001</v>
      </c>
      <c r="J92" s="85"/>
      <c r="K92" s="85"/>
      <c r="L92" s="85">
        <v>654.91999999999996</v>
      </c>
      <c r="M92" s="85"/>
      <c r="N92" s="85"/>
      <c r="O92" s="85"/>
      <c r="P92" s="48">
        <f>SUM(compras_mes12[[#This Row],[NETO GRAVADO]:[Otros / No Grav.]])</f>
        <v>27069.9218</v>
      </c>
      <c r="Q92" s="45" t="str">
        <f>IFERROR(IF(compras_mes12[[#This Row],[CUIT]]="","-",VLOOKUP(compras_mes12[[#This Row],[CUIT]],Lista_CUIT[#All],3,0)),"CUIT NO CARGADO")</f>
        <v>Peajes</v>
      </c>
      <c r="R92" s="49">
        <f>IFERROR(IF(compras_mes12[[#This Row],[CUIT]]="","-",VLOOKUP(compras_mes12[[#This Row],[CUIT]],Lista_CUIT[#All],4,0)),"CUIT NO CARGADO")</f>
        <v>0</v>
      </c>
    </row>
    <row r="93" spans="2:18">
      <c r="B93" s="40" t="s">
        <v>2630</v>
      </c>
      <c r="C93" s="41">
        <v>1</v>
      </c>
      <c r="D93" s="42">
        <v>629</v>
      </c>
      <c r="E93" s="43">
        <v>5699407</v>
      </c>
      <c r="F93" s="44">
        <v>30663498513</v>
      </c>
      <c r="G93" s="45" t="str">
        <f>IFERROR(IF(compras_mes12[[#This Row],[CUIT]]="","-",VLOOKUP(compras_mes12[[#This Row],[CUIT]],Lista_CUIT[#All],2,0)),"CUIT NO CARGADO")</f>
        <v>GRUPO CONCES. DEL OESTE SA</v>
      </c>
      <c r="H93" s="46">
        <v>30625.62</v>
      </c>
      <c r="I93" s="85">
        <f>IF(compras_mes12[[#This Row],[NETO GRAVADO]]="","",compras_mes12[[#This Row],[NETO GRAVADO]]*0.21)</f>
        <v>6431.3801999999996</v>
      </c>
      <c r="J93" s="85"/>
      <c r="K93" s="85"/>
      <c r="L93" s="85"/>
      <c r="M93" s="85"/>
      <c r="N93" s="85"/>
      <c r="O93" s="85"/>
      <c r="P93" s="48">
        <f>SUM(compras_mes12[[#This Row],[NETO GRAVADO]:[Otros / No Grav.]])</f>
        <v>37057.000199999995</v>
      </c>
      <c r="Q93" s="45" t="str">
        <f>IFERROR(IF(compras_mes12[[#This Row],[CUIT]]="","-",VLOOKUP(compras_mes12[[#This Row],[CUIT]],Lista_CUIT[#All],3,0)),"CUIT NO CARGADO")</f>
        <v>Peajes</v>
      </c>
      <c r="R93" s="49">
        <f>IFERROR(IF(compras_mes12[[#This Row],[CUIT]]="","-",VLOOKUP(compras_mes12[[#This Row],[CUIT]],Lista_CUIT[#All],4,0)),"CUIT NO CARGADO")</f>
        <v>0</v>
      </c>
    </row>
    <row r="94" spans="2:18">
      <c r="B94" s="40" t="s">
        <v>2630</v>
      </c>
      <c r="C94" s="41">
        <v>1</v>
      </c>
      <c r="D94" s="42">
        <v>711</v>
      </c>
      <c r="E94" s="43">
        <v>6520630</v>
      </c>
      <c r="F94" s="44">
        <v>30677237119</v>
      </c>
      <c r="G94" s="45" t="str">
        <f>IFERROR(IF(compras_mes12[[#This Row],[CUIT]]="","-",VLOOKUP(compras_mes12[[#This Row],[CUIT]],Lista_CUIT[#All],2,0)),"CUIT NO CARGADO")</f>
        <v>AUTOPISTAS DEL SOL S A</v>
      </c>
      <c r="H94" s="46">
        <v>12382.93</v>
      </c>
      <c r="I94" s="85">
        <f>IF(compras_mes12[[#This Row],[NETO GRAVADO]]="","",compras_mes12[[#This Row],[NETO GRAVADO]]*0.21)</f>
        <v>2600.4153000000001</v>
      </c>
      <c r="J94" s="85"/>
      <c r="K94" s="85"/>
      <c r="L94" s="85">
        <v>371.49</v>
      </c>
      <c r="M94" s="85"/>
      <c r="N94" s="85"/>
      <c r="O94" s="85">
        <v>371.49</v>
      </c>
      <c r="P94" s="48">
        <f>SUM(compras_mes12[[#This Row],[NETO GRAVADO]:[Otros / No Grav.]])</f>
        <v>15726.3253</v>
      </c>
      <c r="Q94" s="45" t="str">
        <f>IFERROR(IF(compras_mes12[[#This Row],[CUIT]]="","-",VLOOKUP(compras_mes12[[#This Row],[CUIT]],Lista_CUIT[#All],3,0)),"CUIT NO CARGADO")</f>
        <v>Peajes</v>
      </c>
      <c r="R94" s="49">
        <f>IFERROR(IF(compras_mes12[[#This Row],[CUIT]]="","-",VLOOKUP(compras_mes12[[#This Row],[CUIT]],Lista_CUIT[#All],4,0)),"CUIT NO CARGADO")</f>
        <v>0</v>
      </c>
    </row>
    <row r="95" spans="2:18">
      <c r="B95" s="497">
        <v>45642</v>
      </c>
      <c r="C95" s="498">
        <v>1</v>
      </c>
      <c r="D95" s="499">
        <v>106</v>
      </c>
      <c r="E95" s="500">
        <v>9980111</v>
      </c>
      <c r="F95" s="501">
        <v>30709565075</v>
      </c>
      <c r="G95" s="502" t="str">
        <f>IFERROR(IF(compras_mes12[[#This Row],[CUIT]]="","-",VLOOKUP(compras_mes12[[#This Row],[CUIT]],Lista_CUIT[#All],2,0)),"CUIT NO CARGADO")</f>
        <v>AYSA S.A</v>
      </c>
      <c r="H95" s="503">
        <v>86436.670288085894</v>
      </c>
      <c r="I95" s="504"/>
      <c r="J95" s="504">
        <f>compras_mes12[[#This Row],[NETO GRAVADO]]*0.27</f>
        <v>23337.900977783193</v>
      </c>
      <c r="K95" s="504"/>
      <c r="L95" s="504"/>
      <c r="M95" s="504"/>
      <c r="N95" s="504"/>
      <c r="O95" s="504">
        <v>1547.21984863281</v>
      </c>
      <c r="P95" s="505">
        <f>SUM(compras_mes12[[#This Row],[NETO GRAVADO]:[Otros / No Grav.]])</f>
        <v>111321.7911145019</v>
      </c>
      <c r="Q95" s="502" t="str">
        <f>IFERROR(IF(compras_mes12[[#This Row],[CUIT]]="","-",VLOOKUP(compras_mes12[[#This Row],[CUIT]],Lista_CUIT[#All],3,0)),"CUIT NO CARGADO")</f>
        <v>Servicios Gas, Luz, etc.</v>
      </c>
      <c r="R95" s="506">
        <f>IFERROR(IF(compras_mes12[[#This Row],[CUIT]]="","-",VLOOKUP(compras_mes12[[#This Row],[CUIT]],Lista_CUIT[#All],4,0)),"CUIT NO CARGADO")</f>
        <v>0</v>
      </c>
    </row>
    <row r="96" spans="2:18">
      <c r="B96" s="497">
        <v>45642</v>
      </c>
      <c r="C96" s="498">
        <v>1</v>
      </c>
      <c r="D96" s="499">
        <v>110</v>
      </c>
      <c r="E96" s="500">
        <v>44264616</v>
      </c>
      <c r="F96" s="501">
        <v>30709565075</v>
      </c>
      <c r="G96" s="502" t="str">
        <f>IFERROR(IF(compras_mes12[[#This Row],[CUIT]]="","-",VLOOKUP(compras_mes12[[#This Row],[CUIT]],Lista_CUIT[#All],2,0)),"CUIT NO CARGADO")</f>
        <v>AYSA S.A</v>
      </c>
      <c r="H96" s="503">
        <v>52843.300292968801</v>
      </c>
      <c r="I96" s="504">
        <f>IF(compras_mes12[[#This Row],[NETO GRAVADO]]="","",compras_mes12[[#This Row],[NETO GRAVADO]]*0.21)</f>
        <v>11097.093061523448</v>
      </c>
      <c r="J96" s="504"/>
      <c r="K96" s="504"/>
      <c r="L96" s="504"/>
      <c r="M96" s="504"/>
      <c r="N96" s="504"/>
      <c r="O96" s="504">
        <v>5173.35009765625</v>
      </c>
      <c r="P96" s="505">
        <f>SUM(compras_mes12[[#This Row],[NETO GRAVADO]:[Otros / No Grav.]])</f>
        <v>69113.743452148497</v>
      </c>
      <c r="Q96" s="502" t="str">
        <f>IFERROR(IF(compras_mes12[[#This Row],[CUIT]]="","-",VLOOKUP(compras_mes12[[#This Row],[CUIT]],Lista_CUIT[#All],3,0)),"CUIT NO CARGADO")</f>
        <v>Servicios Gas, Luz, etc.</v>
      </c>
      <c r="R96" s="506">
        <f>IFERROR(IF(compras_mes12[[#This Row],[CUIT]]="","-",VLOOKUP(compras_mes12[[#This Row],[CUIT]],Lista_CUIT[#All],4,0)),"CUIT NO CARGADO")</f>
        <v>0</v>
      </c>
    </row>
    <row r="97" spans="2:18">
      <c r="B97" s="40" t="s">
        <v>2613</v>
      </c>
      <c r="C97" s="41">
        <v>1</v>
      </c>
      <c r="D97" s="42">
        <v>313</v>
      </c>
      <c r="E97" s="43">
        <v>729</v>
      </c>
      <c r="F97" s="44">
        <v>30708402911</v>
      </c>
      <c r="G97" s="45" t="str">
        <f>IFERROR(IF(compras_mes12[[#This Row],[CUIT]]="","-",VLOOKUP(compras_mes12[[#This Row],[CUIT]],Lista_CUIT[#All],2,0)),"CUIT NO CARGADO")</f>
        <v>GAX SA</v>
      </c>
      <c r="H97" s="46">
        <v>90909.09</v>
      </c>
      <c r="I97" s="85">
        <f>IF(compras_mes12[[#This Row],[NETO GRAVADO]]="","",compras_mes12[[#This Row],[NETO GRAVADO]]*0.21)</f>
        <v>19090.908899999999</v>
      </c>
      <c r="J97" s="85"/>
      <c r="K97" s="85"/>
      <c r="L97" s="85"/>
      <c r="M97" s="85"/>
      <c r="N97" s="85"/>
      <c r="O97" s="85"/>
      <c r="P97" s="48">
        <f>SUM(compras_mes12[[#This Row],[NETO GRAVADO]:[Otros / No Grav.]])</f>
        <v>109999.99889999999</v>
      </c>
      <c r="Q97" s="45" t="str">
        <f>IFERROR(IF(compras_mes12[[#This Row],[CUIT]]="","-",VLOOKUP(compras_mes12[[#This Row],[CUIT]],Lista_CUIT[#All],3,0)),"CUIT NO CARGADO")</f>
        <v>Materia Prima</v>
      </c>
      <c r="R97" s="49">
        <f>IFERROR(IF(compras_mes12[[#This Row],[CUIT]]="","-",VLOOKUP(compras_mes12[[#This Row],[CUIT]],Lista_CUIT[#All],4,0)),"CUIT NO CARGADO")</f>
        <v>0</v>
      </c>
    </row>
    <row r="98" spans="2:18">
      <c r="B98" s="40" t="s">
        <v>2613</v>
      </c>
      <c r="C98" s="41">
        <v>1</v>
      </c>
      <c r="D98" s="42">
        <v>2</v>
      </c>
      <c r="E98" s="43">
        <v>3916</v>
      </c>
      <c r="F98" s="44">
        <v>30629863571</v>
      </c>
      <c r="G98" s="45" t="str">
        <f>IFERROR(IF(compras_mes12[[#This Row],[CUIT]]="","-",VLOOKUP(compras_mes12[[#This Row],[CUIT]],Lista_CUIT[#All],2,0)),"CUIT NO CARGADO")</f>
        <v>TECNIMAR S R L</v>
      </c>
      <c r="H98" s="46">
        <v>1983422.95</v>
      </c>
      <c r="I98" s="85">
        <f>IF(compras_mes12[[#This Row],[NETO GRAVADO]]="","",compras_mes12[[#This Row],[NETO GRAVADO]]*0.21)</f>
        <v>416518.81949999998</v>
      </c>
      <c r="J98" s="85"/>
      <c r="K98" s="85"/>
      <c r="L98" s="85"/>
      <c r="M98" s="85"/>
      <c r="N98" s="85"/>
      <c r="O98" s="85"/>
      <c r="P98" s="48">
        <f>SUM(compras_mes12[[#This Row],[NETO GRAVADO]:[Otros / No Grav.]])</f>
        <v>2399941.7694999999</v>
      </c>
      <c r="Q98" s="45" t="str">
        <f>IFERROR(IF(compras_mes12[[#This Row],[CUIT]]="","-",VLOOKUP(compras_mes12[[#This Row],[CUIT]],Lista_CUIT[#All],3,0)),"CUIT NO CARGADO")</f>
        <v>Productos Venta</v>
      </c>
      <c r="R98" s="49">
        <f>IFERROR(IF(compras_mes12[[#This Row],[CUIT]]="","-",VLOOKUP(compras_mes12[[#This Row],[CUIT]],Lista_CUIT[#All],4,0)),"CUIT NO CARGADO")</f>
        <v>0</v>
      </c>
    </row>
    <row r="99" spans="2:18">
      <c r="B99" s="40" t="s">
        <v>2613</v>
      </c>
      <c r="C99" s="41">
        <v>1</v>
      </c>
      <c r="D99" s="42">
        <v>2199</v>
      </c>
      <c r="E99" s="43">
        <v>33872</v>
      </c>
      <c r="F99" s="44">
        <v>30548083156</v>
      </c>
      <c r="G99" s="45" t="str">
        <f>IFERROR(IF(compras_mes12[[#This Row],[CUIT]]="","-",VLOOKUP(compras_mes12[[#This Row],[CUIT]],Lista_CUIT[#All],2,0)),"CUIT NO CARGADO")</f>
        <v>COTO CENTRO INTEGRAL DE COMERCIALIZACION SOCIEDAD ANONIMA</v>
      </c>
      <c r="H99" s="46">
        <v>51333.36</v>
      </c>
      <c r="I99" s="85">
        <v>8904.2099999999991</v>
      </c>
      <c r="J99" s="85"/>
      <c r="K99" s="85">
        <v>937.9</v>
      </c>
      <c r="L99" s="85"/>
      <c r="M99" s="85"/>
      <c r="N99" s="85"/>
      <c r="O99" s="85">
        <v>3964.49</v>
      </c>
      <c r="P99" s="48">
        <f>SUM(compras_mes12[[#This Row],[NETO GRAVADO]:[Otros / No Grav.]])</f>
        <v>65139.96</v>
      </c>
      <c r="Q99" s="45" t="str">
        <f>IFERROR(IF(compras_mes12[[#This Row],[CUIT]]="","-",VLOOKUP(compras_mes12[[#This Row],[CUIT]],Lista_CUIT[#All],3,0)),"CUIT NO CARGADO")</f>
        <v>Gastos Varios</v>
      </c>
      <c r="R99" s="49">
        <f>IFERROR(IF(compras_mes12[[#This Row],[CUIT]]="","-",VLOOKUP(compras_mes12[[#This Row],[CUIT]],Lista_CUIT[#All],4,0)),"CUIT NO CARGADO")</f>
        <v>0</v>
      </c>
    </row>
    <row r="100" spans="2:18">
      <c r="B100" s="40" t="s">
        <v>2613</v>
      </c>
      <c r="C100" s="41">
        <v>1</v>
      </c>
      <c r="D100" s="42">
        <v>7150</v>
      </c>
      <c r="E100" s="43">
        <v>36800</v>
      </c>
      <c r="F100" s="44">
        <v>30678774495</v>
      </c>
      <c r="G100" s="45" t="str">
        <f>IFERROR(IF(compras_mes12[[#This Row],[CUIT]]="","-",VLOOKUP(compras_mes12[[#This Row],[CUIT]],Lista_CUIT[#All],2,0)),"CUIT NO CARGADO")</f>
        <v>OPER. DE EST. DE SERV. SA</v>
      </c>
      <c r="H100" s="46">
        <v>28860.12</v>
      </c>
      <c r="I100" s="85">
        <f>IF(compras_mes12[[#This Row],[NETO GRAVADO]]="","",compras_mes12[[#This Row],[NETO GRAVADO]]*0.21)</f>
        <v>6060.6251999999995</v>
      </c>
      <c r="J100" s="85"/>
      <c r="K100" s="85"/>
      <c r="L100" s="85"/>
      <c r="M100" s="85"/>
      <c r="N100" s="85"/>
      <c r="O100" s="85">
        <v>7033.29</v>
      </c>
      <c r="P100" s="48">
        <f>SUM(compras_mes12[[#This Row],[NETO GRAVADO]:[Otros / No Grav.]])</f>
        <v>41954.035199999998</v>
      </c>
      <c r="Q100" s="45" t="str">
        <f>IFERROR(IF(compras_mes12[[#This Row],[CUIT]]="","-",VLOOKUP(compras_mes12[[#This Row],[CUIT]],Lista_CUIT[#All],3,0)),"CUIT NO CARGADO")</f>
        <v>Combustible</v>
      </c>
      <c r="R100" s="49">
        <f>IFERROR(IF(compras_mes12[[#This Row],[CUIT]]="","-",VLOOKUP(compras_mes12[[#This Row],[CUIT]],Lista_CUIT[#All],4,0)),"CUIT NO CARGADO")</f>
        <v>0</v>
      </c>
    </row>
    <row r="101" spans="2:18">
      <c r="B101" s="40" t="s">
        <v>2613</v>
      </c>
      <c r="C101" s="41">
        <v>1</v>
      </c>
      <c r="D101" s="42">
        <v>3034</v>
      </c>
      <c r="E101" s="43">
        <v>7518323</v>
      </c>
      <c r="F101" s="44">
        <v>30708574836</v>
      </c>
      <c r="G101" s="45" t="str">
        <f>IFERROR(IF(compras_mes12[[#This Row],[CUIT]]="","-",VLOOKUP(compras_mes12[[#This Row],[CUIT]],Lista_CUIT[#All],2,0)),"CUIT NO CARGADO")</f>
        <v>CORREO OFICIAL DE LA REPUBLICA ARGENTINA SOCIEDAD ANONIMA</v>
      </c>
      <c r="H101" s="46">
        <v>8051.24</v>
      </c>
      <c r="I101" s="85">
        <f>IF(compras_mes12[[#This Row],[NETO GRAVADO]]="","",compras_mes12[[#This Row],[NETO GRAVADO]]*0.21)</f>
        <v>1690.7603999999999</v>
      </c>
      <c r="J101" s="85"/>
      <c r="K101" s="85"/>
      <c r="L101" s="85"/>
      <c r="M101" s="85"/>
      <c r="N101" s="85"/>
      <c r="O101" s="85"/>
      <c r="P101" s="48">
        <f>SUM(compras_mes12[[#This Row],[NETO GRAVADO]:[Otros / No Grav.]])</f>
        <v>9742.000399999999</v>
      </c>
      <c r="Q101" s="45" t="s">
        <v>2687</v>
      </c>
      <c r="R101" s="49">
        <f>IFERROR(IF(compras_mes12[[#This Row],[CUIT]]="","-",VLOOKUP(compras_mes12[[#This Row],[CUIT]],Lista_CUIT[#All],4,0)),"CUIT NO CARGADO")</f>
        <v>0</v>
      </c>
    </row>
    <row r="102" spans="2:18">
      <c r="B102" s="40" t="s">
        <v>2631</v>
      </c>
      <c r="C102" s="41">
        <v>1</v>
      </c>
      <c r="D102" s="42">
        <v>2</v>
      </c>
      <c r="E102" s="43">
        <v>236</v>
      </c>
      <c r="F102" s="44">
        <v>27317740196</v>
      </c>
      <c r="G102" s="45" t="str">
        <f>IFERROR(IF(compras_mes12[[#This Row],[CUIT]]="","-",VLOOKUP(compras_mes12[[#This Row],[CUIT]],Lista_CUIT[#All],2,0)),"CUIT NO CARGADO")</f>
        <v>HOKAMA ROMINA PAOLA</v>
      </c>
      <c r="H102" s="46">
        <v>40166.1</v>
      </c>
      <c r="I102" s="85">
        <f>IF(compras_mes12[[#This Row],[NETO GRAVADO]]="","",compras_mes12[[#This Row],[NETO GRAVADO]]*0.21)</f>
        <v>8434.8809999999994</v>
      </c>
      <c r="J102" s="85"/>
      <c r="K102" s="85"/>
      <c r="L102" s="85"/>
      <c r="M102" s="85"/>
      <c r="N102" s="85"/>
      <c r="O102" s="85"/>
      <c r="P102" s="48">
        <f>SUM(compras_mes12[[#This Row],[NETO GRAVADO]:[Otros / No Grav.]])</f>
        <v>48600.981</v>
      </c>
      <c r="Q102" s="45" t="str">
        <f>IFERROR(IF(compras_mes12[[#This Row],[CUIT]]="","-",VLOOKUP(compras_mes12[[#This Row],[CUIT]],Lista_CUIT[#All],3,0)),"CUIT NO CARGADO")</f>
        <v>Gastos Varios</v>
      </c>
      <c r="R102" s="49">
        <f>IFERROR(IF(compras_mes12[[#This Row],[CUIT]]="","-",VLOOKUP(compras_mes12[[#This Row],[CUIT]],Lista_CUIT[#All],4,0)),"CUIT NO CARGADO")</f>
        <v>0</v>
      </c>
    </row>
    <row r="103" spans="2:18">
      <c r="B103" s="40" t="s">
        <v>2631</v>
      </c>
      <c r="C103" s="41">
        <v>1</v>
      </c>
      <c r="D103" s="42">
        <v>7</v>
      </c>
      <c r="E103" s="43">
        <v>790</v>
      </c>
      <c r="F103" s="44">
        <v>30708985682</v>
      </c>
      <c r="G103" s="45" t="str">
        <f>IFERROR(IF(compras_mes12[[#This Row],[CUIT]]="","-",VLOOKUP(compras_mes12[[#This Row],[CUIT]],Lista_CUIT[#All],2,0)),"CUIT NO CARGADO")</f>
        <v>DEL NEGRO Y LA GORDA SRL</v>
      </c>
      <c r="H103" s="46">
        <v>14133</v>
      </c>
      <c r="I103" s="85">
        <f>IF(compras_mes12[[#This Row],[NETO GRAVADO]]="","",compras_mes12[[#This Row],[NETO GRAVADO]]*0.21)</f>
        <v>2967.93</v>
      </c>
      <c r="J103" s="85"/>
      <c r="K103" s="85"/>
      <c r="L103" s="85"/>
      <c r="M103" s="85"/>
      <c r="N103" s="85"/>
      <c r="O103" s="85"/>
      <c r="P103" s="48">
        <f>SUM(compras_mes12[[#This Row],[NETO GRAVADO]:[Otros / No Grav.]])</f>
        <v>17100.93</v>
      </c>
      <c r="Q103" s="45" t="str">
        <f>IFERROR(IF(compras_mes12[[#This Row],[CUIT]]="","-",VLOOKUP(compras_mes12[[#This Row],[CUIT]],Lista_CUIT[#All],3,0)),"CUIT NO CARGADO")</f>
        <v>Gastos Varios</v>
      </c>
      <c r="R103" s="49">
        <f>IFERROR(IF(compras_mes12[[#This Row],[CUIT]]="","-",VLOOKUP(compras_mes12[[#This Row],[CUIT]],Lista_CUIT[#All],4,0)),"CUIT NO CARGADO")</f>
        <v>0</v>
      </c>
    </row>
    <row r="104" spans="2:18">
      <c r="B104" s="40" t="s">
        <v>2631</v>
      </c>
      <c r="C104" s="41">
        <v>1</v>
      </c>
      <c r="D104" s="42">
        <v>2</v>
      </c>
      <c r="E104" s="43">
        <v>3919</v>
      </c>
      <c r="F104" s="44">
        <v>30629863571</v>
      </c>
      <c r="G104" s="45" t="str">
        <f>IFERROR(IF(compras_mes12[[#This Row],[CUIT]]="","-",VLOOKUP(compras_mes12[[#This Row],[CUIT]],Lista_CUIT[#All],2,0)),"CUIT NO CARGADO")</f>
        <v>TECNIMAR S R L</v>
      </c>
      <c r="H104" s="46">
        <v>184271.14</v>
      </c>
      <c r="I104" s="85">
        <f>IF(compras_mes12[[#This Row],[NETO GRAVADO]]="","",compras_mes12[[#This Row],[NETO GRAVADO]]*0.21)</f>
        <v>38696.939400000003</v>
      </c>
      <c r="J104" s="85"/>
      <c r="K104" s="85"/>
      <c r="L104" s="85"/>
      <c r="M104" s="85"/>
      <c r="N104" s="85"/>
      <c r="O104" s="85"/>
      <c r="P104" s="48">
        <f>SUM(compras_mes12[[#This Row],[NETO GRAVADO]:[Otros / No Grav.]])</f>
        <v>222968.07940000002</v>
      </c>
      <c r="Q104" s="45" t="str">
        <f>IFERROR(IF(compras_mes12[[#This Row],[CUIT]]="","-",VLOOKUP(compras_mes12[[#This Row],[CUIT]],Lista_CUIT[#All],3,0)),"CUIT NO CARGADO")</f>
        <v>Productos Venta</v>
      </c>
      <c r="R104" s="49">
        <f>IFERROR(IF(compras_mes12[[#This Row],[CUIT]]="","-",VLOOKUP(compras_mes12[[#This Row],[CUIT]],Lista_CUIT[#All],4,0)),"CUIT NO CARGADO")</f>
        <v>0</v>
      </c>
    </row>
    <row r="105" spans="2:18">
      <c r="B105" s="40" t="s">
        <v>2631</v>
      </c>
      <c r="C105" s="41">
        <v>1</v>
      </c>
      <c r="D105" s="42">
        <v>2</v>
      </c>
      <c r="E105" s="43">
        <v>6106</v>
      </c>
      <c r="F105" s="44">
        <v>30717403866</v>
      </c>
      <c r="G105" s="45" t="str">
        <f>IFERROR(IF(compras_mes12[[#This Row],[CUIT]]="","-",VLOOKUP(compras_mes12[[#This Row],[CUIT]],Lista_CUIT[#All],2,0)),"CUIT NO CARGADO")</f>
        <v>MCBA S.R.L.</v>
      </c>
      <c r="H105" s="46">
        <v>8492.73</v>
      </c>
      <c r="I105" s="85">
        <f>IF(compras_mes12[[#This Row],[NETO GRAVADO]]="","",compras_mes12[[#This Row],[NETO GRAVADO]]*0.21)</f>
        <v>1783.4732999999999</v>
      </c>
      <c r="J105" s="85"/>
      <c r="K105" s="85"/>
      <c r="L105" s="85"/>
      <c r="M105" s="85"/>
      <c r="N105" s="85"/>
      <c r="O105" s="85"/>
      <c r="P105" s="48">
        <f>SUM(compras_mes12[[#This Row],[NETO GRAVADO]:[Otros / No Grav.]])</f>
        <v>10276.203299999999</v>
      </c>
      <c r="Q105" s="45" t="str">
        <f>IFERROR(IF(compras_mes12[[#This Row],[CUIT]]="","-",VLOOKUP(compras_mes12[[#This Row],[CUIT]],Lista_CUIT[#All],3,0)),"CUIT NO CARGADO")</f>
        <v>Gastos Limpieza</v>
      </c>
      <c r="R105" s="49">
        <f>IFERROR(IF(compras_mes12[[#This Row],[CUIT]]="","-",VLOOKUP(compras_mes12[[#This Row],[CUIT]],Lista_CUIT[#All],4,0)),"CUIT NO CARGADO")</f>
        <v>0</v>
      </c>
    </row>
    <row r="106" spans="2:18">
      <c r="B106" s="40" t="s">
        <v>2631</v>
      </c>
      <c r="C106" s="41">
        <v>1</v>
      </c>
      <c r="D106" s="42">
        <v>5</v>
      </c>
      <c r="E106" s="43">
        <v>73337</v>
      </c>
      <c r="F106" s="44">
        <v>30708166673</v>
      </c>
      <c r="G106" s="45" t="str">
        <f>IFERROR(IF(compras_mes12[[#This Row],[CUIT]]="","-",VLOOKUP(compras_mes12[[#This Row],[CUIT]],Lista_CUIT[#All],2,0)),"CUIT NO CARGADO")</f>
        <v>SUMINISTROS WHITE S.A.</v>
      </c>
      <c r="H106" s="46">
        <v>64314.05</v>
      </c>
      <c r="I106" s="85">
        <f>IF(compras_mes12[[#This Row],[NETO GRAVADO]]="","",compras_mes12[[#This Row],[NETO GRAVADO]]*0.21)</f>
        <v>13505.950500000001</v>
      </c>
      <c r="J106" s="85"/>
      <c r="K106" s="85"/>
      <c r="L106" s="85"/>
      <c r="M106" s="85"/>
      <c r="N106" s="85"/>
      <c r="O106" s="85"/>
      <c r="P106" s="48">
        <f>SUM(compras_mes12[[#This Row],[NETO GRAVADO]:[Otros / No Grav.]])</f>
        <v>77820.000500000009</v>
      </c>
      <c r="Q106" s="45" t="str">
        <f>IFERROR(IF(compras_mes12[[#This Row],[CUIT]]="","-",VLOOKUP(compras_mes12[[#This Row],[CUIT]],Lista_CUIT[#All],3,0)),"CUIT NO CARGADO")</f>
        <v>MANTENIMIENTO</v>
      </c>
      <c r="R106" s="49">
        <f>IFERROR(IF(compras_mes12[[#This Row],[CUIT]]="","-",VLOOKUP(compras_mes12[[#This Row],[CUIT]],Lista_CUIT[#All],4,0)),"CUIT NO CARGADO")</f>
        <v>0</v>
      </c>
    </row>
    <row r="107" spans="2:18">
      <c r="B107" s="40" t="s">
        <v>2631</v>
      </c>
      <c r="C107" s="41">
        <v>1</v>
      </c>
      <c r="D107" s="42">
        <v>4264</v>
      </c>
      <c r="E107" s="43">
        <v>4677312</v>
      </c>
      <c r="F107" s="44">
        <v>30639453738</v>
      </c>
      <c r="G107" s="45" t="str">
        <f>IFERROR(IF(compras_mes12[[#This Row],[CUIT]]="","-",VLOOKUP(compras_mes12[[#This Row],[CUIT]],Lista_CUIT[#All],2,0)),"CUIT NO CARGADO")</f>
        <v>TELECOM ARG SA</v>
      </c>
      <c r="H107" s="46">
        <v>87650</v>
      </c>
      <c r="I107" s="85">
        <f>IF(compras_mes12[[#This Row],[NETO GRAVADO]]="","",compras_mes12[[#This Row],[NETO GRAVADO]]*0.21)</f>
        <v>18406.5</v>
      </c>
      <c r="J107" s="85"/>
      <c r="K107" s="85"/>
      <c r="L107" s="85"/>
      <c r="M107" s="85"/>
      <c r="N107" s="85"/>
      <c r="O107" s="85">
        <v>7888.5</v>
      </c>
      <c r="P107" s="48">
        <f>SUM(compras_mes12[[#This Row],[NETO GRAVADO]:[Otros / No Grav.]])</f>
        <v>113945</v>
      </c>
      <c r="Q107" s="45" t="str">
        <f>IFERROR(IF(compras_mes12[[#This Row],[CUIT]]="","-",VLOOKUP(compras_mes12[[#This Row],[CUIT]],Lista_CUIT[#All],3,0)),"CUIT NO CARGADO")</f>
        <v>Servicios Gas, Luz, etc.</v>
      </c>
      <c r="R107" s="49">
        <f>IFERROR(IF(compras_mes12[[#This Row],[CUIT]]="","-",VLOOKUP(compras_mes12[[#This Row],[CUIT]],Lista_CUIT[#All],4,0)),"CUIT NO CARGADO")</f>
        <v>0</v>
      </c>
    </row>
    <row r="108" spans="2:18">
      <c r="B108" s="40" t="s">
        <v>2631</v>
      </c>
      <c r="C108" s="41">
        <v>1</v>
      </c>
      <c r="D108" s="42">
        <v>4264</v>
      </c>
      <c r="E108" s="43">
        <v>4685819</v>
      </c>
      <c r="F108" s="44">
        <v>30639453738</v>
      </c>
      <c r="G108" s="45" t="str">
        <f>IFERROR(IF(compras_mes12[[#This Row],[CUIT]]="","-",VLOOKUP(compras_mes12[[#This Row],[CUIT]],Lista_CUIT[#All],2,0)),"CUIT NO CARGADO")</f>
        <v>TELECOM ARG SA</v>
      </c>
      <c r="H108" s="46">
        <v>32525</v>
      </c>
      <c r="I108" s="85">
        <f>IF(compras_mes12[[#This Row],[NETO GRAVADO]]="","",compras_mes12[[#This Row],[NETO GRAVADO]]*0.21)</f>
        <v>6830.25</v>
      </c>
      <c r="J108" s="85"/>
      <c r="K108" s="85"/>
      <c r="L108" s="85"/>
      <c r="M108" s="85"/>
      <c r="N108" s="85">
        <v>975.75</v>
      </c>
      <c r="O108" s="85"/>
      <c r="P108" s="48">
        <f>SUM(compras_mes12[[#This Row],[NETO GRAVADO]:[Otros / No Grav.]])</f>
        <v>40331</v>
      </c>
      <c r="Q108" s="45" t="str">
        <f>IFERROR(IF(compras_mes12[[#This Row],[CUIT]]="","-",VLOOKUP(compras_mes12[[#This Row],[CUIT]],Lista_CUIT[#All],3,0)),"CUIT NO CARGADO")</f>
        <v>Servicios Gas, Luz, etc.</v>
      </c>
      <c r="R108" s="49">
        <f>IFERROR(IF(compras_mes12[[#This Row],[CUIT]]="","-",VLOOKUP(compras_mes12[[#This Row],[CUIT]],Lista_CUIT[#All],4,0)),"CUIT NO CARGADO")</f>
        <v>0</v>
      </c>
    </row>
    <row r="109" spans="2:18">
      <c r="B109" s="40" t="s">
        <v>2631</v>
      </c>
      <c r="C109" s="41">
        <v>1</v>
      </c>
      <c r="D109" s="42">
        <v>4264</v>
      </c>
      <c r="E109" s="43">
        <v>4719371</v>
      </c>
      <c r="F109" s="44">
        <v>30639453738</v>
      </c>
      <c r="G109" s="45" t="str">
        <f>IFERROR(IF(compras_mes12[[#This Row],[CUIT]]="","-",VLOOKUP(compras_mes12[[#This Row],[CUIT]],Lista_CUIT[#All],2,0)),"CUIT NO CARGADO")</f>
        <v>TELECOM ARG SA</v>
      </c>
      <c r="H109" s="46">
        <v>175300</v>
      </c>
      <c r="I109" s="85">
        <f>IF(compras_mes12[[#This Row],[NETO GRAVADO]]="","",compras_mes12[[#This Row],[NETO GRAVADO]]*0.21)</f>
        <v>36813</v>
      </c>
      <c r="J109" s="85"/>
      <c r="K109" s="85"/>
      <c r="L109" s="85"/>
      <c r="M109" s="85"/>
      <c r="N109" s="85">
        <v>15777</v>
      </c>
      <c r="O109" s="85"/>
      <c r="P109" s="48">
        <f>SUM(compras_mes12[[#This Row],[NETO GRAVADO]:[Otros / No Grav.]])</f>
        <v>227890</v>
      </c>
      <c r="Q109" s="45" t="str">
        <f>IFERROR(IF(compras_mes12[[#This Row],[CUIT]]="","-",VLOOKUP(compras_mes12[[#This Row],[CUIT]],Lista_CUIT[#All],3,0)),"CUIT NO CARGADO")</f>
        <v>Servicios Gas, Luz, etc.</v>
      </c>
      <c r="R109" s="49">
        <f>IFERROR(IF(compras_mes12[[#This Row],[CUIT]]="","-",VLOOKUP(compras_mes12[[#This Row],[CUIT]],Lista_CUIT[#All],4,0)),"CUIT NO CARGADO")</f>
        <v>0</v>
      </c>
    </row>
    <row r="110" spans="2:18">
      <c r="B110" s="40" t="s">
        <v>2614</v>
      </c>
      <c r="C110" s="41">
        <v>1</v>
      </c>
      <c r="D110" s="42">
        <v>1</v>
      </c>
      <c r="E110" s="43">
        <v>128</v>
      </c>
      <c r="F110" s="44">
        <v>30718148207</v>
      </c>
      <c r="G110" s="45" t="str">
        <f>IFERROR(IF(compras_mes12[[#This Row],[CUIT]]="","-",VLOOKUP(compras_mes12[[#This Row],[CUIT]],Lista_CUIT[#All],2,0)),"CUIT NO CARGADO")</f>
        <v>VIPA INTERNATIONAL S.R.L.</v>
      </c>
      <c r="H110" s="46">
        <v>1350000</v>
      </c>
      <c r="I110" s="85">
        <f>IF(compras_mes12[[#This Row],[NETO GRAVADO]]="","",compras_mes12[[#This Row],[NETO GRAVADO]]*0.21)</f>
        <v>283500</v>
      </c>
      <c r="J110" s="85"/>
      <c r="K110" s="85"/>
      <c r="L110" s="85"/>
      <c r="M110" s="85"/>
      <c r="N110" s="85"/>
      <c r="O110" s="85"/>
      <c r="P110" s="48">
        <f>SUM(compras_mes12[[#This Row],[NETO GRAVADO]:[Otros / No Grav.]])</f>
        <v>1633500</v>
      </c>
      <c r="Q110" s="45" t="str">
        <f>IFERROR(IF(compras_mes12[[#This Row],[CUIT]]="","-",VLOOKUP(compras_mes12[[#This Row],[CUIT]],Lista_CUIT[#All],3,0)),"CUIT NO CARGADO")</f>
        <v>Productos Venta</v>
      </c>
      <c r="R110" s="49">
        <f>IFERROR(IF(compras_mes12[[#This Row],[CUIT]]="","-",VLOOKUP(compras_mes12[[#This Row],[CUIT]],Lista_CUIT[#All],4,0)),"CUIT NO CARGADO")</f>
        <v>0</v>
      </c>
    </row>
    <row r="111" spans="2:18">
      <c r="B111" s="40" t="s">
        <v>2614</v>
      </c>
      <c r="C111" s="41">
        <v>1</v>
      </c>
      <c r="D111" s="42">
        <v>5</v>
      </c>
      <c r="E111" s="43">
        <v>232</v>
      </c>
      <c r="F111" s="44">
        <v>30717480666</v>
      </c>
      <c r="G111" s="45" t="str">
        <f>IFERROR(IF(compras_mes12[[#This Row],[CUIT]]="","-",VLOOKUP(compras_mes12[[#This Row],[CUIT]],Lista_CUIT[#All],2,0)),"CUIT NO CARGADO")</f>
        <v>AGUACA MANA S. A.</v>
      </c>
      <c r="H111" s="46">
        <v>3770.88</v>
      </c>
      <c r="I111" s="85">
        <f>IF(compras_mes12[[#This Row],[NETO GRAVADO]]="","",compras_mes12[[#This Row],[NETO GRAVADO]]*0.21)</f>
        <v>791.88480000000004</v>
      </c>
      <c r="J111" s="85"/>
      <c r="K111" s="85"/>
      <c r="L111" s="85"/>
      <c r="M111" s="85"/>
      <c r="N111" s="85"/>
      <c r="O111" s="85"/>
      <c r="P111" s="48">
        <f>SUM(compras_mes12[[#This Row],[NETO GRAVADO]:[Otros / No Grav.]])</f>
        <v>4562.7647999999999</v>
      </c>
      <c r="Q111" s="45" t="s">
        <v>2687</v>
      </c>
      <c r="R111" s="49">
        <f>IFERROR(IF(compras_mes12[[#This Row],[CUIT]]="","-",VLOOKUP(compras_mes12[[#This Row],[CUIT]],Lista_CUIT[#All],4,0)),"CUIT NO CARGADO")</f>
        <v>0</v>
      </c>
    </row>
    <row r="112" spans="2:18">
      <c r="B112" s="40" t="s">
        <v>2614</v>
      </c>
      <c r="C112" s="41">
        <v>1</v>
      </c>
      <c r="D112" s="42">
        <v>2</v>
      </c>
      <c r="E112" s="43">
        <v>3922</v>
      </c>
      <c r="F112" s="44">
        <v>30629863571</v>
      </c>
      <c r="G112" s="45" t="str">
        <f>IFERROR(IF(compras_mes12[[#This Row],[CUIT]]="","-",VLOOKUP(compras_mes12[[#This Row],[CUIT]],Lista_CUIT[#All],2,0)),"CUIT NO CARGADO")</f>
        <v>TECNIMAR S R L</v>
      </c>
      <c r="H112" s="46">
        <v>1075318</v>
      </c>
      <c r="I112" s="85">
        <f>IF(compras_mes12[[#This Row],[NETO GRAVADO]]="","",compras_mes12[[#This Row],[NETO GRAVADO]]*0.21)</f>
        <v>225816.78</v>
      </c>
      <c r="J112" s="85"/>
      <c r="K112" s="85"/>
      <c r="L112" s="85"/>
      <c r="M112" s="85"/>
      <c r="N112" s="85"/>
      <c r="O112" s="85"/>
      <c r="P112" s="48">
        <f>SUM(compras_mes12[[#This Row],[NETO GRAVADO]:[Otros / No Grav.]])</f>
        <v>1301134.78</v>
      </c>
      <c r="Q112" s="45" t="str">
        <f>IFERROR(IF(compras_mes12[[#This Row],[CUIT]]="","-",VLOOKUP(compras_mes12[[#This Row],[CUIT]],Lista_CUIT[#All],3,0)),"CUIT NO CARGADO")</f>
        <v>Productos Venta</v>
      </c>
      <c r="R112" s="49">
        <f>IFERROR(IF(compras_mes12[[#This Row],[CUIT]]="","-",VLOOKUP(compras_mes12[[#This Row],[CUIT]],Lista_CUIT[#All],4,0)),"CUIT NO CARGADO")</f>
        <v>0</v>
      </c>
    </row>
    <row r="113" spans="2:18">
      <c r="B113" s="40" t="s">
        <v>2614</v>
      </c>
      <c r="C113" s="41">
        <v>1</v>
      </c>
      <c r="D113" s="42">
        <v>3</v>
      </c>
      <c r="E113" s="43">
        <v>9876</v>
      </c>
      <c r="F113" s="44">
        <v>27412102431</v>
      </c>
      <c r="G113" s="45" t="str">
        <f>IFERROR(IF(compras_mes12[[#This Row],[CUIT]]="","-",VLOOKUP(compras_mes12[[#This Row],[CUIT]],Lista_CUIT[#All],2,0)),"CUIT NO CARGADO")</f>
        <v>ALVEZ ARIANA SOL</v>
      </c>
      <c r="H113" s="46">
        <v>39752.050000000003</v>
      </c>
      <c r="I113" s="85">
        <f>IF(compras_mes12[[#This Row],[NETO GRAVADO]]="","",compras_mes12[[#This Row],[NETO GRAVADO]]*0.21)</f>
        <v>8347.9305000000004</v>
      </c>
      <c r="J113" s="85"/>
      <c r="K113" s="85"/>
      <c r="L113" s="85"/>
      <c r="M113" s="85"/>
      <c r="N113" s="85"/>
      <c r="O113" s="85"/>
      <c r="P113" s="48">
        <f>SUM(compras_mes12[[#This Row],[NETO GRAVADO]:[Otros / No Grav.]])</f>
        <v>48099.980500000005</v>
      </c>
      <c r="Q113" s="45" t="s">
        <v>2699</v>
      </c>
      <c r="R113" s="49">
        <f>IFERROR(IF(compras_mes12[[#This Row],[CUIT]]="","-",VLOOKUP(compras_mes12[[#This Row],[CUIT]],Lista_CUIT[#All],4,0)),"CUIT NO CARGADO")</f>
        <v>0</v>
      </c>
    </row>
    <row r="114" spans="2:18">
      <c r="B114" s="40" t="s">
        <v>2614</v>
      </c>
      <c r="C114" s="41">
        <v>1</v>
      </c>
      <c r="D114" s="42">
        <v>5</v>
      </c>
      <c r="E114" s="43">
        <v>24450</v>
      </c>
      <c r="F114" s="44">
        <v>30708041722</v>
      </c>
      <c r="G114" s="45" t="str">
        <f>IFERROR(IF(compras_mes12[[#This Row],[CUIT]]="","-",VLOOKUP(compras_mes12[[#This Row],[CUIT]],Lista_CUIT[#All],2,0)),"CUIT NO CARGADO")</f>
        <v>QUETZAL QUIMICA S R L</v>
      </c>
      <c r="H114" s="46">
        <v>1209300</v>
      </c>
      <c r="I114" s="85">
        <f>IF(compras_mes12[[#This Row],[NETO GRAVADO]]="","",compras_mes12[[#This Row],[NETO GRAVADO]]*0.21)</f>
        <v>253953</v>
      </c>
      <c r="J114" s="85"/>
      <c r="K114" s="85"/>
      <c r="L114" s="85"/>
      <c r="M114" s="85"/>
      <c r="N114" s="85"/>
      <c r="O114" s="85"/>
      <c r="P114" s="48">
        <f>SUM(compras_mes12[[#This Row],[NETO GRAVADO]:[Otros / No Grav.]])</f>
        <v>1463253</v>
      </c>
      <c r="Q114" s="45" t="str">
        <f>IFERROR(IF(compras_mes12[[#This Row],[CUIT]]="","-",VLOOKUP(compras_mes12[[#This Row],[CUIT]],Lista_CUIT[#All],3,0)),"CUIT NO CARGADO")</f>
        <v>Materia Prima</v>
      </c>
      <c r="R114" s="49">
        <f>IFERROR(IF(compras_mes12[[#This Row],[CUIT]]="","-",VLOOKUP(compras_mes12[[#This Row],[CUIT]],Lista_CUIT[#All],4,0)),"CUIT NO CARGADO")</f>
        <v>0</v>
      </c>
    </row>
    <row r="115" spans="2:18">
      <c r="B115" s="40" t="s">
        <v>2614</v>
      </c>
      <c r="C115" s="41">
        <v>1</v>
      </c>
      <c r="D115" s="42">
        <v>4</v>
      </c>
      <c r="E115" s="43">
        <v>48461</v>
      </c>
      <c r="F115" s="44">
        <v>30709863076</v>
      </c>
      <c r="G115" s="45" t="str">
        <f>IFERROR(IF(compras_mes12[[#This Row],[CUIT]]="","-",VLOOKUP(compras_mes12[[#This Row],[CUIT]],Lista_CUIT[#All],2,0)),"CUIT NO CARGADO")</f>
        <v>INDUSTRIAS PLASTICOS SALTA S.R.L.</v>
      </c>
      <c r="H115" s="46">
        <v>109421.49</v>
      </c>
      <c r="I115" s="85">
        <f>IF(compras_mes12[[#This Row],[NETO GRAVADO]]="","",compras_mes12[[#This Row],[NETO GRAVADO]]*0.21)</f>
        <v>22978.512900000002</v>
      </c>
      <c r="J115" s="85"/>
      <c r="K115" s="85"/>
      <c r="L115" s="85"/>
      <c r="M115" s="85"/>
      <c r="N115" s="85"/>
      <c r="O115" s="85"/>
      <c r="P115" s="48">
        <f>SUM(compras_mes12[[#This Row],[NETO GRAVADO]:[Otros / No Grav.]])</f>
        <v>132400.00290000002</v>
      </c>
      <c r="Q115" s="45" t="str">
        <f>IFERROR(IF(compras_mes12[[#This Row],[CUIT]]="","-",VLOOKUP(compras_mes12[[#This Row],[CUIT]],Lista_CUIT[#All],3,0)),"CUIT NO CARGADO")</f>
        <v>Materia Prima</v>
      </c>
      <c r="R115" s="49">
        <f>IFERROR(IF(compras_mes12[[#This Row],[CUIT]]="","-",VLOOKUP(compras_mes12[[#This Row],[CUIT]],Lista_CUIT[#All],4,0)),"CUIT NO CARGADO")</f>
        <v>0</v>
      </c>
    </row>
    <row r="116" spans="2:18">
      <c r="B116" s="40" t="s">
        <v>2614</v>
      </c>
      <c r="C116" s="41">
        <v>1</v>
      </c>
      <c r="D116" s="42">
        <v>60</v>
      </c>
      <c r="E116" s="43">
        <v>65326</v>
      </c>
      <c r="F116" s="44">
        <v>30517345039</v>
      </c>
      <c r="G116" s="45" t="str">
        <f>IFERROR(IF(compras_mes12[[#This Row],[CUIT]]="","-",VLOOKUP(compras_mes12[[#This Row],[CUIT]],Lista_CUIT[#All],2,0)),"CUIT NO CARGADO")</f>
        <v>QUIMICA OESTE S.A.</v>
      </c>
      <c r="H116" s="46">
        <v>435330</v>
      </c>
      <c r="I116" s="85">
        <f>IF(compras_mes12[[#This Row],[NETO GRAVADO]]="","",compras_mes12[[#This Row],[NETO GRAVADO]]*0.21)</f>
        <v>91419.3</v>
      </c>
      <c r="J116" s="85"/>
      <c r="K116" s="85"/>
      <c r="L116" s="85"/>
      <c r="M116" s="85">
        <v>26119.8</v>
      </c>
      <c r="N116" s="85"/>
      <c r="O116" s="85"/>
      <c r="P116" s="48">
        <f>SUM(compras_mes12[[#This Row],[NETO GRAVADO]:[Otros / No Grav.]])</f>
        <v>552869.10000000009</v>
      </c>
      <c r="Q116" s="45" t="str">
        <f>IFERROR(IF(compras_mes12[[#This Row],[CUIT]]="","-",VLOOKUP(compras_mes12[[#This Row],[CUIT]],Lista_CUIT[#All],3,0)),"CUIT NO CARGADO")</f>
        <v>Materia Prima</v>
      </c>
      <c r="R116" s="49">
        <f>IFERROR(IF(compras_mes12[[#This Row],[CUIT]]="","-",VLOOKUP(compras_mes12[[#This Row],[CUIT]],Lista_CUIT[#All],4,0)),"CUIT NO CARGADO")</f>
        <v>0</v>
      </c>
    </row>
    <row r="117" spans="2:18">
      <c r="B117" s="40" t="s">
        <v>2614</v>
      </c>
      <c r="C117" s="41">
        <v>1</v>
      </c>
      <c r="D117" s="42">
        <v>5</v>
      </c>
      <c r="E117" s="43">
        <v>184920</v>
      </c>
      <c r="F117" s="44">
        <v>23957768849</v>
      </c>
      <c r="G117" s="45" t="str">
        <f>IFERROR(IF(compras_mes12[[#This Row],[CUIT]]="","-",VLOOKUP(compras_mes12[[#This Row],[CUIT]],Lista_CUIT[#All],2,0)),"CUIT NO CARGADO")</f>
        <v>LEAL FUENTES FRANCISCO JAVIER</v>
      </c>
      <c r="H117" s="46">
        <v>52939.67</v>
      </c>
      <c r="I117" s="85">
        <f>IF(compras_mes12[[#This Row],[NETO GRAVADO]]="","",compras_mes12[[#This Row],[NETO GRAVADO]]*0.21)</f>
        <v>11117.330699999999</v>
      </c>
      <c r="J117" s="85"/>
      <c r="K117" s="85"/>
      <c r="L117" s="85"/>
      <c r="M117" s="85"/>
      <c r="N117" s="85"/>
      <c r="O117" s="85"/>
      <c r="P117" s="48">
        <f>SUM(compras_mes12[[#This Row],[NETO GRAVADO]:[Otros / No Grav.]])</f>
        <v>64057.000699999997</v>
      </c>
      <c r="Q117" s="45" t="str">
        <f>IFERROR(IF(compras_mes12[[#This Row],[CUIT]]="","-",VLOOKUP(compras_mes12[[#This Row],[CUIT]],Lista_CUIT[#All],3,0)),"CUIT NO CARGADO")</f>
        <v>Gastos Varios</v>
      </c>
      <c r="R117" s="49">
        <f>IFERROR(IF(compras_mes12[[#This Row],[CUIT]]="","-",VLOOKUP(compras_mes12[[#This Row],[CUIT]],Lista_CUIT[#All],4,0)),"CUIT NO CARGADO")</f>
        <v>0</v>
      </c>
    </row>
    <row r="118" spans="2:18">
      <c r="B118" s="40" t="s">
        <v>2614</v>
      </c>
      <c r="C118" s="41">
        <v>1</v>
      </c>
      <c r="D118" s="42">
        <v>3034</v>
      </c>
      <c r="E118" s="43">
        <v>7539305</v>
      </c>
      <c r="F118" s="44">
        <v>30708574836</v>
      </c>
      <c r="G118" s="45" t="str">
        <f>IFERROR(IF(compras_mes12[[#This Row],[CUIT]]="","-",VLOOKUP(compras_mes12[[#This Row],[CUIT]],Lista_CUIT[#All],2,0)),"CUIT NO CARGADO")</f>
        <v>CORREO OFICIAL DE LA REPUBLICA ARGENTINA SOCIEDAD ANONIMA</v>
      </c>
      <c r="H118" s="46">
        <v>9225.6200000000008</v>
      </c>
      <c r="I118" s="85">
        <f>IF(compras_mes12[[#This Row],[NETO GRAVADO]]="","",compras_mes12[[#This Row],[NETO GRAVADO]]*0.21)</f>
        <v>1937.3802000000001</v>
      </c>
      <c r="J118" s="85"/>
      <c r="K118" s="85"/>
      <c r="L118" s="85"/>
      <c r="M118" s="85"/>
      <c r="N118" s="85"/>
      <c r="O118" s="85"/>
      <c r="P118" s="48">
        <f>SUM(compras_mes12[[#This Row],[NETO GRAVADO]:[Otros / No Grav.]])</f>
        <v>11163.0002</v>
      </c>
      <c r="Q118" s="45" t="s">
        <v>2687</v>
      </c>
      <c r="R118" s="49">
        <f>IFERROR(IF(compras_mes12[[#This Row],[CUIT]]="","-",VLOOKUP(compras_mes12[[#This Row],[CUIT]],Lista_CUIT[#All],4,0)),"CUIT NO CARGADO")</f>
        <v>0</v>
      </c>
    </row>
    <row r="119" spans="2:18">
      <c r="B119" s="40" t="s">
        <v>2615</v>
      </c>
      <c r="C119" s="41">
        <v>1</v>
      </c>
      <c r="D119" s="42">
        <v>4001</v>
      </c>
      <c r="E119" s="43">
        <v>27</v>
      </c>
      <c r="F119" s="44">
        <v>30548083156</v>
      </c>
      <c r="G119" s="45" t="str">
        <f>IFERROR(IF(compras_mes12[[#This Row],[CUIT]]="","-",VLOOKUP(compras_mes12[[#This Row],[CUIT]],Lista_CUIT[#All],2,0)),"CUIT NO CARGADO")</f>
        <v>COTO CENTRO INTEGRAL DE COMERCIALIZACION SOCIEDAD ANONIMA</v>
      </c>
      <c r="H119" s="46">
        <v>79412.490000000005</v>
      </c>
      <c r="I119" s="85">
        <v>12624.26</v>
      </c>
      <c r="J119" s="85"/>
      <c r="K119" s="85">
        <v>2026.18</v>
      </c>
      <c r="L119" s="85"/>
      <c r="M119" s="85"/>
      <c r="N119" s="85"/>
      <c r="O119" s="85">
        <v>6697.82</v>
      </c>
      <c r="P119" s="48">
        <f>SUM(compras_mes12[[#This Row],[NETO GRAVADO]:[Otros / No Grav.]])</f>
        <v>100760.75</v>
      </c>
      <c r="Q119" s="45" t="str">
        <f>IFERROR(IF(compras_mes12[[#This Row],[CUIT]]="","-",VLOOKUP(compras_mes12[[#This Row],[CUIT]],Lista_CUIT[#All],3,0)),"CUIT NO CARGADO")</f>
        <v>Gastos Varios</v>
      </c>
      <c r="R119" s="49">
        <f>IFERROR(IF(compras_mes12[[#This Row],[CUIT]]="","-",VLOOKUP(compras_mes12[[#This Row],[CUIT]],Lista_CUIT[#All],4,0)),"CUIT NO CARGADO")</f>
        <v>0</v>
      </c>
    </row>
    <row r="120" spans="2:18">
      <c r="B120" s="40" t="s">
        <v>2615</v>
      </c>
      <c r="C120" s="41">
        <v>1</v>
      </c>
      <c r="D120" s="42">
        <v>6</v>
      </c>
      <c r="E120" s="43">
        <v>65</v>
      </c>
      <c r="F120" s="44">
        <v>20269531062</v>
      </c>
      <c r="G120" s="45" t="str">
        <f>IFERROR(IF(compras_mes12[[#This Row],[CUIT]]="","-",VLOOKUP(compras_mes12[[#This Row],[CUIT]],Lista_CUIT[#All],2,0)),"CUIT NO CARGADO")</f>
        <v>PEZZELATTO RICARDO OMAR</v>
      </c>
      <c r="H120" s="46">
        <v>12384.78</v>
      </c>
      <c r="I120" s="85">
        <f>IF(compras_mes12[[#This Row],[NETO GRAVADO]]="","",compras_mes12[[#This Row],[NETO GRAVADO]]*0.21)</f>
        <v>2600.8038000000001</v>
      </c>
      <c r="J120" s="85"/>
      <c r="K120" s="85"/>
      <c r="L120" s="85"/>
      <c r="M120" s="85"/>
      <c r="N120" s="85"/>
      <c r="O120" s="85"/>
      <c r="P120" s="48">
        <f>SUM(compras_mes12[[#This Row],[NETO GRAVADO]:[Otros / No Grav.]])</f>
        <v>14985.5838</v>
      </c>
      <c r="Q120" s="45" t="str">
        <f>IFERROR(IF(compras_mes12[[#This Row],[CUIT]]="","-",VLOOKUP(compras_mes12[[#This Row],[CUIT]],Lista_CUIT[#All],3,0)),"CUIT NO CARGADO")</f>
        <v>Gastos Varios</v>
      </c>
      <c r="R120" s="49">
        <f>IFERROR(IF(compras_mes12[[#This Row],[CUIT]]="","-",VLOOKUP(compras_mes12[[#This Row],[CUIT]],Lista_CUIT[#All],4,0)),"CUIT NO CARGADO")</f>
        <v>0</v>
      </c>
    </row>
    <row r="121" spans="2:18">
      <c r="B121" s="40" t="s">
        <v>2615</v>
      </c>
      <c r="C121" s="41">
        <v>1</v>
      </c>
      <c r="D121" s="42">
        <v>1313</v>
      </c>
      <c r="E121" s="43">
        <v>1296</v>
      </c>
      <c r="F121" s="44">
        <v>30639057999</v>
      </c>
      <c r="G121" s="45" t="str">
        <f>IFERROR(IF(compras_mes12[[#This Row],[CUIT]]="","-",VLOOKUP(compras_mes12[[#This Row],[CUIT]],Lista_CUIT[#All],2,0)),"CUIT NO CARGADO")</f>
        <v>LA OPTICA S.A.</v>
      </c>
      <c r="H121" s="46">
        <v>220991.74</v>
      </c>
      <c r="I121" s="85">
        <f>IF(compras_mes12[[#This Row],[NETO GRAVADO]]="","",compras_mes12[[#This Row],[NETO GRAVADO]]*0.21)</f>
        <v>46408.265399999997</v>
      </c>
      <c r="J121" s="85"/>
      <c r="K121" s="85"/>
      <c r="L121" s="85"/>
      <c r="M121" s="85"/>
      <c r="N121" s="85"/>
      <c r="O121" s="85"/>
      <c r="P121" s="48">
        <f>SUM(compras_mes12[[#This Row],[NETO GRAVADO]:[Otros / No Grav.]])</f>
        <v>267400.00539999997</v>
      </c>
      <c r="Q121" s="45" t="s">
        <v>2687</v>
      </c>
      <c r="R121" s="49">
        <f>IFERROR(IF(compras_mes12[[#This Row],[CUIT]]="","-",VLOOKUP(compras_mes12[[#This Row],[CUIT]],Lista_CUIT[#All],4,0)),"CUIT NO CARGADO")</f>
        <v>0</v>
      </c>
    </row>
    <row r="122" spans="2:18">
      <c r="B122" s="40" t="s">
        <v>2615</v>
      </c>
      <c r="C122" s="41">
        <v>1</v>
      </c>
      <c r="D122" s="42">
        <v>4</v>
      </c>
      <c r="E122" s="43">
        <v>10655</v>
      </c>
      <c r="F122" s="44">
        <v>30694547903</v>
      </c>
      <c r="G122" s="45" t="str">
        <f>IFERROR(IF(compras_mes12[[#This Row],[CUIT]]="","-",VLOOKUP(compras_mes12[[#This Row],[CUIT]],Lista_CUIT[#All],2,0)),"CUIT NO CARGADO")</f>
        <v>MULTICAJAS S A</v>
      </c>
      <c r="H122" s="46">
        <v>244000</v>
      </c>
      <c r="I122" s="85">
        <f>IF(compras_mes12[[#This Row],[NETO GRAVADO]]="","",compras_mes12[[#This Row],[NETO GRAVADO]]*0.21)</f>
        <v>51240</v>
      </c>
      <c r="J122" s="85"/>
      <c r="K122" s="85"/>
      <c r="L122" s="85"/>
      <c r="M122" s="85"/>
      <c r="N122" s="85"/>
      <c r="O122" s="85"/>
      <c r="P122" s="48">
        <f>SUM(compras_mes12[[#This Row],[NETO GRAVADO]:[Otros / No Grav.]])</f>
        <v>295240</v>
      </c>
      <c r="Q122" s="45" t="str">
        <f>IFERROR(IF(compras_mes12[[#This Row],[CUIT]]="","-",VLOOKUP(compras_mes12[[#This Row],[CUIT]],Lista_CUIT[#All],3,0)),"CUIT NO CARGADO")</f>
        <v>LIBRERÍA</v>
      </c>
      <c r="R122" s="49">
        <f>IFERROR(IF(compras_mes12[[#This Row],[CUIT]]="","-",VLOOKUP(compras_mes12[[#This Row],[CUIT]],Lista_CUIT[#All],4,0)),"CUIT NO CARGADO")</f>
        <v>0</v>
      </c>
    </row>
    <row r="123" spans="2:18">
      <c r="B123" s="40" t="s">
        <v>2615</v>
      </c>
      <c r="C123" s="41">
        <v>1</v>
      </c>
      <c r="D123" s="42">
        <v>14</v>
      </c>
      <c r="E123" s="43">
        <v>15492</v>
      </c>
      <c r="F123" s="44">
        <v>30715186256</v>
      </c>
      <c r="G123" s="45" t="str">
        <f>IFERROR(IF(compras_mes12[[#This Row],[CUIT]]="","-",VLOOKUP(compras_mes12[[#This Row],[CUIT]],Lista_CUIT[#All],2,0)),"CUIT NO CARGADO")</f>
        <v>FRIGORIFICO ALIMENTIC</v>
      </c>
      <c r="H123" s="46">
        <v>85025.61</v>
      </c>
      <c r="I123" s="85">
        <v>3820.78</v>
      </c>
      <c r="J123" s="85"/>
      <c r="K123" s="85">
        <v>7017.3</v>
      </c>
      <c r="L123" s="85"/>
      <c r="M123" s="85"/>
      <c r="N123" s="85"/>
      <c r="O123" s="85"/>
      <c r="P123" s="48">
        <f>SUM(compras_mes12[[#This Row],[NETO GRAVADO]:[Otros / No Grav.]])</f>
        <v>95863.69</v>
      </c>
      <c r="Q123" s="45" t="str">
        <f>IFERROR(IF(compras_mes12[[#This Row],[CUIT]]="","-",VLOOKUP(compras_mes12[[#This Row],[CUIT]],Lista_CUIT[#All],3,0)),"CUIT NO CARGADO")</f>
        <v>Gastos Comercializacion - Feria</v>
      </c>
      <c r="R123" s="49">
        <f>IFERROR(IF(compras_mes12[[#This Row],[CUIT]]="","-",VLOOKUP(compras_mes12[[#This Row],[CUIT]],Lista_CUIT[#All],4,0)),"CUIT NO CARGADO")</f>
        <v>0</v>
      </c>
    </row>
    <row r="124" spans="2:18">
      <c r="B124" s="40" t="s">
        <v>2615</v>
      </c>
      <c r="C124" s="41">
        <v>1</v>
      </c>
      <c r="D124" s="42">
        <v>2084</v>
      </c>
      <c r="E124" s="43">
        <v>26482</v>
      </c>
      <c r="F124" s="44">
        <v>30548083156</v>
      </c>
      <c r="G124" s="45" t="str">
        <f>IFERROR(IF(compras_mes12[[#This Row],[CUIT]]="","-",VLOOKUP(compras_mes12[[#This Row],[CUIT]],Lista_CUIT[#All],2,0)),"CUIT NO CARGADO")</f>
        <v>COTO CENTRO INTEGRAL DE COMERCIALIZACION SOCIEDAD ANONIMA</v>
      </c>
      <c r="H124" s="46">
        <v>33225.14</v>
      </c>
      <c r="I124" s="85">
        <v>5515.37</v>
      </c>
      <c r="J124" s="85"/>
      <c r="K124" s="85">
        <v>730.95</v>
      </c>
      <c r="L124" s="85"/>
      <c r="M124" s="85"/>
      <c r="N124" s="85"/>
      <c r="O124" s="85">
        <v>2468.15</v>
      </c>
      <c r="P124" s="48">
        <f>SUM(compras_mes12[[#This Row],[NETO GRAVADO]:[Otros / No Grav.]])</f>
        <v>41939.61</v>
      </c>
      <c r="Q124" s="45" t="str">
        <f>IFERROR(IF(compras_mes12[[#This Row],[CUIT]]="","-",VLOOKUP(compras_mes12[[#This Row],[CUIT]],Lista_CUIT[#All],3,0)),"CUIT NO CARGADO")</f>
        <v>Gastos Varios</v>
      </c>
      <c r="R124" s="49">
        <f>IFERROR(IF(compras_mes12[[#This Row],[CUIT]]="","-",VLOOKUP(compras_mes12[[#This Row],[CUIT]],Lista_CUIT[#All],4,0)),"CUIT NO CARGADO")</f>
        <v>0</v>
      </c>
    </row>
    <row r="125" spans="2:18">
      <c r="B125" s="40" t="s">
        <v>2615</v>
      </c>
      <c r="C125" s="41">
        <v>1</v>
      </c>
      <c r="D125" s="42">
        <v>2199</v>
      </c>
      <c r="E125" s="43">
        <v>33965</v>
      </c>
      <c r="F125" s="44">
        <v>30548083156</v>
      </c>
      <c r="G125" s="45" t="str">
        <f>IFERROR(IF(compras_mes12[[#This Row],[CUIT]]="","-",VLOOKUP(compras_mes12[[#This Row],[CUIT]],Lista_CUIT[#All],2,0)),"CUIT NO CARGADO")</f>
        <v>COTO CENTRO INTEGRAL DE COMERCIALIZACION SOCIEDAD ANONIMA</v>
      </c>
      <c r="H125" s="46">
        <v>69573.2</v>
      </c>
      <c r="I125" s="85">
        <v>11997.86</v>
      </c>
      <c r="J125" s="85"/>
      <c r="K125" s="85">
        <v>1306.26</v>
      </c>
      <c r="L125" s="85"/>
      <c r="M125" s="85"/>
      <c r="N125" s="85"/>
      <c r="O125" s="85">
        <v>5768.17</v>
      </c>
      <c r="P125" s="48">
        <f>SUM(compras_mes12[[#This Row],[NETO GRAVADO]:[Otros / No Grav.]])</f>
        <v>88645.489999999991</v>
      </c>
      <c r="Q125" s="45" t="str">
        <f>IFERROR(IF(compras_mes12[[#This Row],[CUIT]]="","-",VLOOKUP(compras_mes12[[#This Row],[CUIT]],Lista_CUIT[#All],3,0)),"CUIT NO CARGADO")</f>
        <v>Gastos Varios</v>
      </c>
      <c r="R125" s="49">
        <f>IFERROR(IF(compras_mes12[[#This Row],[CUIT]]="","-",VLOOKUP(compras_mes12[[#This Row],[CUIT]],Lista_CUIT[#All],4,0)),"CUIT NO CARGADO")</f>
        <v>0</v>
      </c>
    </row>
    <row r="126" spans="2:18">
      <c r="B126" s="497">
        <v>45646</v>
      </c>
      <c r="C126" s="498">
        <v>1</v>
      </c>
      <c r="D126" s="499">
        <v>14</v>
      </c>
      <c r="E126" s="500">
        <v>19104396</v>
      </c>
      <c r="F126" s="501">
        <v>30655116202</v>
      </c>
      <c r="G126" s="502" t="str">
        <f>IFERROR(IF(compras_mes12[[#This Row],[CUIT]]="","-",VLOOKUP(compras_mes12[[#This Row],[CUIT]],Lista_CUIT[#All],2,0)),"CUIT NO CARGADO")</f>
        <v xml:space="preserve">EDENOR </v>
      </c>
      <c r="H126" s="503">
        <v>84519.958496093794</v>
      </c>
      <c r="I126" s="504"/>
      <c r="J126" s="504">
        <f>compras_mes12[[#This Row],[NETO GRAVADO]]*0.27</f>
        <v>22820.388793945327</v>
      </c>
      <c r="K126" s="504"/>
      <c r="L126" s="504"/>
      <c r="M126" s="504"/>
      <c r="N126" s="504"/>
      <c r="O126" s="504">
        <v>5394.91015625</v>
      </c>
      <c r="P126" s="505">
        <f>SUM(compras_mes12[[#This Row],[NETO GRAVADO]:[Otros / No Grav.]])</f>
        <v>112735.25744628912</v>
      </c>
      <c r="Q126" s="502" t="str">
        <f>IFERROR(IF(compras_mes12[[#This Row],[CUIT]]="","-",VLOOKUP(compras_mes12[[#This Row],[CUIT]],Lista_CUIT[#All],3,0)),"CUIT NO CARGADO")</f>
        <v>Servicios Gas, Luz, etc.</v>
      </c>
      <c r="R126" s="506">
        <f>IFERROR(IF(compras_mes12[[#This Row],[CUIT]]="","-",VLOOKUP(compras_mes12[[#This Row],[CUIT]],Lista_CUIT[#All],4,0)),"CUIT NO CARGADO")</f>
        <v>0</v>
      </c>
    </row>
    <row r="127" spans="2:18">
      <c r="B127" s="40" t="s">
        <v>2632</v>
      </c>
      <c r="C127" s="41">
        <v>1</v>
      </c>
      <c r="D127" s="42">
        <v>2215</v>
      </c>
      <c r="E127" s="43">
        <v>49767</v>
      </c>
      <c r="F127" s="44">
        <v>30548083156</v>
      </c>
      <c r="G127" s="45" t="str">
        <f>IFERROR(IF(compras_mes12[[#This Row],[CUIT]]="","-",VLOOKUP(compras_mes12[[#This Row],[CUIT]],Lista_CUIT[#All],2,0)),"CUIT NO CARGADO")</f>
        <v>COTO CENTRO INTEGRAL DE COMERCIALIZACION SOCIEDAD ANONIMA</v>
      </c>
      <c r="H127" s="46">
        <v>32983.410000000003</v>
      </c>
      <c r="I127" s="85">
        <v>4982.93</v>
      </c>
      <c r="J127" s="85"/>
      <c r="K127" s="85">
        <v>971.79</v>
      </c>
      <c r="L127" s="85"/>
      <c r="M127" s="85"/>
      <c r="N127" s="85"/>
      <c r="O127" s="85">
        <v>2381.2199999999998</v>
      </c>
      <c r="P127" s="48">
        <f>SUM(compras_mes12[[#This Row],[NETO GRAVADO]:[Otros / No Grav.]])</f>
        <v>41319.350000000006</v>
      </c>
      <c r="Q127" s="45" t="str">
        <f>IFERROR(IF(compras_mes12[[#This Row],[CUIT]]="","-",VLOOKUP(compras_mes12[[#This Row],[CUIT]],Lista_CUIT[#All],3,0)),"CUIT NO CARGADO")</f>
        <v>Gastos Varios</v>
      </c>
      <c r="R127" s="49">
        <f>IFERROR(IF(compras_mes12[[#This Row],[CUIT]]="","-",VLOOKUP(compras_mes12[[#This Row],[CUIT]],Lista_CUIT[#All],4,0)),"CUIT NO CARGADO")</f>
        <v>0</v>
      </c>
    </row>
    <row r="128" spans="2:18">
      <c r="B128" s="40" t="s">
        <v>2616</v>
      </c>
      <c r="C128" s="41">
        <v>1</v>
      </c>
      <c r="D128" s="42">
        <v>2</v>
      </c>
      <c r="E128" s="43">
        <v>260</v>
      </c>
      <c r="F128" s="44">
        <v>27317740196</v>
      </c>
      <c r="G128" s="45" t="str">
        <f>IFERROR(IF(compras_mes12[[#This Row],[CUIT]]="","-",VLOOKUP(compras_mes12[[#This Row],[CUIT]],Lista_CUIT[#All],2,0)),"CUIT NO CARGADO")</f>
        <v>HOKAMA ROMINA PAOLA</v>
      </c>
      <c r="H128" s="46">
        <v>15959.5</v>
      </c>
      <c r="I128" s="85">
        <f>IF(compras_mes12[[#This Row],[NETO GRAVADO]]="","",compras_mes12[[#This Row],[NETO GRAVADO]]*0.21)</f>
        <v>3351.4949999999999</v>
      </c>
      <c r="J128" s="85"/>
      <c r="K128" s="85"/>
      <c r="L128" s="85"/>
      <c r="M128" s="85"/>
      <c r="N128" s="85"/>
      <c r="O128" s="85"/>
      <c r="P128" s="48">
        <f>SUM(compras_mes12[[#This Row],[NETO GRAVADO]:[Otros / No Grav.]])</f>
        <v>19310.994999999999</v>
      </c>
      <c r="Q128" s="45" t="str">
        <f>IFERROR(IF(compras_mes12[[#This Row],[CUIT]]="","-",VLOOKUP(compras_mes12[[#This Row],[CUIT]],Lista_CUIT[#All],3,0)),"CUIT NO CARGADO")</f>
        <v>Gastos Varios</v>
      </c>
      <c r="R128" s="49">
        <f>IFERROR(IF(compras_mes12[[#This Row],[CUIT]]="","-",VLOOKUP(compras_mes12[[#This Row],[CUIT]],Lista_CUIT[#All],4,0)),"CUIT NO CARGADO")</f>
        <v>0</v>
      </c>
    </row>
    <row r="129" spans="2:18">
      <c r="B129" s="40" t="s">
        <v>2616</v>
      </c>
      <c r="C129" s="41">
        <v>1</v>
      </c>
      <c r="D129" s="42">
        <v>11</v>
      </c>
      <c r="E129" s="43">
        <v>68239</v>
      </c>
      <c r="F129" s="44">
        <v>30711091552</v>
      </c>
      <c r="G129" s="45" t="str">
        <f>IFERROR(IF(compras_mes12[[#This Row],[CUIT]]="","-",VLOOKUP(compras_mes12[[#This Row],[CUIT]],Lista_CUIT[#All],2,0)),"CUIT NO CARGADO")</f>
        <v>BIGBOX S.A.</v>
      </c>
      <c r="H129" s="46">
        <v>61157.02</v>
      </c>
      <c r="I129" s="85">
        <f>IF(compras_mes12[[#This Row],[NETO GRAVADO]]="","",compras_mes12[[#This Row],[NETO GRAVADO]]*0.21)</f>
        <v>12842.974199999999</v>
      </c>
      <c r="J129" s="85"/>
      <c r="K129" s="85"/>
      <c r="L129" s="85"/>
      <c r="M129" s="85"/>
      <c r="N129" s="85"/>
      <c r="O129" s="85"/>
      <c r="P129" s="48">
        <f>SUM(compras_mes12[[#This Row],[NETO GRAVADO]:[Otros / No Grav.]])</f>
        <v>73999.994200000001</v>
      </c>
      <c r="Q129" s="45" t="s">
        <v>2699</v>
      </c>
      <c r="R129" s="49">
        <f>IFERROR(IF(compras_mes12[[#This Row],[CUIT]]="","-",VLOOKUP(compras_mes12[[#This Row],[CUIT]],Lista_CUIT[#All],4,0)),"CUIT NO CARGADO")</f>
        <v>0</v>
      </c>
    </row>
    <row r="130" spans="2:18">
      <c r="B130" s="40" t="s">
        <v>2617</v>
      </c>
      <c r="C130" s="41">
        <v>1</v>
      </c>
      <c r="D130" s="42">
        <v>2</v>
      </c>
      <c r="E130" s="43">
        <v>3925</v>
      </c>
      <c r="F130" s="44">
        <v>30629863571</v>
      </c>
      <c r="G130" s="45" t="str">
        <f>IFERROR(IF(compras_mes12[[#This Row],[CUIT]]="","-",VLOOKUP(compras_mes12[[#This Row],[CUIT]],Lista_CUIT[#All],2,0)),"CUIT NO CARGADO")</f>
        <v>TECNIMAR S R L</v>
      </c>
      <c r="H130" s="46">
        <v>268356</v>
      </c>
      <c r="I130" s="85">
        <f>IF(compras_mes12[[#This Row],[NETO GRAVADO]]="","",compras_mes12[[#This Row],[NETO GRAVADO]]*0.21)</f>
        <v>56354.759999999995</v>
      </c>
      <c r="J130" s="85"/>
      <c r="K130" s="85"/>
      <c r="L130" s="85"/>
      <c r="M130" s="85"/>
      <c r="N130" s="85"/>
      <c r="O130" s="85"/>
      <c r="P130" s="48">
        <f>SUM(compras_mes12[[#This Row],[NETO GRAVADO]:[Otros / No Grav.]])</f>
        <v>324710.76</v>
      </c>
      <c r="Q130" s="45" t="str">
        <f>IFERROR(IF(compras_mes12[[#This Row],[CUIT]]="","-",VLOOKUP(compras_mes12[[#This Row],[CUIT]],Lista_CUIT[#All],3,0)),"CUIT NO CARGADO")</f>
        <v>Productos Venta</v>
      </c>
      <c r="R130" s="49">
        <f>IFERROR(IF(compras_mes12[[#This Row],[CUIT]]="","-",VLOOKUP(compras_mes12[[#This Row],[CUIT]],Lista_CUIT[#All],4,0)),"CUIT NO CARGADO")</f>
        <v>0</v>
      </c>
    </row>
    <row r="131" spans="2:18">
      <c r="B131" s="40" t="s">
        <v>2617</v>
      </c>
      <c r="C131" s="41">
        <v>1</v>
      </c>
      <c r="D131" s="42">
        <v>2</v>
      </c>
      <c r="E131" s="43">
        <v>8711</v>
      </c>
      <c r="F131" s="44">
        <v>30714284963</v>
      </c>
      <c r="G131" s="45" t="str">
        <f>IFERROR(IF(compras_mes12[[#This Row],[CUIT]]="","-",VLOOKUP(compras_mes12[[#This Row],[CUIT]],Lista_CUIT[#All],2,0)),"CUIT NO CARGADO")</f>
        <v>ENGYMAN SRL</v>
      </c>
      <c r="H131" s="46">
        <v>137250</v>
      </c>
      <c r="I131" s="85">
        <f>IF(compras_mes12[[#This Row],[NETO GRAVADO]]="","",compras_mes12[[#This Row],[NETO GRAVADO]]*0.21)</f>
        <v>28822.5</v>
      </c>
      <c r="J131" s="85"/>
      <c r="K131" s="85"/>
      <c r="L131" s="85"/>
      <c r="M131" s="85"/>
      <c r="N131" s="85"/>
      <c r="O131" s="85"/>
      <c r="P131" s="48">
        <f>SUM(compras_mes12[[#This Row],[NETO GRAVADO]:[Otros / No Grav.]])</f>
        <v>166072.5</v>
      </c>
      <c r="Q131" s="45" t="str">
        <f>IFERROR(IF(compras_mes12[[#This Row],[CUIT]]="","-",VLOOKUP(compras_mes12[[#This Row],[CUIT]],Lista_CUIT[#All],3,0)),"CUIT NO CARGADO")</f>
        <v>Gastos Varios</v>
      </c>
      <c r="R131" s="49">
        <f>IFERROR(IF(compras_mes12[[#This Row],[CUIT]]="","-",VLOOKUP(compras_mes12[[#This Row],[CUIT]],Lista_CUIT[#All],4,0)),"CUIT NO CARGADO")</f>
        <v>0</v>
      </c>
    </row>
    <row r="132" spans="2:18">
      <c r="B132" s="40" t="s">
        <v>2617</v>
      </c>
      <c r="C132" s="41">
        <v>1</v>
      </c>
      <c r="D132" s="42">
        <v>1678</v>
      </c>
      <c r="E132" s="43">
        <v>52051</v>
      </c>
      <c r="F132" s="44">
        <v>30589621499</v>
      </c>
      <c r="G132" s="45" t="str">
        <f>IFERROR(IF(compras_mes12[[#This Row],[CUIT]]="","-",VLOOKUP(compras_mes12[[#This Row],[CUIT]],Lista_CUIT[#All],2,0)),"CUIT NO CARGADO")</f>
        <v>MAKRO SA</v>
      </c>
      <c r="H132" s="46">
        <v>55470.04</v>
      </c>
      <c r="I132" s="85">
        <f>IF(compras_mes12[[#This Row],[NETO GRAVADO]]="","",compras_mes12[[#This Row],[NETO GRAVADO]]*0.21)</f>
        <v>11648.7084</v>
      </c>
      <c r="J132" s="85"/>
      <c r="K132" s="85"/>
      <c r="L132" s="85">
        <v>1664.1</v>
      </c>
      <c r="M132" s="85"/>
      <c r="N132" s="85">
        <v>3328.2</v>
      </c>
      <c r="O132" s="85"/>
      <c r="P132" s="48">
        <f>SUM(compras_mes12[[#This Row],[NETO GRAVADO]:[Otros / No Grav.]])</f>
        <v>72111.0484</v>
      </c>
      <c r="Q132" s="45" t="str">
        <f>IFERROR(IF(compras_mes12[[#This Row],[CUIT]]="","-",VLOOKUP(compras_mes12[[#This Row],[CUIT]],Lista_CUIT[#All],3,0)),"CUIT NO CARGADO")</f>
        <v>Gastos Varios</v>
      </c>
      <c r="R132" s="49">
        <f>IFERROR(IF(compras_mes12[[#This Row],[CUIT]]="","-",VLOOKUP(compras_mes12[[#This Row],[CUIT]],Lista_CUIT[#All],4,0)),"CUIT NO CARGADO")</f>
        <v>0</v>
      </c>
    </row>
    <row r="133" spans="2:18">
      <c r="B133" s="40" t="s">
        <v>2617</v>
      </c>
      <c r="C133" s="41">
        <v>1</v>
      </c>
      <c r="D133" s="42">
        <v>5015</v>
      </c>
      <c r="E133" s="43">
        <v>693204</v>
      </c>
      <c r="F133" s="44">
        <v>30574876474</v>
      </c>
      <c r="G133" s="45" t="str">
        <f>IFERROR(IF(compras_mes12[[#This Row],[CUIT]]="","-",VLOOKUP(compras_mes12[[#This Row],[CUIT]],Lista_CUIT[#All],2,0)),"CUIT NO CARGADO")</f>
        <v>AUTOPISTAS URBANAS S A</v>
      </c>
      <c r="H133" s="46">
        <v>69400.070000000007</v>
      </c>
      <c r="I133" s="85">
        <f>IF(compras_mes12[[#This Row],[NETO GRAVADO]]="","",compras_mes12[[#This Row],[NETO GRAVADO]]*0.21)</f>
        <v>14574.014700000002</v>
      </c>
      <c r="J133" s="85"/>
      <c r="K133" s="85"/>
      <c r="L133" s="85"/>
      <c r="M133" s="85"/>
      <c r="N133" s="85"/>
      <c r="O133" s="85">
        <v>9022</v>
      </c>
      <c r="P133" s="48">
        <f>SUM(compras_mes12[[#This Row],[NETO GRAVADO]:[Otros / No Grav.]])</f>
        <v>92996.084700000007</v>
      </c>
      <c r="Q133" s="45" t="str">
        <f>IFERROR(IF(compras_mes12[[#This Row],[CUIT]]="","-",VLOOKUP(compras_mes12[[#This Row],[CUIT]],Lista_CUIT[#All],3,0)),"CUIT NO CARGADO")</f>
        <v>Peajes</v>
      </c>
      <c r="R133" s="49">
        <f>IFERROR(IF(compras_mes12[[#This Row],[CUIT]]="","-",VLOOKUP(compras_mes12[[#This Row],[CUIT]],Lista_CUIT[#All],4,0)),"CUIT NO CARGADO")</f>
        <v>0</v>
      </c>
    </row>
    <row r="134" spans="2:18">
      <c r="B134" s="40" t="s">
        <v>2633</v>
      </c>
      <c r="C134" s="41">
        <v>1</v>
      </c>
      <c r="D134" s="42">
        <v>4</v>
      </c>
      <c r="E134" s="43">
        <v>159</v>
      </c>
      <c r="F134" s="44">
        <v>27317740196</v>
      </c>
      <c r="G134" s="45" t="str">
        <f>IFERROR(IF(compras_mes12[[#This Row],[CUIT]]="","-",VLOOKUP(compras_mes12[[#This Row],[CUIT]],Lista_CUIT[#All],2,0)),"CUIT NO CARGADO")</f>
        <v>HOKAMA ROMINA PAOLA</v>
      </c>
      <c r="H134" s="46">
        <v>16049.59</v>
      </c>
      <c r="I134" s="85">
        <f>IF(compras_mes12[[#This Row],[NETO GRAVADO]]="","",compras_mes12[[#This Row],[NETO GRAVADO]]*0.21)</f>
        <v>3370.4139</v>
      </c>
      <c r="J134" s="85"/>
      <c r="K134" s="85"/>
      <c r="L134" s="85"/>
      <c r="M134" s="85"/>
      <c r="N134" s="85"/>
      <c r="O134" s="85"/>
      <c r="P134" s="48">
        <f>SUM(compras_mes12[[#This Row],[NETO GRAVADO]:[Otros / No Grav.]])</f>
        <v>19420.0039</v>
      </c>
      <c r="Q134" s="45" t="str">
        <f>IFERROR(IF(compras_mes12[[#This Row],[CUIT]]="","-",VLOOKUP(compras_mes12[[#This Row],[CUIT]],Lista_CUIT[#All],3,0)),"CUIT NO CARGADO")</f>
        <v>Gastos Varios</v>
      </c>
      <c r="R134" s="49">
        <f>IFERROR(IF(compras_mes12[[#This Row],[CUIT]]="","-",VLOOKUP(compras_mes12[[#This Row],[CUIT]],Lista_CUIT[#All],4,0)),"CUIT NO CARGADO")</f>
        <v>0</v>
      </c>
    </row>
    <row r="135" spans="2:18">
      <c r="B135" s="40" t="s">
        <v>2634</v>
      </c>
      <c r="C135" s="41">
        <v>1</v>
      </c>
      <c r="D135" s="42">
        <v>6</v>
      </c>
      <c r="E135" s="43">
        <v>6623</v>
      </c>
      <c r="F135" s="44">
        <v>27333417400</v>
      </c>
      <c r="G135" s="45" t="str">
        <f>IFERROR(IF(compras_mes12[[#This Row],[CUIT]]="","-",VLOOKUP(compras_mes12[[#This Row],[CUIT]],Lista_CUIT[#All],2,0)),"CUIT NO CARGADO")</f>
        <v>DESALVO SARA NOEMI</v>
      </c>
      <c r="H135" s="46">
        <v>12491.75</v>
      </c>
      <c r="I135" s="85">
        <f>IF(compras_mes12[[#This Row],[NETO GRAVADO]]="","",compras_mes12[[#This Row],[NETO GRAVADO]]*0.21)</f>
        <v>2623.2674999999999</v>
      </c>
      <c r="J135" s="85"/>
      <c r="K135" s="85"/>
      <c r="L135" s="85"/>
      <c r="M135" s="85"/>
      <c r="N135" s="85"/>
      <c r="O135" s="85"/>
      <c r="P135" s="48">
        <f>SUM(compras_mes12[[#This Row],[NETO GRAVADO]:[Otros / No Grav.]])</f>
        <v>15115.0175</v>
      </c>
      <c r="Q135" s="45" t="str">
        <f>IFERROR(IF(compras_mes12[[#This Row],[CUIT]]="","-",VLOOKUP(compras_mes12[[#This Row],[CUIT]],Lista_CUIT[#All],3,0)),"CUIT NO CARGADO")</f>
        <v>Gastos Oficina</v>
      </c>
      <c r="R135" s="49">
        <f>IFERROR(IF(compras_mes12[[#This Row],[CUIT]]="","-",VLOOKUP(compras_mes12[[#This Row],[CUIT]],Lista_CUIT[#All],4,0)),"CUIT NO CARGADO")</f>
        <v>0</v>
      </c>
    </row>
    <row r="136" spans="2:18">
      <c r="B136" s="40" t="s">
        <v>2634</v>
      </c>
      <c r="C136" s="41">
        <v>1</v>
      </c>
      <c r="D136" s="42">
        <v>6860</v>
      </c>
      <c r="E136" s="43">
        <v>35022</v>
      </c>
      <c r="F136" s="44">
        <v>30678774495</v>
      </c>
      <c r="G136" s="45" t="str">
        <f>IFERROR(IF(compras_mes12[[#This Row],[CUIT]]="","-",VLOOKUP(compras_mes12[[#This Row],[CUIT]],Lista_CUIT[#All],2,0)),"CUIT NO CARGADO")</f>
        <v>OPER. DE EST. DE SERV. SA</v>
      </c>
      <c r="H136" s="46">
        <v>34371.49</v>
      </c>
      <c r="I136" s="85">
        <f>IF(compras_mes12[[#This Row],[NETO GRAVADO]]="","",compras_mes12[[#This Row],[NETO GRAVADO]]*0.21)</f>
        <v>7218.0128999999997</v>
      </c>
      <c r="J136" s="85"/>
      <c r="K136" s="85"/>
      <c r="L136" s="85"/>
      <c r="M136" s="85"/>
      <c r="N136" s="85"/>
      <c r="O136" s="85">
        <v>8412.4699999999993</v>
      </c>
      <c r="P136" s="48">
        <f>SUM(compras_mes12[[#This Row],[NETO GRAVADO]:[Otros / No Grav.]])</f>
        <v>50001.972900000001</v>
      </c>
      <c r="Q136" s="45" t="str">
        <f>IFERROR(IF(compras_mes12[[#This Row],[CUIT]]="","-",VLOOKUP(compras_mes12[[#This Row],[CUIT]],Lista_CUIT[#All],3,0)),"CUIT NO CARGADO")</f>
        <v>Combustible</v>
      </c>
      <c r="R136" s="49">
        <f>IFERROR(IF(compras_mes12[[#This Row],[CUIT]]="","-",VLOOKUP(compras_mes12[[#This Row],[CUIT]],Lista_CUIT[#All],4,0)),"CUIT NO CARGADO")</f>
        <v>0</v>
      </c>
    </row>
    <row r="137" spans="2:18">
      <c r="B137" s="40" t="s">
        <v>2618</v>
      </c>
      <c r="C137" s="41">
        <v>1</v>
      </c>
      <c r="D137" s="42">
        <v>2</v>
      </c>
      <c r="E137" s="43">
        <v>3926</v>
      </c>
      <c r="F137" s="44">
        <v>30629863571</v>
      </c>
      <c r="G137" s="45" t="str">
        <f>IFERROR(IF(compras_mes12[[#This Row],[CUIT]]="","-",VLOOKUP(compras_mes12[[#This Row],[CUIT]],Lista_CUIT[#All],2,0)),"CUIT NO CARGADO")</f>
        <v>TECNIMAR S R L</v>
      </c>
      <c r="H137" s="46">
        <v>1703691.57</v>
      </c>
      <c r="I137" s="85">
        <f>IF(compras_mes12[[#This Row],[NETO GRAVADO]]="","",compras_mes12[[#This Row],[NETO GRAVADO]]*0.21)</f>
        <v>357775.22970000003</v>
      </c>
      <c r="J137" s="85"/>
      <c r="K137" s="85"/>
      <c r="L137" s="85"/>
      <c r="M137" s="85"/>
      <c r="N137" s="85"/>
      <c r="O137" s="85"/>
      <c r="P137" s="48">
        <f>SUM(compras_mes12[[#This Row],[NETO GRAVADO]:[Otros / No Grav.]])</f>
        <v>2061466.7997000001</v>
      </c>
      <c r="Q137" s="45" t="str">
        <f>IFERROR(IF(compras_mes12[[#This Row],[CUIT]]="","-",VLOOKUP(compras_mes12[[#This Row],[CUIT]],Lista_CUIT[#All],3,0)),"CUIT NO CARGADO")</f>
        <v>Productos Venta</v>
      </c>
      <c r="R137" s="49">
        <f>IFERROR(IF(compras_mes12[[#This Row],[CUIT]]="","-",VLOOKUP(compras_mes12[[#This Row],[CUIT]],Lista_CUIT[#All],4,0)),"CUIT NO CARGADO")</f>
        <v>0</v>
      </c>
    </row>
    <row r="138" spans="2:18">
      <c r="B138" s="40" t="s">
        <v>2618</v>
      </c>
      <c r="C138" s="41">
        <v>1</v>
      </c>
      <c r="D138" s="42">
        <v>10</v>
      </c>
      <c r="E138" s="43">
        <v>14317</v>
      </c>
      <c r="F138" s="44">
        <v>30708157755</v>
      </c>
      <c r="G138" s="45" t="str">
        <f>IFERROR(IF(compras_mes12[[#This Row],[CUIT]]="","-",VLOOKUP(compras_mes12[[#This Row],[CUIT]],Lista_CUIT[#All],2,0)),"CUIT NO CARGADO")</f>
        <v>EXPOENVASE SRL</v>
      </c>
      <c r="H138" s="46">
        <v>313170</v>
      </c>
      <c r="I138" s="85">
        <f>IF(compras_mes12[[#This Row],[NETO GRAVADO]]="","",compras_mes12[[#This Row],[NETO GRAVADO]]*0.21)</f>
        <v>65765.7</v>
      </c>
      <c r="J138" s="85"/>
      <c r="K138" s="85"/>
      <c r="L138" s="85"/>
      <c r="M138" s="85"/>
      <c r="N138" s="85"/>
      <c r="O138" s="85"/>
      <c r="P138" s="48">
        <f>SUM(compras_mes12[[#This Row],[NETO GRAVADO]:[Otros / No Grav.]])</f>
        <v>378935.7</v>
      </c>
      <c r="Q138" s="45" t="str">
        <f>IFERROR(IF(compras_mes12[[#This Row],[CUIT]]="","-",VLOOKUP(compras_mes12[[#This Row],[CUIT]],Lista_CUIT[#All],3,0)),"CUIT NO CARGADO")</f>
        <v>Material de Empaque</v>
      </c>
      <c r="R138" s="49">
        <f>IFERROR(IF(compras_mes12[[#This Row],[CUIT]]="","-",VLOOKUP(compras_mes12[[#This Row],[CUIT]],Lista_CUIT[#All],4,0)),"CUIT NO CARGADO")</f>
        <v>0</v>
      </c>
    </row>
    <row r="139" spans="2:18">
      <c r="B139" s="40" t="s">
        <v>2618</v>
      </c>
      <c r="C139" s="41">
        <v>1</v>
      </c>
      <c r="D139" s="42">
        <v>6850</v>
      </c>
      <c r="E139" s="43">
        <v>24375</v>
      </c>
      <c r="F139" s="44">
        <v>30678774495</v>
      </c>
      <c r="G139" s="45" t="str">
        <f>IFERROR(IF(compras_mes12[[#This Row],[CUIT]]="","-",VLOOKUP(compras_mes12[[#This Row],[CUIT]],Lista_CUIT[#All],2,0)),"CUIT NO CARGADO")</f>
        <v>OPER. DE EST. DE SERV. SA</v>
      </c>
      <c r="H139" s="46">
        <v>8254.7900000000009</v>
      </c>
      <c r="I139" s="85">
        <f>IF(compras_mes12[[#This Row],[NETO GRAVADO]]="","",compras_mes12[[#This Row],[NETO GRAVADO]]*0.21)</f>
        <v>1733.5059000000001</v>
      </c>
      <c r="J139" s="85"/>
      <c r="K139" s="85"/>
      <c r="L139" s="85"/>
      <c r="M139" s="85"/>
      <c r="N139" s="85"/>
      <c r="O139" s="85">
        <v>2011.71</v>
      </c>
      <c r="P139" s="48">
        <f>SUM(compras_mes12[[#This Row],[NETO GRAVADO]:[Otros / No Grav.]])</f>
        <v>12000.0059</v>
      </c>
      <c r="Q139" s="45" t="str">
        <f>IFERROR(IF(compras_mes12[[#This Row],[CUIT]]="","-",VLOOKUP(compras_mes12[[#This Row],[CUIT]],Lista_CUIT[#All],3,0)),"CUIT NO CARGADO")</f>
        <v>Combustible</v>
      </c>
      <c r="R139" s="49">
        <f>IFERROR(IF(compras_mes12[[#This Row],[CUIT]]="","-",VLOOKUP(compras_mes12[[#This Row],[CUIT]],Lista_CUIT[#All],4,0)),"CUIT NO CARGADO")</f>
        <v>0</v>
      </c>
    </row>
    <row r="140" spans="2:18">
      <c r="B140" s="40" t="s">
        <v>2618</v>
      </c>
      <c r="C140" s="41">
        <v>1</v>
      </c>
      <c r="D140" s="42">
        <v>2199</v>
      </c>
      <c r="E140" s="43">
        <v>34109</v>
      </c>
      <c r="F140" s="44">
        <v>30548083156</v>
      </c>
      <c r="G140" s="45" t="str">
        <f>IFERROR(IF(compras_mes12[[#This Row],[CUIT]]="","-",VLOOKUP(compras_mes12[[#This Row],[CUIT]],Lista_CUIT[#All],2,0)),"CUIT NO CARGADO")</f>
        <v>COTO CENTRO INTEGRAL DE COMERCIALIZACION SOCIEDAD ANONIMA</v>
      </c>
      <c r="H140" s="46">
        <v>20088.64</v>
      </c>
      <c r="I140" s="85">
        <v>1284.8699999999999</v>
      </c>
      <c r="J140" s="85"/>
      <c r="K140" s="85">
        <v>1466.87</v>
      </c>
      <c r="L140" s="85"/>
      <c r="M140" s="85"/>
      <c r="N140" s="85"/>
      <c r="O140" s="85">
        <v>1332.55</v>
      </c>
      <c r="P140" s="48">
        <f>SUM(compras_mes12[[#This Row],[NETO GRAVADO]:[Otros / No Grav.]])</f>
        <v>24172.929999999997</v>
      </c>
      <c r="Q140" s="45" t="str">
        <f>IFERROR(IF(compras_mes12[[#This Row],[CUIT]]="","-",VLOOKUP(compras_mes12[[#This Row],[CUIT]],Lista_CUIT[#All],3,0)),"CUIT NO CARGADO")</f>
        <v>Gastos Varios</v>
      </c>
      <c r="R140" s="49">
        <f>IFERROR(IF(compras_mes12[[#This Row],[CUIT]]="","-",VLOOKUP(compras_mes12[[#This Row],[CUIT]],Lista_CUIT[#All],4,0)),"CUIT NO CARGADO")</f>
        <v>0</v>
      </c>
    </row>
    <row r="141" spans="2:18">
      <c r="B141" s="497">
        <v>45652</v>
      </c>
      <c r="C141" s="498">
        <v>1</v>
      </c>
      <c r="D141" s="499">
        <v>12</v>
      </c>
      <c r="E141" s="500">
        <v>55298</v>
      </c>
      <c r="F141" s="501">
        <v>30696131003</v>
      </c>
      <c r="G141" s="502" t="str">
        <f>IFERROR(IF(compras_mes12[[#This Row],[CUIT]]="","-",VLOOKUP(compras_mes12[[#This Row],[CUIT]],Lista_CUIT[#All],2,0)),"CUIT NO CARGADO")</f>
        <v>Petrolfe S.A.</v>
      </c>
      <c r="H141" s="503">
        <v>192370.9140625</v>
      </c>
      <c r="I141" s="504">
        <f>IF(compras_mes12[[#This Row],[NETO GRAVADO]]="","",compras_mes12[[#This Row],[NETO GRAVADO]]*0.21)</f>
        <v>40397.891953124999</v>
      </c>
      <c r="J141" s="504"/>
      <c r="K141" s="504"/>
      <c r="L141" s="504"/>
      <c r="M141" s="504"/>
      <c r="N141" s="504"/>
      <c r="O141" s="504">
        <v>33288.25</v>
      </c>
      <c r="P141" s="505">
        <f>SUM(compras_mes12[[#This Row],[NETO GRAVADO]:[Otros / No Grav.]])</f>
        <v>266057.05601562501</v>
      </c>
      <c r="Q141" s="502" t="str">
        <f>IFERROR(IF(compras_mes12[[#This Row],[CUIT]]="","-",VLOOKUP(compras_mes12[[#This Row],[CUIT]],Lista_CUIT[#All],3,0)),"CUIT NO CARGADO")</f>
        <v>Combustible</v>
      </c>
      <c r="R141" s="506">
        <f>IFERROR(IF(compras_mes12[[#This Row],[CUIT]]="","-",VLOOKUP(compras_mes12[[#This Row],[CUIT]],Lista_CUIT[#All],4,0)),"CUIT NO CARGADO")</f>
        <v>0</v>
      </c>
    </row>
    <row r="142" spans="2:18">
      <c r="B142" s="40" t="s">
        <v>2618</v>
      </c>
      <c r="C142" s="41">
        <v>1</v>
      </c>
      <c r="D142" s="42">
        <v>700</v>
      </c>
      <c r="E142" s="43">
        <v>2145030</v>
      </c>
      <c r="F142" s="44">
        <v>30715804812</v>
      </c>
      <c r="G142" s="45" t="str">
        <f>IFERROR(IF(compras_mes12[[#This Row],[CUIT]]="","-",VLOOKUP(compras_mes12[[#This Row],[CUIT]],Lista_CUIT[#All],2,0)),"CUIT NO CARGADO")</f>
        <v>CORREDORES VIALES SOCIEDAD ANONIMA</v>
      </c>
      <c r="H142" s="46">
        <v>3471.93</v>
      </c>
      <c r="I142" s="85">
        <f>IF(compras_mes12[[#This Row],[NETO GRAVADO]]="","",compras_mes12[[#This Row],[NETO GRAVADO]]*0.21)</f>
        <v>729.10529999999994</v>
      </c>
      <c r="J142" s="85"/>
      <c r="K142" s="85"/>
      <c r="L142" s="85"/>
      <c r="M142" s="85"/>
      <c r="N142" s="85"/>
      <c r="O142" s="85"/>
      <c r="P142" s="48">
        <f>SUM(compras_mes12[[#This Row],[NETO GRAVADO]:[Otros / No Grav.]])</f>
        <v>4201.0352999999996</v>
      </c>
      <c r="Q142" s="45" t="str">
        <f>IFERROR(IF(compras_mes12[[#This Row],[CUIT]]="","-",VLOOKUP(compras_mes12[[#This Row],[CUIT]],Lista_CUIT[#All],3,0)),"CUIT NO CARGADO")</f>
        <v>Peajes</v>
      </c>
      <c r="R142" s="49">
        <f>IFERROR(IF(compras_mes12[[#This Row],[CUIT]]="","-",VLOOKUP(compras_mes12[[#This Row],[CUIT]],Lista_CUIT[#All],4,0)),"CUIT NO CARGADO")</f>
        <v>0</v>
      </c>
    </row>
    <row r="143" spans="2:18">
      <c r="B143" s="40" t="s">
        <v>2618</v>
      </c>
      <c r="C143" s="41">
        <v>1</v>
      </c>
      <c r="D143" s="42">
        <v>5</v>
      </c>
      <c r="E143" s="43">
        <v>3189989</v>
      </c>
      <c r="F143" s="44">
        <v>30702652975</v>
      </c>
      <c r="G143" s="45" t="str">
        <f>IFERROR(IF(compras_mes12[[#This Row],[CUIT]]="","-",VLOOKUP(compras_mes12[[#This Row],[CUIT]],Lista_CUIT[#All],2,0)),"CUIT NO CARGADO")</f>
        <v>NSS SA</v>
      </c>
      <c r="H143" s="46">
        <v>29946.48</v>
      </c>
      <c r="I143" s="85">
        <f>IF(compras_mes12[[#This Row],[NETO GRAVADO]]="","",compras_mes12[[#This Row],[NETO GRAVADO]]*0.21)</f>
        <v>6288.7608</v>
      </c>
      <c r="J143" s="85"/>
      <c r="K143" s="85"/>
      <c r="L143" s="85"/>
      <c r="M143" s="85">
        <v>1796.79</v>
      </c>
      <c r="N143" s="85"/>
      <c r="O143" s="85"/>
      <c r="P143" s="48">
        <f>SUM(compras_mes12[[#This Row],[NETO GRAVADO]:[Otros / No Grav.]])</f>
        <v>38032.0308</v>
      </c>
      <c r="Q143" s="45" t="str">
        <f>IFERROR(IF(compras_mes12[[#This Row],[CUIT]]="","-",VLOOKUP(compras_mes12[[#This Row],[CUIT]],Lista_CUIT[#All],3,0)),"CUIT NO CARGADO")</f>
        <v>Servicios Gas, Luz, etc.</v>
      </c>
      <c r="R143" s="49">
        <f>IFERROR(IF(compras_mes12[[#This Row],[CUIT]]="","-",VLOOKUP(compras_mes12[[#This Row],[CUIT]],Lista_CUIT[#All],4,0)),"CUIT NO CARGADO")</f>
        <v>0</v>
      </c>
    </row>
    <row r="144" spans="2:18">
      <c r="B144" s="40" t="s">
        <v>2635</v>
      </c>
      <c r="C144" s="41">
        <v>1</v>
      </c>
      <c r="D144" s="42">
        <v>2</v>
      </c>
      <c r="E144" s="43">
        <v>3927</v>
      </c>
      <c r="F144" s="44">
        <v>30629863571</v>
      </c>
      <c r="G144" s="45" t="str">
        <f>IFERROR(IF(compras_mes12[[#This Row],[CUIT]]="","-",VLOOKUP(compras_mes12[[#This Row],[CUIT]],Lista_CUIT[#All],2,0)),"CUIT NO CARGADO")</f>
        <v>TECNIMAR S R L</v>
      </c>
      <c r="H144" s="46">
        <v>1006478.43</v>
      </c>
      <c r="I144" s="85">
        <f>IF(compras_mes12[[#This Row],[NETO GRAVADO]]="","",compras_mes12[[#This Row],[NETO GRAVADO]]*0.21)</f>
        <v>211360.47030000002</v>
      </c>
      <c r="J144" s="85"/>
      <c r="K144" s="85"/>
      <c r="L144" s="85"/>
      <c r="M144" s="85"/>
      <c r="N144" s="85"/>
      <c r="O144" s="85"/>
      <c r="P144" s="48">
        <f>SUM(compras_mes12[[#This Row],[NETO GRAVADO]:[Otros / No Grav.]])</f>
        <v>1217838.9003000001</v>
      </c>
      <c r="Q144" s="45" t="str">
        <f>IFERROR(IF(compras_mes12[[#This Row],[CUIT]]="","-",VLOOKUP(compras_mes12[[#This Row],[CUIT]],Lista_CUIT[#All],3,0)),"CUIT NO CARGADO")</f>
        <v>Productos Venta</v>
      </c>
      <c r="R144" s="49">
        <f>IFERROR(IF(compras_mes12[[#This Row],[CUIT]]="","-",VLOOKUP(compras_mes12[[#This Row],[CUIT]],Lista_CUIT[#All],4,0)),"CUIT NO CARGADO")</f>
        <v>0</v>
      </c>
    </row>
    <row r="145" spans="1:18">
      <c r="B145" s="40" t="s">
        <v>2635</v>
      </c>
      <c r="C145" s="41">
        <v>1</v>
      </c>
      <c r="D145" s="42">
        <v>10</v>
      </c>
      <c r="E145" s="43">
        <v>14488</v>
      </c>
      <c r="F145" s="44">
        <v>30710796838</v>
      </c>
      <c r="G145" s="45" t="str">
        <f>IFERROR(IF(compras_mes12[[#This Row],[CUIT]]="","-",VLOOKUP(compras_mes12[[#This Row],[CUIT]],Lista_CUIT[#All],2,0)),"CUIT NO CARGADO")</f>
        <v>NO BAJAR LOS BRAZOS S.R.L.</v>
      </c>
      <c r="H145" s="46">
        <v>84628.1</v>
      </c>
      <c r="I145" s="85">
        <f>IF(compras_mes12[[#This Row],[NETO GRAVADO]]="","",compras_mes12[[#This Row],[NETO GRAVADO]]*0.21)</f>
        <v>17771.901000000002</v>
      </c>
      <c r="J145" s="85"/>
      <c r="K145" s="85"/>
      <c r="L145" s="85"/>
      <c r="M145" s="85"/>
      <c r="N145" s="85"/>
      <c r="O145" s="85"/>
      <c r="P145" s="48">
        <f>SUM(compras_mes12[[#This Row],[NETO GRAVADO]:[Otros / No Grav.]])</f>
        <v>102400.001</v>
      </c>
      <c r="Q145" s="45" t="str">
        <f>IFERROR(IF(compras_mes12[[#This Row],[CUIT]]="","-",VLOOKUP(compras_mes12[[#This Row],[CUIT]],Lista_CUIT[#All],3,0)),"CUIT NO CARGADO")</f>
        <v>Gastos Limpieza</v>
      </c>
      <c r="R145" s="49">
        <f>IFERROR(IF(compras_mes12[[#This Row],[CUIT]]="","-",VLOOKUP(compras_mes12[[#This Row],[CUIT]],Lista_CUIT[#All],4,0)),"CUIT NO CARGADO")</f>
        <v>0</v>
      </c>
    </row>
    <row r="146" spans="1:18">
      <c r="B146" s="40" t="s">
        <v>2635</v>
      </c>
      <c r="C146" s="41">
        <v>1</v>
      </c>
      <c r="D146" s="42">
        <v>2188</v>
      </c>
      <c r="E146" s="43">
        <v>138347</v>
      </c>
      <c r="F146" s="44">
        <v>30548083156</v>
      </c>
      <c r="G146" s="45" t="str">
        <f>IFERROR(IF(compras_mes12[[#This Row],[CUIT]]="","-",VLOOKUP(compras_mes12[[#This Row],[CUIT]],Lista_CUIT[#All],2,0)),"CUIT NO CARGADO")</f>
        <v>COTO CENTRO INTEGRAL DE COMERCIALIZACION SOCIEDAD ANONIMA</v>
      </c>
      <c r="H146" s="46">
        <v>59146.35</v>
      </c>
      <c r="I146" s="85">
        <v>8942.83</v>
      </c>
      <c r="J146" s="85"/>
      <c r="K146" s="85">
        <v>1738.95</v>
      </c>
      <c r="L146" s="85"/>
      <c r="M146" s="85"/>
      <c r="N146" s="85"/>
      <c r="O146" s="85">
        <v>4316.74</v>
      </c>
      <c r="P146" s="48">
        <f>SUM(compras_mes12[[#This Row],[NETO GRAVADO]:[Otros / No Grav.]])</f>
        <v>74144.87</v>
      </c>
      <c r="Q146" s="45" t="str">
        <f>IFERROR(IF(compras_mes12[[#This Row],[CUIT]]="","-",VLOOKUP(compras_mes12[[#This Row],[CUIT]],Lista_CUIT[#All],3,0)),"CUIT NO CARGADO")</f>
        <v>Gastos Varios</v>
      </c>
      <c r="R146" s="49">
        <f>IFERROR(IF(compras_mes12[[#This Row],[CUIT]]="","-",VLOOKUP(compras_mes12[[#This Row],[CUIT]],Lista_CUIT[#All],4,0)),"CUIT NO CARGADO")</f>
        <v>0</v>
      </c>
    </row>
    <row r="147" spans="1:18">
      <c r="B147" s="40" t="s">
        <v>2636</v>
      </c>
      <c r="C147" s="41">
        <v>1</v>
      </c>
      <c r="D147" s="42">
        <v>4</v>
      </c>
      <c r="E147" s="43">
        <v>164</v>
      </c>
      <c r="F147" s="44">
        <v>27317740196</v>
      </c>
      <c r="G147" s="45" t="str">
        <f>IFERROR(IF(compras_mes12[[#This Row],[CUIT]]="","-",VLOOKUP(compras_mes12[[#This Row],[CUIT]],Lista_CUIT[#All],2,0)),"CUIT NO CARGADO")</f>
        <v>HOKAMA ROMINA PAOLA</v>
      </c>
      <c r="H147" s="46">
        <v>32566.11</v>
      </c>
      <c r="I147" s="85">
        <f>IF(compras_mes12[[#This Row],[NETO GRAVADO]]="","",compras_mes12[[#This Row],[NETO GRAVADO]]*0.21)</f>
        <v>6838.8831</v>
      </c>
      <c r="J147" s="85"/>
      <c r="K147" s="85"/>
      <c r="L147" s="85"/>
      <c r="M147" s="85"/>
      <c r="N147" s="85"/>
      <c r="O147" s="85"/>
      <c r="P147" s="48">
        <f>SUM(compras_mes12[[#This Row],[NETO GRAVADO]:[Otros / No Grav.]])</f>
        <v>39404.9931</v>
      </c>
      <c r="Q147" s="45" t="str">
        <f>IFERROR(IF(compras_mes12[[#This Row],[CUIT]]="","-",VLOOKUP(compras_mes12[[#This Row],[CUIT]],Lista_CUIT[#All],3,0)),"CUIT NO CARGADO")</f>
        <v>Gastos Varios</v>
      </c>
      <c r="R147" s="49">
        <f>IFERROR(IF(compras_mes12[[#This Row],[CUIT]]="","-",VLOOKUP(compras_mes12[[#This Row],[CUIT]],Lista_CUIT[#All],4,0)),"CUIT NO CARGADO")</f>
        <v>0</v>
      </c>
    </row>
    <row r="148" spans="1:18">
      <c r="B148" s="40" t="s">
        <v>2637</v>
      </c>
      <c r="C148" s="41">
        <v>1</v>
      </c>
      <c r="D148" s="42">
        <v>71</v>
      </c>
      <c r="E148" s="43">
        <v>104050</v>
      </c>
      <c r="F148" s="44">
        <v>30703088534</v>
      </c>
      <c r="G148" s="45" t="str">
        <f>IFERROR(IF(compras_mes12[[#This Row],[CUIT]]="","-",VLOOKUP(compras_mes12[[#This Row],[CUIT]],Lista_CUIT[#All],2,0)),"CUIT NO CARGADO")</f>
        <v>MERCADO LIBRE SRL</v>
      </c>
      <c r="H148" s="46">
        <v>1274581.24</v>
      </c>
      <c r="I148" s="85">
        <f>IF(compras_mes12[[#This Row],[NETO GRAVADO]]="","",compras_mes12[[#This Row],[NETO GRAVADO]]*0.21)</f>
        <v>267662.06040000002</v>
      </c>
      <c r="J148" s="85"/>
      <c r="K148" s="85"/>
      <c r="L148" s="85"/>
      <c r="M148" s="85"/>
      <c r="N148" s="85"/>
      <c r="O148" s="85">
        <v>127458.07</v>
      </c>
      <c r="P148" s="48">
        <f>SUM(compras_mes12[[#This Row],[NETO GRAVADO]:[Otros / No Grav.]])</f>
        <v>1669701.3704000001</v>
      </c>
      <c r="Q148" s="45" t="str">
        <f>IFERROR(IF(compras_mes12[[#This Row],[CUIT]]="","-",VLOOKUP(compras_mes12[[#This Row],[CUIT]],Lista_CUIT[#All],3,0)),"CUIT NO CARGADO")</f>
        <v>Gastos Varios</v>
      </c>
      <c r="R148" s="49" t="str">
        <f>IFERROR(IF(compras_mes12[[#This Row],[CUIT]]="","-",VLOOKUP(compras_mes12[[#This Row],[CUIT]],Lista_CUIT[#All],4,0)),"CUIT NO CARGADO")</f>
        <v>CABA</v>
      </c>
    </row>
    <row r="149" spans="1:18">
      <c r="B149" s="40" t="s">
        <v>2637</v>
      </c>
      <c r="C149" s="41">
        <v>1</v>
      </c>
      <c r="D149" s="42">
        <v>503</v>
      </c>
      <c r="E149" s="43">
        <v>1618928</v>
      </c>
      <c r="F149" s="44">
        <v>30639935872</v>
      </c>
      <c r="G149" s="45" t="str">
        <f>IFERROR(IF(compras_mes12[[#This Row],[CUIT]]="","-",VLOOKUP(compras_mes12[[#This Row],[CUIT]],Lista_CUIT[#All],2,0)),"CUIT NO CARGADO")</f>
        <v>CAMINOS DEL RIO URUGUAY S A DE CONSTRUCCIONES Y CONCESIONES VIALES</v>
      </c>
      <c r="H149" s="46">
        <v>3351.05</v>
      </c>
      <c r="I149" s="85">
        <f>IF(compras_mes12[[#This Row],[NETO GRAVADO]]="","",compras_mes12[[#This Row],[NETO GRAVADO]]*0.21)</f>
        <v>703.72050000000002</v>
      </c>
      <c r="J149" s="85"/>
      <c r="K149" s="85"/>
      <c r="L149" s="85"/>
      <c r="M149" s="85"/>
      <c r="N149" s="85">
        <v>201.06</v>
      </c>
      <c r="O149" s="85"/>
      <c r="P149" s="48">
        <f>SUM(compras_mes12[[#This Row],[NETO GRAVADO]:[Otros / No Grav.]])</f>
        <v>4255.8305</v>
      </c>
      <c r="Q149" s="45" t="str">
        <f>IFERROR(IF(compras_mes12[[#This Row],[CUIT]]="","-",VLOOKUP(compras_mes12[[#This Row],[CUIT]],Lista_CUIT[#All],3,0)),"CUIT NO CARGADO")</f>
        <v>Peajes</v>
      </c>
      <c r="R149" s="49">
        <f>IFERROR(IF(compras_mes12[[#This Row],[CUIT]]="","-",VLOOKUP(compras_mes12[[#This Row],[CUIT]],Lista_CUIT[#All],4,0)),"CUIT NO CARGADO")</f>
        <v>0</v>
      </c>
    </row>
    <row r="150" spans="1:18">
      <c r="B150" s="40" t="s">
        <v>2637</v>
      </c>
      <c r="C150" s="41">
        <v>1</v>
      </c>
      <c r="D150" s="42">
        <v>104</v>
      </c>
      <c r="E150" s="43">
        <v>7582622</v>
      </c>
      <c r="F150" s="44">
        <v>30715804812</v>
      </c>
      <c r="G150" s="45" t="str">
        <f>IFERROR(IF(compras_mes12[[#This Row],[CUIT]]="","-",VLOOKUP(compras_mes12[[#This Row],[CUIT]],Lista_CUIT[#All],2,0)),"CUIT NO CARGADO")</f>
        <v>CORREDORES VIALES SOCIEDAD ANONIMA</v>
      </c>
      <c r="H150" s="46">
        <v>1039.98</v>
      </c>
      <c r="I150" s="85">
        <f>IF(compras_mes12[[#This Row],[NETO GRAVADO]]="","",compras_mes12[[#This Row],[NETO GRAVADO]]*0.21)</f>
        <v>218.39580000000001</v>
      </c>
      <c r="J150" s="85"/>
      <c r="K150" s="85"/>
      <c r="L150" s="85"/>
      <c r="M150" s="85"/>
      <c r="N150" s="85"/>
      <c r="O150" s="85">
        <v>62.4</v>
      </c>
      <c r="P150" s="48">
        <f>SUM(compras_mes12[[#This Row],[NETO GRAVADO]:[Otros / No Grav.]])</f>
        <v>1320.7758000000001</v>
      </c>
      <c r="Q150" s="45" t="str">
        <f>IFERROR(IF(compras_mes12[[#This Row],[CUIT]]="","-",VLOOKUP(compras_mes12[[#This Row],[CUIT]],Lista_CUIT[#All],3,0)),"CUIT NO CARGADO")</f>
        <v>Peajes</v>
      </c>
      <c r="R150" s="49">
        <f>IFERROR(IF(compras_mes12[[#This Row],[CUIT]]="","-",VLOOKUP(compras_mes12[[#This Row],[CUIT]],Lista_CUIT[#All],4,0)),"CUIT NO CARGADO")</f>
        <v>0</v>
      </c>
    </row>
    <row r="151" spans="1:18">
      <c r="B151" s="40" t="s">
        <v>2619</v>
      </c>
      <c r="C151" s="41">
        <v>1</v>
      </c>
      <c r="D151" s="42">
        <v>2</v>
      </c>
      <c r="E151" s="43">
        <v>285</v>
      </c>
      <c r="F151" s="44">
        <v>27317740196</v>
      </c>
      <c r="G151" s="45" t="str">
        <f>IFERROR(IF(compras_mes12[[#This Row],[CUIT]]="","-",VLOOKUP(compras_mes12[[#This Row],[CUIT]],Lista_CUIT[#All],2,0)),"CUIT NO CARGADO")</f>
        <v>HOKAMA ROMINA PAOLA</v>
      </c>
      <c r="H151" s="46">
        <v>44800</v>
      </c>
      <c r="I151" s="85">
        <f>IF(compras_mes12[[#This Row],[NETO GRAVADO]]="","",compras_mes12[[#This Row],[NETO GRAVADO]]*0.21)</f>
        <v>9408</v>
      </c>
      <c r="J151" s="85"/>
      <c r="K151" s="85"/>
      <c r="L151" s="85"/>
      <c r="M151" s="85"/>
      <c r="N151" s="85"/>
      <c r="O151" s="85"/>
      <c r="P151" s="48">
        <f>SUM(compras_mes12[[#This Row],[NETO GRAVADO]:[Otros / No Grav.]])</f>
        <v>54208</v>
      </c>
      <c r="Q151" s="45" t="str">
        <f>IFERROR(IF(compras_mes12[[#This Row],[CUIT]]="","-",VLOOKUP(compras_mes12[[#This Row],[CUIT]],Lista_CUIT[#All],3,0)),"CUIT NO CARGADO")</f>
        <v>Gastos Varios</v>
      </c>
      <c r="R151" s="49">
        <f>IFERROR(IF(compras_mes12[[#This Row],[CUIT]]="","-",VLOOKUP(compras_mes12[[#This Row],[CUIT]],Lista_CUIT[#All],4,0)),"CUIT NO CARGADO")</f>
        <v>0</v>
      </c>
    </row>
    <row r="152" spans="1:18">
      <c r="B152" s="40" t="s">
        <v>2619</v>
      </c>
      <c r="C152" s="41">
        <v>1</v>
      </c>
      <c r="D152" s="42">
        <v>2</v>
      </c>
      <c r="E152" s="43">
        <v>3931</v>
      </c>
      <c r="F152" s="44">
        <v>30629863571</v>
      </c>
      <c r="G152" s="45" t="str">
        <f>IFERROR(IF(compras_mes12[[#This Row],[CUIT]]="","-",VLOOKUP(compras_mes12[[#This Row],[CUIT]],Lista_CUIT[#All],2,0)),"CUIT NO CARGADO")</f>
        <v>TECNIMAR S R L</v>
      </c>
      <c r="H152" s="46">
        <v>920691.33</v>
      </c>
      <c r="I152" s="85">
        <f>IF(compras_mes12[[#This Row],[NETO GRAVADO]]="","",compras_mes12[[#This Row],[NETO GRAVADO]]*0.21)</f>
        <v>193345.17929999999</v>
      </c>
      <c r="J152" s="85"/>
      <c r="K152" s="85"/>
      <c r="L152" s="85"/>
      <c r="M152" s="85"/>
      <c r="N152" s="85"/>
      <c r="O152" s="85"/>
      <c r="P152" s="48">
        <f>SUM(compras_mes12[[#This Row],[NETO GRAVADO]:[Otros / No Grav.]])</f>
        <v>1114036.5093</v>
      </c>
      <c r="Q152" s="45" t="str">
        <f>IFERROR(IF(compras_mes12[[#This Row],[CUIT]]="","-",VLOOKUP(compras_mes12[[#This Row],[CUIT]],Lista_CUIT[#All],3,0)),"CUIT NO CARGADO")</f>
        <v>Productos Venta</v>
      </c>
      <c r="R152" s="49">
        <f>IFERROR(IF(compras_mes12[[#This Row],[CUIT]]="","-",VLOOKUP(compras_mes12[[#This Row],[CUIT]],Lista_CUIT[#All],4,0)),"CUIT NO CARGADO")</f>
        <v>0</v>
      </c>
    </row>
    <row r="153" spans="1:18">
      <c r="B153" s="497">
        <v>45656</v>
      </c>
      <c r="C153" s="498">
        <v>1</v>
      </c>
      <c r="D153" s="499">
        <v>12</v>
      </c>
      <c r="E153" s="500">
        <v>55520</v>
      </c>
      <c r="F153" s="501">
        <v>30696131003</v>
      </c>
      <c r="G153" s="502" t="str">
        <f>IFERROR(IF(compras_mes12[[#This Row],[CUIT]]="","-",VLOOKUP(compras_mes12[[#This Row],[CUIT]],Lista_CUIT[#All],2,0)),"CUIT NO CARGADO")</f>
        <v>Petrolfe S.A.</v>
      </c>
      <c r="H153" s="503">
        <v>67204.1474609375</v>
      </c>
      <c r="I153" s="504">
        <f>IF(compras_mes12[[#This Row],[NETO GRAVADO]]="","",compras_mes12[[#This Row],[NETO GRAVADO]]*0.21)</f>
        <v>14112.870966796874</v>
      </c>
      <c r="J153" s="504"/>
      <c r="K153" s="504"/>
      <c r="L153" s="504"/>
      <c r="M153" s="504"/>
      <c r="N153" s="504"/>
      <c r="O153" s="504">
        <v>12169.919921875</v>
      </c>
      <c r="P153" s="505">
        <f>SUM(compras_mes12[[#This Row],[NETO GRAVADO]:[Otros / No Grav.]])</f>
        <v>93486.93834960938</v>
      </c>
      <c r="Q153" s="502" t="str">
        <f>IFERROR(IF(compras_mes12[[#This Row],[CUIT]]="","-",VLOOKUP(compras_mes12[[#This Row],[CUIT]],Lista_CUIT[#All],3,0)),"CUIT NO CARGADO")</f>
        <v>Combustible</v>
      </c>
      <c r="R153" s="506">
        <f>IFERROR(IF(compras_mes12[[#This Row],[CUIT]]="","-",VLOOKUP(compras_mes12[[#This Row],[CUIT]],Lista_CUIT[#All],4,0)),"CUIT NO CARGADO")</f>
        <v>0</v>
      </c>
    </row>
    <row r="154" spans="1:18">
      <c r="B154" s="497">
        <v>45656</v>
      </c>
      <c r="C154" s="498">
        <v>1</v>
      </c>
      <c r="D154" s="499">
        <v>501</v>
      </c>
      <c r="E154" s="500">
        <v>1914255</v>
      </c>
      <c r="F154" s="501">
        <v>30655116512</v>
      </c>
      <c r="G154" s="502" t="str">
        <f>IFERROR(IF(compras_mes12[[#This Row],[CUIT]]="","-",VLOOKUP(compras_mes12[[#This Row],[CUIT]],Lista_CUIT[#All],2,0)),"CUIT NO CARGADO")</f>
        <v>Empresa Distribuidora Sur S.A.</v>
      </c>
      <c r="H154" s="503">
        <v>199040.91113281299</v>
      </c>
      <c r="I154" s="504"/>
      <c r="J154" s="504">
        <f>compras_mes12[[#This Row],[NETO GRAVADO]]*0.27</f>
        <v>53741.046005859513</v>
      </c>
      <c r="K154" s="504"/>
      <c r="L154" s="504"/>
      <c r="M154" s="504"/>
      <c r="N154" s="504"/>
      <c r="O154" s="504">
        <v>12704.7802734375</v>
      </c>
      <c r="P154" s="505">
        <f>SUM(compras_mes12[[#This Row],[NETO GRAVADO]:[Otros / No Grav.]])</f>
        <v>265486.73741210997</v>
      </c>
      <c r="Q154" s="502" t="str">
        <f>IFERROR(IF(compras_mes12[[#This Row],[CUIT]]="","-",VLOOKUP(compras_mes12[[#This Row],[CUIT]],Lista_CUIT[#All],3,0)),"CUIT NO CARGADO")</f>
        <v>Servicios Gas, Luz, etc.</v>
      </c>
      <c r="R154" s="506">
        <f>IFERROR(IF(compras_mes12[[#This Row],[CUIT]]="","-",VLOOKUP(compras_mes12[[#This Row],[CUIT]],Lista_CUIT[#All],4,0)),"CUIT NO CARGADO")</f>
        <v>0</v>
      </c>
    </row>
    <row r="155" spans="1:18">
      <c r="B155" s="497">
        <v>45656</v>
      </c>
      <c r="C155" s="498">
        <v>1</v>
      </c>
      <c r="D155" s="499">
        <v>501</v>
      </c>
      <c r="E155" s="500">
        <v>1914256</v>
      </c>
      <c r="F155" s="501">
        <v>30655116512</v>
      </c>
      <c r="G155" s="502" t="str">
        <f>IFERROR(IF(compras_mes12[[#This Row],[CUIT]]="","-",VLOOKUP(compras_mes12[[#This Row],[CUIT]],Lista_CUIT[#All],2,0)),"CUIT NO CARGADO")</f>
        <v>Empresa Distribuidora Sur S.A.</v>
      </c>
      <c r="H155" s="503">
        <v>81062.22265625</v>
      </c>
      <c r="I155" s="504"/>
      <c r="J155" s="504">
        <f>compras_mes12[[#This Row],[NETO GRAVADO]]*0.27</f>
        <v>21886.8001171875</v>
      </c>
      <c r="K155" s="504"/>
      <c r="L155" s="504"/>
      <c r="M155" s="504"/>
      <c r="N155" s="504"/>
      <c r="O155" s="504">
        <v>5174.2001953125</v>
      </c>
      <c r="P155" s="505">
        <f>SUM(compras_mes12[[#This Row],[NETO GRAVADO]:[Otros / No Grav.]])</f>
        <v>108123.22296874999</v>
      </c>
      <c r="Q155" s="502" t="str">
        <f>IFERROR(IF(compras_mes12[[#This Row],[CUIT]]="","-",VLOOKUP(compras_mes12[[#This Row],[CUIT]],Lista_CUIT[#All],3,0)),"CUIT NO CARGADO")</f>
        <v>Servicios Gas, Luz, etc.</v>
      </c>
      <c r="R155" s="506">
        <f>IFERROR(IF(compras_mes12[[#This Row],[CUIT]]="","-",VLOOKUP(compras_mes12[[#This Row],[CUIT]],Lista_CUIT[#All],4,0)),"CUIT NO CARGADO")</f>
        <v>0</v>
      </c>
    </row>
    <row r="156" spans="1:18">
      <c r="B156" s="40" t="s">
        <v>2619</v>
      </c>
      <c r="C156" s="41">
        <v>1</v>
      </c>
      <c r="D156" s="42">
        <v>104</v>
      </c>
      <c r="E156" s="43">
        <v>7702746</v>
      </c>
      <c r="F156" s="44">
        <v>30715804812</v>
      </c>
      <c r="G156" s="45" t="str">
        <f>IFERROR(IF(compras_mes12[[#This Row],[CUIT]]="","-",VLOOKUP(compras_mes12[[#This Row],[CUIT]],Lista_CUIT[#All],2,0)),"CUIT NO CARGADO")</f>
        <v>CORREDORES VIALES SOCIEDAD ANONIMA</v>
      </c>
      <c r="H156" s="46">
        <v>1039.98</v>
      </c>
      <c r="I156" s="85">
        <f>IF(compras_mes12[[#This Row],[NETO GRAVADO]]="","",compras_mes12[[#This Row],[NETO GRAVADO]]*0.21)</f>
        <v>218.39580000000001</v>
      </c>
      <c r="J156" s="85"/>
      <c r="K156" s="85"/>
      <c r="L156" s="85"/>
      <c r="M156" s="85"/>
      <c r="N156" s="85"/>
      <c r="O156" s="85">
        <v>62.4</v>
      </c>
      <c r="P156" s="48">
        <f>SUM(compras_mes12[[#This Row],[NETO GRAVADO]:[Otros / No Grav.]])</f>
        <v>1320.7758000000001</v>
      </c>
      <c r="Q156" s="45" t="str">
        <f>IFERROR(IF(compras_mes12[[#This Row],[CUIT]]="","-",VLOOKUP(compras_mes12[[#This Row],[CUIT]],Lista_CUIT[#All],3,0)),"CUIT NO CARGADO")</f>
        <v>Peajes</v>
      </c>
      <c r="R156" s="49">
        <f>IFERROR(IF(compras_mes12[[#This Row],[CUIT]]="","-",VLOOKUP(compras_mes12[[#This Row],[CUIT]],Lista_CUIT[#All],4,0)),"CUIT NO CARGADO")</f>
        <v>0</v>
      </c>
    </row>
    <row r="157" spans="1:18">
      <c r="A157">
        <v>3</v>
      </c>
      <c r="B157" s="497">
        <v>45656</v>
      </c>
      <c r="C157" s="498">
        <v>1</v>
      </c>
      <c r="D157" s="499">
        <v>26</v>
      </c>
      <c r="E157" s="500">
        <v>43489598</v>
      </c>
      <c r="F157" s="501">
        <v>30655116202</v>
      </c>
      <c r="G157" s="502" t="str">
        <f>IFERROR(IF(compras_mes12[[#This Row],[CUIT]]="","-",VLOOKUP(compras_mes12[[#This Row],[CUIT]],Lista_CUIT[#All],2,0)),"CUIT NO CARGADO")</f>
        <v xml:space="preserve">EDENOR </v>
      </c>
      <c r="H157" s="503">
        <v>66225.479003906294</v>
      </c>
      <c r="I157" s="504"/>
      <c r="J157" s="504">
        <f>compras_mes12[[#This Row],[NETO GRAVADO]]*0.27</f>
        <v>17880.879331054701</v>
      </c>
      <c r="K157" s="504"/>
      <c r="L157" s="504"/>
      <c r="M157" s="504"/>
      <c r="N157" s="504"/>
      <c r="O157" s="504">
        <v>4212.85986328125</v>
      </c>
      <c r="P157" s="505">
        <f>SUM(compras_mes12[[#This Row],[NETO GRAVADO]:[Otros / No Grav.]])</f>
        <v>88319.218198242248</v>
      </c>
      <c r="Q157" s="502" t="str">
        <f>IFERROR(IF(compras_mes12[[#This Row],[CUIT]]="","-",VLOOKUP(compras_mes12[[#This Row],[CUIT]],Lista_CUIT[#All],3,0)),"CUIT NO CARGADO")</f>
        <v>Servicios Gas, Luz, etc.</v>
      </c>
      <c r="R157" s="506">
        <f>IFERROR(IF(compras_mes12[[#This Row],[CUIT]]="","-",VLOOKUP(compras_mes12[[#This Row],[CUIT]],Lista_CUIT[#All],4,0)),"CUIT NO CARGADO")</f>
        <v>0</v>
      </c>
    </row>
    <row r="158" spans="1:18">
      <c r="B158" s="40" t="s">
        <v>2638</v>
      </c>
      <c r="C158" s="41">
        <v>1</v>
      </c>
      <c r="D158" s="42">
        <v>6</v>
      </c>
      <c r="E158" s="43">
        <v>184</v>
      </c>
      <c r="F158" s="44">
        <v>20165282974</v>
      </c>
      <c r="G158" s="45" t="str">
        <f>IFERROR(IF(compras_mes12[[#This Row],[CUIT]]="","-",VLOOKUP(compras_mes12[[#This Row],[CUIT]],Lista_CUIT[#All],2,0)),"CUIT NO CARGADO")</f>
        <v>AVERZA GUSTAVO ADRIAN</v>
      </c>
      <c r="H158" s="46">
        <v>61157.05</v>
      </c>
      <c r="I158" s="85">
        <f>IF(compras_mes12[[#This Row],[NETO GRAVADO]]="","",compras_mes12[[#This Row],[NETO GRAVADO]]*0.21)</f>
        <v>12842.9805</v>
      </c>
      <c r="J158" s="85"/>
      <c r="K158" s="85"/>
      <c r="L158" s="85"/>
      <c r="M158" s="85"/>
      <c r="N158" s="85"/>
      <c r="O158" s="85"/>
      <c r="P158" s="48">
        <f>SUM(compras_mes12[[#This Row],[NETO GRAVADO]:[Otros / No Grav.]])</f>
        <v>74000.030500000008</v>
      </c>
      <c r="Q158" s="45" t="str">
        <f>IFERROR(IF(compras_mes12[[#This Row],[CUIT]]="","-",VLOOKUP(compras_mes12[[#This Row],[CUIT]],Lista_CUIT[#All],3,0)),"CUIT NO CARGADO")</f>
        <v>Gastos Varios</v>
      </c>
      <c r="R158" s="49">
        <f>IFERROR(IF(compras_mes12[[#This Row],[CUIT]]="","-",VLOOKUP(compras_mes12[[#This Row],[CUIT]],Lista_CUIT[#All],4,0)),"CUIT NO CARGADO")</f>
        <v>0</v>
      </c>
    </row>
    <row r="159" spans="1:18">
      <c r="B159" s="40" t="s">
        <v>2638</v>
      </c>
      <c r="C159" s="41">
        <v>1</v>
      </c>
      <c r="D159" s="42">
        <v>2</v>
      </c>
      <c r="E159" s="43">
        <v>292</v>
      </c>
      <c r="F159" s="44">
        <v>27317740196</v>
      </c>
      <c r="G159" s="45" t="str">
        <f>IFERROR(IF(compras_mes12[[#This Row],[CUIT]]="","-",VLOOKUP(compras_mes12[[#This Row],[CUIT]],Lista_CUIT[#All],2,0)),"CUIT NO CARGADO")</f>
        <v>HOKAMA ROMINA PAOLA</v>
      </c>
      <c r="H159" s="46">
        <v>13895.87</v>
      </c>
      <c r="I159" s="85">
        <f>IF(compras_mes12[[#This Row],[NETO GRAVADO]]="","",compras_mes12[[#This Row],[NETO GRAVADO]]*0.21)</f>
        <v>2918.1327000000001</v>
      </c>
      <c r="J159" s="85"/>
      <c r="K159" s="85"/>
      <c r="L159" s="85"/>
      <c r="M159" s="85"/>
      <c r="N159" s="85"/>
      <c r="O159" s="85"/>
      <c r="P159" s="48">
        <f>SUM(compras_mes12[[#This Row],[NETO GRAVADO]:[Otros / No Grav.]])</f>
        <v>16814.002700000001</v>
      </c>
      <c r="Q159" s="45" t="str">
        <f>IFERROR(IF(compras_mes12[[#This Row],[CUIT]]="","-",VLOOKUP(compras_mes12[[#This Row],[CUIT]],Lista_CUIT[#All],3,0)),"CUIT NO CARGADO")</f>
        <v>Gastos Varios</v>
      </c>
      <c r="R159" s="49">
        <f>IFERROR(IF(compras_mes12[[#This Row],[CUIT]]="","-",VLOOKUP(compras_mes12[[#This Row],[CUIT]],Lista_CUIT[#All],4,0)),"CUIT NO CARGADO")</f>
        <v>0</v>
      </c>
    </row>
    <row r="160" spans="1:18">
      <c r="B160" s="40" t="s">
        <v>2638</v>
      </c>
      <c r="C160" s="41">
        <v>1</v>
      </c>
      <c r="D160" s="42">
        <v>14</v>
      </c>
      <c r="E160" s="43">
        <v>15639</v>
      </c>
      <c r="F160" s="44">
        <v>30715186256</v>
      </c>
      <c r="G160" s="45" t="str">
        <f>IFERROR(IF(compras_mes12[[#This Row],[CUIT]]="","-",VLOOKUP(compras_mes12[[#This Row],[CUIT]],Lista_CUIT[#All],2,0)),"CUIT NO CARGADO")</f>
        <v>FRIGORIFICO ALIMENTIC</v>
      </c>
      <c r="H160" s="46">
        <v>82327.289999999994</v>
      </c>
      <c r="I160" s="85">
        <v>2592.2800000000002</v>
      </c>
      <c r="J160" s="85"/>
      <c r="K160" s="85">
        <v>7348.22</v>
      </c>
      <c r="L160" s="85"/>
      <c r="M160" s="85"/>
      <c r="N160" s="85"/>
      <c r="O160" s="85"/>
      <c r="P160" s="48">
        <f>SUM(compras_mes12[[#This Row],[NETO GRAVADO]:[Otros / No Grav.]])</f>
        <v>92267.79</v>
      </c>
      <c r="Q160" s="45" t="str">
        <f>IFERROR(IF(compras_mes12[[#This Row],[CUIT]]="","-",VLOOKUP(compras_mes12[[#This Row],[CUIT]],Lista_CUIT[#All],3,0)),"CUIT NO CARGADO")</f>
        <v>Gastos Comercializacion - Feria</v>
      </c>
      <c r="R160" s="49">
        <f>IFERROR(IF(compras_mes12[[#This Row],[CUIT]]="","-",VLOOKUP(compras_mes12[[#This Row],[CUIT]],Lista_CUIT[#All],4,0)),"CUIT NO CARGADO")</f>
        <v>0</v>
      </c>
    </row>
    <row r="161" spans="2:18">
      <c r="B161" s="40" t="s">
        <v>2638</v>
      </c>
      <c r="C161" s="41">
        <v>1</v>
      </c>
      <c r="D161" s="42">
        <v>2199</v>
      </c>
      <c r="E161" s="43">
        <v>34243</v>
      </c>
      <c r="F161" s="44">
        <v>30548083156</v>
      </c>
      <c r="G161" s="45" t="str">
        <f>IFERROR(IF(compras_mes12[[#This Row],[CUIT]]="","-",VLOOKUP(compras_mes12[[#This Row],[CUIT]],Lista_CUIT[#All],2,0)),"CUIT NO CARGADO")</f>
        <v>COTO CENTRO INTEGRAL DE COMERCIALIZACION SOCIEDAD ANONIMA</v>
      </c>
      <c r="H161" s="46">
        <v>25428.45</v>
      </c>
      <c r="I161" s="85">
        <f>IF(compras_mes12[[#This Row],[NETO GRAVADO]]="","",compras_mes12[[#This Row],[NETO GRAVADO]]*0.21)</f>
        <v>5339.9745000000003</v>
      </c>
      <c r="J161" s="85"/>
      <c r="K161" s="85"/>
      <c r="L161" s="85"/>
      <c r="M161" s="85"/>
      <c r="N161" s="85"/>
      <c r="O161" s="85">
        <v>2231.7800000000002</v>
      </c>
      <c r="P161" s="48">
        <f>SUM(compras_mes12[[#This Row],[NETO GRAVADO]:[Otros / No Grav.]])</f>
        <v>33000.2045</v>
      </c>
      <c r="Q161" s="45" t="str">
        <f>IFERROR(IF(compras_mes12[[#This Row],[CUIT]]="","-",VLOOKUP(compras_mes12[[#This Row],[CUIT]],Lista_CUIT[#All],3,0)),"CUIT NO CARGADO")</f>
        <v>Gastos Varios</v>
      </c>
      <c r="R161" s="49">
        <f>IFERROR(IF(compras_mes12[[#This Row],[CUIT]]="","-",VLOOKUP(compras_mes12[[#This Row],[CUIT]],Lista_CUIT[#All],4,0)),"CUIT NO CARGADO")</f>
        <v>0</v>
      </c>
    </row>
    <row r="162" spans="2:18">
      <c r="B162" s="40" t="s">
        <v>2638</v>
      </c>
      <c r="C162" s="41">
        <v>1</v>
      </c>
      <c r="D162" s="42">
        <v>2188</v>
      </c>
      <c r="E162" s="43">
        <v>138608</v>
      </c>
      <c r="F162" s="44">
        <v>30548083156</v>
      </c>
      <c r="G162" s="45" t="str">
        <f>IFERROR(IF(compras_mes12[[#This Row],[CUIT]]="","-",VLOOKUP(compras_mes12[[#This Row],[CUIT]],Lista_CUIT[#All],2,0)),"CUIT NO CARGADO")</f>
        <v>COTO CENTRO INTEGRAL DE COMERCIALIZACION SOCIEDAD ANONIMA</v>
      </c>
      <c r="H162" s="46">
        <v>74940.649999999994</v>
      </c>
      <c r="I162" s="85">
        <v>12776.83</v>
      </c>
      <c r="J162" s="85"/>
      <c r="K162" s="85">
        <v>1480.35</v>
      </c>
      <c r="L162" s="85"/>
      <c r="M162" s="85"/>
      <c r="N162" s="85"/>
      <c r="O162" s="85">
        <v>6077.08</v>
      </c>
      <c r="P162" s="48">
        <f>SUM(compras_mes12[[#This Row],[NETO GRAVADO]:[Otros / No Grav.]])</f>
        <v>95274.91</v>
      </c>
      <c r="Q162" s="45" t="str">
        <f>IFERROR(IF(compras_mes12[[#This Row],[CUIT]]="","-",VLOOKUP(compras_mes12[[#This Row],[CUIT]],Lista_CUIT[#All],3,0)),"CUIT NO CARGADO")</f>
        <v>Gastos Varios</v>
      </c>
      <c r="R162" s="49">
        <f>IFERROR(IF(compras_mes12[[#This Row],[CUIT]]="","-",VLOOKUP(compras_mes12[[#This Row],[CUIT]],Lista_CUIT[#All],4,0)),"CUIT NO CARGADO")</f>
        <v>0</v>
      </c>
    </row>
    <row r="163" spans="2:18">
      <c r="B163" s="40" t="s">
        <v>2638</v>
      </c>
      <c r="C163" s="41">
        <v>1</v>
      </c>
      <c r="D163" s="42">
        <v>5015</v>
      </c>
      <c r="E163" s="43">
        <v>700807</v>
      </c>
      <c r="F163" s="44">
        <v>30574876474</v>
      </c>
      <c r="G163" s="45" t="str">
        <f>IFERROR(IF(compras_mes12[[#This Row],[CUIT]]="","-",VLOOKUP(compras_mes12[[#This Row],[CUIT]],Lista_CUIT[#All],2,0)),"CUIT NO CARGADO")</f>
        <v>AUTOPISTAS URBANAS S A</v>
      </c>
      <c r="H163" s="46">
        <v>100324.17</v>
      </c>
      <c r="I163" s="85">
        <f>IF(compras_mes12[[#This Row],[NETO GRAVADO]]="","",compras_mes12[[#This Row],[NETO GRAVADO]]*0.21)</f>
        <v>21068.075699999998</v>
      </c>
      <c r="J163" s="85"/>
      <c r="K163" s="85"/>
      <c r="L163" s="85"/>
      <c r="M163" s="85"/>
      <c r="N163" s="85"/>
      <c r="O163" s="85">
        <v>13042.12</v>
      </c>
      <c r="P163" s="48">
        <f>SUM(compras_mes12[[#This Row],[NETO GRAVADO]:[Otros / No Grav.]])</f>
        <v>134434.36569999999</v>
      </c>
      <c r="Q163" s="45" t="str">
        <f>IFERROR(IF(compras_mes12[[#This Row],[CUIT]]="","-",VLOOKUP(compras_mes12[[#This Row],[CUIT]],Lista_CUIT[#All],3,0)),"CUIT NO CARGADO")</f>
        <v>Peajes</v>
      </c>
      <c r="R163" s="49">
        <f>IFERROR(IF(compras_mes12[[#This Row],[CUIT]]="","-",VLOOKUP(compras_mes12[[#This Row],[CUIT]],Lista_CUIT[#All],4,0)),"CUIT NO CARGADO")</f>
        <v>0</v>
      </c>
    </row>
    <row r="164" spans="2:18">
      <c r="B164" s="40" t="s">
        <v>2638</v>
      </c>
      <c r="C164" s="41">
        <v>3</v>
      </c>
      <c r="D164" s="42">
        <v>11</v>
      </c>
      <c r="E164" s="43">
        <v>780799</v>
      </c>
      <c r="F164" s="44">
        <v>33709585229</v>
      </c>
      <c r="G164" s="45" t="str">
        <f>IFERROR(IF(compras_mes12[[#This Row],[CUIT]]="","-",VLOOKUP(compras_mes12[[#This Row],[CUIT]],Lista_CUIT[#All],2,0)),"CUIT NO CARGADO")</f>
        <v>GOOGLE ARGENTINA S.R.L.</v>
      </c>
      <c r="H164" s="46">
        <v>0</v>
      </c>
      <c r="I164" s="85">
        <f>IF(compras_mes12[[#This Row],[NETO GRAVADO]]="","",compras_mes12[[#This Row],[NETO GRAVADO]]*0.21)</f>
        <v>0</v>
      </c>
      <c r="J164" s="85"/>
      <c r="K164" s="85"/>
      <c r="L164" s="85"/>
      <c r="M164" s="85"/>
      <c r="N164" s="85"/>
      <c r="O164" s="85"/>
      <c r="P164" s="48">
        <f>SUM(compras_mes12[[#This Row],[NETO GRAVADO]:[Otros / No Grav.]])</f>
        <v>0</v>
      </c>
      <c r="Q164" s="45" t="str">
        <f>IFERROR(IF(compras_mes12[[#This Row],[CUIT]]="","-",VLOOKUP(compras_mes12[[#This Row],[CUIT]],Lista_CUIT[#All],3,0)),"CUIT NO CARGADO")</f>
        <v>Gastos Comercializacion</v>
      </c>
      <c r="R164" s="49">
        <f>IFERROR(IF(compras_mes12[[#This Row],[CUIT]]="","-",VLOOKUP(compras_mes12[[#This Row],[CUIT]],Lista_CUIT[#All],4,0)),"CUIT NO CARGADO")</f>
        <v>0</v>
      </c>
    </row>
    <row r="165" spans="2:18">
      <c r="B165" s="40" t="s">
        <v>2638</v>
      </c>
      <c r="C165" s="41">
        <v>1</v>
      </c>
      <c r="D165" s="42">
        <v>11</v>
      </c>
      <c r="E165" s="43">
        <v>1085651</v>
      </c>
      <c r="F165" s="44">
        <v>33709585229</v>
      </c>
      <c r="G165" s="45" t="str">
        <f>IFERROR(IF(compras_mes12[[#This Row],[CUIT]]="","-",VLOOKUP(compras_mes12[[#This Row],[CUIT]],Lista_CUIT[#All],2,0)),"CUIT NO CARGADO")</f>
        <v>GOOGLE ARGENTINA S.R.L.</v>
      </c>
      <c r="H165" s="46">
        <v>76925.34</v>
      </c>
      <c r="I165" s="85">
        <f>IF(compras_mes12[[#This Row],[NETO GRAVADO]]="","",compras_mes12[[#This Row],[NETO GRAVADO]]*0.21)</f>
        <v>16154.321399999999</v>
      </c>
      <c r="J165" s="85"/>
      <c r="K165" s="85"/>
      <c r="L165" s="85"/>
      <c r="M165" s="85">
        <v>15756.23</v>
      </c>
      <c r="N165" s="85"/>
      <c r="O165" s="85">
        <v>2307.7600000000002</v>
      </c>
      <c r="P165" s="48">
        <f>SUM(compras_mes12[[#This Row],[NETO GRAVADO]:[Otros / No Grav.]])</f>
        <v>111143.65139999999</v>
      </c>
      <c r="Q165" s="45" t="str">
        <f>IFERROR(IF(compras_mes12[[#This Row],[CUIT]]="","-",VLOOKUP(compras_mes12[[#This Row],[CUIT]],Lista_CUIT[#All],3,0)),"CUIT NO CARGADO")</f>
        <v>Gastos Comercializacion</v>
      </c>
      <c r="R165" s="49">
        <f>IFERROR(IF(compras_mes12[[#This Row],[CUIT]]="","-",VLOOKUP(compras_mes12[[#This Row],[CUIT]],Lista_CUIT[#All],4,0)),"CUIT NO CARGADO")</f>
        <v>0</v>
      </c>
    </row>
    <row r="166" spans="2:18">
      <c r="B166" s="40" t="s">
        <v>2638</v>
      </c>
      <c r="C166" s="41">
        <v>1</v>
      </c>
      <c r="D166" s="42">
        <v>113</v>
      </c>
      <c r="E166" s="43">
        <v>3997041</v>
      </c>
      <c r="F166" s="44">
        <v>30577207190</v>
      </c>
      <c r="G166" s="45" t="str">
        <f>IFERROR(IF(compras_mes12[[#This Row],[CUIT]]="","-",VLOOKUP(compras_mes12[[#This Row],[CUIT]],Lista_CUIT[#All],2,0)),"CUIT NO CARGADO")</f>
        <v>COORDINACION ECOLOGICA AREA METROPOLITANA SOCIEDAD DEL ESTADO</v>
      </c>
      <c r="H166" s="46">
        <v>3966.94</v>
      </c>
      <c r="I166" s="85">
        <f>IF(compras_mes12[[#This Row],[NETO GRAVADO]]="","",compras_mes12[[#This Row],[NETO GRAVADO]]*0.21)</f>
        <v>833.05740000000003</v>
      </c>
      <c r="J166" s="85"/>
      <c r="K166" s="85"/>
      <c r="L166" s="85">
        <v>119.01</v>
      </c>
      <c r="M166" s="85"/>
      <c r="N166" s="85"/>
      <c r="O166" s="85"/>
      <c r="P166" s="48">
        <f>SUM(compras_mes12[[#This Row],[NETO GRAVADO]:[Otros / No Grav.]])</f>
        <v>4919.0074000000004</v>
      </c>
      <c r="Q166" s="45" t="str">
        <f>IFERROR(IF(compras_mes12[[#This Row],[CUIT]]="","-",VLOOKUP(compras_mes12[[#This Row],[CUIT]],Lista_CUIT[#All],3,0)),"CUIT NO CARGADO")</f>
        <v>Gastos Limpieza</v>
      </c>
      <c r="R166" s="49">
        <f>IFERROR(IF(compras_mes12[[#This Row],[CUIT]]="","-",VLOOKUP(compras_mes12[[#This Row],[CUIT]],Lista_CUIT[#All],4,0)),"CUIT NO CARGADO")</f>
        <v>0</v>
      </c>
    </row>
    <row r="167" spans="2:18">
      <c r="B167" s="40" t="s">
        <v>2638</v>
      </c>
      <c r="C167" s="41">
        <v>1</v>
      </c>
      <c r="D167" s="42">
        <v>50</v>
      </c>
      <c r="E167" s="43">
        <v>4014871</v>
      </c>
      <c r="F167" s="44">
        <v>30714112836</v>
      </c>
      <c r="G167" s="45" t="str">
        <f>IFERROR(IF(compras_mes12[[#This Row],[CUIT]]="","-",VLOOKUP(compras_mes12[[#This Row],[CUIT]],Lista_CUIT[#All],2,0)),"CUIT NO CARGADO")</f>
        <v>AUTOPISTAS DE BS AS</v>
      </c>
      <c r="H167" s="46">
        <v>28968.46</v>
      </c>
      <c r="I167" s="85">
        <f>IF(compras_mes12[[#This Row],[NETO GRAVADO]]="","",compras_mes12[[#This Row],[NETO GRAVADO]]*0.21)</f>
        <v>6083.3765999999996</v>
      </c>
      <c r="J167" s="85"/>
      <c r="K167" s="85"/>
      <c r="L167" s="85">
        <v>869.05</v>
      </c>
      <c r="M167" s="85"/>
      <c r="N167" s="85"/>
      <c r="O167" s="85"/>
      <c r="P167" s="48">
        <f>SUM(compras_mes12[[#This Row],[NETO GRAVADO]:[Otros / No Grav.]])</f>
        <v>35920.886599999998</v>
      </c>
      <c r="Q167" s="45" t="str">
        <f>IFERROR(IF(compras_mes12[[#This Row],[CUIT]]="","-",VLOOKUP(compras_mes12[[#This Row],[CUIT]],Lista_CUIT[#All],3,0)),"CUIT NO CARGADO")</f>
        <v>Peajes</v>
      </c>
      <c r="R167" s="49">
        <f>IFERROR(IF(compras_mes12[[#This Row],[CUIT]]="","-",VLOOKUP(compras_mes12[[#This Row],[CUIT]],Lista_CUIT[#All],4,0)),"CUIT NO CARGADO")</f>
        <v>0</v>
      </c>
    </row>
    <row r="168" spans="2:18">
      <c r="B168" s="40">
        <v>45995</v>
      </c>
      <c r="C168" s="41">
        <v>1</v>
      </c>
      <c r="D168" s="42">
        <v>17</v>
      </c>
      <c r="E168" s="43">
        <v>14938</v>
      </c>
      <c r="F168" s="44">
        <v>30707841105</v>
      </c>
      <c r="G168" s="45" t="str">
        <f>IFERROR(IF(compras_mes12[[#This Row],[CUIT]]="","-",VLOOKUP(compras_mes12[[#This Row],[CUIT]],Lista_CUIT[#All],2,0)),"CUIT NO CARGADO")</f>
        <v>PETRO ARG SRL</v>
      </c>
      <c r="H168" s="46">
        <v>29688.52</v>
      </c>
      <c r="I168" s="85">
        <f>IF(compras_mes12[[#This Row],[NETO GRAVADO]]="","",compras_mes12[[#This Row],[NETO GRAVADO]]*0.21)</f>
        <v>6234.5891999999994</v>
      </c>
      <c r="J168" s="85"/>
      <c r="K168" s="85"/>
      <c r="L168" s="85"/>
      <c r="M168" s="85"/>
      <c r="N168" s="85"/>
      <c r="O168" s="85">
        <v>4083.82</v>
      </c>
      <c r="P168" s="710">
        <f>SUM(compras_mes12[[#This Row],[NETO GRAVADO]:[Otros / No Grav.]])</f>
        <v>40006.929199999999</v>
      </c>
      <c r="Q168" s="45" t="str">
        <f>IFERROR(IF(compras_mes12[[#This Row],[CUIT]]="","-",VLOOKUP(compras_mes12[[#This Row],[CUIT]],Lista_CUIT[#All],3,0)),"CUIT NO CARGADO")</f>
        <v>Combustible</v>
      </c>
      <c r="R168" s="49">
        <f>IFERROR(IF(compras_mes12[[#This Row],[CUIT]]="","-",VLOOKUP(compras_mes12[[#This Row],[CUIT]],Lista_CUIT[#All],4,0)),"CUIT NO CARGADO")</f>
        <v>0</v>
      </c>
    </row>
    <row r="169" spans="2:18">
      <c r="B169" s="40">
        <v>46008</v>
      </c>
      <c r="C169" s="41">
        <v>1</v>
      </c>
      <c r="D169" s="42">
        <v>425</v>
      </c>
      <c r="E169" s="43">
        <v>400</v>
      </c>
      <c r="F169" s="44">
        <v>30708020539</v>
      </c>
      <c r="G169" s="45" t="str">
        <f>IFERROR(IF(compras_mes12[[#This Row],[CUIT]]="","-",VLOOKUP(compras_mes12[[#This Row],[CUIT]],Lista_CUIT[#All],2,0)),"CUIT NO CARGADO")</f>
        <v>IGT33 SA</v>
      </c>
      <c r="H169" s="46">
        <v>100603.33</v>
      </c>
      <c r="I169" s="85">
        <f>IF(compras_mes12[[#This Row],[NETO GRAVADO]]="","",compras_mes12[[#This Row],[NETO GRAVADO]]*0.21)</f>
        <v>21126.6993</v>
      </c>
      <c r="J169" s="85"/>
      <c r="K169" s="85"/>
      <c r="L169" s="85"/>
      <c r="M169" s="85"/>
      <c r="N169" s="85"/>
      <c r="O169" s="85"/>
      <c r="P169" s="48">
        <f>SUM(compras_mes12[[#This Row],[NETO GRAVADO]:[Otros / No Grav.]])</f>
        <v>121730.02929999999</v>
      </c>
      <c r="Q169" s="45">
        <f>IFERROR(IF(compras_mes12[[#This Row],[CUIT]]="","-",VLOOKUP(compras_mes12[[#This Row],[CUIT]],Lista_CUIT[#All],3,0)),"CUIT NO CARGADO")</f>
        <v>0</v>
      </c>
      <c r="R169" s="49">
        <f>IFERROR(IF(compras_mes12[[#This Row],[CUIT]]="","-",VLOOKUP(compras_mes12[[#This Row],[CUIT]],Lista_CUIT[#All],4,0)),"CUIT NO CARGADO")</f>
        <v>0</v>
      </c>
    </row>
    <row r="170" spans="2:18" ht="13.5" customHeight="1">
      <c r="B170" s="497"/>
      <c r="C170" s="498"/>
      <c r="D170" s="499"/>
      <c r="E170" s="500"/>
      <c r="F170" s="501"/>
      <c r="G170" s="502"/>
      <c r="H170" s="503"/>
      <c r="I170" s="85" t="str">
        <f>IF(compras_mes12[[#This Row],[NETO GRAVADO]]="","",compras_mes12[[#This Row],[NETO GRAVADO]]*0.21)</f>
        <v/>
      </c>
      <c r="J170" s="504"/>
      <c r="K170" s="504"/>
      <c r="L170" s="504"/>
      <c r="M170" s="504"/>
      <c r="N170" s="504"/>
      <c r="O170" s="504"/>
      <c r="P170" s="505"/>
      <c r="Q170" s="502"/>
      <c r="R170" s="506"/>
    </row>
    <row r="171" spans="2:18">
      <c r="B171" s="96" t="s">
        <v>103</v>
      </c>
      <c r="C171" s="96"/>
      <c r="D171" s="96"/>
      <c r="E171" s="96"/>
      <c r="F171" s="96"/>
      <c r="G171" s="97"/>
      <c r="H171" s="98">
        <f>SUBTOTAL(109,compras_mes12[NETO GRAVADO])</f>
        <v>52629315.442895494</v>
      </c>
      <c r="I171" s="98">
        <f>SUBTOTAL(109,compras_mes12[IVA 21 %])</f>
        <v>10285827.611892277</v>
      </c>
      <c r="J171" s="98">
        <f>SUBTOTAL(109,compras_mes12[IVA 27%])</f>
        <v>176455.54846313491</v>
      </c>
      <c r="K171" s="98">
        <f>SUBTOTAL(109,compras_mes12[IVA 10,5%])</f>
        <v>314542.69984999998</v>
      </c>
      <c r="L171" s="98">
        <f>SUBTOTAL(109,compras_mes12[PERC. IVA])</f>
        <v>16035.289999999999</v>
      </c>
      <c r="M171" s="98">
        <f>SUBTOTAL(109,compras_mes12[PERC IIBB 
BS AS])</f>
        <v>49712.28</v>
      </c>
      <c r="N171" s="98">
        <f>SUBTOTAL(109,compras_mes12[PERC. IIBB CABA])</f>
        <v>131187.16083007812</v>
      </c>
      <c r="O171" s="98">
        <f>SUBTOTAL(109,compras_mes12[Otros / No Grav.])</f>
        <v>518858.79875488288</v>
      </c>
      <c r="P171" s="98">
        <f>SUBTOTAL(109,compras_mes12[TOTAL])</f>
        <v>64121934.83268588</v>
      </c>
      <c r="Q171" s="96"/>
      <c r="R171" s="96"/>
    </row>
    <row r="172" spans="2:18">
      <c r="B172" s="40"/>
      <c r="C172" s="41"/>
      <c r="D172" s="42"/>
      <c r="E172" s="43"/>
      <c r="F172" s="44"/>
      <c r="G172" s="45"/>
      <c r="H172" s="46"/>
      <c r="I172" s="47"/>
      <c r="J172" s="47"/>
      <c r="K172" s="47"/>
      <c r="L172" s="47"/>
      <c r="M172" s="47"/>
      <c r="N172" s="47"/>
      <c r="O172" s="47"/>
      <c r="P172" s="48"/>
      <c r="Q172" s="49"/>
      <c r="R172" s="49"/>
    </row>
    <row r="173" spans="2:18">
      <c r="B173" s="40"/>
      <c r="C173" s="41"/>
      <c r="D173" s="42"/>
      <c r="E173" s="43"/>
      <c r="F173" s="44"/>
      <c r="G173" s="45"/>
      <c r="H173" s="46"/>
      <c r="I173" s="47"/>
      <c r="J173" s="47"/>
      <c r="K173" s="47"/>
      <c r="L173" s="47"/>
      <c r="M173" s="47"/>
      <c r="N173" s="47"/>
      <c r="O173" s="47"/>
      <c r="P173" s="48"/>
      <c r="Q173" s="49"/>
      <c r="R173" s="49"/>
    </row>
    <row r="174" spans="2:18">
      <c r="B174" s="40"/>
      <c r="C174" s="41"/>
      <c r="D174" s="42"/>
      <c r="E174" s="43"/>
      <c r="F174" s="44"/>
      <c r="H174" s="45">
        <f>H182*100/21</f>
        <v>225470</v>
      </c>
      <c r="I174" s="47">
        <f>I182*100/10.5</f>
        <v>51834.490000000005</v>
      </c>
      <c r="J174" s="47"/>
      <c r="K174" s="47"/>
      <c r="L174" s="47"/>
      <c r="M174" s="47"/>
      <c r="N174" s="47"/>
      <c r="O174" s="47"/>
      <c r="P174" s="48"/>
      <c r="Q174" s="49"/>
      <c r="R174" s="49"/>
    </row>
    <row r="175" spans="2:18">
      <c r="B175" s="40"/>
      <c r="C175" s="41"/>
      <c r="D175" s="42"/>
      <c r="E175" s="43"/>
      <c r="F175" s="44"/>
      <c r="G175" s="45"/>
      <c r="H175" s="46"/>
      <c r="I175" s="47"/>
      <c r="J175" s="47"/>
      <c r="K175" s="47"/>
      <c r="L175" s="47"/>
    </row>
    <row r="176" spans="2:18" ht="21">
      <c r="D176" s="712" t="s">
        <v>15</v>
      </c>
      <c r="E176" s="712"/>
      <c r="F176" s="712"/>
      <c r="G176" s="712"/>
      <c r="H176" s="712"/>
      <c r="I176" s="712"/>
      <c r="J176" s="712"/>
      <c r="K176" s="712"/>
      <c r="L176" s="712"/>
    </row>
    <row r="177" spans="4:12" ht="15.75">
      <c r="D177" s="73" t="s">
        <v>0</v>
      </c>
      <c r="E177" s="74" t="s">
        <v>26</v>
      </c>
      <c r="F177" s="74" t="s">
        <v>16</v>
      </c>
      <c r="G177" s="74" t="s">
        <v>5</v>
      </c>
      <c r="H177" s="74" t="s">
        <v>17</v>
      </c>
      <c r="I177" s="74" t="s">
        <v>7</v>
      </c>
      <c r="J177" s="75" t="s">
        <v>18</v>
      </c>
      <c r="K177" s="75" t="s">
        <v>19</v>
      </c>
      <c r="L177" s="76" t="s">
        <v>20</v>
      </c>
    </row>
    <row r="178" spans="4:12">
      <c r="D178" s="50"/>
      <c r="E178" s="156"/>
      <c r="F178" s="155" t="s">
        <v>2655</v>
      </c>
      <c r="G178" s="81">
        <v>4740.63</v>
      </c>
      <c r="H178" s="81"/>
      <c r="I178" s="81">
        <v>497.76614999999998</v>
      </c>
      <c r="J178" s="81">
        <v>284.44</v>
      </c>
      <c r="K178" s="81">
        <v>71.11</v>
      </c>
      <c r="L178" s="81"/>
    </row>
    <row r="179" spans="4:12">
      <c r="D179" s="50"/>
      <c r="E179" s="156"/>
      <c r="F179" s="155" t="s">
        <v>2656</v>
      </c>
      <c r="G179" s="81">
        <v>5619.83</v>
      </c>
      <c r="H179" s="81">
        <v>1180.1642999999999</v>
      </c>
      <c r="I179" s="81"/>
      <c r="J179" s="81">
        <v>446.31</v>
      </c>
      <c r="K179" s="81">
        <v>168.59</v>
      </c>
      <c r="L179" s="81"/>
    </row>
    <row r="180" spans="4:12">
      <c r="D180" s="50"/>
      <c r="E180" s="156"/>
      <c r="F180" s="155" t="s">
        <v>2657</v>
      </c>
      <c r="G180" s="81">
        <v>38000</v>
      </c>
      <c r="H180" s="81">
        <v>7980</v>
      </c>
      <c r="I180" s="81"/>
      <c r="J180" s="81">
        <v>2280</v>
      </c>
      <c r="K180" s="81">
        <v>1140</v>
      </c>
      <c r="L180" s="81"/>
    </row>
    <row r="181" spans="4:12">
      <c r="D181" s="50"/>
      <c r="E181" s="156"/>
      <c r="F181" s="155" t="s">
        <v>2658</v>
      </c>
      <c r="G181" s="81">
        <v>1335101.3600000003</v>
      </c>
      <c r="H181" s="81">
        <v>182657.89999999997</v>
      </c>
      <c r="I181" s="81">
        <v>48856.690649999997</v>
      </c>
      <c r="J181" s="81"/>
      <c r="K181" s="81"/>
      <c r="L181" s="81"/>
    </row>
    <row r="182" spans="4:12">
      <c r="D182" s="50"/>
      <c r="E182" s="156"/>
      <c r="F182" s="155" t="s">
        <v>2659</v>
      </c>
      <c r="G182" s="81">
        <v>277304.49</v>
      </c>
      <c r="H182" s="81">
        <v>47348.7</v>
      </c>
      <c r="I182" s="81">
        <v>5442.6214499999996</v>
      </c>
      <c r="J182" s="81">
        <v>11492.06</v>
      </c>
      <c r="K182" s="81">
        <v>7424.31</v>
      </c>
      <c r="L182" s="81"/>
    </row>
    <row r="183" spans="4:12">
      <c r="D183" s="50"/>
      <c r="E183" s="156"/>
      <c r="F183" s="155" t="s">
        <v>2239</v>
      </c>
      <c r="G183" s="81">
        <v>1500</v>
      </c>
      <c r="H183" s="81">
        <v>315</v>
      </c>
      <c r="I183" s="81"/>
      <c r="J183" s="81">
        <v>205.49</v>
      </c>
      <c r="K183" s="81"/>
      <c r="L183" s="81"/>
    </row>
    <row r="184" spans="4:12">
      <c r="D184" s="50"/>
      <c r="E184" s="156"/>
      <c r="F184" s="155"/>
      <c r="G184" s="81"/>
      <c r="H184" s="81"/>
      <c r="I184" s="81"/>
      <c r="J184" s="81"/>
      <c r="K184" s="81"/>
      <c r="L184" s="81"/>
    </row>
    <row r="185" spans="4:12">
      <c r="D185" s="50"/>
      <c r="E185" s="156"/>
      <c r="F185" s="80"/>
      <c r="G185" s="81"/>
      <c r="H185" s="81"/>
      <c r="I185" s="81"/>
      <c r="J185" s="81"/>
      <c r="K185" s="81"/>
      <c r="L185" s="81"/>
    </row>
    <row r="186" spans="4:12">
      <c r="D186" s="50"/>
      <c r="E186" s="156"/>
      <c r="F186" s="80"/>
      <c r="G186" s="81"/>
      <c r="H186" s="81"/>
      <c r="I186" s="81"/>
      <c r="J186" s="81"/>
      <c r="K186" s="81"/>
      <c r="L186" s="81"/>
    </row>
    <row r="187" spans="4:12">
      <c r="D187" s="50"/>
      <c r="E187" s="79"/>
      <c r="F187" s="80"/>
      <c r="G187" s="81"/>
      <c r="H187" s="81"/>
      <c r="I187" s="81"/>
      <c r="J187" s="81"/>
      <c r="K187" s="81"/>
      <c r="L187" s="81"/>
    </row>
    <row r="188" spans="4:12">
      <c r="D188" s="82" t="s">
        <v>103</v>
      </c>
      <c r="E188" s="80"/>
      <c r="F188" s="80"/>
      <c r="G188" s="83">
        <f>SUBTOTAL(109,extracto_banco_mes12[NETO])</f>
        <v>1662266.3100000003</v>
      </c>
      <c r="H188" s="83">
        <f>SUBTOTAL(109,extracto_banco_mes12[IVA 21%])</f>
        <v>239481.76429999998</v>
      </c>
      <c r="I188" s="83">
        <f>SUBTOTAL(109,extracto_banco_mes12[IVA 10,5%])</f>
        <v>54797.078249999999</v>
      </c>
      <c r="J188" s="83">
        <f>SUBTOTAL(109,extracto_banco_mes12[RET IIBB CABA])</f>
        <v>14708.3</v>
      </c>
      <c r="K188" s="83">
        <f>SUBTOTAL(109,extracto_banco_mes12[PERC IVA])</f>
        <v>8804.01</v>
      </c>
      <c r="L188" s="83">
        <f>SUBTOTAL(109,extracto_banco_mes12[PERC IIBB])</f>
        <v>0</v>
      </c>
    </row>
    <row r="192" spans="4:12" ht="21">
      <c r="D192" s="712" t="s">
        <v>1133</v>
      </c>
      <c r="E192" s="712"/>
      <c r="F192" s="712"/>
      <c r="G192" s="712"/>
      <c r="H192" s="712"/>
      <c r="I192" s="712"/>
      <c r="J192" s="712"/>
      <c r="K192" s="712"/>
    </row>
    <row r="193" spans="4:11">
      <c r="D193" s="51" t="s">
        <v>0</v>
      </c>
      <c r="E193" s="51" t="s">
        <v>2</v>
      </c>
      <c r="F193" s="51" t="s">
        <v>74</v>
      </c>
      <c r="G193" s="51" t="s">
        <v>3</v>
      </c>
      <c r="H193" s="51" t="s">
        <v>4</v>
      </c>
      <c r="I193" s="52" t="s">
        <v>10</v>
      </c>
      <c r="J193" s="51" t="s">
        <v>13</v>
      </c>
      <c r="K193" s="51" t="s">
        <v>38</v>
      </c>
    </row>
    <row r="194" spans="4:11">
      <c r="D194" s="315"/>
      <c r="E194" s="311"/>
      <c r="F194" s="312"/>
      <c r="G194" s="313"/>
      <c r="H194" s="315" t="str">
        <f>IFERROR(IF(factura_c_mes12[[#This Row],[CUIT]]="","-",VLOOKUP(factura_c_mes12[[#This Row],[CUIT]],Lista_CUIT[#All],2,0)),"CUIT NO CARGADO")</f>
        <v>-</v>
      </c>
      <c r="I194" s="317"/>
      <c r="J194" s="314" t="str">
        <f>IFERROR(IF(factura_c_mes12[[#This Row],[CUIT]]="","-",VLOOKUP(factura_c_mes12[[#This Row],[CUIT]],Lista_CUIT[#All],3,0)),"CUIT NO CARGADO")</f>
        <v>-</v>
      </c>
      <c r="K194" s="314" t="str">
        <f>IFERROR(IF(factura_c_mes12[[#This Row],[CUIT]]="","-",VLOOKUP(factura_c_mes12[[#This Row],[CUIT]],Lista_CUIT[#All],4,0)),"CUIT NO CARGADO")</f>
        <v>-</v>
      </c>
    </row>
    <row r="195" spans="4:11">
      <c r="D195" s="315" t="s">
        <v>2606</v>
      </c>
      <c r="E195" s="311">
        <v>2</v>
      </c>
      <c r="F195" s="312">
        <v>4843</v>
      </c>
      <c r="G195" s="313">
        <v>20136536320</v>
      </c>
      <c r="H195" s="315" t="str">
        <f>IFERROR(IF(factura_c_mes12[[#This Row],[CUIT]]="","-",VLOOKUP(factura_c_mes12[[#This Row],[CUIT]],Lista_CUIT[#All],2,0)),"CUIT NO CARGADO")</f>
        <v>FONTENLA ERNESTO MARIO</v>
      </c>
      <c r="I195" s="317">
        <v>8000</v>
      </c>
      <c r="J195" s="314" t="str">
        <f>IFERROR(IF(factura_c_mes12[[#This Row],[CUIT]]="","-",VLOOKUP(factura_c_mes12[[#This Row],[CUIT]],Lista_CUIT[#All],3,0)),"CUIT NO CARGADO")</f>
        <v>Gastos Varios</v>
      </c>
      <c r="K195" s="314" t="str">
        <f>IFERROR(IF(factura_c_mes12[[#This Row],[CUIT]]="","-",VLOOKUP(factura_c_mes12[[#This Row],[CUIT]],Lista_CUIT[#All],4,0)),"CUIT NO CARGADO")</f>
        <v>CABA</v>
      </c>
    </row>
    <row r="196" spans="4:11">
      <c r="D196" s="315" t="s">
        <v>2607</v>
      </c>
      <c r="E196" s="311">
        <v>2</v>
      </c>
      <c r="F196" s="312">
        <v>4847</v>
      </c>
      <c r="G196" s="313">
        <v>20136536320</v>
      </c>
      <c r="H196" s="315" t="str">
        <f>IFERROR(IF(factura_c_mes12[[#This Row],[CUIT]]="","-",VLOOKUP(factura_c_mes12[[#This Row],[CUIT]],Lista_CUIT[#All],2,0)),"CUIT NO CARGADO")</f>
        <v>FONTENLA ERNESTO MARIO</v>
      </c>
      <c r="I196" s="317">
        <v>3400</v>
      </c>
      <c r="J196" s="314" t="str">
        <f>IFERROR(IF(factura_c_mes12[[#This Row],[CUIT]]="","-",VLOOKUP(factura_c_mes12[[#This Row],[CUIT]],Lista_CUIT[#All],3,0)),"CUIT NO CARGADO")</f>
        <v>Gastos Varios</v>
      </c>
      <c r="K196" s="314" t="str">
        <f>IFERROR(IF(factura_c_mes12[[#This Row],[CUIT]]="","-",VLOOKUP(factura_c_mes12[[#This Row],[CUIT]],Lista_CUIT[#All],4,0)),"CUIT NO CARGADO")</f>
        <v>CABA</v>
      </c>
    </row>
    <row r="197" spans="4:11">
      <c r="D197" s="315" t="s">
        <v>2607</v>
      </c>
      <c r="E197" s="311">
        <v>2</v>
      </c>
      <c r="F197" s="312">
        <v>4845</v>
      </c>
      <c r="G197" s="313">
        <v>20136536320</v>
      </c>
      <c r="H197" s="315" t="str">
        <f>IFERROR(IF(factura_c_mes12[[#This Row],[CUIT]]="","-",VLOOKUP(factura_c_mes12[[#This Row],[CUIT]],Lista_CUIT[#All],2,0)),"CUIT NO CARGADO")</f>
        <v>FONTENLA ERNESTO MARIO</v>
      </c>
      <c r="I197" s="317">
        <v>7900</v>
      </c>
      <c r="J197" s="314" t="str">
        <f>IFERROR(IF(factura_c_mes12[[#This Row],[CUIT]]="","-",VLOOKUP(factura_c_mes12[[#This Row],[CUIT]],Lista_CUIT[#All],3,0)),"CUIT NO CARGADO")</f>
        <v>Gastos Varios</v>
      </c>
      <c r="K197" s="314" t="str">
        <f>IFERROR(IF(factura_c_mes12[[#This Row],[CUIT]]="","-",VLOOKUP(factura_c_mes12[[#This Row],[CUIT]],Lista_CUIT[#All],4,0)),"CUIT NO CARGADO")</f>
        <v>CABA</v>
      </c>
    </row>
    <row r="198" spans="4:11">
      <c r="D198" s="315" t="s">
        <v>2610</v>
      </c>
      <c r="E198" s="311">
        <v>2</v>
      </c>
      <c r="F198" s="312">
        <v>4861</v>
      </c>
      <c r="G198" s="313">
        <v>20136536320</v>
      </c>
      <c r="H198" s="315" t="str">
        <f>IFERROR(IF(factura_c_mes12[[#This Row],[CUIT]]="","-",VLOOKUP(factura_c_mes12[[#This Row],[CUIT]],Lista_CUIT[#All],2,0)),"CUIT NO CARGADO")</f>
        <v>FONTENLA ERNESTO MARIO</v>
      </c>
      <c r="I198" s="317">
        <v>7000</v>
      </c>
      <c r="J198" s="314" t="str">
        <f>IFERROR(IF(factura_c_mes12[[#This Row],[CUIT]]="","-",VLOOKUP(factura_c_mes12[[#This Row],[CUIT]],Lista_CUIT[#All],3,0)),"CUIT NO CARGADO")</f>
        <v>Gastos Varios</v>
      </c>
      <c r="K198" s="314" t="str">
        <f>IFERROR(IF(factura_c_mes12[[#This Row],[CUIT]]="","-",VLOOKUP(factura_c_mes12[[#This Row],[CUIT]],Lista_CUIT[#All],4,0)),"CUIT NO CARGADO")</f>
        <v>CABA</v>
      </c>
    </row>
    <row r="199" spans="4:11">
      <c r="D199" s="315" t="s">
        <v>2612</v>
      </c>
      <c r="E199" s="311">
        <v>3</v>
      </c>
      <c r="F199" s="312">
        <v>1507</v>
      </c>
      <c r="G199" s="313">
        <v>20173025557</v>
      </c>
      <c r="H199" s="315" t="str">
        <f>IFERROR(IF(factura_c_mes12[[#This Row],[CUIT]]="","-",VLOOKUP(factura_c_mes12[[#This Row],[CUIT]],Lista_CUIT[#All],2,0)),"CUIT NO CARGADO")</f>
        <v>MARAUDA HECTOR</v>
      </c>
      <c r="I199" s="317">
        <v>6000</v>
      </c>
      <c r="J199" s="314" t="str">
        <f>IFERROR(IF(factura_c_mes12[[#This Row],[CUIT]]="","-",VLOOKUP(factura_c_mes12[[#This Row],[CUIT]],Lista_CUIT[#All],3,0)),"CUIT NO CARGADO")</f>
        <v>Gastos Varios</v>
      </c>
      <c r="K199" s="314">
        <f>IFERROR(IF(factura_c_mes12[[#This Row],[CUIT]]="","-",VLOOKUP(factura_c_mes12[[#This Row],[CUIT]],Lista_CUIT[#All],4,0)),"CUIT NO CARGADO")</f>
        <v>0</v>
      </c>
    </row>
    <row r="200" spans="4:11">
      <c r="D200" s="315" t="s">
        <v>2613</v>
      </c>
      <c r="E200" s="311">
        <v>2</v>
      </c>
      <c r="F200" s="312">
        <v>4895</v>
      </c>
      <c r="G200" s="313">
        <v>20136536320</v>
      </c>
      <c r="H200" s="315" t="str">
        <f>IFERROR(IF(factura_c_mes12[[#This Row],[CUIT]]="","-",VLOOKUP(factura_c_mes12[[#This Row],[CUIT]],Lista_CUIT[#All],2,0)),"CUIT NO CARGADO")</f>
        <v>FONTENLA ERNESTO MARIO</v>
      </c>
      <c r="I200" s="317">
        <v>10600</v>
      </c>
      <c r="J200" s="314" t="str">
        <f>IFERROR(IF(factura_c_mes12[[#This Row],[CUIT]]="","-",VLOOKUP(factura_c_mes12[[#This Row],[CUIT]],Lista_CUIT[#All],3,0)),"CUIT NO CARGADO")</f>
        <v>Gastos Varios</v>
      </c>
      <c r="K200" s="314" t="str">
        <f>IFERROR(IF(factura_c_mes12[[#This Row],[CUIT]]="","-",VLOOKUP(factura_c_mes12[[#This Row],[CUIT]],Lista_CUIT[#All],4,0)),"CUIT NO CARGADO")</f>
        <v>CABA</v>
      </c>
    </row>
    <row r="201" spans="4:11">
      <c r="D201" s="315" t="s">
        <v>2614</v>
      </c>
      <c r="E201" s="311">
        <v>10</v>
      </c>
      <c r="F201" s="312">
        <v>237</v>
      </c>
      <c r="G201" s="313">
        <v>20302234389</v>
      </c>
      <c r="H201" s="315" t="str">
        <f>IFERROR(IF(factura_c_mes12[[#This Row],[CUIT]]="","-",VLOOKUP(factura_c_mes12[[#This Row],[CUIT]],Lista_CUIT[#All],2,0)),"CUIT NO CARGADO")</f>
        <v>VIGORELLI GUILLERMO DANIEL</v>
      </c>
      <c r="I201" s="317">
        <v>180000</v>
      </c>
      <c r="J201" s="314" t="str">
        <f>IFERROR(IF(factura_c_mes12[[#This Row],[CUIT]]="","-",VLOOKUP(factura_c_mes12[[#This Row],[CUIT]],Lista_CUIT[#All],3,0)),"CUIT NO CARGADO")</f>
        <v>Gastos Varios</v>
      </c>
      <c r="K201" s="314">
        <f>IFERROR(IF(factura_c_mes12[[#This Row],[CUIT]]="","-",VLOOKUP(factura_c_mes12[[#This Row],[CUIT]],Lista_CUIT[#All],4,0)),"CUIT NO CARGADO")</f>
        <v>0</v>
      </c>
    </row>
    <row r="202" spans="4:11">
      <c r="D202" s="315" t="s">
        <v>2615</v>
      </c>
      <c r="E202" s="311">
        <v>2</v>
      </c>
      <c r="F202" s="312">
        <v>4904</v>
      </c>
      <c r="G202" s="313">
        <v>20136536320</v>
      </c>
      <c r="H202" s="315" t="str">
        <f>IFERROR(IF(factura_c_mes12[[#This Row],[CUIT]]="","-",VLOOKUP(factura_c_mes12[[#This Row],[CUIT]],Lista_CUIT[#All],2,0)),"CUIT NO CARGADO")</f>
        <v>FONTENLA ERNESTO MARIO</v>
      </c>
      <c r="I202" s="317">
        <v>7480</v>
      </c>
      <c r="J202" s="314" t="str">
        <f>IFERROR(IF(factura_c_mes12[[#This Row],[CUIT]]="","-",VLOOKUP(factura_c_mes12[[#This Row],[CUIT]],Lista_CUIT[#All],3,0)),"CUIT NO CARGADO")</f>
        <v>Gastos Varios</v>
      </c>
      <c r="K202" s="314" t="str">
        <f>IFERROR(IF(factura_c_mes12[[#This Row],[CUIT]]="","-",VLOOKUP(factura_c_mes12[[#This Row],[CUIT]],Lista_CUIT[#All],4,0)),"CUIT NO CARGADO")</f>
        <v>CABA</v>
      </c>
    </row>
    <row r="203" spans="4:11">
      <c r="D203" s="315" t="s">
        <v>2616</v>
      </c>
      <c r="E203" s="311">
        <v>1</v>
      </c>
      <c r="F203" s="312">
        <v>471</v>
      </c>
      <c r="G203" s="313">
        <v>20388476711</v>
      </c>
      <c r="H203" s="315" t="str">
        <f>IFERROR(IF(factura_c_mes12[[#This Row],[CUIT]]="","-",VLOOKUP(factura_c_mes12[[#This Row],[CUIT]],Lista_CUIT[#All],2,0)),"CUIT NO CARGADO")</f>
        <v>SALDAÑO JEREMIAS</v>
      </c>
      <c r="I203" s="317">
        <v>25200</v>
      </c>
      <c r="J203" s="314" t="str">
        <f>IFERROR(IF(factura_c_mes12[[#This Row],[CUIT]]="","-",VLOOKUP(factura_c_mes12[[#This Row],[CUIT]],Lista_CUIT[#All],3,0)),"CUIT NO CARGADO")</f>
        <v>Honorarios Administrativos</v>
      </c>
      <c r="K203" s="314">
        <f>IFERROR(IF(factura_c_mes12[[#This Row],[CUIT]]="","-",VLOOKUP(factura_c_mes12[[#This Row],[CUIT]],Lista_CUIT[#All],4,0)),"CUIT NO CARGADO")</f>
        <v>0</v>
      </c>
    </row>
    <row r="204" spans="4:11">
      <c r="D204" s="315" t="s">
        <v>2608</v>
      </c>
      <c r="E204" s="311">
        <v>2</v>
      </c>
      <c r="F204" s="312">
        <v>3</v>
      </c>
      <c r="G204" s="313">
        <v>24180692653</v>
      </c>
      <c r="H204" s="315" t="str">
        <f>IFERROR(IF(factura_c_mes12[[#This Row],[CUIT]]="","-",VLOOKUP(factura_c_mes12[[#This Row],[CUIT]],Lista_CUIT[#All],2,0)),"CUIT NO CARGADO")</f>
        <v>CASTILLO JOSE MANUEL</v>
      </c>
      <c r="I204" s="317">
        <v>412600</v>
      </c>
      <c r="J204" s="314" t="str">
        <f>IFERROR(IF(factura_c_mes12[[#This Row],[CUIT]]="","-",VLOOKUP(factura_c_mes12[[#This Row],[CUIT]],Lista_CUIT[#All],3,0)),"CUIT NO CARGADO")</f>
        <v>Honorarios Administrativos</v>
      </c>
      <c r="K204" s="314">
        <f>IFERROR(IF(factura_c_mes12[[#This Row],[CUIT]]="","-",VLOOKUP(factura_c_mes12[[#This Row],[CUIT]],Lista_CUIT[#All],4,0)),"CUIT NO CARGADO")</f>
        <v>0</v>
      </c>
    </row>
    <row r="205" spans="4:11">
      <c r="D205" s="315" t="s">
        <v>2608</v>
      </c>
      <c r="E205" s="311">
        <v>2</v>
      </c>
      <c r="F205" s="312">
        <v>1</v>
      </c>
      <c r="G205" s="313">
        <v>27226409799</v>
      </c>
      <c r="H205" s="315" t="str">
        <f>IFERROR(IF(factura_c_mes12[[#This Row],[CUIT]]="","-",VLOOKUP(factura_c_mes12[[#This Row],[CUIT]],Lista_CUIT[#All],2,0)),"CUIT NO CARGADO")</f>
        <v>CASTILLO BERTA YOLANDA</v>
      </c>
      <c r="I205" s="317">
        <v>325600</v>
      </c>
      <c r="J205" s="314" t="str">
        <f>IFERROR(IF(factura_c_mes12[[#This Row],[CUIT]]="","-",VLOOKUP(factura_c_mes12[[#This Row],[CUIT]],Lista_CUIT[#All],3,0)),"CUIT NO CARGADO")</f>
        <v>Honorarios Administrativos</v>
      </c>
      <c r="K205" s="314">
        <f>IFERROR(IF(factura_c_mes12[[#This Row],[CUIT]]="","-",VLOOKUP(factura_c_mes12[[#This Row],[CUIT]],Lista_CUIT[#All],4,0)),"CUIT NO CARGADO")</f>
        <v>0</v>
      </c>
    </row>
    <row r="206" spans="4:11">
      <c r="D206" s="315" t="s">
        <v>2608</v>
      </c>
      <c r="E206" s="311">
        <v>2</v>
      </c>
      <c r="F206" s="312">
        <v>2</v>
      </c>
      <c r="G206" s="313">
        <v>27226409799</v>
      </c>
      <c r="H206" s="315" t="str">
        <f>IFERROR(IF(factura_c_mes12[[#This Row],[CUIT]]="","-",VLOOKUP(factura_c_mes12[[#This Row],[CUIT]],Lista_CUIT[#All],2,0)),"CUIT NO CARGADO")</f>
        <v>CASTILLO BERTA YOLANDA</v>
      </c>
      <c r="I206" s="317">
        <v>715000</v>
      </c>
      <c r="J206" s="314" t="str">
        <f>IFERROR(IF(factura_c_mes12[[#This Row],[CUIT]]="","-",VLOOKUP(factura_c_mes12[[#This Row],[CUIT]],Lista_CUIT[#All],3,0)),"CUIT NO CARGADO")</f>
        <v>Honorarios Administrativos</v>
      </c>
      <c r="K206" s="314">
        <f>IFERROR(IF(factura_c_mes12[[#This Row],[CUIT]]="","-",VLOOKUP(factura_c_mes12[[#This Row],[CUIT]],Lista_CUIT[#All],4,0)),"CUIT NO CARGADO")</f>
        <v>0</v>
      </c>
    </row>
    <row r="207" spans="4:11">
      <c r="D207" s="315" t="s">
        <v>2619</v>
      </c>
      <c r="E207" s="311">
        <v>2</v>
      </c>
      <c r="F207" s="312">
        <v>3</v>
      </c>
      <c r="G207" s="313">
        <v>27226409799</v>
      </c>
      <c r="H207" s="315" t="str">
        <f>IFERROR(IF(factura_c_mes12[[#This Row],[CUIT]]="","-",VLOOKUP(factura_c_mes12[[#This Row],[CUIT]],Lista_CUIT[#All],2,0)),"CUIT NO CARGADO")</f>
        <v>CASTILLO BERTA YOLANDA</v>
      </c>
      <c r="I207" s="317">
        <v>786500</v>
      </c>
      <c r="J207" s="314" t="str">
        <f>IFERROR(IF(factura_c_mes12[[#This Row],[CUIT]]="","-",VLOOKUP(factura_c_mes12[[#This Row],[CUIT]],Lista_CUIT[#All],3,0)),"CUIT NO CARGADO")</f>
        <v>Honorarios Administrativos</v>
      </c>
      <c r="K207" s="314">
        <f>IFERROR(IF(factura_c_mes12[[#This Row],[CUIT]]="","-",VLOOKUP(factura_c_mes12[[#This Row],[CUIT]],Lista_CUIT[#All],4,0)),"CUIT NO CARGADO")</f>
        <v>0</v>
      </c>
    </row>
    <row r="208" spans="4:11">
      <c r="D208" s="315" t="s">
        <v>2619</v>
      </c>
      <c r="E208" s="311">
        <v>2</v>
      </c>
      <c r="F208" s="312">
        <v>4</v>
      </c>
      <c r="G208" s="313">
        <v>27226409799</v>
      </c>
      <c r="H208" s="315" t="str">
        <f>IFERROR(IF(factura_c_mes12[[#This Row],[CUIT]]="","-",VLOOKUP(factura_c_mes12[[#This Row],[CUIT]],Lista_CUIT[#All],2,0)),"CUIT NO CARGADO")</f>
        <v>CASTILLO BERTA YOLANDA</v>
      </c>
      <c r="I208" s="317">
        <v>358160</v>
      </c>
      <c r="J208" s="314" t="str">
        <f>IFERROR(IF(factura_c_mes12[[#This Row],[CUIT]]="","-",VLOOKUP(factura_c_mes12[[#This Row],[CUIT]],Lista_CUIT[#All],3,0)),"CUIT NO CARGADO")</f>
        <v>Honorarios Administrativos</v>
      </c>
      <c r="K208" s="314">
        <f>IFERROR(IF(factura_c_mes12[[#This Row],[CUIT]]="","-",VLOOKUP(factura_c_mes12[[#This Row],[CUIT]],Lista_CUIT[#All],4,0)),"CUIT NO CARGADO")</f>
        <v>0</v>
      </c>
    </row>
    <row r="209" spans="2:18">
      <c r="D209" s="315" t="s">
        <v>2606</v>
      </c>
      <c r="E209" s="311">
        <v>3</v>
      </c>
      <c r="F209" s="312">
        <v>907</v>
      </c>
      <c r="G209" s="313">
        <v>20086277523</v>
      </c>
      <c r="H209" s="315" t="str">
        <f>IFERROR(IF(factura_c_mes12[[#This Row],[CUIT]]="","-",VLOOKUP(factura_c_mes12[[#This Row],[CUIT]],Lista_CUIT[#All],2,0)),"CUIT NO CARGADO")</f>
        <v>BOTINDARI JUAN CARLOS</v>
      </c>
      <c r="I209" s="317">
        <v>270000</v>
      </c>
      <c r="J209" s="314" t="str">
        <f>IFERROR(IF(factura_c_mes12[[#This Row],[CUIT]]="","-",VLOOKUP(factura_c_mes12[[#This Row],[CUIT]],Lista_CUIT[#All],3,0)),"CUIT NO CARGADO")</f>
        <v>Honorarios Contables</v>
      </c>
      <c r="K209" s="314">
        <f>IFERROR(IF(factura_c_mes12[[#This Row],[CUIT]]="","-",VLOOKUP(factura_c_mes12[[#This Row],[CUIT]],Lista_CUIT[#All],4,0)),"CUIT NO CARGADO")</f>
        <v>0</v>
      </c>
    </row>
    <row r="210" spans="2:18">
      <c r="D210" s="315" t="s">
        <v>2606</v>
      </c>
      <c r="E210" s="311">
        <v>2</v>
      </c>
      <c r="F210" s="312">
        <v>362</v>
      </c>
      <c r="G210" s="313">
        <v>27206941419</v>
      </c>
      <c r="H210" s="315" t="str">
        <f>IFERROR(IF(factura_c_mes12[[#This Row],[CUIT]]="","-",VLOOKUP(factura_c_mes12[[#This Row],[CUIT]],Lista_CUIT[#All],2,0)),"CUIT NO CARGADO")</f>
        <v>DOBARRO PAULA MARCELA</v>
      </c>
      <c r="I210" s="317">
        <v>80000</v>
      </c>
      <c r="J210" s="314" t="str">
        <f>IFERROR(IF(factura_c_mes12[[#This Row],[CUIT]]="","-",VLOOKUP(factura_c_mes12[[#This Row],[CUIT]],Lista_CUIT[#All],3,0)),"CUIT NO CARGADO")</f>
        <v>Honorarios Contables</v>
      </c>
      <c r="K210" s="314">
        <f>IFERROR(IF(factura_c_mes12[[#This Row],[CUIT]]="","-",VLOOKUP(factura_c_mes12[[#This Row],[CUIT]],Lista_CUIT[#All],4,0)),"CUIT NO CARGADO")</f>
        <v>0</v>
      </c>
    </row>
    <row r="211" spans="2:18">
      <c r="D211" s="315" t="s">
        <v>2609</v>
      </c>
      <c r="E211" s="311">
        <v>2</v>
      </c>
      <c r="F211" s="312">
        <v>318</v>
      </c>
      <c r="G211" s="313">
        <v>23319210954</v>
      </c>
      <c r="H211" s="315" t="str">
        <f>IFERROR(IF(factura_c_mes12[[#This Row],[CUIT]]="","-",VLOOKUP(factura_c_mes12[[#This Row],[CUIT]],Lista_CUIT[#All],2,0)),"CUIT NO CARGADO")</f>
        <v>CAFFARATTI ROMINA PAOLA</v>
      </c>
      <c r="I211" s="317">
        <v>224300</v>
      </c>
      <c r="J211" s="314" t="str">
        <f>IFERROR(IF(factura_c_mes12[[#This Row],[CUIT]]="","-",VLOOKUP(factura_c_mes12[[#This Row],[CUIT]],Lista_CUIT[#All],3,0)),"CUIT NO CARGADO")</f>
        <v>Honorarios Contables</v>
      </c>
      <c r="K211" s="314">
        <f>IFERROR(IF(factura_c_mes12[[#This Row],[CUIT]]="","-",VLOOKUP(factura_c_mes12[[#This Row],[CUIT]],Lista_CUIT[#All],4,0)),"CUIT NO CARGADO")</f>
        <v>0</v>
      </c>
    </row>
    <row r="212" spans="2:18">
      <c r="D212" s="315" t="s">
        <v>2611</v>
      </c>
      <c r="E212" s="311">
        <v>3</v>
      </c>
      <c r="F212" s="312">
        <v>914</v>
      </c>
      <c r="G212" s="313">
        <v>20086277523</v>
      </c>
      <c r="H212" s="315" t="str">
        <f>IFERROR(IF(factura_c_mes12[[#This Row],[CUIT]]="","-",VLOOKUP(factura_c_mes12[[#This Row],[CUIT]],Lista_CUIT[#All],2,0)),"CUIT NO CARGADO")</f>
        <v>BOTINDARI JUAN CARLOS</v>
      </c>
      <c r="I212" s="317">
        <v>900000</v>
      </c>
      <c r="J212" s="314" t="str">
        <f>IFERROR(IF(factura_c_mes12[[#This Row],[CUIT]]="","-",VLOOKUP(factura_c_mes12[[#This Row],[CUIT]],Lista_CUIT[#All],3,0)),"CUIT NO CARGADO")</f>
        <v>Honorarios Contables</v>
      </c>
      <c r="K212" s="314">
        <f>IFERROR(IF(factura_c_mes12[[#This Row],[CUIT]]="","-",VLOOKUP(factura_c_mes12[[#This Row],[CUIT]],Lista_CUIT[#All],4,0)),"CUIT NO CARGADO")</f>
        <v>0</v>
      </c>
    </row>
    <row r="213" spans="2:18">
      <c r="D213" s="315" t="s">
        <v>2606</v>
      </c>
      <c r="E213" s="311">
        <v>3</v>
      </c>
      <c r="F213" s="312">
        <v>516</v>
      </c>
      <c r="G213" s="313">
        <v>20210551574</v>
      </c>
      <c r="H213" s="315" t="str">
        <f>IFERROR(IF(factura_c_mes12[[#This Row],[CUIT]]="","-",VLOOKUP(factura_c_mes12[[#This Row],[CUIT]],Lista_CUIT[#All],2,0)),"CUIT NO CARGADO")</f>
        <v>REUS JORGE DIEGO</v>
      </c>
      <c r="I213" s="317">
        <v>273000</v>
      </c>
      <c r="J213" s="314" t="str">
        <f>IFERROR(IF(factura_c_mes12[[#This Row],[CUIT]]="","-",VLOOKUP(factura_c_mes12[[#This Row],[CUIT]],Lista_CUIT[#All],3,0)),"CUIT NO CARGADO")</f>
        <v>Honorarios Legales</v>
      </c>
      <c r="K213" s="314">
        <f>IFERROR(IF(factura_c_mes12[[#This Row],[CUIT]]="","-",VLOOKUP(factura_c_mes12[[#This Row],[CUIT]],Lista_CUIT[#All],4,0)),"CUIT NO CARGADO")</f>
        <v>0</v>
      </c>
    </row>
    <row r="214" spans="2:18">
      <c r="D214" s="315" t="s">
        <v>2606</v>
      </c>
      <c r="E214" s="311">
        <v>2</v>
      </c>
      <c r="F214" s="312">
        <v>283</v>
      </c>
      <c r="G214" s="313">
        <v>27065444777</v>
      </c>
      <c r="H214" s="315" t="str">
        <f>IFERROR(IF(factura_c_mes12[[#This Row],[CUIT]]="","-",VLOOKUP(factura_c_mes12[[#This Row],[CUIT]],Lista_CUIT[#All],2,0)),"CUIT NO CARGADO")</f>
        <v>CARNEVALE MABEL HAYDEE</v>
      </c>
      <c r="I214" s="317">
        <v>45000</v>
      </c>
      <c r="J214" s="314" t="str">
        <f>IFERROR(IF(factura_c_mes12[[#This Row],[CUIT]]="","-",VLOOKUP(factura_c_mes12[[#This Row],[CUIT]],Lista_CUIT[#All],3,0)),"CUIT NO CARGADO")</f>
        <v>Honorarios Profesionales</v>
      </c>
      <c r="K214" s="314">
        <f>IFERROR(IF(factura_c_mes12[[#This Row],[CUIT]]="","-",VLOOKUP(factura_c_mes12[[#This Row],[CUIT]],Lista_CUIT[#All],4,0)),"CUIT NO CARGADO")</f>
        <v>0</v>
      </c>
    </row>
    <row r="215" spans="2:18">
      <c r="D215" s="315" t="s">
        <v>2606</v>
      </c>
      <c r="E215" s="311">
        <v>2</v>
      </c>
      <c r="F215" s="312">
        <v>284</v>
      </c>
      <c r="G215" s="313">
        <v>27065444777</v>
      </c>
      <c r="H215" s="315" t="str">
        <f>IFERROR(IF(factura_c_mes12[[#This Row],[CUIT]]="","-",VLOOKUP(factura_c_mes12[[#This Row],[CUIT]],Lista_CUIT[#All],2,0)),"CUIT NO CARGADO")</f>
        <v>CARNEVALE MABEL HAYDEE</v>
      </c>
      <c r="I215" s="317">
        <v>45000</v>
      </c>
      <c r="J215" s="314" t="str">
        <f>IFERROR(IF(factura_c_mes12[[#This Row],[CUIT]]="","-",VLOOKUP(factura_c_mes12[[#This Row],[CUIT]],Lista_CUIT[#All],3,0)),"CUIT NO CARGADO")</f>
        <v>Honorarios Profesionales</v>
      </c>
      <c r="K215" s="314">
        <f>IFERROR(IF(factura_c_mes12[[#This Row],[CUIT]]="","-",VLOOKUP(factura_c_mes12[[#This Row],[CUIT]],Lista_CUIT[#All],4,0)),"CUIT NO CARGADO")</f>
        <v>0</v>
      </c>
    </row>
    <row r="216" spans="2:18">
      <c r="D216" s="315" t="s">
        <v>2615</v>
      </c>
      <c r="E216" s="311">
        <v>2</v>
      </c>
      <c r="F216" s="312">
        <v>707</v>
      </c>
      <c r="G216" s="313">
        <v>27218690160</v>
      </c>
      <c r="H216" s="315" t="str">
        <f>IFERROR(IF(factura_c_mes12[[#This Row],[CUIT]]="","-",VLOOKUP(factura_c_mes12[[#This Row],[CUIT]],Lista_CUIT[#All],2,0)),"CUIT NO CARGADO")</f>
        <v>RAMIREZ LAURA VERONICA</v>
      </c>
      <c r="I216" s="317">
        <v>21000</v>
      </c>
      <c r="J216" s="314" t="str">
        <f>IFERROR(IF(factura_c_mes12[[#This Row],[CUIT]]="","-",VLOOKUP(factura_c_mes12[[#This Row],[CUIT]],Lista_CUIT[#All],3,0)),"CUIT NO CARGADO")</f>
        <v>Honorarios Profesionales</v>
      </c>
      <c r="K216" s="314">
        <f>IFERROR(IF(factura_c_mes12[[#This Row],[CUIT]]="","-",VLOOKUP(factura_c_mes12[[#This Row],[CUIT]],Lista_CUIT[#All],4,0)),"CUIT NO CARGADO")</f>
        <v>0</v>
      </c>
    </row>
    <row r="217" spans="2:18">
      <c r="D217" s="315" t="s">
        <v>2618</v>
      </c>
      <c r="E217" s="311">
        <v>2</v>
      </c>
      <c r="F217" s="312">
        <v>710</v>
      </c>
      <c r="G217" s="313">
        <v>27218690160</v>
      </c>
      <c r="H217" s="315" t="str">
        <f>IFERROR(IF(factura_c_mes12[[#This Row],[CUIT]]="","-",VLOOKUP(factura_c_mes12[[#This Row],[CUIT]],Lista_CUIT[#All],2,0)),"CUIT NO CARGADO")</f>
        <v>RAMIREZ LAURA VERONICA</v>
      </c>
      <c r="I217" s="317">
        <v>21000</v>
      </c>
      <c r="J217" s="314" t="str">
        <f>IFERROR(IF(factura_c_mes12[[#This Row],[CUIT]]="","-",VLOOKUP(factura_c_mes12[[#This Row],[CUIT]],Lista_CUIT[#All],3,0)),"CUIT NO CARGADO")</f>
        <v>Honorarios Profesionales</v>
      </c>
      <c r="K217" s="314">
        <f>IFERROR(IF(factura_c_mes12[[#This Row],[CUIT]]="","-",VLOOKUP(factura_c_mes12[[#This Row],[CUIT]],Lista_CUIT[#All],4,0)),"CUIT NO CARGADO")</f>
        <v>0</v>
      </c>
    </row>
    <row r="218" spans="2:18">
      <c r="D218" s="315" t="s">
        <v>2617</v>
      </c>
      <c r="E218" s="311">
        <v>1</v>
      </c>
      <c r="F218" s="312">
        <v>97</v>
      </c>
      <c r="G218" s="313">
        <v>20176922363</v>
      </c>
      <c r="H218" s="315" t="str">
        <f>IFERROR(IF(factura_c_mes12[[#This Row],[CUIT]]="","-",VLOOKUP(factura_c_mes12[[#This Row],[CUIT]],Lista_CUIT[#All],2,0)),"CUIT NO CARGADO")</f>
        <v>CASTILLO JUAN RAMON</v>
      </c>
      <c r="I218" s="317">
        <v>1500000</v>
      </c>
      <c r="J218" s="314" t="str">
        <f>IFERROR(IF(factura_c_mes12[[#This Row],[CUIT]]="","-",VLOOKUP(factura_c_mes12[[#This Row],[CUIT]],Lista_CUIT[#All],3,0)),"CUIT NO CARGADO")</f>
        <v>Honorarios Profesionales</v>
      </c>
      <c r="K218" s="314">
        <f>IFERROR(IF(factura_c_mes12[[#This Row],[CUIT]]="","-",VLOOKUP(factura_c_mes12[[#This Row],[CUIT]],Lista_CUIT[#All],4,0)),"CUIT NO CARGADO")</f>
        <v>0</v>
      </c>
    </row>
    <row r="219" spans="2:18">
      <c r="D219" s="315" t="s">
        <v>2617</v>
      </c>
      <c r="E219" s="311">
        <v>1</v>
      </c>
      <c r="F219" s="312">
        <v>98</v>
      </c>
      <c r="G219" s="313">
        <v>20176922363</v>
      </c>
      <c r="H219" s="315" t="str">
        <f>IFERROR(IF(factura_c_mes12[[#This Row],[CUIT]]="","-",VLOOKUP(factura_c_mes12[[#This Row],[CUIT]],Lista_CUIT[#All],2,0)),"CUIT NO CARGADO")</f>
        <v>CASTILLO JUAN RAMON</v>
      </c>
      <c r="I219" s="317">
        <v>1000000</v>
      </c>
      <c r="J219" s="314" t="str">
        <f>IFERROR(IF(factura_c_mes12[[#This Row],[CUIT]]="","-",VLOOKUP(factura_c_mes12[[#This Row],[CUIT]],Lista_CUIT[#All],3,0)),"CUIT NO CARGADO")</f>
        <v>Honorarios Profesionales</v>
      </c>
      <c r="K219" s="314">
        <f>IFERROR(IF(factura_c_mes12[[#This Row],[CUIT]]="","-",VLOOKUP(factura_c_mes12[[#This Row],[CUIT]],Lista_CUIT[#All],4,0)),"CUIT NO CARGADO")</f>
        <v>0</v>
      </c>
    </row>
    <row r="220" spans="2:18">
      <c r="D220" s="315" t="s">
        <v>2606</v>
      </c>
      <c r="E220" s="311">
        <v>1</v>
      </c>
      <c r="F220" s="312">
        <v>95</v>
      </c>
      <c r="G220" s="313">
        <v>20299505430</v>
      </c>
      <c r="H220" s="315" t="str">
        <f>IFERROR(IF(factura_c_mes12[[#This Row],[CUIT]]="","-",VLOOKUP(factura_c_mes12[[#This Row],[CUIT]],Lista_CUIT[#All],2,0)),"CUIT NO CARGADO")</f>
        <v>PRADO EMILIANO HERNAN</v>
      </c>
      <c r="I220" s="317">
        <v>1107534</v>
      </c>
      <c r="J220" s="314" t="str">
        <f>IFERROR(IF(factura_c_mes12[[#This Row],[CUIT]]="","-",VLOOKUP(factura_c_mes12[[#This Row],[CUIT]],Lista_CUIT[#All],3,0)),"CUIT NO CARGADO")</f>
        <v>Material de Empaque</v>
      </c>
      <c r="K220" s="314">
        <f>IFERROR(IF(factura_c_mes12[[#This Row],[CUIT]]="","-",VLOOKUP(factura_c_mes12[[#This Row],[CUIT]],Lista_CUIT[#All],4,0)),"CUIT NO CARGADO")</f>
        <v>0</v>
      </c>
    </row>
    <row r="221" spans="2:18">
      <c r="D221" s="315" t="s">
        <v>2613</v>
      </c>
      <c r="E221" s="311">
        <v>1</v>
      </c>
      <c r="F221" s="312">
        <v>98</v>
      </c>
      <c r="G221" s="313">
        <v>20299505430</v>
      </c>
      <c r="H221" s="315" t="str">
        <f>IFERROR(IF(factura_c_mes12[[#This Row],[CUIT]]="","-",VLOOKUP(factura_c_mes12[[#This Row],[CUIT]],Lista_CUIT[#All],2,0)),"CUIT NO CARGADO")</f>
        <v>PRADO EMILIANO HERNAN</v>
      </c>
      <c r="I221" s="317">
        <v>1107600</v>
      </c>
      <c r="J221" s="314" t="str">
        <f>IFERROR(IF(factura_c_mes12[[#This Row],[CUIT]]="","-",VLOOKUP(factura_c_mes12[[#This Row],[CUIT]],Lista_CUIT[#All],3,0)),"CUIT NO CARGADO")</f>
        <v>Material de Empaque</v>
      </c>
      <c r="K221" s="314">
        <f>IFERROR(IF(factura_c_mes12[[#This Row],[CUIT]]="","-",VLOOKUP(factura_c_mes12[[#This Row],[CUIT]],Lista_CUIT[#All],4,0)),"CUIT NO CARGADO")</f>
        <v>0</v>
      </c>
    </row>
    <row r="222" spans="2:18">
      <c r="D222" s="315" t="s">
        <v>2617</v>
      </c>
      <c r="E222" s="311">
        <v>8</v>
      </c>
      <c r="F222" s="312">
        <v>861</v>
      </c>
      <c r="G222" s="313">
        <v>27409592487</v>
      </c>
      <c r="H222" s="315" t="str">
        <f>IFERROR(IF(factura_c_mes12[[#This Row],[CUIT]]="","-",VLOOKUP(factura_c_mes12[[#This Row],[CUIT]],Lista_CUIT[#All],2,0)),"CUIT NO CARGADO")</f>
        <v>BAUDONE ANTONELLA AGOSTINA</v>
      </c>
      <c r="I222" s="317">
        <v>219000</v>
      </c>
      <c r="J222" s="314" t="str">
        <f>IFERROR(IF(factura_c_mes12[[#This Row],[CUIT]]="","-",VLOOKUP(factura_c_mes12[[#This Row],[CUIT]],Lista_CUIT[#All],3,0)),"CUIT NO CARGADO")</f>
        <v>Material de Empaque</v>
      </c>
      <c r="K222" s="314">
        <f>IFERROR(IF(factura_c_mes12[[#This Row],[CUIT]]="","-",VLOOKUP(factura_c_mes12[[#This Row],[CUIT]],Lista_CUIT[#All],4,0)),"CUIT NO CARGADO")</f>
        <v>0</v>
      </c>
    </row>
    <row r="223" spans="2:18">
      <c r="D223" s="315" t="s">
        <v>2619</v>
      </c>
      <c r="E223" s="311">
        <v>1</v>
      </c>
      <c r="F223" s="312">
        <v>99</v>
      </c>
      <c r="G223" s="313">
        <v>20299505430</v>
      </c>
      <c r="H223" s="315" t="str">
        <f>IFERROR(IF(factura_c_mes12[[#This Row],[CUIT]]="","-",VLOOKUP(factura_c_mes12[[#This Row],[CUIT]],Lista_CUIT[#All],2,0)),"CUIT NO CARGADO")</f>
        <v>PRADO EMILIANO HERNAN</v>
      </c>
      <c r="I223" s="317">
        <v>1135967</v>
      </c>
      <c r="J223" s="314" t="str">
        <f>IFERROR(IF(factura_c_mes12[[#This Row],[CUIT]]="","-",VLOOKUP(factura_c_mes12[[#This Row],[CUIT]],Lista_CUIT[#All],3,0)),"CUIT NO CARGADO")</f>
        <v>Material de Empaque</v>
      </c>
      <c r="K223" s="314">
        <f>IFERROR(IF(factura_c_mes12[[#This Row],[CUIT]]="","-",VLOOKUP(factura_c_mes12[[#This Row],[CUIT]],Lista_CUIT[#All],4,0)),"CUIT NO CARGADO")</f>
        <v>0</v>
      </c>
    </row>
    <row r="224" spans="2:18">
      <c r="B224" s="56"/>
      <c r="C224" s="56"/>
      <c r="D224" s="55" t="s">
        <v>103</v>
      </c>
      <c r="E224" s="55"/>
      <c r="F224" s="55"/>
      <c r="G224" s="55"/>
      <c r="H224" s="57"/>
      <c r="I224" s="58">
        <f>SUBTOTAL(109,factura_c_mes12[TOTAL])</f>
        <v>10802841</v>
      </c>
      <c r="J224" s="55"/>
      <c r="K224" s="55"/>
      <c r="L224" s="56"/>
      <c r="M224" s="56"/>
      <c r="N224" s="56"/>
      <c r="O224" s="56"/>
      <c r="P224" s="56"/>
      <c r="Q224" s="56"/>
      <c r="R224" s="56"/>
    </row>
    <row r="229" spans="2:13" ht="26.25">
      <c r="B229" s="720" t="s">
        <v>29</v>
      </c>
      <c r="C229" s="720"/>
      <c r="D229" s="720"/>
      <c r="E229" s="720"/>
      <c r="F229" s="720"/>
      <c r="G229" s="720"/>
      <c r="H229" s="720"/>
      <c r="I229" s="720"/>
      <c r="J229" s="720"/>
      <c r="K229" s="716">
        <f>N1</f>
        <v>45261</v>
      </c>
      <c r="L229" s="716"/>
      <c r="M229" s="716"/>
    </row>
    <row r="231" spans="2:13" ht="21">
      <c r="B231" s="713" t="s">
        <v>30</v>
      </c>
      <c r="C231" s="713"/>
    </row>
    <row r="232" spans="2:13" ht="31.5">
      <c r="B232" s="60" t="s">
        <v>0</v>
      </c>
      <c r="C232" s="61" t="s">
        <v>1</v>
      </c>
      <c r="D232" s="61" t="s">
        <v>21</v>
      </c>
      <c r="E232" s="61" t="s">
        <v>22</v>
      </c>
      <c r="F232" s="61" t="s">
        <v>3</v>
      </c>
      <c r="G232" s="61" t="s">
        <v>4</v>
      </c>
      <c r="H232" s="61" t="s">
        <v>23</v>
      </c>
      <c r="I232" s="61" t="s">
        <v>17</v>
      </c>
      <c r="J232" s="61" t="s">
        <v>7</v>
      </c>
      <c r="K232" s="61" t="s">
        <v>24</v>
      </c>
      <c r="L232" s="61" t="s">
        <v>10</v>
      </c>
      <c r="M232" s="62" t="s">
        <v>38</v>
      </c>
    </row>
    <row r="233" spans="2:13">
      <c r="B233" s="40"/>
      <c r="C233" s="41"/>
      <c r="D233" s="42"/>
      <c r="E233" s="43"/>
      <c r="F233" s="44"/>
      <c r="G233" s="99" t="str">
        <f>IFERROR(IF(venta_a_mes12[[#This Row],[CUIT]]="","-",VLOOKUP(venta_a_mes12[[#This Row],[CUIT]],Lista_CUIT[#All],2,0)),"CUIT NO CARGADO")</f>
        <v>-</v>
      </c>
      <c r="H233" s="100"/>
      <c r="I233" s="101">
        <f>venta_a_mes12[[#This Row],[IMPORTE NETO]]*0.21</f>
        <v>0</v>
      </c>
      <c r="J233" s="65"/>
      <c r="K233" s="65"/>
      <c r="L233" s="65">
        <f>SUM(venta_a_mes12[[#This Row],[IMPORTE NETO]:[EXENTO]])</f>
        <v>0</v>
      </c>
      <c r="M233" s="59"/>
    </row>
    <row r="234" spans="2:13">
      <c r="B234" s="66" t="s">
        <v>103</v>
      </c>
      <c r="C234" s="67"/>
      <c r="D234" s="67"/>
      <c r="E234" s="67"/>
      <c r="F234" s="67"/>
      <c r="G234" s="67"/>
      <c r="H234" s="69">
        <f>SUBTOTAL(109,venta_a_mes12[IMPORTE NETO])</f>
        <v>0</v>
      </c>
      <c r="I234" s="70">
        <f>SUBTOTAL(109,venta_a_mes12[IVA 21%])</f>
        <v>0</v>
      </c>
      <c r="J234" s="71">
        <f>SUBTOTAL(109,venta_a_mes12[IVA 10,5%])</f>
        <v>0</v>
      </c>
      <c r="K234" s="71">
        <f>SUBTOTAL(109,venta_a_mes12[EXENTO])</f>
        <v>0</v>
      </c>
      <c r="L234" s="71">
        <f>SUBTOTAL(109,venta_a_mes12[TOTAL])</f>
        <v>0</v>
      </c>
      <c r="M234" s="68">
        <f>SUBTOTAL(103,venta_a_mes12[Provincia])</f>
        <v>0</v>
      </c>
    </row>
    <row r="235" spans="2:13">
      <c r="B235" s="147"/>
      <c r="C235" s="147"/>
      <c r="D235" s="147"/>
      <c r="E235" s="147"/>
      <c r="F235" s="147"/>
      <c r="G235" s="147"/>
      <c r="H235" s="149"/>
      <c r="I235" s="150"/>
      <c r="J235" s="151"/>
      <c r="K235" s="151"/>
      <c r="L235" s="151"/>
      <c r="M235" s="148"/>
    </row>
    <row r="236" spans="2:13" ht="21">
      <c r="B236" s="713" t="s">
        <v>31</v>
      </c>
      <c r="C236" s="713"/>
    </row>
    <row r="237" spans="2:13" ht="31.5">
      <c r="B237" s="60" t="s">
        <v>0</v>
      </c>
      <c r="C237" s="61" t="s">
        <v>1</v>
      </c>
      <c r="D237" s="61" t="s">
        <v>21</v>
      </c>
      <c r="E237" s="61" t="s">
        <v>22</v>
      </c>
      <c r="F237" s="61" t="s">
        <v>3</v>
      </c>
      <c r="G237" s="61" t="s">
        <v>4</v>
      </c>
      <c r="H237" s="61" t="s">
        <v>23</v>
      </c>
      <c r="I237" s="61" t="s">
        <v>17</v>
      </c>
      <c r="J237" s="61" t="s">
        <v>7</v>
      </c>
      <c r="K237" s="61" t="s">
        <v>24</v>
      </c>
      <c r="L237" s="61" t="s">
        <v>10</v>
      </c>
      <c r="M237" s="62" t="s">
        <v>38</v>
      </c>
    </row>
    <row r="238" spans="2:13">
      <c r="B238" s="135"/>
      <c r="C238" s="136"/>
      <c r="D238" s="137"/>
      <c r="E238" s="138"/>
      <c r="F238" s="139"/>
      <c r="G238" s="1" t="str">
        <f>IFERROR(IF(ventas_b_mes12[[#This Row],[CUIT]]="","-",VLOOKUP(ventas_b_mes12[[#This Row],[CUIT]],Lista_CUIT[#All],2,0)),"CUIT NO CARGADO")</f>
        <v>-</v>
      </c>
      <c r="H238" s="100">
        <f>ventas_b_mes12[[#This Row],[TOTAL]]/1.21</f>
        <v>0</v>
      </c>
      <c r="I238" s="64">
        <f>ventas_b_mes12[[#This Row],[IMPORTE NETO]]*0.21</f>
        <v>0</v>
      </c>
      <c r="J238" s="141"/>
      <c r="K238" s="141"/>
      <c r="L238" s="141"/>
      <c r="M238" s="59"/>
    </row>
    <row r="239" spans="2:13">
      <c r="B239" s="135"/>
      <c r="C239" s="136"/>
      <c r="D239" s="137"/>
      <c r="E239" s="138"/>
      <c r="F239" s="139"/>
      <c r="G239" s="1" t="str">
        <f>IFERROR(IF(ventas_b_mes12[[#This Row],[CUIT]]="","-",VLOOKUP(ventas_b_mes12[[#This Row],[CUIT]],Lista_CUIT[#All],2,0)),"CUIT NO CARGADO")</f>
        <v>-</v>
      </c>
      <c r="H239" s="100">
        <f>ventas_b_mes12[[#This Row],[TOTAL]]/1.21</f>
        <v>0</v>
      </c>
      <c r="I239" s="64">
        <f>ventas_b_mes12[[#This Row],[IMPORTE NETO]]*0.21</f>
        <v>0</v>
      </c>
      <c r="J239" s="141"/>
      <c r="K239" s="141"/>
      <c r="L239" s="141"/>
      <c r="M239" s="59"/>
    </row>
    <row r="240" spans="2:13">
      <c r="B240" s="319" t="s">
        <v>103</v>
      </c>
      <c r="C240" s="320"/>
      <c r="D240" s="320"/>
      <c r="E240" s="320"/>
      <c r="F240" s="320"/>
      <c r="G240" s="320"/>
      <c r="H240" s="321">
        <f>SUBTOTAL(109,ventas_b_mes12[IMPORTE NETO])</f>
        <v>0</v>
      </c>
      <c r="I240" s="321">
        <f>SUBTOTAL(109,ventas_b_mes12[IVA 21%])</f>
        <v>0</v>
      </c>
      <c r="J240" s="322">
        <f>SUBTOTAL(109,ventas_b_mes12[IVA 10,5%])</f>
        <v>0</v>
      </c>
      <c r="K240" s="322">
        <f>SUBTOTAL(109,ventas_b_mes12[EXENTO])</f>
        <v>0</v>
      </c>
      <c r="L240" s="322">
        <f>SUBTOTAL(109,ventas_b_mes12[TOTAL])</f>
        <v>0</v>
      </c>
      <c r="M240" s="323">
        <f>SUBTOTAL(103,ventas_b_mes12[Provincia])</f>
        <v>0</v>
      </c>
    </row>
    <row r="241" spans="2:13" ht="15.75" thickBot="1">
      <c r="B241" s="147"/>
      <c r="C241" s="147"/>
      <c r="D241" s="147"/>
      <c r="E241" s="147"/>
      <c r="F241" s="147"/>
      <c r="G241" s="147"/>
      <c r="H241" s="153"/>
      <c r="I241" s="153"/>
      <c r="J241" s="154"/>
      <c r="K241" s="154"/>
      <c r="L241" s="154"/>
      <c r="M241" s="148"/>
    </row>
    <row r="242" spans="2:13" ht="15.75" thickTop="1">
      <c r="C242" s="726" t="s">
        <v>66</v>
      </c>
      <c r="D242" s="726"/>
      <c r="E242" s="726"/>
      <c r="F242" s="726"/>
      <c r="G242" s="726"/>
      <c r="H242" s="32"/>
      <c r="I242" s="32"/>
      <c r="J242" s="32"/>
    </row>
    <row r="243" spans="2:13" ht="15.75">
      <c r="C243" s="114" t="s">
        <v>67</v>
      </c>
      <c r="D243" s="115" t="s">
        <v>68</v>
      </c>
      <c r="E243" s="115" t="s">
        <v>105</v>
      </c>
      <c r="F243" s="115" t="s">
        <v>3</v>
      </c>
      <c r="G243" s="115" t="s">
        <v>4</v>
      </c>
      <c r="H243" s="116" t="s">
        <v>69</v>
      </c>
      <c r="I243" s="116" t="s">
        <v>70</v>
      </c>
      <c r="J243" s="116" t="s">
        <v>71</v>
      </c>
      <c r="K243" s="116" t="s">
        <v>72</v>
      </c>
      <c r="L243" s="116" t="s">
        <v>73</v>
      </c>
    </row>
    <row r="244" spans="2:13">
      <c r="C244" s="117"/>
      <c r="D244" s="118"/>
      <c r="E244" s="118"/>
      <c r="F244" s="119"/>
      <c r="G244" s="53" t="str">
        <f>IFERROR(IF(Retenciones_mes12[[#This Row],[CUIT]]="","-",VLOOKUP(Retenciones_mes12[[#This Row],[CUIT]],Lista_CUIT[#All],2,0)),"CUIT NO CARGADO")</f>
        <v>-</v>
      </c>
      <c r="H244" s="120"/>
      <c r="I244" s="120"/>
      <c r="J244" s="120"/>
      <c r="K244" s="120"/>
      <c r="L244" s="120"/>
    </row>
    <row r="245" spans="2:13">
      <c r="C245" s="117"/>
      <c r="D245" s="118"/>
      <c r="E245" s="118"/>
      <c r="F245" s="119"/>
      <c r="G245" s="53" t="str">
        <f>IFERROR(IF(Retenciones_mes12[[#This Row],[CUIT]]="","-",VLOOKUP(Retenciones_mes12[[#This Row],[CUIT]],Lista_CUIT[#All],2,0)),"CUIT NO CARGADO")</f>
        <v>-</v>
      </c>
      <c r="H245" s="120"/>
      <c r="I245" s="120"/>
      <c r="J245" s="120"/>
      <c r="K245" s="120"/>
      <c r="L245" s="120"/>
    </row>
    <row r="246" spans="2:13">
      <c r="C246" s="117"/>
      <c r="D246" s="118"/>
      <c r="E246" s="118"/>
      <c r="F246" s="119"/>
      <c r="G246" s="53" t="str">
        <f>IFERROR(IF(Retenciones_mes12[[#This Row],[CUIT]]="","-",VLOOKUP(Retenciones_mes12[[#This Row],[CUIT]],Lista_CUIT[#All],2,0)),"CUIT NO CARGADO")</f>
        <v>-</v>
      </c>
      <c r="H246" s="120"/>
      <c r="I246" s="120"/>
      <c r="J246" s="120"/>
      <c r="K246" s="120"/>
      <c r="L246" s="120"/>
    </row>
    <row r="247" spans="2:13">
      <c r="C247" s="117"/>
      <c r="D247" s="118"/>
      <c r="E247" s="118"/>
      <c r="F247" s="119"/>
      <c r="G247" s="53" t="str">
        <f>IFERROR(IF(Retenciones_mes12[[#This Row],[CUIT]]="","-",VLOOKUP(Retenciones_mes12[[#This Row],[CUIT]],Lista_CUIT[#All],2,0)),"CUIT NO CARGADO")</f>
        <v>-</v>
      </c>
      <c r="H247" s="120"/>
      <c r="I247" s="120"/>
      <c r="J247" s="120"/>
      <c r="K247" s="120"/>
      <c r="L247" s="120"/>
    </row>
    <row r="248" spans="2:13">
      <c r="D248" s="118"/>
      <c r="E248" s="118"/>
      <c r="G248" s="53" t="str">
        <f>IFERROR(IF(Retenciones_mes12[[#This Row],[CUIT]]="","-",VLOOKUP(Retenciones_mes12[[#This Row],[CUIT]],Lista_CUIT[#All],2,0)),"CUIT NO CARGADO")</f>
        <v>-</v>
      </c>
    </row>
    <row r="249" spans="2:13">
      <c r="C249" s="33"/>
    </row>
  </sheetData>
  <mergeCells count="20">
    <mergeCell ref="C242:G242"/>
    <mergeCell ref="B4:E4"/>
    <mergeCell ref="G4:H4"/>
    <mergeCell ref="J4:K4"/>
    <mergeCell ref="M4:N4"/>
    <mergeCell ref="D192:K192"/>
    <mergeCell ref="B229:J229"/>
    <mergeCell ref="K229:M229"/>
    <mergeCell ref="B231:C231"/>
    <mergeCell ref="B236:C236"/>
    <mergeCell ref="P4:R4"/>
    <mergeCell ref="D176:L176"/>
    <mergeCell ref="B1:F1"/>
    <mergeCell ref="G1:M1"/>
    <mergeCell ref="N1:R1"/>
    <mergeCell ref="B3:E3"/>
    <mergeCell ref="G3:H3"/>
    <mergeCell ref="J3:K3"/>
    <mergeCell ref="M3:N3"/>
    <mergeCell ref="P3:R3"/>
  </mergeCells>
  <conditionalFormatting sqref="I194:I223">
    <cfRule type="cellIs" dxfId="147" priority="1" operator="lessThan">
      <formula>0</formula>
    </cfRule>
  </conditionalFormatting>
  <dataValidations count="10">
    <dataValidation type="custom" allowBlank="1" showInputMessage="1" showErrorMessage="1" sqref="L233">
      <formula1>IF($C9=3,L9&lt;0,L9&gt;=0)</formula1>
    </dataValidation>
    <dataValidation type="custom" allowBlank="1" showInputMessage="1" showErrorMessage="1" sqref="H233:K233">
      <formula1>IF($C233=3,H233&lt;0,H233&gt;=0)</formula1>
    </dataValidation>
    <dataValidation type="whole" allowBlank="1" showInputMessage="1" showErrorMessage="1" sqref="C172:C175 C233 C9:C170">
      <formula1>1</formula1>
      <formula2>3</formula2>
    </dataValidation>
    <dataValidation type="date" allowBlank="1" showInputMessage="1" showErrorMessage="1" sqref="B14 B238:B239 B233 B172:B175 D194:D223 D178:D187">
      <formula1>40179</formula1>
      <formula2>TODAY()</formula2>
    </dataValidation>
    <dataValidation type="whole" allowBlank="1" showInputMessage="1" showErrorMessage="1" sqref="F233 F14 G194:G223 F238:F239">
      <formula1>20000000000</formula1>
      <formula2>33999999999</formula2>
    </dataValidation>
    <dataValidation type="whole" allowBlank="1" showInputMessage="1" showErrorMessage="1" sqref="E233 F194:F223 E238:E239 E9:E169">
      <formula1>1</formula1>
      <formula2>99999999</formula2>
    </dataValidation>
    <dataValidation type="whole" allowBlank="1" showInputMessage="1" showErrorMessage="1" sqref="D233 E194:E223 D238:D239 D9:D169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 I9:O169 I170">
      <formula1>IF($C9=3,H9&lt;0,H9&gt;=0)</formula1>
    </dataValidation>
    <dataValidation type="whole" allowBlank="1" showInputMessage="1" showErrorMessage="1" sqref="C238:C239">
      <formula1>6</formula1>
      <formula2>8</formula2>
    </dataValidation>
    <dataValidation type="custom" allowBlank="1" showInputMessage="1" showErrorMessage="1" sqref="H238:L239">
      <formula1>IF($C238=8,H238&lt;0,H238&gt;=0)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theme="8" tint="0.39997558519241921"/>
  </sheetPr>
  <dimension ref="B2:Q108"/>
  <sheetViews>
    <sheetView showGridLines="0" topLeftCell="A66" zoomScaleNormal="100" workbookViewId="0">
      <selection sqref="A1:O107"/>
    </sheetView>
  </sheetViews>
  <sheetFormatPr baseColWidth="10" defaultRowHeight="1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>
      <c r="B2" s="737" t="s">
        <v>59</v>
      </c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  <c r="O2" s="737"/>
    </row>
    <row r="3" spans="2:17" ht="10.9" customHeight="1" thickBot="1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>
      <c r="B4" s="733">
        <f>'Ene-24'!N1</f>
        <v>44927</v>
      </c>
      <c r="C4" s="734"/>
      <c r="D4" s="734"/>
      <c r="E4" s="735"/>
      <c r="F4" s="3"/>
      <c r="G4" s="733">
        <f>EDATE($B$4,1)</f>
        <v>44958</v>
      </c>
      <c r="H4" s="734"/>
      <c r="I4" s="734"/>
      <c r="J4" s="735"/>
      <c r="K4" s="3"/>
      <c r="L4" s="733">
        <f>EDATE($G$4,1)</f>
        <v>44986</v>
      </c>
      <c r="M4" s="734"/>
      <c r="N4" s="734"/>
      <c r="O4" s="735"/>
    </row>
    <row r="5" spans="2:17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>
      <c r="B28" s="736" t="s">
        <v>54</v>
      </c>
      <c r="C28" s="736"/>
      <c r="D28" s="736"/>
      <c r="E28" s="8">
        <v>0</v>
      </c>
      <c r="F28" s="3"/>
      <c r="G28" s="736" t="s">
        <v>55</v>
      </c>
      <c r="H28" s="736"/>
      <c r="I28" s="736"/>
      <c r="J28" s="8">
        <v>0</v>
      </c>
      <c r="K28" s="3"/>
      <c r="L28" s="736" t="s">
        <v>56</v>
      </c>
      <c r="M28" s="736"/>
      <c r="N28" s="736"/>
      <c r="O28" s="8">
        <v>0</v>
      </c>
    </row>
    <row r="29" spans="2:17" ht="15.75" thickBot="1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>
      <c r="B30" s="733">
        <f>EDATE($L$4,1)</f>
        <v>45017</v>
      </c>
      <c r="C30" s="734"/>
      <c r="D30" s="734"/>
      <c r="E30" s="735"/>
      <c r="F30" s="3"/>
      <c r="G30" s="733">
        <f>EDATE($B$30,1)</f>
        <v>45047</v>
      </c>
      <c r="H30" s="734"/>
      <c r="I30" s="734"/>
      <c r="J30" s="735"/>
      <c r="K30" s="3"/>
      <c r="L30" s="733">
        <f>EDATE($G$30,1)</f>
        <v>45078</v>
      </c>
      <c r="M30" s="734"/>
      <c r="N30" s="734"/>
      <c r="O30" s="735"/>
    </row>
    <row r="31" spans="2:17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>
      <c r="B54" s="736"/>
      <c r="C54" s="736"/>
      <c r="D54" s="736"/>
      <c r="E54" s="8">
        <v>0</v>
      </c>
      <c r="F54" s="3"/>
      <c r="G54" s="736"/>
      <c r="H54" s="736"/>
      <c r="I54" s="736"/>
      <c r="J54" s="8">
        <v>0</v>
      </c>
      <c r="K54" s="3"/>
      <c r="L54" s="736"/>
      <c r="M54" s="736"/>
      <c r="N54" s="736"/>
      <c r="O54" s="8">
        <v>0</v>
      </c>
    </row>
    <row r="55" spans="2:15" ht="15.75" thickBo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>
      <c r="B56" s="733">
        <f>EDATE($L$30,1)</f>
        <v>45108</v>
      </c>
      <c r="C56" s="734"/>
      <c r="D56" s="734"/>
      <c r="E56" s="735"/>
      <c r="F56" s="3"/>
      <c r="G56" s="733">
        <f>EDATE($B$56,1)</f>
        <v>45139</v>
      </c>
      <c r="H56" s="734"/>
      <c r="I56" s="734"/>
      <c r="J56" s="735"/>
      <c r="K56" s="3"/>
      <c r="L56" s="733">
        <f>EDATE($G$56,1)</f>
        <v>45170</v>
      </c>
      <c r="M56" s="734"/>
      <c r="N56" s="734"/>
      <c r="O56" s="735"/>
    </row>
    <row r="57" spans="2:1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>
      <c r="B80" s="736"/>
      <c r="C80" s="736"/>
      <c r="D80" s="736"/>
      <c r="E80" s="8">
        <v>0</v>
      </c>
      <c r="F80" s="3"/>
      <c r="G80" s="736"/>
      <c r="H80" s="736"/>
      <c r="I80" s="736"/>
      <c r="J80" s="8">
        <v>0</v>
      </c>
      <c r="K80" s="3"/>
      <c r="L80" s="736"/>
      <c r="M80" s="736"/>
      <c r="N80" s="736"/>
      <c r="O80" s="8">
        <v>0</v>
      </c>
    </row>
    <row r="81" spans="2:15" ht="15.75" thickBo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>
      <c r="B82" s="733">
        <f>EDATE($L$56,1)</f>
        <v>45200</v>
      </c>
      <c r="C82" s="734"/>
      <c r="D82" s="734"/>
      <c r="E82" s="735"/>
      <c r="F82" s="3"/>
      <c r="G82" s="733">
        <f>EDATE($B$82,1)</f>
        <v>45231</v>
      </c>
      <c r="H82" s="734"/>
      <c r="I82" s="734"/>
      <c r="J82" s="735"/>
      <c r="K82" s="3"/>
      <c r="L82" s="733">
        <f>EDATE($G$82,1)</f>
        <v>45261</v>
      </c>
      <c r="M82" s="734"/>
      <c r="N82" s="734"/>
      <c r="O82" s="735"/>
    </row>
    <row r="83" spans="2:1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>
      <c r="B106" s="736"/>
      <c r="C106" s="736"/>
      <c r="D106" s="736"/>
      <c r="E106" s="8">
        <v>0</v>
      </c>
      <c r="F106" s="3"/>
      <c r="G106" s="736"/>
      <c r="H106" s="736"/>
      <c r="I106" s="736"/>
      <c r="J106" s="8">
        <v>0</v>
      </c>
      <c r="K106" s="3"/>
      <c r="L106" s="736"/>
      <c r="M106" s="736"/>
      <c r="N106" s="736"/>
      <c r="O106" s="8">
        <v>0</v>
      </c>
    </row>
    <row r="107" spans="2:15">
      <c r="B107" s="3"/>
      <c r="C107" s="3"/>
      <c r="D107" s="3"/>
      <c r="E107" s="3"/>
      <c r="L107" s="732"/>
      <c r="M107" s="732"/>
      <c r="N107" s="732"/>
      <c r="O107" s="3"/>
    </row>
    <row r="108" spans="2:1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>
      <c r="B2" s="737" t="s">
        <v>60</v>
      </c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  <c r="O2" s="737"/>
    </row>
    <row r="3" spans="2:15" ht="15.75" thickBo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>
      <c r="B4" s="733">
        <f>'Ene-24'!N1</f>
        <v>44927</v>
      </c>
      <c r="C4" s="734"/>
      <c r="D4" s="734"/>
      <c r="E4" s="735"/>
      <c r="F4" s="3"/>
      <c r="G4" s="733">
        <f>EDATE($B$4,1)</f>
        <v>44958</v>
      </c>
      <c r="H4" s="734"/>
      <c r="I4" s="734"/>
      <c r="J4" s="735"/>
      <c r="K4" s="3"/>
      <c r="L4" s="733">
        <f>EDATE($B$4,2)</f>
        <v>44986</v>
      </c>
      <c r="M4" s="734"/>
      <c r="N4" s="734"/>
      <c r="O4" s="735"/>
    </row>
    <row r="5" spans="2:1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>
      <c r="B11" s="733">
        <f>EDATE($B$4,3)</f>
        <v>45017</v>
      </c>
      <c r="C11" s="734"/>
      <c r="D11" s="734"/>
      <c r="E11" s="735"/>
      <c r="F11" s="3"/>
      <c r="G11" s="733">
        <f>EDATE($B$4,4)</f>
        <v>45047</v>
      </c>
      <c r="H11" s="734"/>
      <c r="I11" s="734"/>
      <c r="J11" s="735"/>
      <c r="K11" s="3"/>
      <c r="L11" s="733">
        <f>EDATE($B$4,5)</f>
        <v>45078</v>
      </c>
      <c r="M11" s="734"/>
      <c r="N11" s="734"/>
      <c r="O11" s="735"/>
    </row>
    <row r="12" spans="2:1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>
      <c r="B18" s="733">
        <f>EDATE($B$4,6)</f>
        <v>45108</v>
      </c>
      <c r="C18" s="734"/>
      <c r="D18" s="734"/>
      <c r="E18" s="735"/>
      <c r="F18" s="3"/>
      <c r="G18" s="733">
        <f>EDATE($B$4,7)</f>
        <v>45139</v>
      </c>
      <c r="H18" s="734"/>
      <c r="I18" s="734"/>
      <c r="J18" s="735"/>
      <c r="K18" s="3"/>
      <c r="L18" s="733">
        <f>EDATE($B$4,8)</f>
        <v>45170</v>
      </c>
      <c r="M18" s="734"/>
      <c r="N18" s="734"/>
      <c r="O18" s="735"/>
    </row>
    <row r="19" spans="2:1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>
      <c r="B25" s="733">
        <f>EDATE($B$4,9)</f>
        <v>45200</v>
      </c>
      <c r="C25" s="734"/>
      <c r="D25" s="734"/>
      <c r="E25" s="735"/>
      <c r="F25" s="3"/>
      <c r="G25" s="733">
        <f>EDATE($B$4,10)</f>
        <v>45231</v>
      </c>
      <c r="H25" s="734"/>
      <c r="I25" s="734"/>
      <c r="J25" s="735"/>
      <c r="K25" s="3"/>
      <c r="L25" s="733">
        <f>EDATE($B$4,11)</f>
        <v>45261</v>
      </c>
      <c r="M25" s="734"/>
      <c r="N25" s="734"/>
      <c r="O25" s="735"/>
    </row>
    <row r="26" spans="2:1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Ene-24</vt:lpstr>
      <vt:lpstr>Feb-24</vt:lpstr>
      <vt:lpstr>Mar-24</vt:lpstr>
      <vt:lpstr>Abr-24</vt:lpstr>
      <vt:lpstr>May-24</vt:lpstr>
      <vt:lpstr>May-24 (2)</vt:lpstr>
      <vt:lpstr>Jun-24</vt:lpstr>
      <vt:lpstr>Jul-24</vt:lpstr>
      <vt:lpstr>Agost-24</vt:lpstr>
      <vt:lpstr>Sept-24</vt:lpstr>
      <vt:lpstr>Oct-24</vt:lpstr>
      <vt:lpstr>Nov-24 </vt:lpstr>
      <vt:lpstr>Dic-24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Hogar</cp:lastModifiedBy>
  <cp:lastPrinted>2023-07-21T17:02:54Z</cp:lastPrinted>
  <dcterms:created xsi:type="dcterms:W3CDTF">2006-09-16T00:00:00Z</dcterms:created>
  <dcterms:modified xsi:type="dcterms:W3CDTF">2025-07-07T15:27:49Z</dcterms:modified>
</cp:coreProperties>
</file>